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yuuji\Dropbox\Kaissa Consumer\Mosaic\buckets\AGENTICS\WIX\source\"/>
    </mc:Choice>
  </mc:AlternateContent>
  <xr:revisionPtr revIDLastSave="0" documentId="8_{573955F5-1E3B-40B8-9739-EF8376F95ABE}" xr6:coauthVersionLast="47" xr6:coauthVersionMax="47" xr10:uidLastSave="{00000000-0000-0000-0000-000000000000}"/>
  <bookViews>
    <workbookView xWindow="2400" yWindow="-16200" windowWidth="19410" windowHeight="15585" tabRatio="760" firstSheet="1" activeTab="1" xr2:uid="{00000000-000D-0000-FFFF-FFFF00000000}"/>
  </bookViews>
  <sheets>
    <sheet name="__FDSCACHE__" sheetId="23" state="veryHidden" r:id="rId1"/>
    <sheet name="Income Statement" sheetId="1" r:id="rId2"/>
    <sheet name="Core Growth" sheetId="65" r:id="rId3"/>
    <sheet name="Balance Sheet" sheetId="9" r:id="rId4"/>
    <sheet name="Cash Flow" sheetId="10" r:id="rId5"/>
    <sheet name="FX" sheetId="72" state="hidden" r:id="rId6"/>
    <sheet name="Estimates old" sheetId="12" state="hidden"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M">[1]VALUE2_1.XLS!#REF!</definedName>
    <definedName name="_">#REF!</definedName>
    <definedName name="__">#REF!</definedName>
    <definedName name="___">#REF!</definedName>
    <definedName name="____">#REF!</definedName>
    <definedName name="____________Z04">#REF!</definedName>
    <definedName name="____________Z05">#REF!</definedName>
    <definedName name="___________Inv1">#REF!</definedName>
    <definedName name="___________TOP10">#REF!</definedName>
    <definedName name="_________Inv1">#REF!</definedName>
    <definedName name="_________TOP10">#REF!</definedName>
    <definedName name="_______Inv1">#REF!</definedName>
    <definedName name="_______TOP10">#REF!</definedName>
    <definedName name="______Inv1">#REF!</definedName>
    <definedName name="______TOP10">#REF!</definedName>
    <definedName name="______Z04">#REF!</definedName>
    <definedName name="______Z05">#REF!</definedName>
    <definedName name="_____Inv1">#REF!</definedName>
    <definedName name="_____TOP10">#REF!</definedName>
    <definedName name="_____Z04">#REF!</definedName>
    <definedName name="_____Z05">#REF!</definedName>
    <definedName name="____cat2">#REF!</definedName>
    <definedName name="____Inv1">#REF!</definedName>
    <definedName name="____TOP10">#REF!</definedName>
    <definedName name="____USD03">#REF!</definedName>
    <definedName name="____Z04">#REF!</definedName>
    <definedName name="____Z05">#REF!</definedName>
    <definedName name="___cat2">#REF!</definedName>
    <definedName name="___Inv1">#REF!</definedName>
    <definedName name="___nm1">#REF!</definedName>
    <definedName name="___SEC2">#REF!</definedName>
    <definedName name="___SEC4">#REF!</definedName>
    <definedName name="___SEC5">#REF!</definedName>
    <definedName name="___TOP10">#REF!</definedName>
    <definedName name="___USD03">#REF!</definedName>
    <definedName name="___www2">#REF!</definedName>
    <definedName name="___Z04">#REF!</definedName>
    <definedName name="___Z05">#REF!</definedName>
    <definedName name="__1__123Graph_ACHART_3">#REF!</definedName>
    <definedName name="__123Graph_A">#REF!</definedName>
    <definedName name="__123Graph_AChart1">#REF!</definedName>
    <definedName name="__123Graph_AChart2">#REF!</definedName>
    <definedName name="__123Graph_AChart3">#REF!</definedName>
    <definedName name="__123Graph_AChart4">#REF!</definedName>
    <definedName name="__123Graph_AChart5">#REF!</definedName>
    <definedName name="__123Graph_AChart6">#REF!</definedName>
    <definedName name="__123Graph_AChart7">#REF!</definedName>
    <definedName name="__123Graph_ACurrent">#REF!</definedName>
    <definedName name="__123Graph_B">#REF!</definedName>
    <definedName name="__123Graph_BChart1">#REF!</definedName>
    <definedName name="__123Graph_BChart2">#REF!</definedName>
    <definedName name="__123Graph_BChart3">#REF!</definedName>
    <definedName name="__123Graph_BChart4">#REF!</definedName>
    <definedName name="__123Graph_BChart5">#REF!</definedName>
    <definedName name="__123Graph_BChart6">#REF!</definedName>
    <definedName name="__123Graph_BChart7">#REF!</definedName>
    <definedName name="__123Graph_BCurrent">#REF!</definedName>
    <definedName name="__123Graph_C">#REF!</definedName>
    <definedName name="__123Graph_CChart1">#REF!</definedName>
    <definedName name="__123Graph_CChart2">#REF!</definedName>
    <definedName name="__123Graph_CChart3">#REF!</definedName>
    <definedName name="__123Graph_CChart4">#REF!</definedName>
    <definedName name="__123Graph_CChart5">#REF!</definedName>
    <definedName name="__123Graph_CChart6">#REF!</definedName>
    <definedName name="__123Graph_CChart7">#REF!</definedName>
    <definedName name="__123Graph_CCurrent">#REF!</definedName>
    <definedName name="__123Graph_D">#REF!</definedName>
    <definedName name="__123Graph_DChart1">#REF!</definedName>
    <definedName name="__123Graph_DChart2">#REF!</definedName>
    <definedName name="__123Graph_DChart3">#REF!</definedName>
    <definedName name="__123Graph_DChart4">#REF!</definedName>
    <definedName name="__123Graph_DChart5">#REF!</definedName>
    <definedName name="__123Graph_DChart6">#REF!</definedName>
    <definedName name="__123Graph_DChart7">#REF!</definedName>
    <definedName name="__123Graph_DCurrent">#REF!</definedName>
    <definedName name="__123Graph_E">#REF!</definedName>
    <definedName name="__123Graph_EChart1">#REF!</definedName>
    <definedName name="__123Graph_EChart2">#REF!</definedName>
    <definedName name="__123Graph_EChart3">#REF!</definedName>
    <definedName name="__123Graph_EChart4">#REF!</definedName>
    <definedName name="__123Graph_EChart5">#REF!</definedName>
    <definedName name="__123Graph_EChart6">#REF!</definedName>
    <definedName name="__123Graph_EChart7">#REF!</definedName>
    <definedName name="__123Graph_ECurrent">#REF!</definedName>
    <definedName name="__123Graph_F">#REF!</definedName>
    <definedName name="__123Graph_X">#REF!</definedName>
    <definedName name="__123Graph_XChart1">#REF!</definedName>
    <definedName name="__123Graph_XChart2">#REF!</definedName>
    <definedName name="__123Graph_XChart3">#REF!</definedName>
    <definedName name="__123Graph_XChart4">#REF!</definedName>
    <definedName name="__123Graph_XChart5">#REF!</definedName>
    <definedName name="__123Graph_XChart6">#REF!</definedName>
    <definedName name="__123Graph_XChart7">#REF!</definedName>
    <definedName name="__123Graph_XCurrent">#REF!</definedName>
    <definedName name="__2__123Graph_BCHART_3">#REF!</definedName>
    <definedName name="__a1">#REF!</definedName>
    <definedName name="__aa2">#REF!</definedName>
    <definedName name="__aa2_1">#REF!</definedName>
    <definedName name="__aa2_1_1">#REF!</definedName>
    <definedName name="__aa2_1_2">#REF!</definedName>
    <definedName name="__aa2_1_3">#REF!</definedName>
    <definedName name="__aa2_1_4">#REF!</definedName>
    <definedName name="__aa2_1_5">#REF!</definedName>
    <definedName name="__aa2_2">#REF!</definedName>
    <definedName name="__aa2_3">#REF!</definedName>
    <definedName name="__aa2_4">#REF!</definedName>
    <definedName name="__aa2_5">#REF!</definedName>
    <definedName name="__aa3">#REF!</definedName>
    <definedName name="__aa3_1">#REF!</definedName>
    <definedName name="__aa3_1_1">#REF!</definedName>
    <definedName name="__aa3_1_2">#REF!</definedName>
    <definedName name="__aa3_1_3">#REF!</definedName>
    <definedName name="__aa3_1_4">#REF!</definedName>
    <definedName name="__aa3_1_5">#REF!</definedName>
    <definedName name="__aa3_2">#REF!</definedName>
    <definedName name="__aa3_3">#REF!</definedName>
    <definedName name="__aa3_4">#REF!</definedName>
    <definedName name="__aa3_5">#REF!</definedName>
    <definedName name="__bb2">#REF!</definedName>
    <definedName name="__bb2_1">#REF!</definedName>
    <definedName name="__bb2_1_1">#REF!</definedName>
    <definedName name="__bb2_1_2">#REF!</definedName>
    <definedName name="__bb2_1_3">#REF!</definedName>
    <definedName name="__bb2_1_4">#REF!</definedName>
    <definedName name="__bb2_1_5">#REF!</definedName>
    <definedName name="__bb2_2">#REF!</definedName>
    <definedName name="__bb2_3">#REF!</definedName>
    <definedName name="__bb2_4">#REF!</definedName>
    <definedName name="__bb2_5">#REF!</definedName>
    <definedName name="__bb3">#REF!</definedName>
    <definedName name="__bb3_1">#REF!</definedName>
    <definedName name="__bb3_1_1">#REF!</definedName>
    <definedName name="__bb3_1_2">#REF!</definedName>
    <definedName name="__bb3_1_3">#REF!</definedName>
    <definedName name="__bb3_1_4">#REF!</definedName>
    <definedName name="__bb3_1_5">#REF!</definedName>
    <definedName name="__bb3_2">#REF!</definedName>
    <definedName name="__bb3_3">#REF!</definedName>
    <definedName name="__bb3_4">#REF!</definedName>
    <definedName name="__bb3_5">#REF!</definedName>
    <definedName name="__cat2">#REF!</definedName>
    <definedName name="__cc2">#REF!</definedName>
    <definedName name="__cc2_1">#REF!</definedName>
    <definedName name="__cc2_1_1">#REF!</definedName>
    <definedName name="__cc2_1_2">#REF!</definedName>
    <definedName name="__cc2_1_3">#REF!</definedName>
    <definedName name="__cc2_1_4">#REF!</definedName>
    <definedName name="__cc2_1_5">#REF!</definedName>
    <definedName name="__cc2_2">#REF!</definedName>
    <definedName name="__cc2_3">#REF!</definedName>
    <definedName name="__cc2_4">#REF!</definedName>
    <definedName name="__cc2_5">#REF!</definedName>
    <definedName name="__cc3">#REF!</definedName>
    <definedName name="__cc3_1">#REF!</definedName>
    <definedName name="__cc3_1_1">#REF!</definedName>
    <definedName name="__cc3_1_2">#REF!</definedName>
    <definedName name="__cc3_1_3">#REF!</definedName>
    <definedName name="__cc3_1_4">#REF!</definedName>
    <definedName name="__cc3_1_5">#REF!</definedName>
    <definedName name="__cc3_2">#REF!</definedName>
    <definedName name="__cc3_3">#REF!</definedName>
    <definedName name="__cc3_4">#REF!</definedName>
    <definedName name="__cc3_5">#REF!</definedName>
    <definedName name="__cc4">#REF!</definedName>
    <definedName name="__cc4_1">#REF!</definedName>
    <definedName name="__cc4_1_1">#REF!</definedName>
    <definedName name="__cc4_1_2">#REF!</definedName>
    <definedName name="__cc4_1_3">#REF!</definedName>
    <definedName name="__cc4_1_4">#REF!</definedName>
    <definedName name="__cc4_1_5">#REF!</definedName>
    <definedName name="__cc4_2">#REF!</definedName>
    <definedName name="__cc4_3">#REF!</definedName>
    <definedName name="__cc4_4">#REF!</definedName>
    <definedName name="__cc4_5">#REF!</definedName>
    <definedName name="__FDS_HYPERLINK_TOGGLE_STATE__" hidden="1">"ON"</definedName>
    <definedName name="__FDS_UNIQUE_RANGE_ID_GENERATOR_COUNTER" hidden="1">285</definedName>
    <definedName name="__FDS_USED_FOR_REUSING_RANGE_IDS_RECYCLE" hidden="1">{749,773,773}</definedName>
    <definedName name="__IntlFixupTable">#REF!</definedName>
    <definedName name="__Inv1">#REF!</definedName>
    <definedName name="__new1">#REF!</definedName>
    <definedName name="__new1_1">#REF!</definedName>
    <definedName name="__new1_1_1">#REF!</definedName>
    <definedName name="__new1_1_2">#REF!</definedName>
    <definedName name="__new1_1_3">#REF!</definedName>
    <definedName name="__new1_1_4">#REF!</definedName>
    <definedName name="__new1_1_5">#REF!</definedName>
    <definedName name="__new1_2">#REF!</definedName>
    <definedName name="__new1_3">#REF!</definedName>
    <definedName name="__new1_4">#REF!</definedName>
    <definedName name="__new1_5">#REF!</definedName>
    <definedName name="__new2">#REF!</definedName>
    <definedName name="__new2_1">#REF!</definedName>
    <definedName name="__new2_1_1">#REF!</definedName>
    <definedName name="__new2_1_2">#REF!</definedName>
    <definedName name="__new2_1_3">#REF!</definedName>
    <definedName name="__new2_1_4">#REF!</definedName>
    <definedName name="__new2_1_5">#REF!</definedName>
    <definedName name="__new2_2">#REF!</definedName>
    <definedName name="__new2_3">#REF!</definedName>
    <definedName name="__new2_4">#REF!</definedName>
    <definedName name="__new2_5">#REF!</definedName>
    <definedName name="__nm1">#REF!</definedName>
    <definedName name="__old2">#REF!</definedName>
    <definedName name="__old2_1">#REF!</definedName>
    <definedName name="__old2_1_1">#REF!</definedName>
    <definedName name="__old2_1_2">#REF!</definedName>
    <definedName name="__old2_1_3">#REF!</definedName>
    <definedName name="__old2_1_4">#REF!</definedName>
    <definedName name="__old2_1_5">#REF!</definedName>
    <definedName name="__old2_2">#REF!</definedName>
    <definedName name="__old2_3">#REF!</definedName>
    <definedName name="__old2_4">#REF!</definedName>
    <definedName name="__old2_5">#REF!</definedName>
    <definedName name="__TOP10">#REF!</definedName>
    <definedName name="__u234556">#REF!</definedName>
    <definedName name="__USD03">#REF!</definedName>
    <definedName name="__Z04">#REF!</definedName>
    <definedName name="__Z04_1">#REF!</definedName>
    <definedName name="__Z04_1_1">#REF!</definedName>
    <definedName name="__Z04_1_2">#REF!</definedName>
    <definedName name="__Z04_1_3">#REF!</definedName>
    <definedName name="__Z04_1_4">#REF!</definedName>
    <definedName name="__Z04_1_5">#REF!</definedName>
    <definedName name="__Z04_2">#REF!</definedName>
    <definedName name="__Z04_3">#REF!</definedName>
    <definedName name="__Z04_4">#REF!</definedName>
    <definedName name="__Z04_5">#REF!</definedName>
    <definedName name="__Z05">#REF!</definedName>
    <definedName name="__Z05_1">#REF!</definedName>
    <definedName name="__Z05_1_1">#REF!</definedName>
    <definedName name="__Z05_1_2">#REF!</definedName>
    <definedName name="__Z05_1_3">#REF!</definedName>
    <definedName name="__Z05_1_4">#REF!</definedName>
    <definedName name="__Z05_1_5">#REF!</definedName>
    <definedName name="__Z05_2">#REF!</definedName>
    <definedName name="__Z05_3">#REF!</definedName>
    <definedName name="__Z05_4">#REF!</definedName>
    <definedName name="__Z05_5">#REF!</definedName>
    <definedName name="_1__123Graph_ACHART_3">#REF!</definedName>
    <definedName name="_1__123Graph_AQRE_S_BY_TYPE">#REF!</definedName>
    <definedName name="_1__FDSAUDITLINK__" hidden="1">{"fdsup://directions/FAT Viewer?action=UPDATE&amp;creator=factset&amp;DYN_ARGS=TRUE&amp;DOC_NAME=FAT:FQL_AUDITING_CLIENT_TEMPLATE.FAT&amp;display_string=Audit&amp;VAR:KEY=CJQDMNYFEJ&amp;VAR:QUERY=RkZfRU5UUlBSX1ZBTF9EQUlMWSg0LzExLzIwMTEp&amp;WINDOW=FIRST_POPUP&amp;HEIGHT=450&amp;WIDTH=450&amp;STAR","T_MAXIMIZED=FALSE&amp;VAR:CALENDAR=FIVEDAY&amp;VAR:SYMBOL=CTCT&amp;VAR:INDEX=0"}</definedName>
    <definedName name="_10__123Graph_BCHART_3">#REF!</definedName>
    <definedName name="_10__123Graph_BSENS_COMPARISON">#REF!</definedName>
    <definedName name="_10__FDSAUDITLINK__" hidden="1">{"fdsup://directions/FAT Viewer?action=UPDATE&amp;creator=factset&amp;DYN_ARGS=TRUE&amp;DOC_NAME=FAT:FQL_AUDITING_CLIENT_TEMPLATE.FAT&amp;display_string=Audit&amp;VAR:KEY=ZIZEXWFYJU&amp;VAR:QUERY=RkZfRUJJVERBX09QRVIoUVRSLDQvMS8yMDEwLDYvMzAvMjAxMCwsLFVTRCk=&amp;WINDOW=FIRST_POPUP&amp;HEIGH","T=450&amp;WIDTH=450&amp;START_MAXIMIZED=FALSE&amp;VAR:CALENDAR=US&amp;VAR:SYMBOL=XRX&amp;VAR:INDEX=0"}</definedName>
    <definedName name="_100__FDSAUDITLINK__" hidden="1">{"fdsup://directions/FAT Viewer?action=UPDATE&amp;creator=factset&amp;DYN_ARGS=TRUE&amp;DOC_NAME=FAT:FQL_AUDITING_CLIENT_TEMPLATE.FAT&amp;display_string=Audit&amp;VAR:KEY=DAXSZEFETQ&amp;VAR:QUERY=RkZfRUJJVERBX09QRVIoUVRSLDQvMS8yMDEwLDYvMzAvMjAxMCwsLFVTRCk=&amp;WINDOW=FIRST_POPUP&amp;HEIGH","T=450&amp;WIDTH=450&amp;START_MAXIMIZED=FALSE&amp;VAR:CALENDAR=US&amp;VAR:SYMBOL=TXN&amp;VAR:INDEX=0"}</definedName>
    <definedName name="_1000__FDSAUDITLINK__" hidden="1">{"fdsup://Directions/FactSet Auditing Viewer?action=AUDIT_VALUE&amp;DB=129&amp;ID1=98849810&amp;VALUEID=01001&amp;SDATE=201002&amp;PERIODTYPE=QTR_STD&amp;window=popup_no_bar&amp;width=385&amp;height=120&amp;START_MAXIMIZED=FALSE&amp;creator=factset&amp;display_string=Audit"}</definedName>
    <definedName name="_1001__FDSAUDITLINK__" hidden="1">{"fdsup://Directions/FactSet Auditing Viewer?action=AUDIT_VALUE&amp;DB=129&amp;ID1=98433210&amp;VALUEID=01001&amp;SDATE=200902&amp;PERIODTYPE=QTR_STD&amp;window=popup_no_bar&amp;width=385&amp;height=120&amp;START_MAXIMIZED=FALSE&amp;creator=factset&amp;display_string=Audit"}</definedName>
    <definedName name="_1002__FDSAUDITLINK__" hidden="1">{"fdsup://Directions/FactSet Auditing Viewer?action=AUDIT_VALUE&amp;DB=129&amp;ID1=98433210&amp;VALUEID=01001&amp;SDATE=201002&amp;PERIODTYPE=QTR_STD&amp;window=popup_no_bar&amp;width=385&amp;height=120&amp;START_MAXIMIZED=FALSE&amp;creator=factset&amp;display_string=Audit"}</definedName>
    <definedName name="_1003__FDSAUDITLINK__" hidden="1">{"fdsup://Directions/FactSet Auditing Viewer?action=AUDIT_VALUE&amp;DB=129&amp;ID1=98412110&amp;VALUEID=01001&amp;SDATE=200902&amp;PERIODTYPE=QTR_STD&amp;window=popup_no_bar&amp;width=385&amp;height=120&amp;START_MAXIMIZED=FALSE&amp;creator=factset&amp;display_string=Audit"}</definedName>
    <definedName name="_1004__FDSAUDITLINK__" hidden="1">{"fdsup://Directions/FactSet Auditing Viewer?action=AUDIT_VALUE&amp;DB=129&amp;ID1=98412110&amp;VALUEID=01001&amp;SDATE=201002&amp;PERIODTYPE=QTR_STD&amp;window=popup_no_bar&amp;width=385&amp;height=120&amp;START_MAXIMIZED=FALSE&amp;creator=factset&amp;display_string=Audit"}</definedName>
    <definedName name="_1005__FDSAUDITLINK__" hidden="1">{"fdsup://Directions/FactSet Auditing Viewer?action=AUDIT_VALUE&amp;DB=129&amp;ID1=24903010&amp;VALUEID=01001&amp;SDATE=200902&amp;PERIODTYPE=QTR_STD&amp;window=popup_no_bar&amp;width=385&amp;height=120&amp;START_MAXIMIZED=FALSE&amp;creator=factset&amp;display_string=Audit"}</definedName>
    <definedName name="_1006__FDSAUDITLINK__" hidden="1">{"fdsup://Directions/FactSet Auditing Viewer?action=AUDIT_VALUE&amp;DB=129&amp;ID1=24903010&amp;VALUEID=01001&amp;SDATE=201002&amp;PERIODTYPE=QTR_STD&amp;window=popup_no_bar&amp;width=385&amp;height=120&amp;START_MAXIMIZED=FALSE&amp;creator=factset&amp;display_string=Audit"}</definedName>
    <definedName name="_1007__FDSAUDITLINK__" hidden="1">{"fdsup://Directions/FactSet Auditing Viewer?action=AUDIT_VALUE&amp;DB=129&amp;ID1=30231G10&amp;VALUEID=01001&amp;SDATE=200902&amp;PERIODTYPE=QTR_STD&amp;window=popup_no_bar&amp;width=385&amp;height=120&amp;START_MAXIMIZED=FALSE&amp;creator=factset&amp;display_string=Audit"}</definedName>
    <definedName name="_1008__FDSAUDITLINK__" hidden="1">{"fdsup://Directions/FactSet Auditing Viewer?action=AUDIT_VALUE&amp;DB=129&amp;ID1=30231G10&amp;VALUEID=01001&amp;SDATE=201002&amp;PERIODTYPE=QTR_STD&amp;window=popup_no_bar&amp;width=385&amp;height=120&amp;START_MAXIMIZED=FALSE&amp;creator=factset&amp;display_string=Audit"}</definedName>
    <definedName name="_1009__FDSAUDITLINK__" hidden="1">{"fdsup://Directions/FactSet Auditing Viewer?action=AUDIT_VALUE&amp;DB=129&amp;ID1=98391910&amp;VALUEID=01001&amp;SDATE=200901&amp;PERIODTYPE=QTR_STD&amp;window=popup_no_bar&amp;width=385&amp;height=120&amp;START_MAXIMIZED=FALSE&amp;creator=factset&amp;display_string=Audit"}</definedName>
    <definedName name="_101__FDSAUDITLINK__" hidden="1">{"fdsup://directions/FAT Viewer?action=UPDATE&amp;creator=factset&amp;DYN_ARGS=TRUE&amp;DOC_NAME=FAT:FQL_AUDITING_CLIENT_TEMPLATE.FAT&amp;display_string=Audit&amp;VAR:KEY=VSHUVEDCLQ&amp;VAR:QUERY=RkZfRUJJVERBX09QRVIoUVRSLDQvMS8yMDA5LDYvMzAvMjAwOSwsLFVTRCk=&amp;WINDOW=FIRST_POPUP&amp;HEIGH","T=450&amp;WIDTH=450&amp;START_MAXIMIZED=FALSE&amp;VAR:CALENDAR=US&amp;VAR:SYMBOL=TWX&amp;VAR:INDEX=0"}</definedName>
    <definedName name="_1010__FDSAUDITLINK__" hidden="1">{"fdsup://Directions/FactSet Auditing Viewer?action=AUDIT_VALUE&amp;DB=129&amp;ID1=98391910&amp;VALUEID=01001&amp;SDATE=201001&amp;PERIODTYPE=QTR_STD&amp;window=popup_no_bar&amp;width=385&amp;height=120&amp;START_MAXIMIZED=FALSE&amp;creator=factset&amp;display_string=Audit"}</definedName>
    <definedName name="_1011__FDSAUDITLINK__" hidden="1">{"fdsup://Directions/FactSet Auditing Viewer?action=AUDIT_VALUE&amp;DB=129&amp;ID1=G9825510&amp;VALUEID=01001&amp;SDATE=200902&amp;PERIODTYPE=QTR_STD&amp;window=popup_no_bar&amp;width=385&amp;height=120&amp;START_MAXIMIZED=FALSE&amp;creator=factset&amp;display_string=Audit"}</definedName>
    <definedName name="_1012__FDSAUDITLINK__" hidden="1">{"fdsup://Directions/FactSet Auditing Viewer?action=AUDIT_VALUE&amp;DB=129&amp;ID1=G9825510&amp;VALUEID=01001&amp;SDATE=201002&amp;PERIODTYPE=QTR_STD&amp;window=popup_no_bar&amp;width=385&amp;height=120&amp;START_MAXIMIZED=FALSE&amp;creator=factset&amp;display_string=Audit"}</definedName>
    <definedName name="_1013__FDSAUDITLINK__" hidden="1">{"fdsup://Directions/FactSet Auditing Viewer?action=AUDIT_VALUE&amp;DB=129&amp;ID1=98389B10&amp;VALUEID=01001&amp;SDATE=200902&amp;PERIODTYPE=QTR_STD&amp;window=popup_no_bar&amp;width=385&amp;height=120&amp;START_MAXIMIZED=FALSE&amp;creator=factset&amp;display_string=Audit"}</definedName>
    <definedName name="_1014__FDSAUDITLINK__" hidden="1">{"fdsup://Directions/FactSet Auditing Viewer?action=AUDIT_VALUE&amp;DB=129&amp;ID1=98389B10&amp;VALUEID=01001&amp;SDATE=201002&amp;PERIODTYPE=QTR_STD&amp;window=popup_no_bar&amp;width=385&amp;height=120&amp;START_MAXIMIZED=FALSE&amp;creator=factset&amp;display_string=Audit"}</definedName>
    <definedName name="_1015__FDSAUDITLINK__" hidden="1">{"fdsup://Directions/FactSet Auditing Viewer?action=AUDIT_VALUE&amp;DB=129&amp;ID1=91290910&amp;VALUEID=01001&amp;SDATE=200902&amp;PERIODTYPE=QTR_STD&amp;window=popup_no_bar&amp;width=385&amp;height=120&amp;START_MAXIMIZED=FALSE&amp;creator=factset&amp;display_string=Audit"}</definedName>
    <definedName name="_1016__FDSAUDITLINK__" hidden="1">{"fdsup://Directions/FactSet Auditing Viewer?action=AUDIT_VALUE&amp;DB=129&amp;ID1=91290910&amp;VALUEID=01001&amp;SDATE=201002&amp;PERIODTYPE=QTR_STD&amp;window=popup_no_bar&amp;width=385&amp;height=120&amp;START_MAXIMIZED=FALSE&amp;creator=factset&amp;display_string=Audit"}</definedName>
    <definedName name="_1017__FDSAUDITLINK__" hidden="1">{"fdsup://Directions/FactSet Auditing Viewer?action=AUDIT_VALUE&amp;DB=129&amp;ID1=98313410&amp;VALUEID=01001&amp;SDATE=200902&amp;PERIODTYPE=QTR_STD&amp;window=popup_no_bar&amp;width=385&amp;height=120&amp;START_MAXIMIZED=FALSE&amp;creator=factset&amp;display_string=Audit"}</definedName>
    <definedName name="_1018__FDSAUDITLINK__" hidden="1">{"fdsup://Directions/FactSet Auditing Viewer?action=AUDIT_VALUE&amp;DB=129&amp;ID1=98313410&amp;VALUEID=01001&amp;SDATE=201002&amp;PERIODTYPE=QTR_STD&amp;window=popup_no_bar&amp;width=385&amp;height=120&amp;START_MAXIMIZED=FALSE&amp;creator=factset&amp;display_string=Audit"}</definedName>
    <definedName name="_1019__FDSAUDITLINK__" hidden="1">{"fdsup://Directions/FactSet Auditing Viewer?action=AUDIT_VALUE&amp;DB=129&amp;ID1=98310W10&amp;VALUEID=01001&amp;SDATE=200902&amp;PERIODTYPE=QTR_STD&amp;window=popup_no_bar&amp;width=385&amp;height=120&amp;START_MAXIMIZED=FALSE&amp;creator=factset&amp;display_string=Audit"}</definedName>
    <definedName name="_102__FDSAUDITLINK__" hidden="1">{"fdsup://directions/FAT Viewer?action=UPDATE&amp;creator=factset&amp;DYN_ARGS=TRUE&amp;DOC_NAME=FAT:FQL_AUDITING_CLIENT_TEMPLATE.FAT&amp;display_string=Audit&amp;VAR:KEY=VEVYFMZADC&amp;VAR:QUERY=RkZfRUJJVERBX09QRVIoUVRSLDQvMS8yMDEwLDYvMzAvMjAxMCwsLFVTRCk=&amp;WINDOW=FIRST_POPUP&amp;HEIGH","T=450&amp;WIDTH=450&amp;START_MAXIMIZED=FALSE&amp;VAR:CALENDAR=US&amp;VAR:SYMBOL=TWX&amp;VAR:INDEX=0"}</definedName>
    <definedName name="_1020__FDSAUDITLINK__" hidden="1">{"fdsup://Directions/FactSet Auditing Viewer?action=AUDIT_VALUE&amp;DB=129&amp;ID1=98310W10&amp;VALUEID=01001&amp;SDATE=201002&amp;PERIODTYPE=QTR_STD&amp;window=popup_no_bar&amp;width=385&amp;height=120&amp;START_MAXIMIZED=FALSE&amp;creator=factset&amp;display_string=Audit"}</definedName>
    <definedName name="_1021__FDSAUDITLINK__" hidden="1">{"fdsup://Directions/FactSet Auditing Viewer?action=AUDIT_VALUE&amp;DB=129&amp;ID1=96216610&amp;VALUEID=01001&amp;SDATE=200902&amp;PERIODTYPE=QTR_STD&amp;window=popup_no_bar&amp;width=385&amp;height=120&amp;START_MAXIMIZED=FALSE&amp;creator=factset&amp;display_string=Audit"}</definedName>
    <definedName name="_1022__FDSAUDITLINK__" hidden="1">{"fdsup://Directions/FactSet Auditing Viewer?action=AUDIT_VALUE&amp;DB=129&amp;ID1=96216610&amp;VALUEID=01001&amp;SDATE=201002&amp;PERIODTYPE=QTR_STD&amp;window=popup_no_bar&amp;width=385&amp;height=120&amp;START_MAXIMIZED=FALSE&amp;creator=factset&amp;display_string=Audit"}</definedName>
    <definedName name="_1023__FDSAUDITLINK__" hidden="1">{"fdsup://Directions/FactSet Auditing Viewer?action=AUDIT_VALUE&amp;DB=129&amp;ID1=95980210&amp;VALUEID=01001&amp;SDATE=200902&amp;PERIODTYPE=QTR_STD&amp;window=popup_no_bar&amp;width=385&amp;height=120&amp;START_MAXIMIZED=FALSE&amp;creator=factset&amp;display_string=Audit"}</definedName>
    <definedName name="_1024__FDSAUDITLINK__" hidden="1">{"fdsup://Directions/FactSet Auditing Viewer?action=AUDIT_VALUE&amp;DB=129&amp;ID1=95980210&amp;VALUEID=01001&amp;SDATE=201002&amp;PERIODTYPE=QTR_STD&amp;window=popup_no_bar&amp;width=385&amp;height=120&amp;START_MAXIMIZED=FALSE&amp;creator=factset&amp;display_string=Audit"}</definedName>
    <definedName name="_1025__FDSAUDITLINK__" hidden="1">{"fdsup://Directions/FactSet Auditing Viewer?action=AUDIT_VALUE&amp;DB=129&amp;ID1=93964010&amp;VALUEID=01001&amp;SDATE=200902&amp;PERIODTYPE=QTR_STD&amp;window=popup_no_bar&amp;width=385&amp;height=120&amp;START_MAXIMIZED=FALSE&amp;creator=factset&amp;display_string=Audit"}</definedName>
    <definedName name="_1026__FDSAUDITLINK__" hidden="1">{"fdsup://Directions/FactSet Auditing Viewer?action=AUDIT_VALUE&amp;DB=129&amp;ID1=93964010&amp;VALUEID=01001&amp;SDATE=201002&amp;PERIODTYPE=QTR_STD&amp;window=popup_no_bar&amp;width=385&amp;height=120&amp;START_MAXIMIZED=FALSE&amp;creator=factset&amp;display_string=Audit"}</definedName>
    <definedName name="_1027__FDSAUDITLINK__" hidden="1">{"fdsup://Directions/FactSet Auditing Viewer?action=AUDIT_VALUE&amp;DB=129&amp;ID1=94268310&amp;VALUEID=01001&amp;SDATE=200902&amp;PERIODTYPE=QTR_STD&amp;window=popup_no_bar&amp;width=385&amp;height=120&amp;START_MAXIMIZED=FALSE&amp;creator=factset&amp;display_string=Audit"}</definedName>
    <definedName name="_1028__FDSAUDITLINK__" hidden="1">{"fdsup://Directions/FactSet Auditing Viewer?action=AUDIT_VALUE&amp;DB=129&amp;ID1=94268310&amp;VALUEID=01001&amp;SDATE=201002&amp;PERIODTYPE=QTR_STD&amp;window=popup_no_bar&amp;width=385&amp;height=120&amp;START_MAXIMIZED=FALSE&amp;creator=factset&amp;display_string=Audit"}</definedName>
    <definedName name="_1029__FDSAUDITLINK__" hidden="1">{"fdsup://Directions/FactSet Auditing Viewer?action=AUDIT_VALUE&amp;DB=129&amp;ID1=93114210&amp;VALUEID=01001&amp;SDATE=200901&amp;PERIODTYPE=QTR_STD&amp;window=popup_no_bar&amp;width=385&amp;height=120&amp;START_MAXIMIZED=FALSE&amp;creator=factset&amp;display_string=Audit"}</definedName>
    <definedName name="_103__FDSAUDITLINK__" hidden="1">{"fdsup://directions/FAT Viewer?action=UPDATE&amp;creator=factset&amp;DYN_ARGS=TRUE&amp;DOC_NAME=FAT:FQL_AUDITING_CLIENT_TEMPLATE.FAT&amp;display_string=Audit&amp;VAR:KEY=NWLUTQJCZQ&amp;VAR:QUERY=RkZfRUJJVERBX09QRVIoUVRSLDQvMS8yMDA5LDYvMzAvMjAwOSwsLFVTRCk=&amp;WINDOW=FIRST_POPUP&amp;HEIGH","T=450&amp;WIDTH=450&amp;START_MAXIMIZED=FALSE&amp;VAR:CALENDAR=US&amp;VAR:SYMBOL=TWC&amp;VAR:INDEX=0"}</definedName>
    <definedName name="_1030__FDSAUDITLINK__" hidden="1">{"fdsup://Directions/FactSet Auditing Viewer?action=AUDIT_VALUE&amp;DB=129&amp;ID1=93114210&amp;VALUEID=01001&amp;SDATE=201001&amp;PERIODTYPE=QTR_STD&amp;window=popup_no_bar&amp;width=385&amp;height=120&amp;START_MAXIMIZED=FALSE&amp;creator=factset&amp;display_string=Audit"}</definedName>
    <definedName name="_1031__FDSAUDITLINK__" hidden="1">{"fdsup://Directions/FactSet Auditing Viewer?action=AUDIT_VALUE&amp;DB=129&amp;ID1=96945710&amp;VALUEID=01001&amp;SDATE=200902&amp;PERIODTYPE=QTR_STD&amp;window=popup_no_bar&amp;width=385&amp;height=120&amp;START_MAXIMIZED=FALSE&amp;creator=factset&amp;display_string=Audit"}</definedName>
    <definedName name="_1032__FDSAUDITLINK__" hidden="1">{"fdsup://Directions/FactSet Auditing Viewer?action=AUDIT_VALUE&amp;DB=129&amp;ID1=96945710&amp;VALUEID=01001&amp;SDATE=201002&amp;PERIODTYPE=QTR_STD&amp;window=popup_no_bar&amp;width=385&amp;height=120&amp;START_MAXIMIZED=FALSE&amp;creator=factset&amp;display_string=Audit"}</definedName>
    <definedName name="_1033__FDSAUDITLINK__" hidden="1">{"fdsup://Directions/FactSet Auditing Viewer?action=AUDIT_VALUE&amp;DB=129&amp;ID1=94106L10&amp;VALUEID=01001&amp;SDATE=200902&amp;PERIODTYPE=QTR_STD&amp;window=popup_no_bar&amp;width=385&amp;height=120&amp;START_MAXIMIZED=FALSE&amp;creator=factset&amp;display_string=Audit"}</definedName>
    <definedName name="_1034__FDSAUDITLINK__" hidden="1">{"fdsup://Directions/FactSet Auditing Viewer?action=AUDIT_VALUE&amp;DB=129&amp;ID1=94106L10&amp;VALUEID=01001&amp;SDATE=201002&amp;PERIODTYPE=QTR_STD&amp;window=popup_no_bar&amp;width=385&amp;height=120&amp;START_MAXIMIZED=FALSE&amp;creator=factset&amp;display_string=Audit"}</definedName>
    <definedName name="_1035__FDSAUDITLINK__" hidden="1">{"fdsup://Directions/FactSet Auditing Viewer?action=AUDIT_VALUE&amp;DB=129&amp;ID1=94973V10&amp;VALUEID=01001&amp;SDATE=200902&amp;PERIODTYPE=QTR_STD&amp;window=popup_no_bar&amp;width=385&amp;height=120&amp;START_MAXIMIZED=FALSE&amp;creator=factset&amp;display_string=Audit"}</definedName>
    <definedName name="_1036__FDSAUDITLINK__" hidden="1">{"fdsup://Directions/FactSet Auditing Viewer?action=AUDIT_VALUE&amp;DB=129&amp;ID1=94973V10&amp;VALUEID=01001&amp;SDATE=201002&amp;PERIODTYPE=QTR_STD&amp;window=popup_no_bar&amp;width=385&amp;height=120&amp;START_MAXIMIZED=FALSE&amp;creator=factset&amp;display_string=Audit"}</definedName>
    <definedName name="_1037__FDSAUDITLINK__" hidden="1">{"fdsup://Directions/FactSet Auditing Viewer?action=AUDIT_VALUE&amp;DB=129&amp;ID1=97381W10&amp;VALUEID=01001&amp;SDATE=200902&amp;PERIODTYPE=QTR_STD&amp;window=popup_no_bar&amp;width=385&amp;height=120&amp;START_MAXIMIZED=FALSE&amp;creator=factset&amp;display_string=Audit"}</definedName>
    <definedName name="_1038__FDSAUDITLINK__" hidden="1">{"fdsup://Directions/FactSet Auditing Viewer?action=AUDIT_VALUE&amp;DB=129&amp;ID1=97381W10&amp;VALUEID=01001&amp;SDATE=201002&amp;PERIODTYPE=QTR_STD&amp;window=popup_no_bar&amp;width=385&amp;height=120&amp;START_MAXIMIZED=FALSE&amp;creator=factset&amp;display_string=Audit"}</definedName>
    <definedName name="_1039__FDSAUDITLINK__" hidden="1">{"fdsup://Directions/FactSet Auditing Viewer?action=AUDIT_VALUE&amp;DB=129&amp;ID1=96332010&amp;VALUEID=01001&amp;SDATE=200902&amp;PERIODTYPE=QTR_STD&amp;window=popup_no_bar&amp;width=385&amp;height=120&amp;START_MAXIMIZED=FALSE&amp;creator=factset&amp;display_string=Audit"}</definedName>
    <definedName name="_104__FDSAUDITLINK__" hidden="1">{"fdsup://directions/FAT Viewer?action=UPDATE&amp;creator=factset&amp;DYN_ARGS=TRUE&amp;DOC_NAME=FAT:FQL_AUDITING_CLIENT_TEMPLATE.FAT&amp;display_string=Audit&amp;VAR:KEY=VQXYZCDERU&amp;VAR:QUERY=RkZfRUJJVERBX09QRVIoUVRSLDQvMS8yMDEwLDYvMzAvMjAxMCwsLFVTRCk=&amp;WINDOW=FIRST_POPUP&amp;HEIGH","T=450&amp;WIDTH=450&amp;START_MAXIMIZED=FALSE&amp;VAR:CALENDAR=US&amp;VAR:SYMBOL=TWC&amp;VAR:INDEX=0"}</definedName>
    <definedName name="_1040__FDSAUDITLINK__" hidden="1">{"fdsup://Directions/FactSet Auditing Viewer?action=AUDIT_VALUE&amp;DB=129&amp;ID1=96332010&amp;VALUEID=01001&amp;SDATE=201002&amp;PERIODTYPE=QTR_STD&amp;window=popup_no_bar&amp;width=385&amp;height=120&amp;START_MAXIMIZED=FALSE&amp;creator=factset&amp;display_string=Audit"}</definedName>
    <definedName name="_1041__FDSAUDITLINK__" hidden="1">{"fdsup://Directions/FactSet Auditing Viewer?action=AUDIT_VALUE&amp;DB=129&amp;ID1=55271510&amp;VALUEID=01001&amp;SDATE=200902&amp;PERIODTYPE=QTR_STD&amp;window=popup_no_bar&amp;width=385&amp;height=120&amp;START_MAXIMIZED=FALSE&amp;creator=factset&amp;display_string=Audit"}</definedName>
    <definedName name="_1042__FDSAUDITLINK__" hidden="1">{"fdsup://Directions/FactSet Auditing Viewer?action=AUDIT_VALUE&amp;DB=129&amp;ID1=55271510&amp;VALUEID=01001&amp;SDATE=201002&amp;PERIODTYPE=QTR_STD&amp;window=popup_no_bar&amp;width=385&amp;height=120&amp;START_MAXIMIZED=FALSE&amp;creator=factset&amp;display_string=Audit"}</definedName>
    <definedName name="_1043__FDSAUDITLINK__" hidden="1">{"fdsup://Directions/FactSet Auditing Viewer?action=AUDIT_VALUE&amp;DB=129&amp;ID1=96683710&amp;VALUEID=01001&amp;SDATE=200902&amp;PERIODTYPE=QTR_STD&amp;window=popup_no_bar&amp;width=385&amp;height=120&amp;START_MAXIMIZED=FALSE&amp;creator=factset&amp;display_string=Audit"}</definedName>
    <definedName name="_1044__FDSAUDITLINK__" hidden="1">{"fdsup://Directions/FactSet Auditing Viewer?action=AUDIT_VALUE&amp;DB=129&amp;ID1=96683710&amp;VALUEID=01001&amp;SDATE=201002&amp;PERIODTYPE=QTR_STD&amp;window=popup_no_bar&amp;width=385&amp;height=120&amp;START_MAXIMIZED=FALSE&amp;creator=factset&amp;display_string=Audit"}</definedName>
    <definedName name="_1045__FDSAUDITLINK__" hidden="1">{"fdsup://Directions/FactSet Auditing Viewer?action=AUDIT_VALUE&amp;DB=129&amp;ID1=97665710&amp;VALUEID=01001&amp;SDATE=200902&amp;PERIODTYPE=QTR_STD&amp;window=popup_no_bar&amp;width=385&amp;height=120&amp;START_MAXIMIZED=FALSE&amp;creator=factset&amp;display_string=Audit"}</definedName>
    <definedName name="_1046__FDSAUDITLINK__" hidden="1">{"fdsup://Directions/FactSet Auditing Viewer?action=AUDIT_VALUE&amp;DB=129&amp;ID1=97665710&amp;VALUEID=01001&amp;SDATE=201002&amp;PERIODTYPE=QTR_STD&amp;window=popup_no_bar&amp;width=385&amp;height=120&amp;START_MAXIMIZED=FALSE&amp;creator=factset&amp;display_string=Audit"}</definedName>
    <definedName name="_1047__FDSAUDITLINK__" hidden="1">{"fdsup://Directions/FactSet Auditing Viewer?action=AUDIT_VALUE&amp;DB=129&amp;ID1=95810210&amp;VALUEID=01001&amp;SDATE=200904&amp;PERIODTYPE=QTR_STD&amp;window=popup_no_bar&amp;width=385&amp;height=120&amp;START_MAXIMIZED=FALSE&amp;creator=factset&amp;display_string=Audit"}</definedName>
    <definedName name="_1048__FDSAUDITLINK__" hidden="1">{"fdsup://Directions/FactSet Auditing Viewer?action=AUDIT_VALUE&amp;DB=129&amp;ID1=95810210&amp;VALUEID=01001&amp;SDATE=201004&amp;PERIODTYPE=QTR_STD&amp;window=popup_no_bar&amp;width=385&amp;height=120&amp;START_MAXIMIZED=FALSE&amp;creator=factset&amp;display_string=Audit"}</definedName>
    <definedName name="_1049__FDSAUDITLINK__" hidden="1">{"fdsup://Directions/FactSet Auditing Viewer?action=AUDIT_VALUE&amp;DB=129&amp;ID1=94184810&amp;VALUEID=01001&amp;SDATE=200902&amp;PERIODTYPE=QTR_STD&amp;window=popup_no_bar&amp;width=385&amp;height=120&amp;START_MAXIMIZED=FALSE&amp;creator=factset&amp;display_string=Audit"}</definedName>
    <definedName name="_105__FDSAUDITLINK__" hidden="1">{"fdsup://directions/FAT Viewer?action=UPDATE&amp;creator=factset&amp;DYN_ARGS=TRUE&amp;DOC_NAME=FAT:FQL_AUDITING_CLIENT_TEMPLATE.FAT&amp;display_string=Audit&amp;VAR:KEY=ZWPSTCJEBS&amp;VAR:QUERY=RkZfRUJJVERBX09QRVIoUVRSLDQvMS8yMDA5LDYvMzAvMjAwOSwsLFVTRCk=&amp;WINDOW=FIRST_POPUP&amp;HEIGH","T=450&amp;WIDTH=450&amp;START_MAXIMIZED=FALSE&amp;VAR:CALENDAR=US&amp;VAR:SYMBOL=TSS&amp;VAR:INDEX=0"}</definedName>
    <definedName name="_1050__FDSAUDITLINK__" hidden="1">{"fdsup://Directions/FactSet Auditing Viewer?action=AUDIT_VALUE&amp;DB=129&amp;ID1=94184810&amp;VALUEID=01001&amp;SDATE=201002&amp;PERIODTYPE=QTR_STD&amp;window=popup_no_bar&amp;width=385&amp;height=120&amp;START_MAXIMIZED=FALSE&amp;creator=factset&amp;display_string=Audit"}</definedName>
    <definedName name="_1051__FDSAUDITLINK__" hidden="1">{"fdsup://Directions/FactSet Auditing Viewer?action=AUDIT_VALUE&amp;DB=129&amp;ID1=93142210&amp;VALUEID=01001&amp;SDATE=200903&amp;PERIODTYPE=QTR_STD&amp;window=popup_no_bar&amp;width=385&amp;height=120&amp;START_MAXIMIZED=FALSE&amp;creator=factset&amp;display_string=Audit"}</definedName>
    <definedName name="_1052__FDSAUDITLINK__" hidden="1">{"fdsup://Directions/FactSet Auditing Viewer?action=AUDIT_VALUE&amp;DB=129&amp;ID1=93142210&amp;VALUEID=01001&amp;SDATE=201003&amp;PERIODTYPE=QTR_STD&amp;window=popup_no_bar&amp;width=385&amp;height=120&amp;START_MAXIMIZED=FALSE&amp;creator=factset&amp;display_string=Audit"}</definedName>
    <definedName name="_1053__FDSAUDITLINK__" hidden="1">{"fdsup://Directions/FactSet Auditing Viewer?action=AUDIT_VALUE&amp;DB=129&amp;ID1=92343V10&amp;VALUEID=01001&amp;SDATE=200902&amp;PERIODTYPE=QTR_STD&amp;window=popup_no_bar&amp;width=385&amp;height=120&amp;START_MAXIMIZED=FALSE&amp;creator=factset&amp;display_string=Audit"}</definedName>
    <definedName name="_1054__FDSAUDITLINK__" hidden="1">{"fdsup://Directions/FactSet Auditing Viewer?action=AUDIT_VALUE&amp;DB=129&amp;ID1=92343V10&amp;VALUEID=01001&amp;SDATE=201002&amp;PERIODTYPE=QTR_STD&amp;window=popup_no_bar&amp;width=385&amp;height=120&amp;START_MAXIMIZED=FALSE&amp;creator=factset&amp;display_string=Audit"}</definedName>
    <definedName name="_1055__FDSAUDITLINK__" hidden="1">{"fdsup://Directions/FactSet Auditing Viewer?action=AUDIT_VALUE&amp;DB=129&amp;ID1=92276F10&amp;VALUEID=01001&amp;SDATE=200902&amp;PERIODTYPE=QTR_STD&amp;window=popup_no_bar&amp;width=385&amp;height=120&amp;START_MAXIMIZED=FALSE&amp;creator=factset&amp;display_string=Audit"}</definedName>
    <definedName name="_1056__FDSAUDITLINK__" hidden="1">{"fdsup://Directions/FactSet Auditing Viewer?action=AUDIT_VALUE&amp;DB=129&amp;ID1=92276F10&amp;VALUEID=01001&amp;SDATE=201002&amp;PERIODTYPE=QTR_STD&amp;window=popup_no_bar&amp;width=385&amp;height=120&amp;START_MAXIMIZED=FALSE&amp;creator=factset&amp;display_string=Audit"}</definedName>
    <definedName name="_1057__FDSAUDITLINK__" hidden="1">{"fdsup://Directions/FactSet Auditing Viewer?action=AUDIT_VALUE&amp;DB=129&amp;ID1=92343E10&amp;VALUEID=01001&amp;SDATE=200902&amp;PERIODTYPE=QTR_STD&amp;window=popup_no_bar&amp;width=385&amp;height=120&amp;START_MAXIMIZED=FALSE&amp;creator=factset&amp;display_string=Audit"}</definedName>
    <definedName name="_1058__FDSAUDITLINK__" hidden="1">{"fdsup://Directions/FactSet Auditing Viewer?action=AUDIT_VALUE&amp;DB=129&amp;ID1=92343E10&amp;VALUEID=01001&amp;SDATE=201002&amp;PERIODTYPE=QTR_STD&amp;window=popup_no_bar&amp;width=385&amp;height=120&amp;START_MAXIMIZED=FALSE&amp;creator=factset&amp;display_string=Audit"}</definedName>
    <definedName name="_1059__FDSAUDITLINK__" hidden="1">{"fdsup://Directions/FactSet Auditing Viewer?action=AUDIT_VALUE&amp;DB=129&amp;ID1=92904210&amp;VALUEID=01001&amp;SDATE=200902&amp;PERIODTYPE=QTR_STD&amp;window=popup_no_bar&amp;width=385&amp;height=120&amp;START_MAXIMIZED=FALSE&amp;creator=factset&amp;display_string=Audit"}</definedName>
    <definedName name="_106__FDSAUDITLINK__" hidden="1">{"fdsup://directions/FAT Viewer?action=UPDATE&amp;creator=factset&amp;DYN_ARGS=TRUE&amp;DOC_NAME=FAT:FQL_AUDITING_CLIENT_TEMPLATE.FAT&amp;display_string=Audit&amp;VAR:KEY=ZWRSXSVOTA&amp;VAR:QUERY=RkZfRUJJVERBX09QRVIoUVRSLDQvMS8yMDEwLDYvMzAvMjAxMCwsLFVTRCk=&amp;WINDOW=FIRST_POPUP&amp;HEIGH","T=450&amp;WIDTH=450&amp;START_MAXIMIZED=FALSE&amp;VAR:CALENDAR=US&amp;VAR:SYMBOL=TSS&amp;VAR:INDEX=0"}</definedName>
    <definedName name="_1060__FDSAUDITLINK__" hidden="1">{"fdsup://Directions/FactSet Auditing Viewer?action=AUDIT_VALUE&amp;DB=129&amp;ID1=92904210&amp;VALUEID=01001&amp;SDATE=201002&amp;PERIODTYPE=QTR_STD&amp;window=popup_no_bar&amp;width=385&amp;height=120&amp;START_MAXIMIZED=FALSE&amp;creator=factset&amp;display_string=Audit"}</definedName>
    <definedName name="_1061__FDSAUDITLINK__" hidden="1">{"fdsup://Directions/FactSet Auditing Viewer?action=AUDIT_VALUE&amp;DB=129&amp;ID1=92916010&amp;VALUEID=01001&amp;SDATE=200902&amp;PERIODTYPE=QTR_STD&amp;window=popup_no_bar&amp;width=385&amp;height=120&amp;START_MAXIMIZED=FALSE&amp;creator=factset&amp;display_string=Audit"}</definedName>
    <definedName name="_1062__FDSAUDITLINK__" hidden="1">{"fdsup://Directions/FactSet Auditing Viewer?action=AUDIT_VALUE&amp;DB=129&amp;ID1=92916010&amp;VALUEID=01001&amp;SDATE=201002&amp;PERIODTYPE=QTR_STD&amp;window=popup_no_bar&amp;width=385&amp;height=120&amp;START_MAXIMIZED=FALSE&amp;creator=factset&amp;display_string=Audit"}</definedName>
    <definedName name="_1063__FDSAUDITLINK__" hidden="1">{"fdsup://Directions/FactSet Auditing Viewer?action=AUDIT_VALUE&amp;DB=129&amp;ID1=91913Y10&amp;VALUEID=01001&amp;SDATE=200902&amp;PERIODTYPE=QTR_STD&amp;window=popup_no_bar&amp;width=385&amp;height=120&amp;START_MAXIMIZED=FALSE&amp;creator=factset&amp;display_string=Audit"}</definedName>
    <definedName name="_1064__FDSAUDITLINK__" hidden="1">{"fdsup://Directions/FactSet Auditing Viewer?action=AUDIT_VALUE&amp;DB=129&amp;ID1=91913Y10&amp;VALUEID=01001&amp;SDATE=201002&amp;PERIODTYPE=QTR_STD&amp;window=popup_no_bar&amp;width=385&amp;height=120&amp;START_MAXIMIZED=FALSE&amp;creator=factset&amp;display_string=Audit"}</definedName>
    <definedName name="_1065__FDSAUDITLINK__" hidden="1">{"fdsup://Directions/FactSet Auditing Viewer?action=AUDIT_VALUE&amp;DB=129&amp;ID1=92553P20&amp;VALUEID=01001&amp;SDATE=200902&amp;PERIODTYPE=QTR_STD&amp;window=popup_no_bar&amp;width=385&amp;height=120&amp;START_MAXIMIZED=FALSE&amp;creator=factset&amp;display_string=Audit"}</definedName>
    <definedName name="_1066__FDSAUDITLINK__" hidden="1">{"fdsup://Directions/FactSet Auditing Viewer?action=AUDIT_VALUE&amp;DB=129&amp;ID1=92553P20&amp;VALUEID=01001&amp;SDATE=201002&amp;PERIODTYPE=QTR_STD&amp;window=popup_no_bar&amp;width=385&amp;height=120&amp;START_MAXIMIZED=FALSE&amp;creator=factset&amp;display_string=Audit"}</definedName>
    <definedName name="_1067__FDSAUDITLINK__" hidden="1">{"fdsup://Directions/FactSet Auditing Viewer?action=AUDIT_VALUE&amp;DB=129&amp;ID1=91820410&amp;VALUEID=01001&amp;SDATE=200902&amp;PERIODTYPE=QTR_STD&amp;window=popup_no_bar&amp;width=385&amp;height=120&amp;START_MAXIMIZED=FALSE&amp;creator=factset&amp;display_string=Audit"}</definedName>
    <definedName name="_1068__FDSAUDITLINK__" hidden="1">{"fdsup://Directions/FactSet Auditing Viewer?action=AUDIT_VALUE&amp;DB=129&amp;ID1=91820410&amp;VALUEID=01001&amp;SDATE=201002&amp;PERIODTYPE=QTR_STD&amp;window=popup_no_bar&amp;width=385&amp;height=120&amp;START_MAXIMIZED=FALSE&amp;creator=factset&amp;display_string=Audit"}</definedName>
    <definedName name="_1069__FDSAUDITLINK__" hidden="1">{"fdsup://Directions/FactSet Auditing Viewer?action=AUDIT_VALUE&amp;DB=129&amp;ID1=92220P10&amp;VALUEID=01001&amp;SDATE=200903&amp;PERIODTYPE=QTR_STD&amp;window=popup_no_bar&amp;width=385&amp;height=120&amp;START_MAXIMIZED=FALSE&amp;creator=factset&amp;display_string=Audit"}</definedName>
    <definedName name="_107__FDSAUDITLINK__" hidden="1">{"fdsup://directions/FAT Viewer?action=UPDATE&amp;creator=factset&amp;DYN_ARGS=TRUE&amp;DOC_NAME=FAT:FQL_AUDITING_CLIENT_TEMPLATE.FAT&amp;display_string=Audit&amp;VAR:KEY=NYJWRGPEVS&amp;VAR:QUERY=RkZfRUJJVERBX09QRVIoUVRSLDQvMS8yMDA5LDYvMzAvMjAwOSwsLFVTRCk=&amp;WINDOW=FIRST_POPUP&amp;HEIGH","T=450&amp;WIDTH=450&amp;START_MAXIMIZED=FALSE&amp;VAR:CALENDAR=US&amp;VAR:SYMBOL=TSO&amp;VAR:INDEX=0"}</definedName>
    <definedName name="_1070__FDSAUDITLINK__" hidden="1">{"fdsup://Directions/FactSet Auditing Viewer?action=AUDIT_VALUE&amp;DB=129&amp;ID1=92220P10&amp;VALUEID=01001&amp;SDATE=201003&amp;PERIODTYPE=QTR_STD&amp;window=popup_no_bar&amp;width=385&amp;height=120&amp;START_MAXIMIZED=FALSE&amp;creator=factset&amp;display_string=Audit"}</definedName>
    <definedName name="_1071__FDSAUDITLINK__" hidden="1">{"fdsup://Directions/FactSet Auditing Viewer?action=AUDIT_VALUE&amp;DB=129&amp;ID1=92826C83&amp;VALUEID=01001&amp;SDATE=200903&amp;PERIODTYPE=QTR_STD&amp;window=popup_no_bar&amp;width=385&amp;height=120&amp;START_MAXIMIZED=FALSE&amp;creator=factset&amp;display_string=Audit"}</definedName>
    <definedName name="_1072__FDSAUDITLINK__" hidden="1">{"fdsup://Directions/FactSet Auditing Viewer?action=AUDIT_VALUE&amp;DB=129&amp;ID1=92826C83&amp;VALUEID=01001&amp;SDATE=201003&amp;PERIODTYPE=QTR_STD&amp;window=popup_no_bar&amp;width=385&amp;height=120&amp;START_MAXIMIZED=FALSE&amp;creator=factset&amp;display_string=Audit"}</definedName>
    <definedName name="_1073__FDSAUDITLINK__" hidden="1">{"fdsup://Directions/FactSet Auditing Viewer?action=AUDIT_VALUE&amp;DB=129&amp;ID1=91301710&amp;VALUEID=01001&amp;SDATE=200902&amp;PERIODTYPE=QTR_STD&amp;window=popup_no_bar&amp;width=385&amp;height=120&amp;START_MAXIMIZED=FALSE&amp;creator=factset&amp;display_string=Audit"}</definedName>
    <definedName name="_1074__FDSAUDITLINK__" hidden="1">{"fdsup://Directions/FactSet Auditing Viewer?action=AUDIT_VALUE&amp;DB=129&amp;ID1=91301710&amp;VALUEID=01001&amp;SDATE=201002&amp;PERIODTYPE=QTR_STD&amp;window=popup_no_bar&amp;width=385&amp;height=120&amp;START_MAXIMIZED=FALSE&amp;creator=factset&amp;display_string=Audit"}</definedName>
    <definedName name="_1075__FDSAUDITLINK__" hidden="1">{"fdsup://Directions/FactSet Auditing Viewer?action=AUDIT_VALUE&amp;DB=129&amp;ID1=91704710&amp;VALUEID=01001&amp;SDATE=201001&amp;PERIODTYPE=QTR_STD&amp;window=popup_no_bar&amp;width=385&amp;height=120&amp;START_MAXIMIZED=FALSE&amp;creator=factset&amp;display_string=Audit"}</definedName>
    <definedName name="_1076__FDSAUDITLINK__" hidden="1">{"fdsup://Directions/FactSet Auditing Viewer?action=AUDIT_VALUE&amp;DB=129&amp;ID1=91131210&amp;VALUEID=01001&amp;SDATE=200902&amp;PERIODTYPE=QTR_STD&amp;window=popup_no_bar&amp;width=385&amp;height=120&amp;START_MAXIMIZED=FALSE&amp;creator=factset&amp;display_string=Audit"}</definedName>
    <definedName name="_1077__FDSAUDITLINK__" hidden="1">{"fdsup://Directions/FactSet Auditing Viewer?action=AUDIT_VALUE&amp;DB=129&amp;ID1=91131210&amp;VALUEID=01001&amp;SDATE=201002&amp;PERIODTYPE=QTR_STD&amp;window=popup_no_bar&amp;width=385&amp;height=120&amp;START_MAXIMIZED=FALSE&amp;creator=factset&amp;display_string=Audit"}</definedName>
    <definedName name="_1078__FDSAUDITLINK__" hidden="1">{"fdsup://Directions/FactSet Auditing Viewer?action=AUDIT_VALUE&amp;DB=129&amp;ID1=90781810&amp;VALUEID=01001&amp;SDATE=200902&amp;PERIODTYPE=QTR_STD&amp;window=popup_no_bar&amp;width=385&amp;height=120&amp;START_MAXIMIZED=FALSE&amp;creator=factset&amp;display_string=Audit"}</definedName>
    <definedName name="_1079__FDSAUDITLINK__" hidden="1">{"fdsup://Directions/FactSet Auditing Viewer?action=AUDIT_VALUE&amp;DB=129&amp;ID1=90781810&amp;VALUEID=01001&amp;SDATE=201002&amp;PERIODTYPE=QTR_STD&amp;window=popup_no_bar&amp;width=385&amp;height=120&amp;START_MAXIMIZED=FALSE&amp;creator=factset&amp;display_string=Audit"}</definedName>
    <definedName name="_108__FDSAUDITLINK__" hidden="1">{"fdsup://directions/FAT Viewer?action=UPDATE&amp;creator=factset&amp;DYN_ARGS=TRUE&amp;DOC_NAME=FAT:FQL_AUDITING_CLIENT_TEMPLATE.FAT&amp;display_string=Audit&amp;VAR:KEY=LWZCVODYPU&amp;VAR:QUERY=RkZfRUJJVERBX09QRVIoUVRSLDQvMS8yMDEwLDYvMzAvMjAxMCwsLFVTRCk=&amp;WINDOW=FIRST_POPUP&amp;HEIGH","T=450&amp;WIDTH=450&amp;START_MAXIMIZED=FALSE&amp;VAR:CALENDAR=US&amp;VAR:SYMBOL=TSO&amp;VAR:INDEX=0"}</definedName>
    <definedName name="_1080__FDSAUDITLINK__" hidden="1">{"fdsup://Directions/FactSet Auditing Viewer?action=AUDIT_VALUE&amp;DB=129&amp;ID1=91529Y10&amp;VALUEID=01001&amp;SDATE=201002&amp;PERIODTYPE=QTR_STD&amp;window=popup_no_bar&amp;width=385&amp;height=120&amp;START_MAXIMIZED=FALSE&amp;creator=factset&amp;display_string=Audit"}</definedName>
    <definedName name="_1081__FDSAUDITLINK__" hidden="1">{"fdsup://Directions/FactSet Auditing Viewer?action=AUDIT_VALUE&amp;DB=129&amp;ID1=91324P10&amp;VALUEID=01001&amp;SDATE=200902&amp;PERIODTYPE=QTR_STD&amp;window=popup_no_bar&amp;width=385&amp;height=120&amp;START_MAXIMIZED=FALSE&amp;creator=factset&amp;display_string=Audit"}</definedName>
    <definedName name="_1082__FDSAUDITLINK__" hidden="1">{"fdsup://Directions/FactSet Auditing Viewer?action=AUDIT_VALUE&amp;DB=129&amp;ID1=91324P10&amp;VALUEID=01001&amp;SDATE=201002&amp;PERIODTYPE=QTR_STD&amp;window=popup_no_bar&amp;width=385&amp;height=120&amp;START_MAXIMIZED=FALSE&amp;creator=factset&amp;display_string=Audit"}</definedName>
    <definedName name="_1083__FDSAUDITLINK__" hidden="1">{"fdsup://Directions/FactSet Auditing Viewer?action=AUDIT_VALUE&amp;DB=129&amp;ID1=H8912810&amp;VALUEID=01001&amp;SDATE=200903&amp;PERIODTYPE=QTR_STD&amp;window=popup_no_bar&amp;width=385&amp;height=120&amp;START_MAXIMIZED=FALSE&amp;creator=factset&amp;display_string=Audit"}</definedName>
    <definedName name="_1084__FDSAUDITLINK__" hidden="1">{"fdsup://Directions/FactSet Auditing Viewer?action=AUDIT_VALUE&amp;DB=129&amp;ID1=H8912810&amp;VALUEID=01001&amp;SDATE=201003&amp;PERIODTYPE=QTR_STD&amp;window=popup_no_bar&amp;width=385&amp;height=120&amp;START_MAXIMIZED=FALSE&amp;creator=factset&amp;display_string=Audit"}</definedName>
    <definedName name="_1085__FDSAUDITLINK__" hidden="1">{"fdsup://Directions/FactSet Auditing Viewer?action=AUDIT_VALUE&amp;DB=129&amp;ID1=88320310&amp;VALUEID=01001&amp;SDATE=200902&amp;PERIODTYPE=QTR_STD&amp;window=popup_no_bar&amp;width=385&amp;height=120&amp;START_MAXIMIZED=FALSE&amp;creator=factset&amp;display_string=Audit"}</definedName>
    <definedName name="_1086__FDSAUDITLINK__" hidden="1">{"fdsup://Directions/FactSet Auditing Viewer?action=AUDIT_VALUE&amp;DB=129&amp;ID1=88320310&amp;VALUEID=01001&amp;SDATE=201002&amp;PERIODTYPE=QTR_STD&amp;window=popup_no_bar&amp;width=385&amp;height=120&amp;START_MAXIMIZED=FALSE&amp;creator=factset&amp;display_string=Audit"}</definedName>
    <definedName name="_1087__FDSAUDITLINK__" hidden="1">{"fdsup://Directions/FactSet Auditing Viewer?action=AUDIT_VALUE&amp;DB=129&amp;ID1=88250810&amp;VALUEID=01001&amp;SDATE=200902&amp;PERIODTYPE=QTR_STD&amp;window=popup_no_bar&amp;width=385&amp;height=120&amp;START_MAXIMIZED=FALSE&amp;creator=factset&amp;display_string=Audit"}</definedName>
    <definedName name="_1088__FDSAUDITLINK__" hidden="1">{"fdsup://Directions/FactSet Auditing Viewer?action=AUDIT_VALUE&amp;DB=129&amp;ID1=88250810&amp;VALUEID=01001&amp;SDATE=201002&amp;PERIODTYPE=QTR_STD&amp;window=popup_no_bar&amp;width=385&amp;height=120&amp;START_MAXIMIZED=FALSE&amp;creator=factset&amp;display_string=Audit"}</definedName>
    <definedName name="_1089__FDSAUDITLINK__" hidden="1">{"fdsup://Directions/FactSet Auditing Viewer?action=AUDIT_VALUE&amp;DB=129&amp;ID1=88731730&amp;VALUEID=01001&amp;SDATE=200902&amp;PERIODTYPE=QTR_STD&amp;window=popup_no_bar&amp;width=385&amp;height=120&amp;START_MAXIMIZED=FALSE&amp;creator=factset&amp;display_string=Audit"}</definedName>
    <definedName name="_109__FDSAUDITLINK__" hidden="1">{"fdsup://directions/FAT Viewer?action=UPDATE&amp;creator=factset&amp;DYN_ARGS=TRUE&amp;DOC_NAME=FAT:FQL_AUDITING_CLIENT_TEMPLATE.FAT&amp;display_string=Audit&amp;VAR:KEY=LWDSJWJWDE&amp;VAR:QUERY=RkZfRUJJVERBX09QRVIoUVRSLDQvMS8yMDA5LDYvMzAvMjAwOSwsLFVTRCk=&amp;WINDOW=FIRST_POPUP&amp;HEIGH","T=450&amp;WIDTH=450&amp;START_MAXIMIZED=FALSE&amp;VAR:CALENDAR=US&amp;VAR:SYMBOL=TSN&amp;VAR:INDEX=0"}</definedName>
    <definedName name="_1090__FDSAUDITLINK__" hidden="1">{"fdsup://Directions/FactSet Auditing Viewer?action=AUDIT_VALUE&amp;DB=129&amp;ID1=88731730&amp;VALUEID=01001&amp;SDATE=201002&amp;PERIODTYPE=QTR_STD&amp;window=popup_no_bar&amp;width=385&amp;height=120&amp;START_MAXIMIZED=FALSE&amp;creator=factset&amp;display_string=Audit"}</definedName>
    <definedName name="_1091__FDSAUDITLINK__" hidden="1">{"fdsup://Directions/FactSet Auditing Viewer?action=AUDIT_VALUE&amp;DB=129&amp;ID1=88732J20&amp;VALUEID=01001&amp;SDATE=200902&amp;PERIODTYPE=QTR_STD&amp;window=popup_no_bar&amp;width=385&amp;height=120&amp;START_MAXIMIZED=FALSE&amp;creator=factset&amp;display_string=Audit"}</definedName>
    <definedName name="_1092__FDSAUDITLINK__" hidden="1">{"fdsup://Directions/FactSet Auditing Viewer?action=AUDIT_VALUE&amp;DB=129&amp;ID1=88732J20&amp;VALUEID=01001&amp;SDATE=201002&amp;PERIODTYPE=QTR_STD&amp;window=popup_no_bar&amp;width=385&amp;height=120&amp;START_MAXIMIZED=FALSE&amp;creator=factset&amp;display_string=Audit"}</definedName>
    <definedName name="_1093__FDSAUDITLINK__" hidden="1">{"fdsup://Directions/FactSet Auditing Viewer?action=AUDIT_VALUE&amp;DB=129&amp;ID1=89190610&amp;VALUEID=01001&amp;SDATE=200902&amp;PERIODTYPE=QTR_STD&amp;window=popup_no_bar&amp;width=385&amp;height=120&amp;START_MAXIMIZED=FALSE&amp;creator=factset&amp;display_string=Audit"}</definedName>
    <definedName name="_1094__FDSAUDITLINK__" hidden="1">{"fdsup://Directions/FactSet Auditing Viewer?action=AUDIT_VALUE&amp;DB=129&amp;ID1=89190610&amp;VALUEID=01001&amp;SDATE=201002&amp;PERIODTYPE=QTR_STD&amp;window=popup_no_bar&amp;width=385&amp;height=120&amp;START_MAXIMIZED=FALSE&amp;creator=factset&amp;display_string=Audit"}</definedName>
    <definedName name="_1095__FDSAUDITLINK__" hidden="1">{"fdsup://Directions/FactSet Auditing Viewer?action=AUDIT_VALUE&amp;DB=129&amp;ID1=88160910&amp;VALUEID=01001&amp;SDATE=200902&amp;PERIODTYPE=QTR_STD&amp;window=popup_no_bar&amp;width=385&amp;height=120&amp;START_MAXIMIZED=FALSE&amp;creator=factset&amp;display_string=Audit"}</definedName>
    <definedName name="_1096__FDSAUDITLINK__" hidden="1">{"fdsup://Directions/FactSet Auditing Viewer?action=AUDIT_VALUE&amp;DB=129&amp;ID1=88160910&amp;VALUEID=01001&amp;SDATE=201002&amp;PERIODTYPE=QTR_STD&amp;window=popup_no_bar&amp;width=385&amp;height=120&amp;START_MAXIMIZED=FALSE&amp;creator=factset&amp;display_string=Audit"}</definedName>
    <definedName name="_1097__FDSAUDITLINK__" hidden="1">{"fdsup://Directions/FactSet Auditing Viewer?action=AUDIT_VALUE&amp;DB=129&amp;ID1=90249410&amp;VALUEID=01001&amp;SDATE=200903&amp;PERIODTYPE=QTR_STD&amp;window=popup_no_bar&amp;width=385&amp;height=120&amp;START_MAXIMIZED=FALSE&amp;creator=factset&amp;display_string=Audit"}</definedName>
    <definedName name="_1098__FDSAUDITLINK__" hidden="1">{"fdsup://Directions/FactSet Auditing Viewer?action=AUDIT_VALUE&amp;DB=129&amp;ID1=90249410&amp;VALUEID=01001&amp;SDATE=201003&amp;PERIODTYPE=QTR_STD&amp;window=popup_no_bar&amp;width=385&amp;height=120&amp;START_MAXIMIZED=FALSE&amp;creator=factset&amp;display_string=Audit"}</definedName>
    <definedName name="_1099__FDSAUDITLINK__" hidden="1">{"fdsup://Directions/FactSet Auditing Viewer?action=AUDIT_VALUE&amp;DB=129&amp;ID1=89417E10&amp;VALUEID=01001&amp;SDATE=200902&amp;PERIODTYPE=QTR_STD&amp;window=popup_no_bar&amp;width=385&amp;height=120&amp;START_MAXIMIZED=FALSE&amp;creator=factset&amp;display_string=Audit"}</definedName>
    <definedName name="_11__123Graph_BSUPPLIES_BY_B_U">#REF!</definedName>
    <definedName name="_11__FDSAUDITLINK__" hidden="1">{"fdsup://directions/FAT Viewer?action=UPDATE&amp;creator=factset&amp;DYN_ARGS=TRUE&amp;DOC_NAME=FAT:FQL_AUDITING_CLIENT_TEMPLATE.FAT&amp;display_string=Audit&amp;VAR:KEY=ZQFCZEROFC&amp;VAR:QUERY=RkZfRUJJVERBX09QRVIoUVRSLDQvMS8yMDA5LDYvMzAvMjAwOSwsLFVTRCk=&amp;WINDOW=FIRST_POPUP&amp;HEIGH","T=450&amp;WIDTH=450&amp;START_MAXIMIZED=FALSE&amp;VAR:CALENDAR=US&amp;VAR:SYMBOL=XRAY&amp;VAR:INDEX=0"}</definedName>
    <definedName name="_110__FDSAUDITLINK__" hidden="1">{"fdsup://directions/FAT Viewer?action=UPDATE&amp;creator=factset&amp;DYN_ARGS=TRUE&amp;DOC_NAME=FAT:FQL_AUDITING_CLIENT_TEMPLATE.FAT&amp;display_string=Audit&amp;VAR:KEY=PADORCNILO&amp;VAR:QUERY=RkZfRUJJVERBX09QRVIoUVRSLDQvMS8yMDEwLDYvMzAvMjAxMCwsLFVTRCk=&amp;WINDOW=FIRST_POPUP&amp;HEIGH","T=450&amp;WIDTH=450&amp;START_MAXIMIZED=FALSE&amp;VAR:CALENDAR=US&amp;VAR:SYMBOL=TSN&amp;VAR:INDEX=0"}</definedName>
    <definedName name="_1100__FDSAUDITLINK__" hidden="1">{"fdsup://Directions/FactSet Auditing Viewer?action=AUDIT_VALUE&amp;DB=129&amp;ID1=89417E10&amp;VALUEID=01001&amp;SDATE=201002&amp;PERIODTYPE=QTR_STD&amp;window=popup_no_bar&amp;width=385&amp;height=120&amp;START_MAXIMIZED=FALSE&amp;creator=factset&amp;display_string=Audit"}</definedName>
    <definedName name="_1101__FDSAUDITLINK__" hidden="1">{"fdsup://Directions/FactSet Auditing Viewer?action=AUDIT_VALUE&amp;DB=129&amp;ID1=74144T10&amp;VALUEID=01001&amp;SDATE=200902&amp;PERIODTYPE=QTR_STD&amp;window=popup_no_bar&amp;width=385&amp;height=120&amp;START_MAXIMIZED=FALSE&amp;creator=factset&amp;display_string=Audit"}</definedName>
    <definedName name="_1102__FDSAUDITLINK__" hidden="1">{"fdsup://Directions/FactSet Auditing Viewer?action=AUDIT_VALUE&amp;DB=129&amp;ID1=74144T10&amp;VALUEID=01001&amp;SDATE=201002&amp;PERIODTYPE=QTR_STD&amp;window=popup_no_bar&amp;width=385&amp;height=120&amp;START_MAXIMIZED=FALSE&amp;creator=factset&amp;display_string=Audit"}</definedName>
    <definedName name="_1103__FDSAUDITLINK__" hidden="1">{"fdsup://Directions/FactSet Auditing Viewer?action=AUDIT_VALUE&amp;DB=129&amp;ID1=88355610&amp;VALUEID=01001&amp;SDATE=200902&amp;PERIODTYPE=QTR_STD&amp;window=popup_no_bar&amp;width=385&amp;height=120&amp;START_MAXIMIZED=FALSE&amp;creator=factset&amp;display_string=Audit"}</definedName>
    <definedName name="_1104__FDSAUDITLINK__" hidden="1">{"fdsup://Directions/FactSet Auditing Viewer?action=AUDIT_VALUE&amp;DB=129&amp;ID1=88355610&amp;VALUEID=01001&amp;SDATE=201002&amp;PERIODTYPE=QTR_STD&amp;window=popup_no_bar&amp;width=385&amp;height=120&amp;START_MAXIMIZED=FALSE&amp;creator=factset&amp;display_string=Audit"}</definedName>
    <definedName name="_1105__FDSAUDITLINK__" hidden="1">{"fdsup://Directions/FactSet Auditing Viewer?action=AUDIT_VALUE&amp;DB=129&amp;ID1=89102710&amp;VALUEID=01001&amp;SDATE=200902&amp;PERIODTYPE=QTR_STD&amp;window=popup_no_bar&amp;width=385&amp;height=120&amp;START_MAXIMIZED=FALSE&amp;creator=factset&amp;display_string=Audit"}</definedName>
    <definedName name="_1106__FDSAUDITLINK__" hidden="1">{"fdsup://Directions/FactSet Auditing Viewer?action=AUDIT_VALUE&amp;DB=129&amp;ID1=89102710&amp;VALUEID=01001&amp;SDATE=201002&amp;PERIODTYPE=QTR_STD&amp;window=popup_no_bar&amp;width=385&amp;height=120&amp;START_MAXIMIZED=FALSE&amp;creator=factset&amp;display_string=Audit"}</definedName>
    <definedName name="_1107__FDSAUDITLINK__" hidden="1">{"fdsup://Directions/FactSet Auditing Viewer?action=AUDIT_VALUE&amp;DB=129&amp;ID1=87966410&amp;VALUEID=01001&amp;SDATE=200902&amp;PERIODTYPE=QTR_STD&amp;window=popup_no_bar&amp;width=385&amp;height=120&amp;START_MAXIMIZED=FALSE&amp;creator=factset&amp;display_string=Audit"}</definedName>
    <definedName name="_1108__FDSAUDITLINK__" hidden="1">{"fdsup://Directions/FactSet Auditing Viewer?action=AUDIT_VALUE&amp;DB=129&amp;ID1=87966410&amp;VALUEID=01001&amp;SDATE=201002&amp;PERIODTYPE=QTR_STD&amp;window=popup_no_bar&amp;width=385&amp;height=120&amp;START_MAXIMIZED=FALSE&amp;creator=factset&amp;display_string=Audit"}</definedName>
    <definedName name="_1109__FDSAUDITLINK__" hidden="1">{"fdsup://Directions/FactSet Auditing Viewer?action=AUDIT_VALUE&amp;DB=129&amp;ID1=87254010&amp;VALUEID=01001&amp;SDATE=200901&amp;PERIODTYPE=QTR_STD&amp;window=popup_no_bar&amp;width=385&amp;height=120&amp;START_MAXIMIZED=FALSE&amp;creator=factset&amp;display_string=Audit"}</definedName>
    <definedName name="_111__FDSAUDITLINK__" hidden="1">{"fdsup://directions/FAT Viewer?action=UPDATE&amp;creator=factset&amp;DYN_ARGS=TRUE&amp;DOC_NAME=FAT:FQL_AUDITING_CLIENT_TEMPLATE.FAT&amp;display_string=Audit&amp;VAR:KEY=ZGHSXAFWLQ&amp;VAR:QUERY=RkZfRUJJVERBX09QRVIoUVRSLDQvMS8yMDA5LDYvMzAvMjAwOSwsLFVTRCk=&amp;WINDOW=FIRST_POPUP&amp;HEIGH","T=450&amp;WIDTH=450&amp;START_MAXIMIZED=FALSE&amp;VAR:CALENDAR=US&amp;VAR:SYMBOL=TRV&amp;VAR:INDEX=0"}</definedName>
    <definedName name="_1110__FDSAUDITLINK__" hidden="1">{"fdsup://Directions/FactSet Auditing Viewer?action=AUDIT_VALUE&amp;DB=129&amp;ID1=87254010&amp;VALUEID=01001&amp;SDATE=201001&amp;PERIODTYPE=QTR_STD&amp;window=popup_no_bar&amp;width=385&amp;height=120&amp;START_MAXIMIZED=FALSE&amp;creator=factset&amp;display_string=Audit"}</definedName>
    <definedName name="_1111__FDSAUDITLINK__" hidden="1">{"fdsup://Directions/FactSet Auditing Viewer?action=AUDIT_VALUE&amp;DB=129&amp;ID1=88654710&amp;VALUEID=01001&amp;SDATE=200901&amp;PERIODTYPE=QTR_STD&amp;window=popup_no_bar&amp;width=385&amp;height=120&amp;START_MAXIMIZED=FALSE&amp;creator=factset&amp;display_string=Audit"}</definedName>
    <definedName name="_1112__FDSAUDITLINK__" hidden="1">{"fdsup://Directions/FactSet Auditing Viewer?action=AUDIT_VALUE&amp;DB=129&amp;ID1=88654710&amp;VALUEID=01001&amp;SDATE=201001&amp;PERIODTYPE=QTR_STD&amp;window=popup_no_bar&amp;width=385&amp;height=120&amp;START_MAXIMIZED=FALSE&amp;creator=factset&amp;display_string=Audit"}</definedName>
    <definedName name="_1113__FDSAUDITLINK__" hidden="1">{"fdsup://Directions/FactSet Auditing Viewer?action=AUDIT_VALUE&amp;DB=129&amp;ID1=88833920&amp;VALUEID=01001&amp;SDATE=200902&amp;PERIODTYPE=QTR_STD&amp;window=popup_no_bar&amp;width=385&amp;height=120&amp;START_MAXIMIZED=FALSE&amp;creator=factset&amp;display_string=Audit"}</definedName>
    <definedName name="_1114__FDSAUDITLINK__" hidden="1">{"fdsup://Directions/FactSet Auditing Viewer?action=AUDIT_VALUE&amp;DB=129&amp;ID1=88833920&amp;VALUEID=01001&amp;SDATE=201002&amp;PERIODTYPE=QTR_STD&amp;window=popup_no_bar&amp;width=385&amp;height=120&amp;START_MAXIMIZED=FALSE&amp;creator=factset&amp;display_string=Audit"}</definedName>
    <definedName name="_1115__FDSAUDITLINK__" hidden="1">{"fdsup://Directions/FactSet Auditing Viewer?action=AUDIT_VALUE&amp;DB=129&amp;ID1=88033G10&amp;VALUEID=01001&amp;SDATE=200902&amp;PERIODTYPE=QTR_STD&amp;window=popup_no_bar&amp;width=385&amp;height=120&amp;START_MAXIMIZED=FALSE&amp;creator=factset&amp;display_string=Audit"}</definedName>
    <definedName name="_1116__FDSAUDITLINK__" hidden="1">{"fdsup://Directions/FactSet Auditing Viewer?action=AUDIT_VALUE&amp;DB=129&amp;ID1=88033G10&amp;VALUEID=01001&amp;SDATE=201002&amp;PERIODTYPE=QTR_STD&amp;window=popup_no_bar&amp;width=385&amp;height=120&amp;START_MAXIMIZED=FALSE&amp;creator=factset&amp;display_string=Audit"}</definedName>
    <definedName name="_1117__FDSAUDITLINK__" hidden="1">{"fdsup://Directions/FactSet Auditing Viewer?action=AUDIT_VALUE&amp;DB=129&amp;ID1=87612E10&amp;VALUEID=01001&amp;SDATE=201001&amp;PERIODTYPE=QTR_STD&amp;window=popup_no_bar&amp;width=385&amp;height=120&amp;START_MAXIMIZED=FALSE&amp;creator=factset&amp;display_string=Audit"}</definedName>
    <definedName name="_1118__FDSAUDITLINK__" hidden="1">{"fdsup://Directions/FactSet Auditing Viewer?action=AUDIT_VALUE&amp;DB=129&amp;ID1=88077010&amp;VALUEID=01001&amp;SDATE=200902&amp;PERIODTYPE=QTR_STD&amp;window=popup_no_bar&amp;width=385&amp;height=120&amp;START_MAXIMIZED=FALSE&amp;creator=factset&amp;display_string=Audit"}</definedName>
    <definedName name="_1119__FDSAUDITLINK__" hidden="1">{"fdsup://Directions/FactSet Auditing Viewer?action=AUDIT_VALUE&amp;DB=129&amp;ID1=88077010&amp;VALUEID=01001&amp;SDATE=201002&amp;PERIODTYPE=QTR_STD&amp;window=popup_no_bar&amp;width=385&amp;height=120&amp;START_MAXIMIZED=FALSE&amp;creator=factset&amp;display_string=Audit"}</definedName>
    <definedName name="_112__FDSAUDITLINK__" hidden="1">{"fdsup://directions/FAT Viewer?action=UPDATE&amp;creator=factset&amp;DYN_ARGS=TRUE&amp;DOC_NAME=FAT:FQL_AUDITING_CLIENT_TEMPLATE.FAT&amp;display_string=Audit&amp;VAR:KEY=TUBUJIJIPM&amp;VAR:QUERY=RkZfRUJJVERBX09QRVIoUVRSLDQvMS8yMDEwLDYvMzAvMjAxMCwsLFVTRCk=&amp;WINDOW=FIRST_POPUP&amp;HEIGH","T=450&amp;WIDTH=450&amp;START_MAXIMIZED=FALSE&amp;VAR:CALENDAR=US&amp;VAR:SYMBOL=TRV&amp;VAR:INDEX=0"}</definedName>
    <definedName name="_1120__FDSAUDITLINK__" hidden="1">{"fdsup://Directions/FactSet Auditing Viewer?action=AUDIT_VALUE&amp;DB=129&amp;ID1=45822P10&amp;VALUEID=01001&amp;SDATE=200902&amp;PERIODTYPE=QTR_STD&amp;window=popup_no_bar&amp;width=385&amp;height=120&amp;START_MAXIMIZED=FALSE&amp;creator=factset&amp;display_string=Audit"}</definedName>
    <definedName name="_1121__FDSAUDITLINK__" hidden="1">{"fdsup://Directions/FactSet Auditing Viewer?action=AUDIT_VALUE&amp;DB=129&amp;ID1=45822P10&amp;VALUEID=01001&amp;SDATE=201002&amp;PERIODTYPE=QTR_STD&amp;window=popup_no_bar&amp;width=385&amp;height=120&amp;START_MAXIMIZED=FALSE&amp;creator=factset&amp;display_string=Audit"}</definedName>
    <definedName name="_1122__FDSAUDITLINK__" hidden="1">{"fdsup://Directions/FactSet Auditing Viewer?action=AUDIT_VALUE&amp;DB=129&amp;ID1=87237510&amp;VALUEID=01001&amp;SDATE=200902&amp;PERIODTYPE=QTR_STD&amp;window=popup_no_bar&amp;width=385&amp;height=120&amp;START_MAXIMIZED=FALSE&amp;creator=factset&amp;display_string=Audit"}</definedName>
    <definedName name="_1123__FDSAUDITLINK__" hidden="1">{"fdsup://Directions/FactSet Auditing Viewer?action=AUDIT_VALUE&amp;DB=129&amp;ID1=87237510&amp;VALUEID=01001&amp;SDATE=201002&amp;PERIODTYPE=QTR_STD&amp;window=popup_no_bar&amp;width=385&amp;height=120&amp;START_MAXIMIZED=FALSE&amp;creator=factset&amp;display_string=Audit"}</definedName>
    <definedName name="_1124__FDSAUDITLINK__" hidden="1">{"fdsup://Directions/FactSet Auditing Viewer?action=AUDIT_VALUE&amp;DB=129&amp;ID1=88076W10&amp;VALUEID=01001&amp;SDATE=200902&amp;PERIODTYPE=QTR_STD&amp;window=popup_no_bar&amp;width=385&amp;height=120&amp;START_MAXIMIZED=FALSE&amp;creator=factset&amp;display_string=Audit"}</definedName>
    <definedName name="_1125__FDSAUDITLINK__" hidden="1">{"fdsup://Directions/FactSet Auditing Viewer?action=AUDIT_VALUE&amp;DB=129&amp;ID1=88076W10&amp;VALUEID=01001&amp;SDATE=201002&amp;PERIODTYPE=QTR_STD&amp;window=popup_no_bar&amp;width=385&amp;height=120&amp;START_MAXIMIZED=FALSE&amp;creator=factset&amp;display_string=Audit"}</definedName>
    <definedName name="_1126__FDSAUDITLINK__" hidden="1">{"fdsup://Directions/FactSet Auditing Viewer?action=AUDIT_VALUE&amp;DB=129&amp;ID1=60871R20&amp;VALUEID=01001&amp;SDATE=200902&amp;PERIODTYPE=QTR_STD&amp;window=popup_no_bar&amp;width=385&amp;height=120&amp;START_MAXIMIZED=FALSE&amp;creator=factset&amp;display_string=Audit"}</definedName>
    <definedName name="_1127__FDSAUDITLINK__" hidden="1">{"fdsup://Directions/FactSet Auditing Viewer?action=AUDIT_VALUE&amp;DB=129&amp;ID1=60871R20&amp;VALUEID=01001&amp;SDATE=201002&amp;PERIODTYPE=QTR_STD&amp;window=popup_no_bar&amp;width=385&amp;height=120&amp;START_MAXIMIZED=FALSE&amp;creator=factset&amp;display_string=Audit"}</definedName>
    <definedName name="_1128__FDSAUDITLINK__" hidden="1">{"fdsup://Directions/FactSet Auditing Viewer?action=AUDIT_VALUE&amp;DB=129&amp;ID1=00206R10&amp;VALUEID=01001&amp;SDATE=200902&amp;PERIODTYPE=QTR_STD&amp;window=popup_no_bar&amp;width=385&amp;height=120&amp;START_MAXIMIZED=FALSE&amp;creator=factset&amp;display_string=Audit"}</definedName>
    <definedName name="_1129__FDSAUDITLINK__" hidden="1">{"fdsup://Directions/FactSet Auditing Viewer?action=AUDIT_VALUE&amp;DB=129&amp;ID1=00206R10&amp;VALUEID=01001&amp;SDATE=201002&amp;PERIODTYPE=QTR_STD&amp;window=popup_no_bar&amp;width=385&amp;height=120&amp;START_MAXIMIZED=FALSE&amp;creator=factset&amp;display_string=Audit"}</definedName>
    <definedName name="_113__FDSAUDITLINK__" hidden="1">{"fdsup://directions/FAT Viewer?action=UPDATE&amp;creator=factset&amp;DYN_ARGS=TRUE&amp;DOC_NAME=FAT:FQL_AUDITING_CLIENT_TEMPLATE.FAT&amp;display_string=Audit&amp;VAR:KEY=DKBCBOVIHE&amp;VAR:QUERY=RkZfRUJJVERBX09QRVIoUVRSLDQvMS8yMDA5LDYvMzAvMjAwOSwsLFVTRCk=&amp;WINDOW=FIRST_POPUP&amp;HEIGH","T=450&amp;WIDTH=450&amp;START_MAXIMIZED=FALSE&amp;VAR:CALENDAR=US&amp;VAR:SYMBOL=TROW&amp;VAR:INDEX=0"}</definedName>
    <definedName name="_1130__FDSAUDITLINK__" hidden="1">{"fdsup://Directions/FactSet Auditing Viewer?action=AUDIT_VALUE&amp;DB=129&amp;ID1=87182910&amp;VALUEID=01001&amp;SDATE=201004&amp;PERIODTYPE=QTR_STD&amp;window=popup_no_bar&amp;width=385&amp;height=120&amp;START_MAXIMIZED=FALSE&amp;creator=factset&amp;display_string=Audit"}</definedName>
    <definedName name="_1131__FDSAUDITLINK__" hidden="1">{"fdsup://Directions/FactSet Auditing Viewer?action=AUDIT_VALUE&amp;DB=129&amp;ID1=87150310&amp;VALUEID=01001&amp;SDATE=200901&amp;PERIODTYPE=QTR_STD&amp;window=popup_no_bar&amp;width=385&amp;height=120&amp;START_MAXIMIZED=FALSE&amp;creator=factset&amp;display_string=Audit"}</definedName>
    <definedName name="_1132__FDSAUDITLINK__" hidden="1">{"fdsup://Directions/FactSet Auditing Viewer?action=AUDIT_VALUE&amp;DB=129&amp;ID1=87150310&amp;VALUEID=01001&amp;SDATE=201001&amp;PERIODTYPE=QTR_STD&amp;window=popup_no_bar&amp;width=385&amp;height=120&amp;START_MAXIMIZED=FALSE&amp;creator=factset&amp;display_string=Audit"}</definedName>
    <definedName name="_1133__FDSAUDITLINK__" hidden="1">{"fdsup://Directions/FactSet Auditing Viewer?action=AUDIT_VALUE&amp;DB=129&amp;ID1=86366710&amp;VALUEID=01001&amp;SDATE=200902&amp;PERIODTYPE=QTR_STD&amp;window=popup_no_bar&amp;width=385&amp;height=120&amp;START_MAXIMIZED=FALSE&amp;creator=factset&amp;display_string=Audit"}</definedName>
    <definedName name="_1134__FDSAUDITLINK__" hidden="1">{"fdsup://Directions/FactSet Auditing Viewer?action=AUDIT_VALUE&amp;DB=129&amp;ID1=86366710&amp;VALUEID=01001&amp;SDATE=201002&amp;PERIODTYPE=QTR_STD&amp;window=popup_no_bar&amp;width=385&amp;height=120&amp;START_MAXIMIZED=FALSE&amp;creator=factset&amp;display_string=Audit"}</definedName>
    <definedName name="_1135__FDSAUDITLINK__" hidden="1">{"fdsup://Directions/FactSet Auditing Viewer?action=AUDIT_VALUE&amp;DB=129&amp;ID1=78651420&amp;VALUEID=01001&amp;SDATE=200902&amp;PERIODTYPE=QTR_STD&amp;window=popup_no_bar&amp;width=385&amp;height=120&amp;START_MAXIMIZED=FALSE&amp;creator=factset&amp;display_string=Audit"}</definedName>
    <definedName name="_1136__FDSAUDITLINK__" hidden="1">{"fdsup://Directions/FactSet Auditing Viewer?action=AUDIT_VALUE&amp;DB=129&amp;ID1=78651420&amp;VALUEID=01001&amp;SDATE=201002&amp;PERIODTYPE=QTR_STD&amp;window=popup_no_bar&amp;width=385&amp;height=120&amp;START_MAXIMIZED=FALSE&amp;creator=factset&amp;display_string=Audit"}</definedName>
    <definedName name="_1137__FDSAUDITLINK__" hidden="1">{"fdsup://Directions/FactSet Auditing Viewer?action=AUDIT_VALUE&amp;DB=129&amp;ID1=84546710&amp;VALUEID=01001&amp;SDATE=200902&amp;PERIODTYPE=QTR_STD&amp;window=popup_no_bar&amp;width=385&amp;height=120&amp;START_MAXIMIZED=FALSE&amp;creator=factset&amp;display_string=Audit"}</definedName>
    <definedName name="_1138__FDSAUDITLINK__" hidden="1">{"fdsup://Directions/FactSet Auditing Viewer?action=AUDIT_VALUE&amp;DB=129&amp;ID1=84546710&amp;VALUEID=01001&amp;SDATE=201002&amp;PERIODTYPE=QTR_STD&amp;window=popup_no_bar&amp;width=385&amp;height=120&amp;START_MAXIMIZED=FALSE&amp;creator=factset&amp;display_string=Audit"}</definedName>
    <definedName name="_1139__FDSAUDITLINK__" hidden="1">{"fdsup://Directions/FactSet Auditing Viewer?action=AUDIT_VALUE&amp;DB=129&amp;ID1=85450210&amp;VALUEID=01001&amp;SDATE=200902&amp;PERIODTYPE=QTR_STD&amp;window=popup_no_bar&amp;width=385&amp;height=120&amp;START_MAXIMIZED=FALSE&amp;creator=factset&amp;display_string=Audit"}</definedName>
    <definedName name="_114__FDSAUDITLINK__" hidden="1">{"fdsup://directions/FAT Viewer?action=UPDATE&amp;creator=factset&amp;DYN_ARGS=TRUE&amp;DOC_NAME=FAT:FQL_AUDITING_CLIENT_TEMPLATE.FAT&amp;display_string=Audit&amp;VAR:KEY=TWJUFWZYLY&amp;VAR:QUERY=RkZfRUJJVERBX09QRVIoUVRSLDQvMS8yMDEwLDYvMzAvMjAxMCwsLFVTRCk=&amp;WINDOW=FIRST_POPUP&amp;HEIGH","T=450&amp;WIDTH=450&amp;START_MAXIMIZED=FALSE&amp;VAR:CALENDAR=US&amp;VAR:SYMBOL=TROW&amp;VAR:INDEX=0"}</definedName>
    <definedName name="_1140__FDSAUDITLINK__" hidden="1">{"fdsup://Directions/FactSet Auditing Viewer?action=AUDIT_VALUE&amp;DB=129&amp;ID1=85450210&amp;VALUEID=01001&amp;SDATE=201002&amp;PERIODTYPE=QTR_STD&amp;window=popup_no_bar&amp;width=385&amp;height=120&amp;START_MAXIMIZED=FALSE&amp;creator=factset&amp;display_string=Audit"}</definedName>
    <definedName name="_1141__FDSAUDITLINK__" hidden="1">{"fdsup://Directions/FactSet Auditing Viewer?action=AUDIT_VALUE&amp;DB=129&amp;ID1=86853610&amp;VALUEID=01001&amp;SDATE=200901&amp;PERIODTYPE=QTR_STD&amp;window=popup_no_bar&amp;width=385&amp;height=120&amp;START_MAXIMIZED=FALSE&amp;creator=factset&amp;display_string=Audit"}</definedName>
    <definedName name="_1142__FDSAUDITLINK__" hidden="1">{"fdsup://Directions/FactSet Auditing Viewer?action=AUDIT_VALUE&amp;DB=129&amp;ID1=86853610&amp;VALUEID=01001&amp;SDATE=201001&amp;PERIODTYPE=QTR_STD&amp;window=popup_no_bar&amp;width=385&amp;height=120&amp;START_MAXIMIZED=FALSE&amp;creator=factset&amp;display_string=Audit"}</definedName>
    <definedName name="_1143__FDSAUDITLINK__" hidden="1">{"fdsup://Directions/FactSet Auditing Viewer?action=AUDIT_VALUE&amp;DB=129&amp;ID1=86764P10&amp;VALUEID=01001&amp;SDATE=200902&amp;PERIODTYPE=QTR_STD&amp;window=popup_no_bar&amp;width=385&amp;height=120&amp;START_MAXIMIZED=FALSE&amp;creator=factset&amp;display_string=Audit"}</definedName>
    <definedName name="_1144__FDSAUDITLINK__" hidden="1">{"fdsup://Directions/FactSet Auditing Viewer?action=AUDIT_VALUE&amp;DB=129&amp;ID1=86764P10&amp;VALUEID=01001&amp;SDATE=201002&amp;PERIODTYPE=QTR_STD&amp;window=popup_no_bar&amp;width=385&amp;height=120&amp;START_MAXIMIZED=FALSE&amp;creator=factset&amp;display_string=Audit"}</definedName>
    <definedName name="_1145__FDSAUDITLINK__" hidden="1">{"fdsup://Directions/FactSet Auditing Viewer?action=AUDIT_VALUE&amp;DB=129&amp;ID1=21036P10&amp;VALUEID=01001&amp;SDATE=200901&amp;PERIODTYPE=QTR_STD&amp;window=popup_no_bar&amp;width=385&amp;height=120&amp;START_MAXIMIZED=FALSE&amp;creator=factset&amp;display_string=Audit"}</definedName>
    <definedName name="_1146__FDSAUDITLINK__" hidden="1">{"fdsup://Directions/FactSet Auditing Viewer?action=AUDIT_VALUE&amp;DB=129&amp;ID1=21036P10&amp;VALUEID=01001&amp;SDATE=201001&amp;PERIODTYPE=QTR_STD&amp;window=popup_no_bar&amp;width=385&amp;height=120&amp;START_MAXIMIZED=FALSE&amp;creator=factset&amp;display_string=Audit"}</definedName>
    <definedName name="_1147__FDSAUDITLINK__" hidden="1">{"fdsup://Directions/FactSet Auditing Viewer?action=AUDIT_VALUE&amp;DB=129&amp;ID1=79084910&amp;VALUEID=01001&amp;SDATE=200902&amp;PERIODTYPE=QTR_STD&amp;window=popup_no_bar&amp;width=385&amp;height=120&amp;START_MAXIMIZED=FALSE&amp;creator=factset&amp;display_string=Audit"}</definedName>
    <definedName name="_1148__FDSAUDITLINK__" hidden="1">{"fdsup://Directions/FactSet Auditing Viewer?action=AUDIT_VALUE&amp;DB=129&amp;ID1=79084910&amp;VALUEID=01001&amp;SDATE=201002&amp;PERIODTYPE=QTR_STD&amp;window=popup_no_bar&amp;width=385&amp;height=120&amp;START_MAXIMIZED=FALSE&amp;creator=factset&amp;display_string=Audit"}</definedName>
    <definedName name="_1149__FDSAUDITLINK__" hidden="1">{"fdsup://Directions/FactSet Auditing Viewer?action=AUDIT_VALUE&amp;DB=129&amp;ID1=81685110&amp;VALUEID=01001&amp;SDATE=200902&amp;PERIODTYPE=QTR_STD&amp;window=popup_no_bar&amp;width=385&amp;height=120&amp;START_MAXIMIZED=FALSE&amp;creator=factset&amp;display_string=Audit"}</definedName>
    <definedName name="_115__FDSAUDITLINK__" hidden="1">{"fdsup://directions/FAT Viewer?action=UPDATE&amp;creator=factset&amp;DYN_ARGS=TRUE&amp;DOC_NAME=FAT:FQL_AUDITING_CLIENT_TEMPLATE.FAT&amp;display_string=Audit&amp;VAR:KEY=TIXOXOJCVI&amp;VAR:QUERY=RkZfRUJJVERBX09QRVIoUVRSLDQvMS8yMDA5LDYvMzAvMjAwOSwsLFVTRCk=&amp;WINDOW=FIRST_POPUP&amp;HEIGH","T=450&amp;WIDTH=450&amp;START_MAXIMIZED=FALSE&amp;VAR:CALENDAR=US&amp;VAR:SYMBOL=TMO&amp;VAR:INDEX=0"}</definedName>
    <definedName name="_1150__FDSAUDITLINK__" hidden="1">{"fdsup://Directions/FactSet Auditing Viewer?action=AUDIT_VALUE&amp;DB=129&amp;ID1=81685110&amp;VALUEID=01001&amp;SDATE=201002&amp;PERIODTYPE=QTR_STD&amp;window=popup_no_bar&amp;width=385&amp;height=120&amp;START_MAXIMIZED=FALSE&amp;creator=factset&amp;display_string=Audit"}</definedName>
    <definedName name="_1151__FDSAUDITLINK__" hidden="1">{"fdsup://Directions/FactSet Auditing Viewer?action=AUDIT_VALUE&amp;DB=129&amp;ID1=85891210&amp;VALUEID=01001&amp;SDATE=200902&amp;PERIODTYPE=QTR_STD&amp;window=popup_no_bar&amp;width=385&amp;height=120&amp;START_MAXIMIZED=FALSE&amp;creator=factset&amp;display_string=Audit"}</definedName>
    <definedName name="_1152__FDSAUDITLINK__" hidden="1">{"fdsup://Directions/FactSet Auditing Viewer?action=AUDIT_VALUE&amp;DB=129&amp;ID1=85891210&amp;VALUEID=01001&amp;SDATE=201002&amp;PERIODTYPE=QTR_STD&amp;window=popup_no_bar&amp;width=385&amp;height=120&amp;START_MAXIMIZED=FALSE&amp;creator=factset&amp;display_string=Audit"}</definedName>
    <definedName name="_1153__FDSAUDITLINK__" hidden="1">{"fdsup://Directions/FactSet Auditing Viewer?action=AUDIT_VALUE&amp;DB=129&amp;ID1=85503010&amp;VALUEID=01001&amp;SDATE=200901&amp;PERIODTYPE=QTR_STD&amp;window=popup_no_bar&amp;width=385&amp;height=120&amp;START_MAXIMIZED=FALSE&amp;creator=factset&amp;display_string=Audit"}</definedName>
    <definedName name="_1154__FDSAUDITLINK__" hidden="1">{"fdsup://Directions/FactSet Auditing Viewer?action=AUDIT_VALUE&amp;DB=129&amp;ID1=85503010&amp;VALUEID=01001&amp;SDATE=201001&amp;PERIODTYPE=QTR_STD&amp;window=popup_no_bar&amp;width=385&amp;height=120&amp;START_MAXIMIZED=FALSE&amp;creator=factset&amp;display_string=Audit"}</definedName>
    <definedName name="_1155__FDSAUDITLINK__" hidden="1">{"fdsup://Directions/FactSet Auditing Viewer?action=AUDIT_VALUE&amp;DB=129&amp;ID1=82880610&amp;VALUEID=01001&amp;SDATE=200902&amp;PERIODTYPE=QTR_STD&amp;window=popup_no_bar&amp;width=385&amp;height=120&amp;START_MAXIMIZED=FALSE&amp;creator=factset&amp;display_string=Audit"}</definedName>
    <definedName name="_1156__FDSAUDITLINK__" hidden="1">{"fdsup://Directions/FactSet Auditing Viewer?action=AUDIT_VALUE&amp;DB=129&amp;ID1=82880610&amp;VALUEID=01001&amp;SDATE=201002&amp;PERIODTYPE=QTR_STD&amp;window=popup_no_bar&amp;width=385&amp;height=120&amp;START_MAXIMIZED=FALSE&amp;creator=factset&amp;display_string=Audit"}</definedName>
    <definedName name="_1157__FDSAUDITLINK__" hidden="1">{"fdsup://Directions/FactSet Auditing Viewer?action=AUDIT_VALUE&amp;DB=129&amp;ID1=84258710&amp;VALUEID=01001&amp;SDATE=200902&amp;PERIODTYPE=QTR_STD&amp;window=popup_no_bar&amp;width=385&amp;height=120&amp;START_MAXIMIZED=FALSE&amp;creator=factset&amp;display_string=Audit"}</definedName>
    <definedName name="_1158__FDSAUDITLINK__" hidden="1">{"fdsup://Directions/FactSet Auditing Viewer?action=AUDIT_VALUE&amp;DB=129&amp;ID1=84258710&amp;VALUEID=01001&amp;SDATE=201002&amp;PERIODTYPE=QTR_STD&amp;window=popup_no_bar&amp;width=385&amp;height=120&amp;START_MAXIMIZED=FALSE&amp;creator=factset&amp;display_string=Audit"}</definedName>
    <definedName name="_1159__FDSAUDITLINK__" hidden="1">{"fdsup://Directions/FactSet Auditing Viewer?action=AUDIT_VALUE&amp;DB=129&amp;ID1=81106510&amp;VALUEID=01001&amp;SDATE=200902&amp;PERIODTYPE=QTR_STD&amp;window=popup_no_bar&amp;width=385&amp;height=120&amp;START_MAXIMIZED=FALSE&amp;creator=factset&amp;display_string=Audit"}</definedName>
    <definedName name="_116__FDSAUDITLINK__" hidden="1">{"fdsup://directions/FAT Viewer?action=UPDATE&amp;creator=factset&amp;DYN_ARGS=TRUE&amp;DOC_NAME=FAT:FQL_AUDITING_CLIENT_TEMPLATE.FAT&amp;display_string=Audit&amp;VAR:KEY=LILAJMDMNG&amp;VAR:QUERY=RkZfRUJJVERBX09QRVIoUVRSLDQvMS8yMDEwLDYvMzAvMjAxMCwsLFVTRCk=&amp;WINDOW=FIRST_POPUP&amp;HEIGH","T=450&amp;WIDTH=450&amp;START_MAXIMIZED=FALSE&amp;VAR:CALENDAR=US&amp;VAR:SYMBOL=TMO&amp;VAR:INDEX=0"}</definedName>
    <definedName name="_1160__FDSAUDITLINK__" hidden="1">{"fdsup://Directions/FactSet Auditing Viewer?action=AUDIT_VALUE&amp;DB=129&amp;ID1=81106510&amp;VALUEID=01001&amp;SDATE=201002&amp;PERIODTYPE=QTR_STD&amp;window=popup_no_bar&amp;width=385&amp;height=120&amp;START_MAXIMIZED=FALSE&amp;creator=factset&amp;display_string=Audit"}</definedName>
    <definedName name="_1161__FDSAUDITLINK__" hidden="1">{"fdsup://Directions/FactSet Auditing Viewer?action=AUDIT_VALUE&amp;DB=129&amp;ID1=80004C10&amp;VALUEID=01001&amp;SDATE=200902&amp;PERIODTYPE=QTR_STD&amp;window=popup_no_bar&amp;width=385&amp;height=120&amp;START_MAXIMIZED=FALSE&amp;creator=factset&amp;display_string=Audit"}</definedName>
    <definedName name="_1162__FDSAUDITLINK__" hidden="1">{"fdsup://Directions/FactSet Auditing Viewer?action=AUDIT_VALUE&amp;DB=129&amp;ID1=80004C10&amp;VALUEID=01001&amp;SDATE=201002&amp;PERIODTYPE=QTR_STD&amp;window=popup_no_bar&amp;width=385&amp;height=120&amp;START_MAXIMIZED=FALSE&amp;creator=factset&amp;display_string=Audit"}</definedName>
    <definedName name="_1163__FDSAUDITLINK__" hidden="1">{"fdsup://Directions/FactSet Auditing Viewer?action=AUDIT_VALUE&amp;DB=129&amp;ID1=83303410&amp;VALUEID=01001&amp;SDATE=200902&amp;PERIODTYPE=QTR_STD&amp;window=popup_no_bar&amp;width=385&amp;height=120&amp;START_MAXIMIZED=FALSE&amp;creator=factset&amp;display_string=Audit"}</definedName>
    <definedName name="_1164__FDSAUDITLINK__" hidden="1">{"fdsup://Directions/FactSet Auditing Viewer?action=AUDIT_VALUE&amp;DB=129&amp;ID1=83303410&amp;VALUEID=01001&amp;SDATE=201002&amp;PERIODTYPE=QTR_STD&amp;window=popup_no_bar&amp;width=385&amp;height=120&amp;START_MAXIMIZED=FALSE&amp;creator=factset&amp;display_string=Audit"}</definedName>
    <definedName name="_1165__FDSAUDITLINK__" hidden="1">{"fdsup://Directions/FactSet Auditing Viewer?action=AUDIT_VALUE&amp;DB=129&amp;ID1=78442P10&amp;VALUEID=01001&amp;SDATE=200902&amp;PERIODTYPE=QTR_STD&amp;window=popup_no_bar&amp;width=385&amp;height=120&amp;START_MAXIMIZED=FALSE&amp;creator=factset&amp;display_string=Audit"}</definedName>
    <definedName name="_1166__FDSAUDITLINK__" hidden="1">{"fdsup://Directions/FactSet Auditing Viewer?action=AUDIT_VALUE&amp;DB=129&amp;ID1=78442P10&amp;VALUEID=01001&amp;SDATE=201002&amp;PERIODTYPE=QTR_STD&amp;window=popup_no_bar&amp;width=385&amp;height=120&amp;START_MAXIMIZED=FALSE&amp;creator=factset&amp;display_string=Audit"}</definedName>
    <definedName name="_1167__FDSAUDITLINK__" hidden="1">{"fdsup://Directions/FactSet Auditing Viewer?action=AUDIT_VALUE&amp;DB=129&amp;ID1=80311110&amp;VALUEID=01001&amp;SDATE=201004&amp;PERIODTYPE=QTR_STD&amp;window=popup_no_bar&amp;width=385&amp;height=120&amp;START_MAXIMIZED=FALSE&amp;creator=factset&amp;display_string=Audit"}</definedName>
    <definedName name="_1168__FDSAUDITLINK__" hidden="1">{"fdsup://Directions/FactSet Auditing Viewer?action=AUDIT_VALUE&amp;DB=129&amp;ID1=80685710&amp;VALUEID=01001&amp;SDATE=200902&amp;PERIODTYPE=QTR_STD&amp;window=popup_no_bar&amp;width=385&amp;height=120&amp;START_MAXIMIZED=FALSE&amp;creator=factset&amp;display_string=Audit"}</definedName>
    <definedName name="_1169__FDSAUDITLINK__" hidden="1">{"fdsup://Directions/FactSet Auditing Viewer?action=AUDIT_VALUE&amp;DB=129&amp;ID1=80685710&amp;VALUEID=01001&amp;SDATE=201002&amp;PERIODTYPE=QTR_STD&amp;window=popup_no_bar&amp;width=385&amp;height=120&amp;START_MAXIMIZED=FALSE&amp;creator=factset&amp;display_string=Audit"}</definedName>
    <definedName name="_117__FDSAUDITLINK__" hidden="1">{"fdsup://directions/FAT Viewer?action=UPDATE&amp;creator=factset&amp;DYN_ARGS=TRUE&amp;DOC_NAME=FAT:FQL_AUDITING_CLIENT_TEMPLATE.FAT&amp;display_string=Audit&amp;VAR:KEY=NMJSXEJUNC&amp;VAR:QUERY=RkZfRUJJVERBX09QRVIoUVRSLDQvMS8yMDA5LDYvMzAvMjAwOSwsLFVTRCk=&amp;WINDOW=FIRST_POPUP&amp;HEIGH","T=450&amp;WIDTH=450&amp;START_MAXIMIZED=FALSE&amp;VAR:CALENDAR=US&amp;VAR:SYMBOL=TMK&amp;VAR:INDEX=0"}</definedName>
    <definedName name="_1170__FDSAUDITLINK__" hidden="1">{"fdsup://Directions/FactSet Auditing Viewer?action=AUDIT_VALUE&amp;DB=129&amp;ID1=83269640&amp;VALUEID=01001&amp;SDATE=200804&amp;PERIODTYPE=QTR_STD&amp;window=popup_no_bar&amp;width=385&amp;height=120&amp;START_MAXIMIZED=FALSE&amp;creator=factset&amp;display_string=Audit"}</definedName>
    <definedName name="_1171__FDSAUDITLINK__" hidden="1">{"fdsup://Directions/FactSet Auditing Viewer?action=AUDIT_VALUE&amp;DB=129&amp;ID1=83269640&amp;VALUEID=01001&amp;SDATE=200904&amp;PERIODTYPE=QTR_STD&amp;window=popup_no_bar&amp;width=385&amp;height=120&amp;START_MAXIMIZED=FALSE&amp;creator=factset&amp;display_string=Audit"}</definedName>
    <definedName name="_1172__FDSAUDITLINK__" hidden="1">{"fdsup://Directions/FactSet Auditing Viewer?action=AUDIT_VALUE&amp;DB=129&amp;ID1=82655210&amp;VALUEID=01001&amp;SDATE=200902&amp;PERIODTYPE=QTR_STD&amp;window=popup_no_bar&amp;width=385&amp;height=120&amp;START_MAXIMIZED=FALSE&amp;creator=factset&amp;display_string=Audit"}</definedName>
    <definedName name="_1173__FDSAUDITLINK__" hidden="1">{"fdsup://Directions/FactSet Auditing Viewer?action=AUDIT_VALUE&amp;DB=129&amp;ID1=82655210&amp;VALUEID=01001&amp;SDATE=201002&amp;PERIODTYPE=QTR_STD&amp;window=popup_no_bar&amp;width=385&amp;height=120&amp;START_MAXIMIZED=FALSE&amp;creator=factset&amp;display_string=Audit"}</definedName>
    <definedName name="_1174__FDSAUDITLINK__" hidden="1">{"fdsup://Directions/FactSet Auditing Viewer?action=AUDIT_VALUE&amp;DB=129&amp;ID1=82434810&amp;VALUEID=01001&amp;SDATE=200902&amp;PERIODTYPE=QTR_STD&amp;window=popup_no_bar&amp;width=385&amp;height=120&amp;START_MAXIMIZED=FALSE&amp;creator=factset&amp;display_string=Audit"}</definedName>
    <definedName name="_1175__FDSAUDITLINK__" hidden="1">{"fdsup://Directions/FactSet Auditing Viewer?action=AUDIT_VALUE&amp;DB=129&amp;ID1=82434810&amp;VALUEID=01001&amp;SDATE=201002&amp;PERIODTYPE=QTR_STD&amp;window=popup_no_bar&amp;width=385&amp;height=120&amp;START_MAXIMIZED=FALSE&amp;creator=factset&amp;display_string=Audit"}</definedName>
    <definedName name="_1176__FDSAUDITLINK__" hidden="1">{"fdsup://Directions/FactSet Auditing Viewer?action=AUDIT_VALUE&amp;DB=129&amp;ID1=81235010&amp;VALUEID=01001&amp;SDATE=200901&amp;PERIODTYPE=QTR_STD&amp;window=popup_no_bar&amp;width=385&amp;height=120&amp;START_MAXIMIZED=FALSE&amp;creator=factset&amp;display_string=Audit"}</definedName>
    <definedName name="_1177__FDSAUDITLINK__" hidden="1">{"fdsup://Directions/FactSet Auditing Viewer?action=AUDIT_VALUE&amp;DB=129&amp;ID1=81235010&amp;VALUEID=01001&amp;SDATE=201001&amp;PERIODTYPE=QTR_STD&amp;window=popup_no_bar&amp;width=385&amp;height=120&amp;START_MAXIMIZED=FALSE&amp;creator=factset&amp;display_string=Audit"}</definedName>
    <definedName name="_1178__FDSAUDITLINK__" hidden="1">{"fdsup://Directions/FactSet Auditing Viewer?action=AUDIT_VALUE&amp;DB=129&amp;ID1=81211K10&amp;VALUEID=01001&amp;SDATE=200902&amp;PERIODTYPE=QTR_STD&amp;window=popup_no_bar&amp;width=385&amp;height=120&amp;START_MAXIMIZED=FALSE&amp;creator=factset&amp;display_string=Audit"}</definedName>
    <definedName name="_1179__FDSAUDITLINK__" hidden="1">{"fdsup://Directions/FactSet Auditing Viewer?action=AUDIT_VALUE&amp;DB=129&amp;ID1=81211K10&amp;VALUEID=01001&amp;SDATE=201002&amp;PERIODTYPE=QTR_STD&amp;window=popup_no_bar&amp;width=385&amp;height=120&amp;START_MAXIMIZED=FALSE&amp;creator=factset&amp;display_string=Audit"}</definedName>
    <definedName name="_118__FDSAUDITLINK__" hidden="1">{"fdsup://directions/FAT Viewer?action=UPDATE&amp;creator=factset&amp;DYN_ARGS=TRUE&amp;DOC_NAME=FAT:FQL_AUDITING_CLIENT_TEMPLATE.FAT&amp;display_string=Audit&amp;VAR:KEY=PIBGBGDUDO&amp;VAR:QUERY=RkZfRUJJVERBX09QRVIoUVRSLDQvMS8yMDEwLDYvMzAvMjAxMCwsLFVTRCk=&amp;WINDOW=FIRST_POPUP&amp;HEIGH","T=450&amp;WIDTH=450&amp;START_MAXIMIZED=FALSE&amp;VAR:CALENDAR=US&amp;VAR:SYMBOL=TMK&amp;VAR:INDEX=0"}</definedName>
    <definedName name="_1180__FDSAUDITLINK__" hidden="1">{"fdsup://Directions/FactSet Auditing Viewer?action=AUDIT_VALUE&amp;DB=129&amp;ID1=84756010&amp;VALUEID=01001&amp;SDATE=200902&amp;PERIODTYPE=QTR_STD&amp;window=popup_no_bar&amp;width=385&amp;height=120&amp;START_MAXIMIZED=FALSE&amp;creator=factset&amp;display_string=Audit"}</definedName>
    <definedName name="_1181__FDSAUDITLINK__" hidden="1">{"fdsup://Directions/FactSet Auditing Viewer?action=AUDIT_VALUE&amp;DB=129&amp;ID1=84756010&amp;VALUEID=01001&amp;SDATE=201002&amp;PERIODTYPE=QTR_STD&amp;window=popup_no_bar&amp;width=385&amp;height=120&amp;START_MAXIMIZED=FALSE&amp;creator=factset&amp;display_string=Audit"}</definedName>
    <definedName name="_1182__FDSAUDITLINK__" hidden="1">{"fdsup://Directions/FactSet Auditing Viewer?action=AUDIT_VALUE&amp;DB=129&amp;ID1=80851310&amp;VALUEID=01001&amp;SDATE=200902&amp;PERIODTYPE=QTR_STD&amp;window=popup_no_bar&amp;width=385&amp;height=120&amp;START_MAXIMIZED=FALSE&amp;creator=factset&amp;display_string=Audit"}</definedName>
    <definedName name="_1183__FDSAUDITLINK__" hidden="1">{"fdsup://Directions/FactSet Auditing Viewer?action=AUDIT_VALUE&amp;DB=129&amp;ID1=80851310&amp;VALUEID=01001&amp;SDATE=201002&amp;PERIODTYPE=QTR_STD&amp;window=popup_no_bar&amp;width=385&amp;height=120&amp;START_MAXIMIZED=FALSE&amp;creator=factset&amp;display_string=Audit"}</definedName>
    <definedName name="_1184__FDSAUDITLINK__" hidden="1">{"fdsup://Directions/FactSet Auditing Viewer?action=AUDIT_VALUE&amp;DB=129&amp;ID1=80589M10&amp;VALUEID=01001&amp;SDATE=200902&amp;PERIODTYPE=QTR_STD&amp;window=popup_no_bar&amp;width=385&amp;height=120&amp;START_MAXIMIZED=FALSE&amp;creator=factset&amp;display_string=Audit"}</definedName>
    <definedName name="_1185__FDSAUDITLINK__" hidden="1">{"fdsup://Directions/FactSet Auditing Viewer?action=AUDIT_VALUE&amp;DB=129&amp;ID1=80589M10&amp;VALUEID=01001&amp;SDATE=201002&amp;PERIODTYPE=QTR_STD&amp;window=popup_no_bar&amp;width=385&amp;height=120&amp;START_MAXIMIZED=FALSE&amp;creator=factset&amp;display_string=Audit"}</definedName>
    <definedName name="_1186__FDSAUDITLINK__" hidden="1">{"fdsup://Directions/FactSet Auditing Viewer?action=AUDIT_VALUE&amp;DB=129&amp;ID1=85524410&amp;VALUEID=01001&amp;SDATE=200903&amp;PERIODTYPE=QTR_STD&amp;window=popup_no_bar&amp;width=385&amp;height=120&amp;START_MAXIMIZED=FALSE&amp;creator=factset&amp;display_string=Audit"}</definedName>
    <definedName name="_1187__FDSAUDITLINK__" hidden="1">{"fdsup://Directions/FactSet Auditing Viewer?action=AUDIT_VALUE&amp;DB=129&amp;ID1=85524410&amp;VALUEID=01001&amp;SDATE=201003&amp;PERIODTYPE=QTR_STD&amp;window=popup_no_bar&amp;width=385&amp;height=120&amp;START_MAXIMIZED=FALSE&amp;creator=factset&amp;display_string=Audit"}</definedName>
    <definedName name="_1188__FDSAUDITLINK__" hidden="1">{"fdsup://Directions/FactSet Auditing Viewer?action=AUDIT_VALUE&amp;DB=129&amp;ID1=78390X10&amp;VALUEID=01001&amp;SDATE=200901&amp;PERIODTYPE=QTR_STD&amp;window=popup_no_bar&amp;width=385&amp;height=120&amp;START_MAXIMIZED=FALSE&amp;creator=factset&amp;display_string=Audit"}</definedName>
    <definedName name="_1189__FDSAUDITLINK__" hidden="1">{"fdsup://Directions/FactSet Auditing Viewer?action=AUDIT_VALUE&amp;DB=129&amp;ID1=78390X10&amp;VALUEID=01001&amp;SDATE=201001&amp;PERIODTYPE=QTR_STD&amp;window=popup_no_bar&amp;width=385&amp;height=120&amp;START_MAXIMIZED=FALSE&amp;creator=factset&amp;display_string=Audit"}</definedName>
    <definedName name="_119__FDSAUDITLINK__" hidden="1">{"fdsup://directions/FAT Viewer?action=UPDATE&amp;creator=factset&amp;DYN_ARGS=TRUE&amp;DOC_NAME=FAT:FQL_AUDITING_CLIENT_TEMPLATE.FAT&amp;display_string=Audit&amp;VAR:KEY=LOZKTUZOVS&amp;VAR:QUERY=RkZfRUJJVERBX09QRVIoUVRSLDQvMS8yMDA5LDYvMzAvMjAwOSwsLFVTRCk=&amp;WINDOW=FIRST_POPUP&amp;HEIGH","T=450&amp;WIDTH=450&amp;START_MAXIMIZED=FALSE&amp;VAR:CALENDAR=US&amp;VAR:SYMBOL=TLAB&amp;VAR:INDEX=0"}</definedName>
    <definedName name="_1190__FDSAUDITLINK__" hidden="1">{"fdsup://Directions/FactSet Auditing Viewer?action=AUDIT_VALUE&amp;DB=129&amp;ID1=85206110&amp;VALUEID=01001&amp;SDATE=200902&amp;PERIODTYPE=QTR_STD&amp;window=popup_no_bar&amp;width=385&amp;height=120&amp;START_MAXIMIZED=FALSE&amp;creator=factset&amp;display_string=Audit"}</definedName>
    <definedName name="_1191__FDSAUDITLINK__" hidden="1">{"fdsup://Directions/FactSet Auditing Viewer?action=AUDIT_VALUE&amp;DB=129&amp;ID1=75511150&amp;VALUEID=01001&amp;SDATE=200902&amp;PERIODTYPE=QTR_STD&amp;window=popup_no_bar&amp;width=385&amp;height=120&amp;START_MAXIMIZED=FALSE&amp;creator=factset&amp;display_string=Audit"}</definedName>
    <definedName name="_1192__FDSAUDITLINK__" hidden="1">{"fdsup://Directions/FactSet Auditing Viewer?action=AUDIT_VALUE&amp;DB=129&amp;ID1=75511150&amp;VALUEID=01001&amp;SDATE=201002&amp;PERIODTYPE=QTR_STD&amp;window=popup_no_bar&amp;width=385&amp;height=120&amp;START_MAXIMIZED=FALSE&amp;creator=factset&amp;display_string=Audit"}</definedName>
    <definedName name="_1193__FDSAUDITLINK__" hidden="1">{"fdsup://Directions/FactSet Auditing Viewer?action=AUDIT_VALUE&amp;DB=129&amp;ID1=75043810&amp;VALUEID=01001&amp;SDATE=200902&amp;PERIODTYPE=QTR_STD&amp;window=popup_no_bar&amp;width=385&amp;height=120&amp;START_MAXIMIZED=FALSE&amp;creator=factset&amp;display_string=Audit"}</definedName>
    <definedName name="_1194__FDSAUDITLINK__" hidden="1">{"fdsup://Directions/FactSet Auditing Viewer?action=AUDIT_VALUE&amp;DB=129&amp;ID1=75043810&amp;VALUEID=01001&amp;SDATE=201002&amp;PERIODTYPE=QTR_STD&amp;window=popup_no_bar&amp;width=385&amp;height=120&amp;START_MAXIMIZED=FALSE&amp;creator=factset&amp;display_string=Audit"}</definedName>
    <definedName name="_1195__FDSAUDITLINK__" hidden="1">{"fdsup://Directions/FactSet Auditing Viewer?action=AUDIT_VALUE&amp;DB=129&amp;ID1=76075910&amp;VALUEID=01001&amp;SDATE=200902&amp;PERIODTYPE=QTR_STD&amp;window=popup_no_bar&amp;width=385&amp;height=120&amp;START_MAXIMIZED=FALSE&amp;creator=factset&amp;display_string=Audit"}</definedName>
    <definedName name="_1196__FDSAUDITLINK__" hidden="1">{"fdsup://Directions/FactSet Auditing Viewer?action=AUDIT_VALUE&amp;DB=129&amp;ID1=76075910&amp;VALUEID=01001&amp;SDATE=201002&amp;PERIODTYPE=QTR_STD&amp;window=popup_no_bar&amp;width=385&amp;height=120&amp;START_MAXIMIZED=FALSE&amp;creator=factset&amp;display_string=Audit"}</definedName>
    <definedName name="_1197__FDSAUDITLINK__" hidden="1">{"fdsup://Directions/FactSet Auditing Viewer?action=AUDIT_VALUE&amp;DB=129&amp;ID1=25786710&amp;VALUEID=01001&amp;SDATE=200902&amp;PERIODTYPE=QTR_STD&amp;window=popup_no_bar&amp;width=385&amp;height=120&amp;START_MAXIMIZED=FALSE&amp;creator=factset&amp;display_string=Audit"}</definedName>
    <definedName name="_1198__FDSAUDITLINK__" hidden="1">{"fdsup://Directions/FactSet Auditing Viewer?action=AUDIT_VALUE&amp;DB=129&amp;ID1=25786710&amp;VALUEID=01001&amp;SDATE=201002&amp;PERIODTYPE=QTR_STD&amp;window=popup_no_bar&amp;width=385&amp;height=120&amp;START_MAXIMIZED=FALSE&amp;creator=factset&amp;display_string=Audit"}</definedName>
    <definedName name="_1199__FDSAUDITLINK__" hidden="1">{"fdsup://Directions/FactSet Auditing Viewer?action=AUDIT_VALUE&amp;DB=129&amp;ID1=75281A10&amp;VALUEID=01001&amp;SDATE=200902&amp;PERIODTYPE=QTR_STD&amp;window=popup_no_bar&amp;width=385&amp;height=120&amp;START_MAXIMIZED=FALSE&amp;creator=factset&amp;display_string=Audit"}</definedName>
    <definedName name="_12__123Graph_BTAX_CREDIT">#REF!</definedName>
    <definedName name="_12__FDSAUDITLINK__" hidden="1">{"fdsup://directions/FAT Viewer?action=UPDATE&amp;creator=factset&amp;DYN_ARGS=TRUE&amp;DOC_NAME=FAT:FQL_AUDITING_CLIENT_TEMPLATE.FAT&amp;display_string=Audit&amp;VAR:KEY=PUHKZEZKZC&amp;VAR:QUERY=RkZfRUJJVERBX09QRVIoUVRSLDQvMS8yMDEwLDYvMzAvMjAxMCwsLFVTRCk=&amp;WINDOW=FIRST_POPUP&amp;HEIGH","T=450&amp;WIDTH=450&amp;START_MAXIMIZED=FALSE&amp;VAR:CALENDAR=US&amp;VAR:SYMBOL=XRAY&amp;VAR:INDEX=0"}</definedName>
    <definedName name="_120__FDSAUDITLINK__" hidden="1">{"fdsup://directions/FAT Viewer?action=UPDATE&amp;creator=factset&amp;DYN_ARGS=TRUE&amp;DOC_NAME=FAT:FQL_AUDITING_CLIENT_TEMPLATE.FAT&amp;display_string=Audit&amp;VAR:KEY=BMPMZKPGHQ&amp;VAR:QUERY=RkZfRUJJVERBX09QRVIoUVRSLDQvMS8yMDEwLDYvMzAvMjAxMCwsLFVTRCk=&amp;WINDOW=FIRST_POPUP&amp;HEIGH","T=450&amp;WIDTH=450&amp;START_MAXIMIZED=FALSE&amp;VAR:CALENDAR=US&amp;VAR:SYMBOL=TLAB&amp;VAR:INDEX=0"}</definedName>
    <definedName name="_1200__FDSAUDITLINK__" hidden="1">{"fdsup://Directions/FactSet Auditing Viewer?action=AUDIT_VALUE&amp;DB=129&amp;ID1=75281A10&amp;VALUEID=01001&amp;SDATE=201002&amp;PERIODTYPE=QTR_STD&amp;window=popup_no_bar&amp;width=385&amp;height=120&amp;START_MAXIMIZED=FALSE&amp;creator=factset&amp;display_string=Audit"}</definedName>
    <definedName name="_1201__FDSAUDITLINK__" hidden="1">{"fdsup://Directions/FactSet Auditing Viewer?action=AUDIT_VALUE&amp;DB=129&amp;ID1=77829610&amp;VALUEID=01001&amp;SDATE=200901&amp;PERIODTYPE=QTR_STD&amp;window=popup_no_bar&amp;width=385&amp;height=120&amp;START_MAXIMIZED=FALSE&amp;creator=factset&amp;display_string=Audit"}</definedName>
    <definedName name="_1202__FDSAUDITLINK__" hidden="1">{"fdsup://Directions/FactSet Auditing Viewer?action=AUDIT_VALUE&amp;DB=129&amp;ID1=77829610&amp;VALUEID=01001&amp;SDATE=201001&amp;PERIODTYPE=QTR_STD&amp;window=popup_no_bar&amp;width=385&amp;height=120&amp;START_MAXIMIZED=FALSE&amp;creator=factset&amp;display_string=Audit"}</definedName>
    <definedName name="_1203__FDSAUDITLINK__" hidden="1">{"fdsup://Directions/FactSet Auditing Viewer?action=AUDIT_VALUE&amp;DB=129&amp;ID1=77669610&amp;VALUEID=01001&amp;SDATE=200902&amp;PERIODTYPE=QTR_STD&amp;window=popup_no_bar&amp;width=385&amp;height=120&amp;START_MAXIMIZED=FALSE&amp;creator=factset&amp;display_string=Audit"}</definedName>
    <definedName name="_1204__FDSAUDITLINK__" hidden="1">{"fdsup://Directions/FactSet Auditing Viewer?action=AUDIT_VALUE&amp;DB=129&amp;ID1=77669610&amp;VALUEID=01001&amp;SDATE=201002&amp;PERIODTYPE=QTR_STD&amp;window=popup_no_bar&amp;width=385&amp;height=120&amp;START_MAXIMIZED=FALSE&amp;creator=factset&amp;display_string=Audit"}</definedName>
    <definedName name="_1205__FDSAUDITLINK__" hidden="1">{"fdsup://Directions/FactSet Auditing Viewer?action=AUDIT_VALUE&amp;DB=129&amp;ID1=77390310&amp;VALUEID=01001&amp;SDATE=200903&amp;PERIODTYPE=QTR_STD&amp;window=popup_no_bar&amp;width=385&amp;height=120&amp;START_MAXIMIZED=FALSE&amp;creator=factset&amp;display_string=Audit"}</definedName>
    <definedName name="_1206__FDSAUDITLINK__" hidden="1">{"fdsup://Directions/FactSet Auditing Viewer?action=AUDIT_VALUE&amp;DB=129&amp;ID1=77390310&amp;VALUEID=01001&amp;SDATE=201003&amp;PERIODTYPE=QTR_STD&amp;window=popup_no_bar&amp;width=385&amp;height=120&amp;START_MAXIMIZED=FALSE&amp;creator=factset&amp;display_string=Audit"}</definedName>
    <definedName name="_1207__FDSAUDITLINK__" hidden="1">{"fdsup://Directions/FactSet Auditing Viewer?action=AUDIT_VALUE&amp;DB=129&amp;ID1=73157210&amp;VALUEID=01001&amp;SDATE=200901&amp;PERIODTYPE=QTR_STD&amp;window=popup_no_bar&amp;width=385&amp;height=120&amp;START_MAXIMIZED=FALSE&amp;creator=factset&amp;display_string=Audit"}</definedName>
    <definedName name="_1208__FDSAUDITLINK__" hidden="1">{"fdsup://Directions/FactSet Auditing Viewer?action=AUDIT_VALUE&amp;DB=129&amp;ID1=73157210&amp;VALUEID=01001&amp;SDATE=201001&amp;PERIODTYPE=QTR_STD&amp;window=popup_no_bar&amp;width=385&amp;height=120&amp;START_MAXIMIZED=FALSE&amp;creator=factset&amp;display_string=Audit"}</definedName>
    <definedName name="_1209__FDSAUDITLINK__" hidden="1">{"fdsup://Directions/FactSet Auditing Viewer?action=AUDIT_VALUE&amp;DB=129&amp;ID1=75657710&amp;VALUEID=01001&amp;SDATE=200901&amp;PERIODTYPE=QTR_STD&amp;window=popup_no_bar&amp;width=385&amp;height=120&amp;START_MAXIMIZED=FALSE&amp;creator=factset&amp;display_string=Audit"}</definedName>
    <definedName name="_121__FDSAUDITLINK__" hidden="1">{"fdsup://directions/FAT Viewer?action=UPDATE&amp;creator=factset&amp;DYN_ARGS=TRUE&amp;DOC_NAME=FAT:FQL_AUDITING_CLIENT_TEMPLATE.FAT&amp;display_string=Audit&amp;VAR:KEY=JWFYBQTANE&amp;VAR:QUERY=RkZfRUJJVERBX09QRVIoUVRSLDQvMS8yMDA5LDYvMzAvMjAwOSwsLFVTRCk=&amp;WINDOW=FIRST_POPUP&amp;HEIGH","T=450&amp;WIDTH=450&amp;START_MAXIMIZED=FALSE&amp;VAR:CALENDAR=US&amp;VAR:SYMBOL=TJX&amp;VAR:INDEX=0"}</definedName>
    <definedName name="_1210__FDSAUDITLINK__" hidden="1">{"fdsup://Directions/FactSet Auditing Viewer?action=AUDIT_VALUE&amp;DB=129&amp;ID1=75657710&amp;VALUEID=01001&amp;SDATE=201001&amp;PERIODTYPE=QTR_STD&amp;window=popup_no_bar&amp;width=385&amp;height=120&amp;START_MAXIMIZED=FALSE&amp;creator=factset&amp;display_string=Audit"}</definedName>
    <definedName name="_1211__FDSAUDITLINK__" hidden="1">{"fdsup://Directions/FactSet Auditing Viewer?action=AUDIT_VALUE&amp;DB=129&amp;ID1=77032310&amp;VALUEID=01001&amp;SDATE=200902&amp;PERIODTYPE=QTR_STD&amp;window=popup_no_bar&amp;width=385&amp;height=120&amp;START_MAXIMIZED=FALSE&amp;creator=factset&amp;display_string=Audit"}</definedName>
    <definedName name="_1212__FDSAUDITLINK__" hidden="1">{"fdsup://Directions/FactSet Auditing Viewer?action=AUDIT_VALUE&amp;DB=129&amp;ID1=77032310&amp;VALUEID=01001&amp;SDATE=201002&amp;PERIODTYPE=QTR_STD&amp;window=popup_no_bar&amp;width=385&amp;height=120&amp;START_MAXIMIZED=FALSE&amp;creator=factset&amp;display_string=Audit"}</definedName>
    <definedName name="_1213__FDSAUDITLINK__" hidden="1">{"fdsup://Directions/FactSet Auditing Viewer?action=AUDIT_VALUE&amp;DB=129&amp;ID1=77938210&amp;VALUEID=01001&amp;SDATE=200902&amp;PERIODTYPE=QTR_STD&amp;window=popup_no_bar&amp;width=385&amp;height=120&amp;START_MAXIMIZED=FALSE&amp;creator=factset&amp;display_string=Audit"}</definedName>
    <definedName name="_1214__FDSAUDITLINK__" hidden="1">{"fdsup://Directions/FactSet Auditing Viewer?action=AUDIT_VALUE&amp;DB=129&amp;ID1=77938210&amp;VALUEID=01001&amp;SDATE=201002&amp;PERIODTYPE=QTR_STD&amp;window=popup_no_bar&amp;width=385&amp;height=120&amp;START_MAXIMIZED=FALSE&amp;creator=factset&amp;display_string=Audit"}</definedName>
    <definedName name="_1215__FDSAUDITLINK__" hidden="1">{"fdsup://Directions/FactSet Auditing Viewer?action=AUDIT_VALUE&amp;DB=129&amp;ID1=76171310&amp;VALUEID=01001&amp;SDATE=200902&amp;PERIODTYPE=QTR_STD&amp;window=popup_no_bar&amp;width=385&amp;height=120&amp;START_MAXIMIZED=FALSE&amp;creator=factset&amp;display_string=Audit"}</definedName>
    <definedName name="_1216__FDSAUDITLINK__" hidden="1">{"fdsup://Directions/FactSet Auditing Viewer?action=AUDIT_VALUE&amp;DB=129&amp;ID1=76171310&amp;VALUEID=01001&amp;SDATE=201002&amp;PERIODTYPE=QTR_STD&amp;window=popup_no_bar&amp;width=385&amp;height=120&amp;START_MAXIMIZED=FALSE&amp;creator=factset&amp;display_string=Audit"}</definedName>
    <definedName name="_1217__FDSAUDITLINK__" hidden="1">{"fdsup://Directions/FactSet Auditing Viewer?action=AUDIT_VALUE&amp;DB=129&amp;ID1=78354910&amp;VALUEID=01001&amp;SDATE=200902&amp;PERIODTYPE=QTR_STD&amp;window=popup_no_bar&amp;width=385&amp;height=120&amp;START_MAXIMIZED=FALSE&amp;creator=factset&amp;display_string=Audit"}</definedName>
    <definedName name="_1218__FDSAUDITLINK__" hidden="1">{"fdsup://Directions/FactSet Auditing Viewer?action=AUDIT_VALUE&amp;DB=129&amp;ID1=78354910&amp;VALUEID=01001&amp;SDATE=201002&amp;PERIODTYPE=QTR_STD&amp;window=popup_no_bar&amp;width=385&amp;height=120&amp;START_MAXIMIZED=FALSE&amp;creator=factset&amp;display_string=Audit"}</definedName>
    <definedName name="_1219__FDSAUDITLINK__" hidden="1">{"fdsup://Directions/FactSet Auditing Viewer?action=AUDIT_VALUE&amp;DB=129&amp;ID1=74727710&amp;VALUEID=01001&amp;SDATE=200901&amp;PERIODTYPE=QTR_STD&amp;window=popup_no_bar&amp;width=385&amp;height=120&amp;START_MAXIMIZED=FALSE&amp;creator=factset&amp;display_string=Audit"}</definedName>
    <definedName name="_122__FDSAUDITLINK__" hidden="1">{"fdsup://directions/FAT Viewer?action=UPDATE&amp;creator=factset&amp;DYN_ARGS=TRUE&amp;DOC_NAME=FAT:FQL_AUDITING_CLIENT_TEMPLATE.FAT&amp;display_string=Audit&amp;VAR:KEY=VGXQFCRYZS&amp;VAR:QUERY=RkZfRUJJVERBX09QRVIoUVRSLDQvMS8yMDEwLDYvMzAvMjAxMCwsLFVTRCk=&amp;WINDOW=FIRST_POPUP&amp;HEIGH","T=450&amp;WIDTH=450&amp;START_MAXIMIZED=FALSE&amp;VAR:CALENDAR=US&amp;VAR:SYMBOL=TJX&amp;VAR:INDEX=0"}</definedName>
    <definedName name="_1220__FDSAUDITLINK__" hidden="1">{"fdsup://Directions/FactSet Auditing Viewer?action=AUDIT_VALUE&amp;DB=129&amp;ID1=74727710&amp;VALUEID=01001&amp;SDATE=201001&amp;PERIODTYPE=QTR_STD&amp;window=popup_no_bar&amp;width=385&amp;height=120&amp;START_MAXIMIZED=FALSE&amp;creator=factset&amp;display_string=Audit"}</definedName>
    <definedName name="_1221__FDSAUDITLINK__" hidden="1">{"fdsup://Directions/FactSet Auditing Viewer?action=AUDIT_VALUE&amp;DB=129&amp;ID1=74733V10&amp;VALUEID=01001&amp;SDATE=200902&amp;PERIODTYPE=QTR_STD&amp;window=popup_no_bar&amp;width=385&amp;height=120&amp;START_MAXIMIZED=FALSE&amp;creator=factset&amp;display_string=Audit"}</definedName>
    <definedName name="_1222__FDSAUDITLINK__" hidden="1">{"fdsup://Directions/FactSet Auditing Viewer?action=AUDIT_VALUE&amp;DB=129&amp;ID1=74733V10&amp;VALUEID=01001&amp;SDATE=201002&amp;PERIODTYPE=QTR_STD&amp;window=popup_no_bar&amp;width=385&amp;height=120&amp;START_MAXIMIZED=FALSE&amp;creator=factset&amp;display_string=Audit"}</definedName>
    <definedName name="_1223__FDSAUDITLINK__" hidden="1">{"fdsup://Directions/FactSet Auditing Viewer?action=AUDIT_VALUE&amp;DB=129&amp;ID1=74752510&amp;VALUEID=01001&amp;SDATE=200903&amp;PERIODTYPE=QTR_STD&amp;window=popup_no_bar&amp;width=385&amp;height=120&amp;START_MAXIMIZED=FALSE&amp;creator=factset&amp;display_string=Audit"}</definedName>
    <definedName name="_1224__FDSAUDITLINK__" hidden="1">{"fdsup://Directions/FactSet Auditing Viewer?action=AUDIT_VALUE&amp;DB=129&amp;ID1=74752510&amp;VALUEID=01001&amp;SDATE=201003&amp;PERIODTYPE=QTR_STD&amp;window=popup_no_bar&amp;width=385&amp;height=120&amp;START_MAXIMIZED=FALSE&amp;creator=factset&amp;display_string=Audit"}</definedName>
    <definedName name="_1225__FDSAUDITLINK__" hidden="1">{"fdsup://Directions/FactSet Auditing Viewer?action=AUDIT_VALUE&amp;DB=129&amp;ID1=74912110&amp;VALUEID=01001&amp;SDATE=200902&amp;PERIODTYPE=QTR_STD&amp;window=popup_no_bar&amp;width=385&amp;height=120&amp;START_MAXIMIZED=FALSE&amp;creator=factset&amp;display_string=Audit"}</definedName>
    <definedName name="_1226__FDSAUDITLINK__" hidden="1">{"fdsup://Directions/FactSet Auditing Viewer?action=AUDIT_VALUE&amp;DB=129&amp;ID1=74912110&amp;VALUEID=01001&amp;SDATE=201002&amp;PERIODTYPE=QTR_STD&amp;window=popup_no_bar&amp;width=385&amp;height=120&amp;START_MAXIMIZED=FALSE&amp;creator=factset&amp;display_string=Audit"}</definedName>
    <definedName name="_1227__FDSAUDITLINK__" hidden="1">{"fdsup://Directions/FactSet Auditing Viewer?action=AUDIT_VALUE&amp;DB=129&amp;ID1=72378710&amp;VALUEID=01001&amp;SDATE=200902&amp;PERIODTYPE=QTR_STD&amp;window=popup_no_bar&amp;width=385&amp;height=120&amp;START_MAXIMIZED=FALSE&amp;creator=factset&amp;display_string=Audit"}</definedName>
    <definedName name="_1228__FDSAUDITLINK__" hidden="1">{"fdsup://Directions/FactSet Auditing Viewer?action=AUDIT_VALUE&amp;DB=129&amp;ID1=72378710&amp;VALUEID=01001&amp;SDATE=201002&amp;PERIODTYPE=QTR_STD&amp;window=popup_no_bar&amp;width=385&amp;height=120&amp;START_MAXIMIZED=FALSE&amp;creator=factset&amp;display_string=Audit"}</definedName>
    <definedName name="_1229__FDSAUDITLINK__" hidden="1">{"fdsup://Directions/FactSet Auditing Viewer?action=AUDIT_VALUE&amp;DB=129&amp;ID1=74005P10&amp;VALUEID=01001&amp;SDATE=200902&amp;PERIODTYPE=QTR_STD&amp;window=popup_no_bar&amp;width=385&amp;height=120&amp;START_MAXIMIZED=FALSE&amp;creator=factset&amp;display_string=Audit"}</definedName>
    <definedName name="_123__FDSAUDITLINK__" hidden="1">{"fdsup://directions/FAT Viewer?action=UPDATE&amp;creator=factset&amp;DYN_ARGS=TRUE&amp;DOC_NAME=FAT:FQL_AUDITING_CLIENT_TEMPLATE.FAT&amp;display_string=Audit&amp;VAR:KEY=HURAZUZURW&amp;VAR:QUERY=RkZfRUJJVERBX09QRVIoUVRSLDQvMS8yMDA5LDYvMzAvMjAwOSwsLFVTRCk=&amp;WINDOW=FIRST_POPUP&amp;HEIGH","T=450&amp;WIDTH=450&amp;START_MAXIMIZED=FALSE&amp;VAR:CALENDAR=US&amp;VAR:SYMBOL=TIF&amp;VAR:INDEX=0"}</definedName>
    <definedName name="_1230__FDSAUDITLINK__" hidden="1">{"fdsup://Directions/FactSet Auditing Viewer?action=AUDIT_VALUE&amp;DB=129&amp;ID1=74005P10&amp;VALUEID=01001&amp;SDATE=201002&amp;PERIODTYPE=QTR_STD&amp;window=popup_no_bar&amp;width=385&amp;height=120&amp;START_MAXIMIZED=FALSE&amp;creator=factset&amp;display_string=Audit"}</definedName>
    <definedName name="_1231__FDSAUDITLINK__" hidden="1">{"fdsup://Directions/FactSet Auditing Viewer?action=AUDIT_VALUE&amp;DB=129&amp;ID1=74762E10&amp;VALUEID=01001&amp;SDATE=200902&amp;PERIODTYPE=QTR_STD&amp;window=popup_no_bar&amp;width=385&amp;height=120&amp;START_MAXIMIZED=FALSE&amp;creator=factset&amp;display_string=Audit"}</definedName>
    <definedName name="_1232__FDSAUDITLINK__" hidden="1">{"fdsup://Directions/FactSet Auditing Viewer?action=AUDIT_VALUE&amp;DB=129&amp;ID1=74762E10&amp;VALUEID=01001&amp;SDATE=201002&amp;PERIODTYPE=QTR_STD&amp;window=popup_no_bar&amp;width=385&amp;height=120&amp;START_MAXIMIZED=FALSE&amp;creator=factset&amp;display_string=Audit"}</definedName>
    <definedName name="_1233__FDSAUDITLINK__" hidden="1">{"fdsup://Directions/FactSet Auditing Viewer?action=AUDIT_VALUE&amp;DB=129&amp;ID1=69525710&amp;VALUEID=01001&amp;SDATE=200902&amp;PERIODTYPE=QTR_STD&amp;window=popup_no_bar&amp;width=385&amp;height=120&amp;START_MAXIMIZED=FALSE&amp;creator=factset&amp;display_string=Audit"}</definedName>
    <definedName name="_1234__FDSAUDITLINK__" hidden="1">{"fdsup://Directions/FactSet Auditing Viewer?action=AUDIT_VALUE&amp;DB=129&amp;ID1=69525710&amp;VALUEID=01001&amp;SDATE=201002&amp;PERIODTYPE=QTR_STD&amp;window=popup_no_bar&amp;width=385&amp;height=120&amp;START_MAXIMIZED=FALSE&amp;creator=factset&amp;display_string=Audit"}</definedName>
    <definedName name="_1235__FDSAUDITLINK__" hidden="1">{"fdsup://Directions/FactSet Auditing Viewer?action=AUDIT_VALUE&amp;DB=129&amp;ID1=74460D10&amp;VALUEID=01001&amp;SDATE=201002&amp;PERIODTYPE=QTR_STD&amp;window=popup_no_bar&amp;width=385&amp;height=120&amp;START_MAXIMIZED=FALSE&amp;creator=factset&amp;display_string=Audit"}</definedName>
    <definedName name="_1236__FDSAUDITLINK__" hidden="1">{"fdsup://Directions/FactSet Auditing Viewer?action=AUDIT_VALUE&amp;DB=129&amp;ID1=74432010&amp;VALUEID=01001&amp;SDATE=200902&amp;PERIODTYPE=QTR_STD&amp;window=popup_no_bar&amp;width=385&amp;height=120&amp;START_MAXIMIZED=FALSE&amp;creator=factset&amp;display_string=Audit"}</definedName>
    <definedName name="_1237__FDSAUDITLINK__" hidden="1">{"fdsup://Directions/FactSet Auditing Viewer?action=AUDIT_VALUE&amp;DB=129&amp;ID1=74432010&amp;VALUEID=01001&amp;SDATE=201002&amp;PERIODTYPE=QTR_STD&amp;window=popup_no_bar&amp;width=385&amp;height=120&amp;START_MAXIMIZED=FALSE&amp;creator=factset&amp;display_string=Audit"}</definedName>
    <definedName name="_1238__FDSAUDITLINK__" hidden="1">{"fdsup://Directions/FactSet Auditing Viewer?action=AUDIT_VALUE&amp;DB=129&amp;ID1=69351T10&amp;VALUEID=01001&amp;SDATE=200902&amp;PERIODTYPE=QTR_STD&amp;window=popup_no_bar&amp;width=385&amp;height=120&amp;START_MAXIMIZED=FALSE&amp;creator=factset&amp;display_string=Audit"}</definedName>
    <definedName name="_1239__FDSAUDITLINK__" hidden="1">{"fdsup://Directions/FactSet Auditing Viewer?action=AUDIT_VALUE&amp;DB=129&amp;ID1=69351T10&amp;VALUEID=01001&amp;SDATE=201002&amp;PERIODTYPE=QTR_STD&amp;window=popup_no_bar&amp;width=385&amp;height=120&amp;START_MAXIMIZED=FALSE&amp;creator=factset&amp;display_string=Audit"}</definedName>
    <definedName name="_124__FDSAUDITLINK__" hidden="1">{"fdsup://directions/FAT Viewer?action=UPDATE&amp;creator=factset&amp;DYN_ARGS=TRUE&amp;DOC_NAME=FAT:FQL_AUDITING_CLIENT_TEMPLATE.FAT&amp;display_string=Audit&amp;VAR:KEY=TYDCNKZMLE&amp;VAR:QUERY=RkZfRUJJVERBX09QRVIoUVRSLDQvMS8yMDEwLDYvMzAvMjAxMCwsLFVTRCk=&amp;WINDOW=FIRST_POPUP&amp;HEIGH","T=450&amp;WIDTH=450&amp;START_MAXIMIZED=FALSE&amp;VAR:CALENDAR=US&amp;VAR:SYMBOL=TIF&amp;VAR:INDEX=0"}</definedName>
    <definedName name="_1240__FDSAUDITLINK__" hidden="1">{"fdsup://Directions/FactSet Auditing Viewer?action=AUDIT_VALUE&amp;DB=129&amp;ID1=69350610&amp;VALUEID=01001&amp;SDATE=200902&amp;PERIODTYPE=QTR_STD&amp;window=popup_no_bar&amp;width=385&amp;height=120&amp;START_MAXIMIZED=FALSE&amp;creator=factset&amp;display_string=Audit"}</definedName>
    <definedName name="_1241__FDSAUDITLINK__" hidden="1">{"fdsup://Directions/FactSet Auditing Viewer?action=AUDIT_VALUE&amp;DB=129&amp;ID1=69350610&amp;VALUEID=01001&amp;SDATE=201002&amp;PERIODTYPE=QTR_STD&amp;window=popup_no_bar&amp;width=385&amp;height=120&amp;START_MAXIMIZED=FALSE&amp;creator=factset&amp;display_string=Audit"}</definedName>
    <definedName name="_1242__FDSAUDITLINK__" hidden="1">{"fdsup://Directions/FactSet Auditing Viewer?action=AUDIT_VALUE&amp;DB=129&amp;ID1=71329110&amp;VALUEID=01001&amp;SDATE=200902&amp;PERIODTYPE=QTR_STD&amp;window=popup_no_bar&amp;width=385&amp;height=120&amp;START_MAXIMIZED=FALSE&amp;creator=factset&amp;display_string=Audit"}</definedName>
    <definedName name="_1243__FDSAUDITLINK__" hidden="1">{"fdsup://Directions/FactSet Auditing Viewer?action=AUDIT_VALUE&amp;DB=129&amp;ID1=71329110&amp;VALUEID=01001&amp;SDATE=201002&amp;PERIODTYPE=QTR_STD&amp;window=popup_no_bar&amp;width=385&amp;height=120&amp;START_MAXIMIZED=FALSE&amp;creator=factset&amp;display_string=Audit"}</definedName>
    <definedName name="_1244__FDSAUDITLINK__" hidden="1">{"fdsup://Directions/FactSet Auditing Viewer?action=AUDIT_VALUE&amp;DB=129&amp;ID1=72348410&amp;VALUEID=01001&amp;SDATE=200902&amp;PERIODTYPE=QTR_STD&amp;window=popup_no_bar&amp;width=385&amp;height=120&amp;START_MAXIMIZED=FALSE&amp;creator=factset&amp;display_string=Audit"}</definedName>
    <definedName name="_1245__FDSAUDITLINK__" hidden="1">{"fdsup://Directions/FactSet Auditing Viewer?action=AUDIT_VALUE&amp;DB=129&amp;ID1=72348410&amp;VALUEID=01001&amp;SDATE=201002&amp;PERIODTYPE=QTR_STD&amp;window=popup_no_bar&amp;width=385&amp;height=120&amp;START_MAXIMIZED=FALSE&amp;creator=factset&amp;display_string=Audit"}</definedName>
    <definedName name="_1246__FDSAUDITLINK__" hidden="1">{"fdsup://Directions/FactSet Auditing Viewer?action=AUDIT_VALUE&amp;DB=129&amp;ID1=71817210&amp;VALUEID=01001&amp;SDATE=200902&amp;PERIODTYPE=QTR_STD&amp;window=popup_no_bar&amp;width=385&amp;height=120&amp;START_MAXIMIZED=FALSE&amp;creator=factset&amp;display_string=Audit"}</definedName>
    <definedName name="_1247__FDSAUDITLINK__" hidden="1">{"fdsup://Directions/FactSet Auditing Viewer?action=AUDIT_VALUE&amp;DB=129&amp;ID1=71817210&amp;VALUEID=01001&amp;SDATE=201002&amp;PERIODTYPE=QTR_STD&amp;window=popup_no_bar&amp;width=385&amp;height=120&amp;START_MAXIMIZED=FALSE&amp;creator=factset&amp;display_string=Audit"}</definedName>
    <definedName name="_1248__FDSAUDITLINK__" hidden="1">{"fdsup://Directions/FactSet Auditing Viewer?action=AUDIT_VALUE&amp;DB=129&amp;ID1=69642930&amp;VALUEID=01001&amp;SDATE=200903&amp;PERIODTYPE=QTR_STD&amp;window=popup_no_bar&amp;width=385&amp;height=120&amp;START_MAXIMIZED=FALSE&amp;creator=factset&amp;display_string=Audit"}</definedName>
    <definedName name="_1249__FDSAUDITLINK__" hidden="1">{"fdsup://Directions/FactSet Auditing Viewer?action=AUDIT_VALUE&amp;DB=129&amp;ID1=69642930&amp;VALUEID=01001&amp;SDATE=201003&amp;PERIODTYPE=QTR_STD&amp;window=popup_no_bar&amp;width=385&amp;height=120&amp;START_MAXIMIZED=FALSE&amp;creator=factset&amp;display_string=Audit"}</definedName>
    <definedName name="_125__FDSAUDITLINK__" hidden="1">{"fdsup://directions/FAT Viewer?action=UPDATE&amp;creator=factset&amp;DYN_ARGS=TRUE&amp;DOC_NAME=FAT:FQL_AUDITING_CLIENT_TEMPLATE.FAT&amp;display_string=Audit&amp;VAR:KEY=XSVCLKPKFQ&amp;VAR:QUERY=RkZfRUJJVERBX09QRVIoUVRSLDQvMS8yMDA5LDYvMzAvMjAwOSwsLFVTRCk=&amp;WINDOW=FIRST_POPUP&amp;HEIGH","T=450&amp;WIDTH=450&amp;START_MAXIMIZED=FALSE&amp;VAR:CALENDAR=US&amp;VAR:SYMBOL=TIE&amp;VAR:INDEX=0"}</definedName>
    <definedName name="_1250__FDSAUDITLINK__" hidden="1">{"fdsup://Directions/FactSet Auditing Viewer?action=AUDIT_VALUE&amp;DB=129&amp;ID1=74341010&amp;VALUEID=01001&amp;SDATE=200902&amp;PERIODTYPE=QTR_STD&amp;window=popup_no_bar&amp;width=385&amp;height=120&amp;START_MAXIMIZED=FALSE&amp;creator=factset&amp;display_string=Audit"}</definedName>
    <definedName name="_1251__FDSAUDITLINK__" hidden="1">{"fdsup://Directions/FactSet Auditing Viewer?action=AUDIT_VALUE&amp;DB=129&amp;ID1=74341010&amp;VALUEID=01001&amp;SDATE=201002&amp;PERIODTYPE=QTR_STD&amp;window=popup_no_bar&amp;width=385&amp;height=120&amp;START_MAXIMIZED=FALSE&amp;creator=factset&amp;display_string=Audit"}</definedName>
    <definedName name="_1252__FDSAUDITLINK__" hidden="1">{"fdsup://Directions/FactSet Auditing Viewer?action=AUDIT_VALUE&amp;DB=129&amp;ID1=71404610&amp;VALUEID=01001&amp;SDATE=200902&amp;PERIODTYPE=QTR_STD&amp;window=popup_no_bar&amp;width=385&amp;height=120&amp;START_MAXIMIZED=FALSE&amp;creator=factset&amp;display_string=Audit"}</definedName>
    <definedName name="_1253__FDSAUDITLINK__" hidden="1">{"fdsup://Directions/FactSet Auditing Viewer?action=AUDIT_VALUE&amp;DB=129&amp;ID1=71404610&amp;VALUEID=01001&amp;SDATE=201002&amp;PERIODTYPE=QTR_STD&amp;window=popup_no_bar&amp;width=385&amp;height=120&amp;START_MAXIMIZED=FALSE&amp;creator=factset&amp;display_string=Audit"}</definedName>
    <definedName name="_1254__FDSAUDITLINK__" hidden="1">{"fdsup://Directions/FactSet Auditing Viewer?action=AUDIT_VALUE&amp;DB=129&amp;ID1=74586710&amp;VALUEID=01001&amp;SDATE=200902&amp;PERIODTYPE=QTR_STD&amp;window=popup_no_bar&amp;width=385&amp;height=120&amp;START_MAXIMIZED=FALSE&amp;creator=factset&amp;display_string=Audit"}</definedName>
    <definedName name="_1255__FDSAUDITLINK__" hidden="1">{"fdsup://Directions/FactSet Auditing Viewer?action=AUDIT_VALUE&amp;DB=129&amp;ID1=74586710&amp;VALUEID=01001&amp;SDATE=201002&amp;PERIODTYPE=QTR_STD&amp;window=popup_no_bar&amp;width=385&amp;height=120&amp;START_MAXIMIZED=FALSE&amp;creator=factset&amp;display_string=Audit"}</definedName>
    <definedName name="_1256__FDSAUDITLINK__" hidden="1">{"fdsup://Directions/FactSet Auditing Viewer?action=AUDIT_VALUE&amp;DB=129&amp;ID1=70109410&amp;VALUEID=01001&amp;SDATE=200904&amp;PERIODTYPE=QTR_STD&amp;window=popup_no_bar&amp;width=385&amp;height=120&amp;START_MAXIMIZED=FALSE&amp;creator=factset&amp;display_string=Audit"}</definedName>
    <definedName name="_1257__FDSAUDITLINK__" hidden="1">{"fdsup://Directions/FactSet Auditing Viewer?action=AUDIT_VALUE&amp;DB=129&amp;ID1=70109410&amp;VALUEID=01001&amp;SDATE=201004&amp;PERIODTYPE=QTR_STD&amp;window=popup_no_bar&amp;width=385&amp;height=120&amp;START_MAXIMIZED=FALSE&amp;creator=factset&amp;display_string=Audit"}</definedName>
    <definedName name="_1258__FDSAUDITLINK__" hidden="1">{"fdsup://Directions/FactSet Auditing Viewer?action=AUDIT_VALUE&amp;DB=129&amp;ID1=74331510&amp;VALUEID=01001&amp;SDATE=200902&amp;PERIODTYPE=QTR_STD&amp;window=popup_no_bar&amp;width=385&amp;height=120&amp;START_MAXIMIZED=FALSE&amp;creator=factset&amp;display_string=Audit"}</definedName>
    <definedName name="_1259__FDSAUDITLINK__" hidden="1">{"fdsup://Directions/FactSet Auditing Viewer?action=AUDIT_VALUE&amp;DB=129&amp;ID1=74331510&amp;VALUEID=01001&amp;SDATE=201002&amp;PERIODTYPE=QTR_STD&amp;window=popup_no_bar&amp;width=385&amp;height=120&amp;START_MAXIMIZED=FALSE&amp;creator=factset&amp;display_string=Audit"}</definedName>
    <definedName name="_126__FDSAUDITLINK__" hidden="1">{"fdsup://directions/FAT Viewer?action=UPDATE&amp;creator=factset&amp;DYN_ARGS=TRUE&amp;DOC_NAME=FAT:FQL_AUDITING_CLIENT_TEMPLATE.FAT&amp;display_string=Audit&amp;VAR:KEY=FUJEFOPWTI&amp;VAR:QUERY=RkZfRUJJVERBX09QRVIoUVRSLDQvMS8yMDEwLDYvMzAvMjAxMCwsLFVTRCk=&amp;WINDOW=FIRST_POPUP&amp;HEIGH","T=450&amp;WIDTH=450&amp;START_MAXIMIZED=FALSE&amp;VAR:CALENDAR=US&amp;VAR:SYMBOL=TIE&amp;VAR:INDEX=0"}</definedName>
    <definedName name="_1260__FDSAUDITLINK__" hidden="1">{"fdsup://Directions/FactSet Auditing Viewer?action=AUDIT_VALUE&amp;DB=129&amp;ID1=74326310&amp;VALUEID=01001&amp;SDATE=200902&amp;PERIODTYPE=QTR_STD&amp;window=popup_no_bar&amp;width=385&amp;height=120&amp;START_MAXIMIZED=FALSE&amp;creator=factset&amp;display_string=Audit"}</definedName>
    <definedName name="_1261__FDSAUDITLINK__" hidden="1">{"fdsup://Directions/FactSet Auditing Viewer?action=AUDIT_VALUE&amp;DB=129&amp;ID1=74326310&amp;VALUEID=01001&amp;SDATE=201002&amp;PERIODTYPE=QTR_STD&amp;window=popup_no_bar&amp;width=385&amp;height=120&amp;START_MAXIMIZED=FALSE&amp;creator=factset&amp;display_string=Audit"}</definedName>
    <definedName name="_1262__FDSAUDITLINK__" hidden="1">{"fdsup://Directions/FactSet Auditing Viewer?action=AUDIT_VALUE&amp;DB=129&amp;ID1=74271810&amp;VALUEID=01001&amp;SDATE=201004&amp;PERIODTYPE=QTR_STD&amp;window=popup_no_bar&amp;width=385&amp;height=120&amp;START_MAXIMIZED=FALSE&amp;creator=factset&amp;display_string=Audit"}</definedName>
    <definedName name="_1263__FDSAUDITLINK__" hidden="1">{"fdsup://Directions/FactSet Auditing Viewer?action=AUDIT_VALUE&amp;DB=129&amp;ID1=74251V10&amp;VALUEID=01001&amp;SDATE=200902&amp;PERIODTYPE=QTR_STD&amp;window=popup_no_bar&amp;width=385&amp;height=120&amp;START_MAXIMIZED=FALSE&amp;creator=factset&amp;display_string=Audit"}</definedName>
    <definedName name="_1264__FDSAUDITLINK__" hidden="1">{"fdsup://Directions/FactSet Auditing Viewer?action=AUDIT_VALUE&amp;DB=129&amp;ID1=74251V10&amp;VALUEID=01001&amp;SDATE=201002&amp;PERIODTYPE=QTR_STD&amp;window=popup_no_bar&amp;width=385&amp;height=120&amp;START_MAXIMIZED=FALSE&amp;creator=factset&amp;display_string=Audit"}</definedName>
    <definedName name="_1265__FDSAUDITLINK__" hidden="1">{"fdsup://Directions/FactSet Auditing Viewer?action=AUDIT_VALUE&amp;DB=129&amp;ID1=71708110&amp;VALUEID=01001&amp;SDATE=200902&amp;PERIODTYPE=QTR_STD&amp;window=popup_no_bar&amp;width=385&amp;height=120&amp;START_MAXIMIZED=FALSE&amp;creator=factset&amp;display_string=Audit"}</definedName>
    <definedName name="_1266__FDSAUDITLINK__" hidden="1">{"fdsup://Directions/FactSet Auditing Viewer?action=AUDIT_VALUE&amp;DB=129&amp;ID1=71708110&amp;VALUEID=01001&amp;SDATE=201002&amp;PERIODTYPE=QTR_STD&amp;window=popup_no_bar&amp;width=385&amp;height=120&amp;START_MAXIMIZED=FALSE&amp;creator=factset&amp;display_string=Audit"}</definedName>
    <definedName name="_1267__FDSAUDITLINK__" hidden="1">{"fdsup://Directions/FactSet Auditing Viewer?action=AUDIT_VALUE&amp;DB=129&amp;ID1=71344810&amp;VALUEID=01001&amp;SDATE=200902&amp;PERIODTYPE=QTR_STD&amp;window=popup_no_bar&amp;width=385&amp;height=120&amp;START_MAXIMIZED=FALSE&amp;creator=factset&amp;display_string=Audit"}</definedName>
    <definedName name="_1268__FDSAUDITLINK__" hidden="1">{"fdsup://Directions/FactSet Auditing Viewer?action=AUDIT_VALUE&amp;DB=129&amp;ID1=71344810&amp;VALUEID=01001&amp;SDATE=201002&amp;PERIODTYPE=QTR_STD&amp;window=popup_no_bar&amp;width=385&amp;height=120&amp;START_MAXIMIZED=FALSE&amp;creator=factset&amp;display_string=Audit"}</definedName>
    <definedName name="_1269__FDSAUDITLINK__" hidden="1">{"fdsup://Directions/FactSet Auditing Viewer?action=AUDIT_VALUE&amp;DB=129&amp;ID1=74457310&amp;VALUEID=01001&amp;SDATE=200902&amp;PERIODTYPE=QTR_STD&amp;window=popup_no_bar&amp;width=385&amp;height=120&amp;START_MAXIMIZED=FALSE&amp;creator=factset&amp;display_string=Audit"}</definedName>
    <definedName name="_127__FDSAUDITLINK__" hidden="1">{"fdsup://directions/FAT Viewer?action=UPDATE&amp;creator=factset&amp;DYN_ARGS=TRUE&amp;DOC_NAME=FAT:FQL_AUDITING_CLIENT_TEMPLATE.FAT&amp;display_string=Audit&amp;VAR:KEY=TOBSLWLMLC&amp;VAR:QUERY=RkZfRUJJVERBX09QRVIoUVRSLDQvMS8yMDA5LDYvMzAvMjAwOSwsLFVTRCk=&amp;WINDOW=FIRST_POPUP&amp;HEIGH","T=450&amp;WIDTH=450&amp;START_MAXIMIZED=FALSE&amp;VAR:CALENDAR=US&amp;VAR:SYMBOL=THC&amp;VAR:INDEX=0"}</definedName>
    <definedName name="_1270__FDSAUDITLINK__" hidden="1">{"fdsup://Directions/FactSet Auditing Viewer?action=AUDIT_VALUE&amp;DB=129&amp;ID1=74457310&amp;VALUEID=01001&amp;SDATE=201002&amp;PERIODTYPE=QTR_STD&amp;window=popup_no_bar&amp;width=385&amp;height=120&amp;START_MAXIMIZED=FALSE&amp;creator=factset&amp;display_string=Audit"}</definedName>
    <definedName name="_1271__FDSAUDITLINK__" hidden="1">{"fdsup://Directions/FactSet Auditing Viewer?action=AUDIT_VALUE&amp;DB=129&amp;ID1=70339510&amp;VALUEID=01001&amp;SDATE=200904&amp;PERIODTYPE=QTR_STD&amp;window=popup_no_bar&amp;width=385&amp;height=120&amp;START_MAXIMIZED=FALSE&amp;creator=factset&amp;display_string=Audit"}</definedName>
    <definedName name="_1272__FDSAUDITLINK__" hidden="1">{"fdsup://Directions/FactSet Auditing Viewer?action=AUDIT_VALUE&amp;DB=129&amp;ID1=59170810&amp;VALUEID=01001&amp;SDATE=200902&amp;PERIODTYPE=QTR_STD&amp;window=popup_no_bar&amp;width=385&amp;height=120&amp;START_MAXIMIZED=FALSE&amp;creator=factset&amp;display_string=Audit"}</definedName>
    <definedName name="_1273__FDSAUDITLINK__" hidden="1">{"fdsup://Directions/FactSet Auditing Viewer?action=AUDIT_VALUE&amp;DB=129&amp;ID1=59170810&amp;VALUEID=01001&amp;SDATE=201002&amp;PERIODTYPE=QTR_STD&amp;window=popup_no_bar&amp;width=385&amp;height=120&amp;START_MAXIMIZED=FALSE&amp;creator=factset&amp;display_string=Audit"}</definedName>
    <definedName name="_1274__FDSAUDITLINK__" hidden="1">{"fdsup://Directions/FactSet Auditing Viewer?action=AUDIT_VALUE&amp;DB=129&amp;ID1=74018910&amp;VALUEID=01001&amp;SDATE=200901&amp;PERIODTYPE=QTR_STD&amp;window=popup_no_bar&amp;width=385&amp;height=120&amp;START_MAXIMIZED=FALSE&amp;creator=factset&amp;display_string=Audit"}</definedName>
    <definedName name="_1275__FDSAUDITLINK__" hidden="1">{"fdsup://Directions/FactSet Auditing Viewer?action=AUDIT_VALUE&amp;DB=129&amp;ID1=74018910&amp;VALUEID=01001&amp;SDATE=201001&amp;PERIODTYPE=QTR_STD&amp;window=popup_no_bar&amp;width=385&amp;height=120&amp;START_MAXIMIZED=FALSE&amp;creator=factset&amp;display_string=Audit"}</definedName>
    <definedName name="_1276__FDSAUDITLINK__" hidden="1">{"fdsup://Directions/FactSet Auditing Viewer?action=AUDIT_VALUE&amp;DB=129&amp;ID1=74150340&amp;VALUEID=01001&amp;SDATE=200902&amp;PERIODTYPE=QTR_STD&amp;window=popup_no_bar&amp;width=385&amp;height=120&amp;START_MAXIMIZED=FALSE&amp;creator=factset&amp;display_string=Audit"}</definedName>
    <definedName name="_1277__FDSAUDITLINK__" hidden="1">{"fdsup://Directions/FactSet Auditing Viewer?action=AUDIT_VALUE&amp;DB=129&amp;ID1=74150340&amp;VALUEID=01001&amp;SDATE=201002&amp;PERIODTYPE=QTR_STD&amp;window=popup_no_bar&amp;width=385&amp;height=120&amp;START_MAXIMIZED=FALSE&amp;creator=factset&amp;display_string=Audit"}</definedName>
    <definedName name="_1278__FDSAUDITLINK__" hidden="1">{"fdsup://Directions/FactSet Auditing Viewer?action=AUDIT_VALUE&amp;DB=129&amp;ID1=72925110&amp;VALUEID=01001&amp;SDATE=200902&amp;PERIODTYPE=QTR_STD&amp;window=popup_no_bar&amp;width=385&amp;height=120&amp;START_MAXIMIZED=FALSE&amp;creator=factset&amp;display_string=Audit"}</definedName>
    <definedName name="_1279__FDSAUDITLINK__" hidden="1">{"fdsup://Directions/FactSet Auditing Viewer?action=AUDIT_VALUE&amp;DB=129&amp;ID1=72925110&amp;VALUEID=01001&amp;SDATE=201002&amp;PERIODTYPE=QTR_STD&amp;window=popup_no_bar&amp;width=385&amp;height=120&amp;START_MAXIMIZED=FALSE&amp;creator=factset&amp;display_string=Audit"}</definedName>
    <definedName name="_128__FDSAUDITLINK__" hidden="1">{"fdsup://directions/FAT Viewer?action=UPDATE&amp;creator=factset&amp;DYN_ARGS=TRUE&amp;DOC_NAME=FAT:FQL_AUDITING_CLIENT_TEMPLATE.FAT&amp;display_string=Audit&amp;VAR:KEY=LSPGVEPGDO&amp;VAR:QUERY=RkZfRUJJVERBX09QRVIoUVRSLDQvMS8yMDEwLDYvMzAvMjAxMCwsLFVTRCk=&amp;WINDOW=FIRST_POPUP&amp;HEIGH","T=450&amp;WIDTH=450&amp;START_MAXIMIZED=FALSE&amp;VAR:CALENDAR=US&amp;VAR:SYMBOL=THC&amp;VAR:INDEX=0"}</definedName>
    <definedName name="_1280__FDSAUDITLINK__" hidden="1">{"fdsup://Directions/FactSet Auditing Viewer?action=AUDIT_VALUE&amp;DB=129&amp;ID1=69331C10&amp;VALUEID=01001&amp;SDATE=200902&amp;PERIODTYPE=QTR_STD&amp;window=popup_no_bar&amp;width=385&amp;height=120&amp;START_MAXIMIZED=FALSE&amp;creator=factset&amp;display_string=Audit"}</definedName>
    <definedName name="_1281__FDSAUDITLINK__" hidden="1">{"fdsup://Directions/FactSet Auditing Viewer?action=AUDIT_VALUE&amp;DB=129&amp;ID1=69331C10&amp;VALUEID=01001&amp;SDATE=201002&amp;PERIODTYPE=QTR_STD&amp;window=popup_no_bar&amp;width=385&amp;height=120&amp;START_MAXIMIZED=FALSE&amp;creator=factset&amp;display_string=Audit"}</definedName>
    <definedName name="_1282__FDSAUDITLINK__" hidden="1">{"fdsup://Directions/FactSet Auditing Viewer?action=AUDIT_VALUE&amp;DB=129&amp;ID1=69371810&amp;VALUEID=01001&amp;SDATE=200902&amp;PERIODTYPE=QTR_STD&amp;window=popup_no_bar&amp;width=385&amp;height=120&amp;START_MAXIMIZED=FALSE&amp;creator=factset&amp;display_string=Audit"}</definedName>
    <definedName name="_1283__FDSAUDITLINK__" hidden="1">{"fdsup://Directions/FactSet Auditing Viewer?action=AUDIT_VALUE&amp;DB=129&amp;ID1=69371810&amp;VALUEID=01001&amp;SDATE=201002&amp;PERIODTYPE=QTR_STD&amp;window=popup_no_bar&amp;width=385&amp;height=120&amp;START_MAXIMIZED=FALSE&amp;creator=factset&amp;display_string=Audit"}</definedName>
    <definedName name="_1284__FDSAUDITLINK__" hidden="1">{"fdsup://Directions/FactSet Auditing Viewer?action=AUDIT_VALUE&amp;DB=129&amp;ID1=72447910&amp;VALUEID=01001&amp;SDATE=200902&amp;PERIODTYPE=QTR_STD&amp;window=popup_no_bar&amp;width=385&amp;height=120&amp;START_MAXIMIZED=FALSE&amp;creator=factset&amp;display_string=Audit"}</definedName>
    <definedName name="_1285__FDSAUDITLINK__" hidden="1">{"fdsup://Directions/FactSet Auditing Viewer?action=AUDIT_VALUE&amp;DB=129&amp;ID1=72447910&amp;VALUEID=01001&amp;SDATE=201002&amp;PERIODTYPE=QTR_STD&amp;window=popup_no_bar&amp;width=385&amp;height=120&amp;START_MAXIMIZED=FALSE&amp;creator=factset&amp;display_string=Audit"}</definedName>
    <definedName name="_1286__FDSAUDITLINK__" hidden="1">{"fdsup://Directions/FactSet Auditing Viewer?action=AUDIT_VALUE&amp;DB=129&amp;ID1=70432610&amp;VALUEID=01001&amp;SDATE=200804&amp;PERIODTYPE=QTR_STD&amp;window=popup_no_bar&amp;width=385&amp;height=120&amp;START_MAXIMIZED=FALSE&amp;creator=factset&amp;display_string=Audit"}</definedName>
    <definedName name="_1287__FDSAUDITLINK__" hidden="1">{"fdsup://Directions/FactSet Auditing Viewer?action=AUDIT_VALUE&amp;DB=129&amp;ID1=70432610&amp;VALUEID=01001&amp;SDATE=200904&amp;PERIODTYPE=QTR_STD&amp;window=popup_no_bar&amp;width=385&amp;height=120&amp;START_MAXIMIZED=FALSE&amp;creator=factset&amp;display_string=Audit"}</definedName>
    <definedName name="_1288__FDSAUDITLINK__" hidden="1">{"fdsup://Directions/FactSet Auditing Viewer?action=AUDIT_VALUE&amp;DB=129&amp;ID1=67459910&amp;VALUEID=01001&amp;SDATE=200902&amp;PERIODTYPE=QTR_STD&amp;window=popup_no_bar&amp;width=385&amp;height=120&amp;START_MAXIMIZED=FALSE&amp;creator=factset&amp;display_string=Audit"}</definedName>
    <definedName name="_1289__FDSAUDITLINK__" hidden="1">{"fdsup://Directions/FactSet Auditing Viewer?action=AUDIT_VALUE&amp;DB=129&amp;ID1=67459910&amp;VALUEID=01001&amp;SDATE=201002&amp;PERIODTYPE=QTR_STD&amp;window=popup_no_bar&amp;width=385&amp;height=120&amp;START_MAXIMIZED=FALSE&amp;creator=factset&amp;display_string=Audit"}</definedName>
    <definedName name="_129__FDSAUDITLINK__" hidden="1">{"fdsup://directions/FAT Viewer?action=UPDATE&amp;creator=factset&amp;DYN_ARGS=TRUE&amp;DOC_NAME=FAT:FQL_AUDITING_CLIENT_TEMPLATE.FAT&amp;display_string=Audit&amp;VAR:KEY=JYPWHKZYNU&amp;VAR:QUERY=RkZfRUJJVERBX09QRVIoUVRSLDQvMS8yMDA5LDYvMzAvMjAwOSwsLFVTRCk=&amp;WINDOW=FIRST_POPUP&amp;HEIGH","T=450&amp;WIDTH=450&amp;START_MAXIMIZED=FALSE&amp;VAR:CALENDAR=US&amp;VAR:SYMBOL=TGT&amp;VAR:INDEX=0"}</definedName>
    <definedName name="_1290__FDSAUDITLINK__" hidden="1">{"fdsup://Directions/FactSet Auditing Viewer?action=AUDIT_VALUE&amp;DB=129&amp;ID1=68609110&amp;VALUEID=01001&amp;SDATE=200902&amp;PERIODTYPE=QTR_STD&amp;window=popup_no_bar&amp;width=385&amp;height=120&amp;START_MAXIMIZED=FALSE&amp;creator=factset&amp;display_string=Audit"}</definedName>
    <definedName name="_1291__FDSAUDITLINK__" hidden="1">{"fdsup://Directions/FactSet Auditing Viewer?action=AUDIT_VALUE&amp;DB=129&amp;ID1=68609110&amp;VALUEID=01001&amp;SDATE=201002&amp;PERIODTYPE=QTR_STD&amp;window=popup_no_bar&amp;width=385&amp;height=120&amp;START_MAXIMIZED=FALSE&amp;creator=factset&amp;display_string=Audit"}</definedName>
    <definedName name="_1292__FDSAUDITLINK__" hidden="1">{"fdsup://Directions/FactSet Auditing Viewer?action=AUDIT_VALUE&amp;DB=129&amp;ID1=68389X10&amp;VALUEID=01001&amp;SDATE=200804&amp;PERIODTYPE=QTR_STD&amp;window=popup_no_bar&amp;width=385&amp;height=120&amp;START_MAXIMIZED=FALSE&amp;creator=factset&amp;display_string=Audit"}</definedName>
    <definedName name="_1293__FDSAUDITLINK__" hidden="1">{"fdsup://Directions/FactSet Auditing Viewer?action=AUDIT_VALUE&amp;DB=129&amp;ID1=68389X10&amp;VALUEID=01001&amp;SDATE=200904&amp;PERIODTYPE=QTR_STD&amp;window=popup_no_bar&amp;width=385&amp;height=120&amp;START_MAXIMIZED=FALSE&amp;creator=factset&amp;display_string=Audit"}</definedName>
    <definedName name="_1294__FDSAUDITLINK__" hidden="1">{"fdsup://Directions/FactSet Auditing Viewer?action=AUDIT_VALUE&amp;DB=129&amp;ID1=68191910&amp;VALUEID=01001&amp;SDATE=200902&amp;PERIODTYPE=QTR_STD&amp;window=popup_no_bar&amp;width=385&amp;height=120&amp;START_MAXIMIZED=FALSE&amp;creator=factset&amp;display_string=Audit"}</definedName>
    <definedName name="_1295__FDSAUDITLINK__" hidden="1">{"fdsup://Directions/FactSet Auditing Viewer?action=AUDIT_VALUE&amp;DB=129&amp;ID1=68191910&amp;VALUEID=01001&amp;SDATE=201002&amp;PERIODTYPE=QTR_STD&amp;window=popup_no_bar&amp;width=385&amp;height=120&amp;START_MAXIMIZED=FALSE&amp;creator=factset&amp;display_string=Audit"}</definedName>
    <definedName name="_1296__FDSAUDITLINK__" hidden="1">{"fdsup://Directions/FactSet Auditing Viewer?action=AUDIT_VALUE&amp;DB=129&amp;ID1=68268010&amp;VALUEID=01001&amp;SDATE=200902&amp;PERIODTYPE=QTR_STD&amp;window=popup_no_bar&amp;width=385&amp;height=120&amp;START_MAXIMIZED=FALSE&amp;creator=factset&amp;display_string=Audit"}</definedName>
    <definedName name="_1297__FDSAUDITLINK__" hidden="1">{"fdsup://Directions/FactSet Auditing Viewer?action=AUDIT_VALUE&amp;DB=129&amp;ID1=68268010&amp;VALUEID=01001&amp;SDATE=201002&amp;PERIODTYPE=QTR_STD&amp;window=popup_no_bar&amp;width=385&amp;height=120&amp;START_MAXIMIZED=FALSE&amp;creator=factset&amp;display_string=Audit"}</definedName>
    <definedName name="_1298__FDSAUDITLINK__" hidden="1">{"fdsup://Directions/FactSet Auditing Viewer?action=AUDIT_VALUE&amp;DB=129&amp;ID1=69076840&amp;VALUEID=01001&amp;SDATE=200902&amp;PERIODTYPE=QTR_STD&amp;window=popup_no_bar&amp;width=385&amp;height=120&amp;START_MAXIMIZED=FALSE&amp;creator=factset&amp;display_string=Audit"}</definedName>
    <definedName name="_1299__FDSAUDITLINK__" hidden="1">{"fdsup://Directions/FactSet Auditing Viewer?action=AUDIT_VALUE&amp;DB=129&amp;ID1=69076840&amp;VALUEID=01001&amp;SDATE=201002&amp;PERIODTYPE=QTR_STD&amp;window=popup_no_bar&amp;width=385&amp;height=120&amp;START_MAXIMIZED=FALSE&amp;creator=factset&amp;display_string=Audit"}</definedName>
    <definedName name="_13__123Graph_AQRE_S_BY_TYPE">#REF!</definedName>
    <definedName name="_13__123Graph_BWAGES_BY_B_U">#REF!</definedName>
    <definedName name="_13__FDSAUDITLINK__" hidden="1">{"fdsup://directions/FAT Viewer?action=UPDATE&amp;creator=factset&amp;DYN_ARGS=TRUE&amp;DOC_NAME=FAT:FQL_AUDITING_CLIENT_TEMPLATE.FAT&amp;display_string=Audit&amp;VAR:KEY=BINEHMDYHG&amp;VAR:QUERY=RkZfRUJJVERBX09QRVIoUVRSLDQvMS8yMDA5LDYvMzAvMjAwOSwsLFVTRCk=&amp;WINDOW=FIRST_POPUP&amp;HEIGH","T=450&amp;WIDTH=450&amp;START_MAXIMIZED=FALSE&amp;VAR:CALENDAR=US&amp;VAR:SYMBOL=XOM&amp;VAR:INDEX=0"}</definedName>
    <definedName name="_130__FDSAUDITLINK__" hidden="1">{"fdsup://directions/FAT Viewer?action=UPDATE&amp;creator=factset&amp;DYN_ARGS=TRUE&amp;DOC_NAME=FAT:FQL_AUDITING_CLIENT_TEMPLATE.FAT&amp;display_string=Audit&amp;VAR:KEY=PKBKPYHWZE&amp;VAR:QUERY=RkZfRUJJVERBX09QRVIoUVRSLDQvMS8yMDEwLDYvMzAvMjAxMCwsLFVTRCk=&amp;WINDOW=FIRST_POPUP&amp;HEIGH","T=450&amp;WIDTH=450&amp;START_MAXIMIZED=FALSE&amp;VAR:CALENDAR=US&amp;VAR:SYMBOL=TGT&amp;VAR:INDEX=0"}</definedName>
    <definedName name="_1300__FDSAUDITLINK__" hidden="1">{"fdsup://Directions/FactSet Auditing Viewer?action=AUDIT_VALUE&amp;DB=129&amp;ID1=67622010&amp;VALUEID=01001&amp;SDATE=200902&amp;PERIODTYPE=QTR_STD&amp;window=popup_no_bar&amp;width=385&amp;height=120&amp;START_MAXIMIZED=FALSE&amp;creator=factset&amp;display_string=Audit"}</definedName>
    <definedName name="_1301__FDSAUDITLINK__" hidden="1">{"fdsup://Directions/FactSet Auditing Viewer?action=AUDIT_VALUE&amp;DB=129&amp;ID1=67622010&amp;VALUEID=01001&amp;SDATE=201002&amp;PERIODTYPE=QTR_STD&amp;window=popup_no_bar&amp;width=385&amp;height=120&amp;START_MAXIMIZED=FALSE&amp;creator=factset&amp;display_string=Audit"}</definedName>
    <definedName name="_1302__FDSAUDITLINK__" hidden="1">{"fdsup://Directions/FactSet Auditing Viewer?action=AUDIT_VALUE&amp;DB=129&amp;ID1=62949110&amp;VALUEID=01001&amp;SDATE=200902&amp;PERIODTYPE=QTR_STD&amp;window=popup_no_bar&amp;width=385&amp;height=120&amp;START_MAXIMIZED=FALSE&amp;creator=factset&amp;display_string=Audit"}</definedName>
    <definedName name="_1303__FDSAUDITLINK__" hidden="1">{"fdsup://Directions/FactSet Auditing Viewer?action=AUDIT_VALUE&amp;DB=129&amp;ID1=62949110&amp;VALUEID=01001&amp;SDATE=201002&amp;PERIODTYPE=QTR_STD&amp;window=popup_no_bar&amp;width=385&amp;height=120&amp;START_MAXIMIZED=FALSE&amp;creator=factset&amp;display_string=Audit"}</definedName>
    <definedName name="_1304__FDSAUDITLINK__" hidden="1">{"fdsup://Directions/FactSet Auditing Viewer?action=AUDIT_VALUE&amp;DB=129&amp;ID1=65011110&amp;VALUEID=01001&amp;SDATE=201002&amp;PERIODTYPE=QTR_STD&amp;window=popup_no_bar&amp;width=385&amp;height=120&amp;START_MAXIMIZED=FALSE&amp;creator=factset&amp;display_string=Audit"}</definedName>
    <definedName name="_1305__FDSAUDITLINK__" hidden="1">{"fdsup://Directions/FactSet Auditing Viewer?action=AUDIT_VALUE&amp;DB=129&amp;ID1=65248E10&amp;VALUEID=01001&amp;SDATE=200904&amp;PERIODTYPE=QTR_STD&amp;window=popup_no_bar&amp;width=385&amp;height=120&amp;START_MAXIMIZED=FALSE&amp;creator=factset&amp;display_string=Audit"}</definedName>
    <definedName name="_1306__FDSAUDITLINK__" hidden="1">{"fdsup://Directions/FactSet Auditing Viewer?action=AUDIT_VALUE&amp;DB=129&amp;ID1=65248E10&amp;VALUEID=01001&amp;SDATE=201004&amp;PERIODTYPE=QTR_STD&amp;window=popup_no_bar&amp;width=385&amp;height=120&amp;START_MAXIMIZED=FALSE&amp;creator=factset&amp;display_string=Audit"}</definedName>
    <definedName name="_1307__FDSAUDITLINK__" hidden="1">{"fdsup://Directions/FactSet Auditing Viewer?action=AUDIT_VALUE&amp;DB=129&amp;ID1=65122910&amp;VALUEID=01001&amp;SDATE=200902&amp;PERIODTYPE=QTR_STD&amp;window=popup_no_bar&amp;width=385&amp;height=120&amp;START_MAXIMIZED=FALSE&amp;creator=factset&amp;display_string=Audit"}</definedName>
    <definedName name="_1308__FDSAUDITLINK__" hidden="1">{"fdsup://Directions/FactSet Auditing Viewer?action=AUDIT_VALUE&amp;DB=129&amp;ID1=65122910&amp;VALUEID=01001&amp;SDATE=201002&amp;PERIODTYPE=QTR_STD&amp;window=popup_no_bar&amp;width=385&amp;height=120&amp;START_MAXIMIZED=FALSE&amp;creator=factset&amp;display_string=Audit"}</definedName>
    <definedName name="_1309__FDSAUDITLINK__" hidden="1">{"fdsup://Directions/FactSet Auditing Viewer?action=AUDIT_VALUE&amp;DB=129&amp;ID1=67000810&amp;VALUEID=01001&amp;SDATE=200902&amp;PERIODTYPE=QTR_STD&amp;window=popup_no_bar&amp;width=385&amp;height=120&amp;START_MAXIMIZED=FALSE&amp;creator=factset&amp;display_string=Audit"}</definedName>
    <definedName name="_131__FDSAUDITLINK__" hidden="1">{"fdsup://directions/FAT Viewer?action=UPDATE&amp;creator=factset&amp;DYN_ARGS=TRUE&amp;DOC_NAME=FAT:FQL_AUDITING_CLIENT_TEMPLATE.FAT&amp;display_string=Audit&amp;VAR:KEY=XGVSRYFEJG&amp;VAR:QUERY=RkZfRUJJVERBX09QRVIoUVRSLDQvMS8yMDA5LDYvMzAvMjAwOSwsLFVTRCk=&amp;WINDOW=FIRST_POPUP&amp;HEIGH","T=450&amp;WIDTH=450&amp;START_MAXIMIZED=FALSE&amp;VAR:CALENDAR=US&amp;VAR:SYMBOL=TER&amp;VAR:INDEX=0"}</definedName>
    <definedName name="_1310__FDSAUDITLINK__" hidden="1">{"fdsup://Directions/FactSet Auditing Viewer?action=AUDIT_VALUE&amp;DB=129&amp;ID1=67000810&amp;VALUEID=01001&amp;SDATE=201002&amp;PERIODTYPE=QTR_STD&amp;window=popup_no_bar&amp;width=385&amp;height=120&amp;START_MAXIMIZED=FALSE&amp;creator=factset&amp;display_string=Audit"}</definedName>
    <definedName name="_1311__FDSAUDITLINK__" hidden="1">{"fdsup://Directions/FactSet Auditing Viewer?action=AUDIT_VALUE&amp;DB=129&amp;ID1=67066G10&amp;VALUEID=01001&amp;SDATE=201001&amp;PERIODTYPE=QTR_STD&amp;window=popup_no_bar&amp;width=385&amp;height=120&amp;START_MAXIMIZED=FALSE&amp;creator=factset&amp;display_string=Audit"}</definedName>
    <definedName name="_1312__FDSAUDITLINK__" hidden="1">{"fdsup://Directions/FactSet Auditing Viewer?action=AUDIT_VALUE&amp;DB=129&amp;ID1=67034610&amp;VALUEID=01001&amp;SDATE=200902&amp;PERIODTYPE=QTR_STD&amp;window=popup_no_bar&amp;width=385&amp;height=120&amp;START_MAXIMIZED=FALSE&amp;creator=factset&amp;display_string=Audit"}</definedName>
    <definedName name="_1313__FDSAUDITLINK__" hidden="1">{"fdsup://Directions/FactSet Auditing Viewer?action=AUDIT_VALUE&amp;DB=129&amp;ID1=67034610&amp;VALUEID=01001&amp;SDATE=201002&amp;PERIODTYPE=QTR_STD&amp;window=popup_no_bar&amp;width=385&amp;height=120&amp;START_MAXIMIZED=FALSE&amp;creator=factset&amp;display_string=Audit"}</definedName>
    <definedName name="_1314__FDSAUDITLINK__" hidden="1">{"fdsup://Directions/FactSet Auditing Viewer?action=AUDIT_VALUE&amp;DB=129&amp;ID1=66439710&amp;VALUEID=01001&amp;SDATE=200902&amp;PERIODTYPE=QTR_STD&amp;window=popup_no_bar&amp;width=385&amp;height=120&amp;START_MAXIMIZED=FALSE&amp;creator=factset&amp;display_string=Audit"}</definedName>
    <definedName name="_1315__FDSAUDITLINK__" hidden="1">{"fdsup://Directions/FactSet Auditing Viewer?action=AUDIT_VALUE&amp;DB=129&amp;ID1=66439710&amp;VALUEID=01001&amp;SDATE=201002&amp;PERIODTYPE=QTR_STD&amp;window=popup_no_bar&amp;width=385&amp;height=120&amp;START_MAXIMIZED=FALSE&amp;creator=factset&amp;display_string=Audit"}</definedName>
    <definedName name="_1316__FDSAUDITLINK__" hidden="1">{"fdsup://Directions/FactSet Auditing Viewer?action=AUDIT_VALUE&amp;DB=129&amp;ID1=64110D10&amp;VALUEID=01001&amp;SDATE=200904&amp;PERIODTYPE=QTR_STD&amp;window=popup_no_bar&amp;width=385&amp;height=120&amp;START_MAXIMIZED=FALSE&amp;creator=factset&amp;display_string=Audit"}</definedName>
    <definedName name="_1317__FDSAUDITLINK__" hidden="1">{"fdsup://Directions/FactSet Auditing Viewer?action=AUDIT_VALUE&amp;DB=129&amp;ID1=63764010&amp;VALUEID=01001&amp;SDATE=200904&amp;PERIODTYPE=QTR_STD&amp;window=popup_no_bar&amp;width=385&amp;height=120&amp;START_MAXIMIZED=FALSE&amp;creator=factset&amp;display_string=Audit"}</definedName>
    <definedName name="_1318__FDSAUDITLINK__" hidden="1">{"fdsup://Directions/FactSet Auditing Viewer?action=AUDIT_VALUE&amp;DB=129&amp;ID1=65584410&amp;VALUEID=01001&amp;SDATE=200902&amp;PERIODTYPE=QTR_STD&amp;window=popup_no_bar&amp;width=385&amp;height=120&amp;START_MAXIMIZED=FALSE&amp;creator=factset&amp;display_string=Audit"}</definedName>
    <definedName name="_1319__FDSAUDITLINK__" hidden="1">{"fdsup://Directions/FactSet Auditing Viewer?action=AUDIT_VALUE&amp;DB=129&amp;ID1=65584410&amp;VALUEID=01001&amp;SDATE=201002&amp;PERIODTYPE=QTR_STD&amp;window=popup_no_bar&amp;width=385&amp;height=120&amp;START_MAXIMIZED=FALSE&amp;creator=factset&amp;display_string=Audit"}</definedName>
    <definedName name="_132__FDSAUDITLINK__" hidden="1">{"fdsup://directions/FAT Viewer?action=UPDATE&amp;creator=factset&amp;DYN_ARGS=TRUE&amp;DOC_NAME=FAT:FQL_AUDITING_CLIENT_TEMPLATE.FAT&amp;display_string=Audit&amp;VAR:KEY=FAFSTSPCHM&amp;VAR:QUERY=RkZfRUJJVERBX09QRVIoUVRSLDQvMS8yMDEwLDYvMzAvMjAxMCwsLFVTRCk=&amp;WINDOW=FIRST_POPUP&amp;HEIGH","T=450&amp;WIDTH=450&amp;START_MAXIMIZED=FALSE&amp;VAR:CALENDAR=US&amp;VAR:SYMBOL=TER&amp;VAR:INDEX=0"}</definedName>
    <definedName name="_1320__FDSAUDITLINK__" hidden="1">{"fdsup://Directions/FactSet Auditing Viewer?action=AUDIT_VALUE&amp;DB=129&amp;ID1=62937750&amp;VALUEID=01001&amp;SDATE=200902&amp;PERIODTYPE=QTR_STD&amp;window=popup_no_bar&amp;width=385&amp;height=120&amp;START_MAXIMIZED=FALSE&amp;creator=factset&amp;display_string=Audit"}</definedName>
    <definedName name="_1321__FDSAUDITLINK__" hidden="1">{"fdsup://Directions/FactSet Auditing Viewer?action=AUDIT_VALUE&amp;DB=129&amp;ID1=62937750&amp;VALUEID=01001&amp;SDATE=201002&amp;PERIODTYPE=QTR_STD&amp;window=popup_no_bar&amp;width=385&amp;height=120&amp;START_MAXIMIZED=FALSE&amp;creator=factset&amp;display_string=Audit"}</definedName>
    <definedName name="_1322__FDSAUDITLINK__" hidden="1">{"fdsup://Directions/FactSet Auditing Viewer?action=AUDIT_VALUE&amp;DB=129&amp;ID1=67000610&amp;VALUEID=01001&amp;SDATE=201002&amp;PERIODTYPE=QTR_STD&amp;window=popup_no_bar&amp;width=385&amp;height=120&amp;START_MAXIMIZED=FALSE&amp;creator=factset&amp;display_string=Audit"}</definedName>
    <definedName name="_1323__FDSAUDITLINK__" hidden="1">{"fdsup://Directions/FactSet Auditing Viewer?action=AUDIT_VALUE&amp;DB=129&amp;ID1=63707110&amp;VALUEID=01001&amp;SDATE=200902&amp;PERIODTYPE=QTR_STD&amp;window=popup_no_bar&amp;width=385&amp;height=120&amp;START_MAXIMIZED=FALSE&amp;creator=factset&amp;display_string=Audit"}</definedName>
    <definedName name="_1324__FDSAUDITLINK__" hidden="1">{"fdsup://Directions/FactSet Auditing Viewer?action=AUDIT_VALUE&amp;DB=129&amp;ID1=63707110&amp;VALUEID=01001&amp;SDATE=201002&amp;PERIODTYPE=QTR_STD&amp;window=popup_no_bar&amp;width=385&amp;height=120&amp;START_MAXIMIZED=FALSE&amp;creator=factset&amp;display_string=Audit"}</definedName>
    <definedName name="_1325__FDSAUDITLINK__" hidden="1">{"fdsup://Directions/FactSet Auditing Viewer?action=AUDIT_VALUE&amp;DB=129&amp;ID1=66680710&amp;VALUEID=01001&amp;SDATE=200902&amp;PERIODTYPE=QTR_STD&amp;window=popup_no_bar&amp;width=385&amp;height=120&amp;START_MAXIMIZED=FALSE&amp;creator=factset&amp;display_string=Audit"}</definedName>
    <definedName name="_1326__FDSAUDITLINK__" hidden="1">{"fdsup://Directions/FactSet Auditing Viewer?action=AUDIT_VALUE&amp;DB=129&amp;ID1=66680710&amp;VALUEID=01001&amp;SDATE=201002&amp;PERIODTYPE=QTR_STD&amp;window=popup_no_bar&amp;width=385&amp;height=120&amp;START_MAXIMIZED=FALSE&amp;creator=factset&amp;display_string=Audit"}</definedName>
    <definedName name="_1327__FDSAUDITLINK__" hidden="1">{"fdsup://Directions/FactSet Auditing Viewer?action=AUDIT_VALUE&amp;DB=129&amp;ID1=65410610&amp;VALUEID=01001&amp;SDATE=200804&amp;PERIODTYPE=QTR_STD&amp;window=popup_no_bar&amp;width=385&amp;height=120&amp;START_MAXIMIZED=FALSE&amp;creator=factset&amp;display_string=Audit"}</definedName>
    <definedName name="_1328__FDSAUDITLINK__" hidden="1">{"fdsup://Directions/FactSet Auditing Viewer?action=AUDIT_VALUE&amp;DB=129&amp;ID1=65410610&amp;VALUEID=01001&amp;SDATE=200904&amp;PERIODTYPE=QTR_STD&amp;window=popup_no_bar&amp;width=385&amp;height=120&amp;START_MAXIMIZED=FALSE&amp;creator=factset&amp;display_string=Audit"}</definedName>
    <definedName name="_1329__FDSAUDITLINK__" hidden="1">{"fdsup://Directions/FactSet Auditing Viewer?action=AUDIT_VALUE&amp;DB=129&amp;ID1=65473P10&amp;VALUEID=01001&amp;SDATE=200902&amp;PERIODTYPE=QTR_STD&amp;window=popup_no_bar&amp;width=385&amp;height=120&amp;START_MAXIMIZED=FALSE&amp;creator=factset&amp;display_string=Audit"}</definedName>
    <definedName name="_133__FDSAUDITLINK__" hidden="1">{"fdsup://directions/FAT Viewer?action=UPDATE&amp;creator=factset&amp;DYN_ARGS=TRUE&amp;DOC_NAME=FAT:FQL_AUDITING_CLIENT_TEMPLATE.FAT&amp;display_string=Audit&amp;VAR:KEY=XSBQHKDKRI&amp;VAR:QUERY=RkZfRUJJVERBX09QRVIoUVRSLDQvMS8yMDA5LDYvMzAvMjAwOSwsLFVTRCk=&amp;WINDOW=FIRST_POPUP&amp;HEIGH","T=450&amp;WIDTH=450&amp;START_MAXIMIZED=FALSE&amp;VAR:CALENDAR=US&amp;VAR:SYMBOL=TEG&amp;VAR:INDEX=0"}</definedName>
    <definedName name="_1330__FDSAUDITLINK__" hidden="1">{"fdsup://Directions/FactSet Auditing Viewer?action=AUDIT_VALUE&amp;DB=129&amp;ID1=65473P10&amp;VALUEID=01001&amp;SDATE=201002&amp;PERIODTYPE=QTR_STD&amp;window=popup_no_bar&amp;width=385&amp;height=120&amp;START_MAXIMIZED=FALSE&amp;creator=factset&amp;display_string=Audit"}</definedName>
    <definedName name="_1331__FDSAUDITLINK__" hidden="1">{"fdsup://Directions/FactSet Auditing Viewer?action=AUDIT_VALUE&amp;DB=129&amp;ID1=65163910&amp;VALUEID=01001&amp;SDATE=200902&amp;PERIODTYPE=QTR_STD&amp;window=popup_no_bar&amp;width=385&amp;height=120&amp;START_MAXIMIZED=FALSE&amp;creator=factset&amp;display_string=Audit"}</definedName>
    <definedName name="_1332__FDSAUDITLINK__" hidden="1">{"fdsup://Directions/FactSet Auditing Viewer?action=AUDIT_VALUE&amp;DB=129&amp;ID1=65163910&amp;VALUEID=01001&amp;SDATE=201002&amp;PERIODTYPE=QTR_STD&amp;window=popup_no_bar&amp;width=385&amp;height=120&amp;START_MAXIMIZED=FALSE&amp;creator=factset&amp;display_string=Audit"}</definedName>
    <definedName name="_1333__FDSAUDITLINK__" hidden="1">{"fdsup://Directions/FactSet Auditing Viewer?action=AUDIT_VALUE&amp;DB=129&amp;ID1=65339F10&amp;VALUEID=01001&amp;SDATE=200902&amp;PERIODTYPE=QTR_STD&amp;window=popup_no_bar&amp;width=385&amp;height=120&amp;START_MAXIMIZED=FALSE&amp;creator=factset&amp;display_string=Audit"}</definedName>
    <definedName name="_1334__FDSAUDITLINK__" hidden="1">{"fdsup://Directions/FactSet Auditing Viewer?action=AUDIT_VALUE&amp;DB=129&amp;ID1=65339F10&amp;VALUEID=01001&amp;SDATE=201002&amp;PERIODTYPE=QTR_STD&amp;window=popup_no_bar&amp;width=385&amp;height=120&amp;START_MAXIMIZED=FALSE&amp;creator=factset&amp;display_string=Audit"}</definedName>
    <definedName name="_1335__FDSAUDITLINK__" hidden="1">{"fdsup://Directions/FactSet Auditing Viewer?action=AUDIT_VALUE&amp;DB=129&amp;ID1=63110310&amp;VALUEID=01001&amp;SDATE=200902&amp;PERIODTYPE=QTR_STD&amp;window=popup_no_bar&amp;width=385&amp;height=120&amp;START_MAXIMIZED=FALSE&amp;creator=factset&amp;display_string=Audit"}</definedName>
    <definedName name="_1336__FDSAUDITLINK__" hidden="1">{"fdsup://Directions/FactSet Auditing Viewer?action=AUDIT_VALUE&amp;DB=129&amp;ID1=63110310&amp;VALUEID=01001&amp;SDATE=201002&amp;PERIODTYPE=QTR_STD&amp;window=popup_no_bar&amp;width=385&amp;height=120&amp;START_MAXIMIZED=FALSE&amp;creator=factset&amp;display_string=Audit"}</definedName>
    <definedName name="_1337__FDSAUDITLINK__" hidden="1">{"fdsup://Directions/FactSet Auditing Viewer?action=AUDIT_VALUE&amp;DB=129&amp;ID1=G6359F10&amp;VALUEID=01001&amp;SDATE=200902&amp;PERIODTYPE=QTR_STD&amp;window=popup_no_bar&amp;width=385&amp;height=120&amp;START_MAXIMIZED=FALSE&amp;creator=factset&amp;display_string=Audit"}</definedName>
    <definedName name="_1338__FDSAUDITLINK__" hidden="1">{"fdsup://Directions/FactSet Auditing Viewer?action=AUDIT_VALUE&amp;DB=129&amp;ID1=G6359F10&amp;VALUEID=01001&amp;SDATE=201002&amp;PERIODTYPE=QTR_STD&amp;window=popup_no_bar&amp;width=385&amp;height=120&amp;START_MAXIMIZED=FALSE&amp;creator=factset&amp;display_string=Audit"}</definedName>
    <definedName name="_1339__FDSAUDITLINK__" hidden="1">{"fdsup://Directions/FactSet Auditing Viewer?action=AUDIT_VALUE&amp;DB=129&amp;ID1=65504410&amp;VALUEID=01001&amp;SDATE=200902&amp;PERIODTYPE=QTR_STD&amp;window=popup_no_bar&amp;width=385&amp;height=120&amp;START_MAXIMIZED=FALSE&amp;creator=factset&amp;display_string=Audit"}</definedName>
    <definedName name="_134__FDSAUDITLINK__" hidden="1">{"fdsup://directions/FAT Viewer?action=UPDATE&amp;creator=factset&amp;DYN_ARGS=TRUE&amp;DOC_NAME=FAT:FQL_AUDITING_CLIENT_TEMPLATE.FAT&amp;display_string=Audit&amp;VAR:KEY=RUFSPYPIFO&amp;VAR:QUERY=RkZfRUJJVERBX09QRVIoUVRSLDQvMS8yMDEwLDYvMzAvMjAxMCwsLFVTRCk=&amp;WINDOW=FIRST_POPUP&amp;HEIGH","T=450&amp;WIDTH=450&amp;START_MAXIMIZED=FALSE&amp;VAR:CALENDAR=US&amp;VAR:SYMBOL=TEG&amp;VAR:INDEX=0"}</definedName>
    <definedName name="_1340__FDSAUDITLINK__" hidden="1">{"fdsup://Directions/FactSet Auditing Viewer?action=AUDIT_VALUE&amp;DB=129&amp;ID1=65504410&amp;VALUEID=01001&amp;SDATE=201002&amp;PERIODTYPE=QTR_STD&amp;window=popup_no_bar&amp;width=385&amp;height=120&amp;START_MAXIMIZED=FALSE&amp;creator=factset&amp;display_string=Audit"}</definedName>
    <definedName name="_1341__FDSAUDITLINK__" hidden="1">{"fdsup://Directions/FactSet Auditing Viewer?action=AUDIT_VALUE&amp;DB=129&amp;ID1=62853010&amp;VALUEID=01001&amp;SDATE=200902&amp;PERIODTYPE=QTR_STD&amp;window=popup_no_bar&amp;width=385&amp;height=120&amp;START_MAXIMIZED=FALSE&amp;creator=factset&amp;display_string=Audit"}</definedName>
    <definedName name="_1342__FDSAUDITLINK__" hidden="1">{"fdsup://Directions/FactSet Auditing Viewer?action=AUDIT_VALUE&amp;DB=129&amp;ID1=62853010&amp;VALUEID=01001&amp;SDATE=201002&amp;PERIODTYPE=QTR_STD&amp;window=popup_no_bar&amp;width=385&amp;height=120&amp;START_MAXIMIZED=FALSE&amp;creator=factset&amp;display_string=Audit"}</definedName>
    <definedName name="_1343__FDSAUDITLINK__" hidden="1">{"fdsup://Directions/FactSet Auditing Viewer?action=AUDIT_VALUE&amp;DB=129&amp;ID1=61174210&amp;VALUEID=01001&amp;SDATE=200902&amp;PERIODTYPE=QTR_STD&amp;window=popup_no_bar&amp;width=385&amp;height=120&amp;START_MAXIMIZED=FALSE&amp;creator=factset&amp;display_string=Audit"}</definedName>
    <definedName name="_1344__FDSAUDITLINK__" hidden="1">{"fdsup://Directions/FactSet Auditing Viewer?action=AUDIT_VALUE&amp;DB=129&amp;ID1=61174210&amp;VALUEID=01001&amp;SDATE=201002&amp;PERIODTYPE=QTR_STD&amp;window=popup_no_bar&amp;width=385&amp;height=120&amp;START_MAXIMIZED=FALSE&amp;creator=factset&amp;display_string=Audit"}</definedName>
    <definedName name="_1345__FDSAUDITLINK__" hidden="1">{"fdsup://Directions/FactSet Auditing Viewer?action=AUDIT_VALUE&amp;DB=129&amp;ID1=58333410&amp;VALUEID=01001&amp;SDATE=200902&amp;PERIODTYPE=QTR_STD&amp;window=popup_no_bar&amp;width=385&amp;height=120&amp;START_MAXIMIZED=FALSE&amp;creator=factset&amp;display_string=Audit"}</definedName>
    <definedName name="_1346__FDSAUDITLINK__" hidden="1">{"fdsup://Directions/FactSet Auditing Viewer?action=AUDIT_VALUE&amp;DB=129&amp;ID1=58333410&amp;VALUEID=01001&amp;SDATE=201002&amp;PERIODTYPE=QTR_STD&amp;window=popup_no_bar&amp;width=385&amp;height=120&amp;START_MAXIMIZED=FALSE&amp;creator=factset&amp;display_string=Audit"}</definedName>
    <definedName name="_1347__FDSAUDITLINK__" hidden="1">{"fdsup://Directions/FactSet Auditing Viewer?action=AUDIT_VALUE&amp;DB=129&amp;ID1=62671710&amp;VALUEID=01001&amp;SDATE=200902&amp;PERIODTYPE=QTR_STD&amp;window=popup_no_bar&amp;width=385&amp;height=120&amp;START_MAXIMIZED=FALSE&amp;creator=factset&amp;display_string=Audit"}</definedName>
    <definedName name="_1348__FDSAUDITLINK__" hidden="1">{"fdsup://Directions/FactSet Auditing Viewer?action=AUDIT_VALUE&amp;DB=129&amp;ID1=62671710&amp;VALUEID=01001&amp;SDATE=201002&amp;PERIODTYPE=QTR_STD&amp;window=popup_no_bar&amp;width=385&amp;height=120&amp;START_MAXIMIZED=FALSE&amp;creator=factset&amp;display_string=Audit"}</definedName>
    <definedName name="_1349__FDSAUDITLINK__" hidden="1">{"fdsup://Directions/FactSet Auditing Viewer?action=AUDIT_VALUE&amp;DB=129&amp;ID1=59511210&amp;VALUEID=01001&amp;SDATE=200903&amp;PERIODTYPE=QTR_STD&amp;window=popup_no_bar&amp;width=385&amp;height=120&amp;START_MAXIMIZED=FALSE&amp;creator=factset&amp;display_string=Audit"}</definedName>
    <definedName name="_135__FDSAUDITLINK__" hidden="1">{"fdsup://directions/FAT Viewer?action=UPDATE&amp;creator=factset&amp;DYN_ARGS=TRUE&amp;DOC_NAME=FAT:FQL_AUDITING_CLIENT_TEMPLATE.FAT&amp;display_string=Audit&amp;VAR:KEY=TKXMNCPOXO&amp;VAR:QUERY=RkZfRUJJVERBX09QRVIoUVRSLDQvMS8yMDA5LDYvMzAvMjAwOSwsLFVTRCk=&amp;WINDOW=FIRST_POPUP&amp;HEIGH","T=450&amp;WIDTH=450&amp;START_MAXIMIZED=FALSE&amp;VAR:CALENDAR=US&amp;VAR:SYMBOL=TE&amp;VAR:INDEX=0"}</definedName>
    <definedName name="_1350__FDSAUDITLINK__" hidden="1">{"fdsup://Directions/FactSet Auditing Viewer?action=AUDIT_VALUE&amp;DB=129&amp;ID1=59511210&amp;VALUEID=01001&amp;SDATE=201003&amp;PERIODTYPE=QTR_STD&amp;window=popup_no_bar&amp;width=385&amp;height=120&amp;START_MAXIMIZED=FALSE&amp;creator=factset&amp;display_string=Audit"}</definedName>
    <definedName name="_1351__FDSAUDITLINK__" hidden="1">{"fdsup://Directions/FactSet Auditing Viewer?action=AUDIT_VALUE&amp;DB=129&amp;ID1=59491810&amp;VALUEID=01001&amp;SDATE=200904&amp;PERIODTYPE=QTR_STD&amp;window=popup_no_bar&amp;width=385&amp;height=120&amp;START_MAXIMIZED=FALSE&amp;creator=factset&amp;display_string=Audit"}</definedName>
    <definedName name="_1352__FDSAUDITLINK__" hidden="1">{"fdsup://Directions/FactSet Auditing Viewer?action=AUDIT_VALUE&amp;DB=129&amp;ID1=59491810&amp;VALUEID=01001&amp;SDATE=201004&amp;PERIODTYPE=QTR_STD&amp;window=popup_no_bar&amp;width=385&amp;height=120&amp;START_MAXIMIZED=FALSE&amp;creator=factset&amp;display_string=Audit"}</definedName>
    <definedName name="_1353__FDSAUDITLINK__" hidden="1">{"fdsup://Directions/FactSet Auditing Viewer?action=AUDIT_VALUE&amp;DB=129&amp;ID1=61744644&amp;VALUEID=01001&amp;SDATE=200902&amp;PERIODTYPE=QTR_STD&amp;window=popup_no_bar&amp;width=385&amp;height=120&amp;START_MAXIMIZED=FALSE&amp;creator=factset&amp;display_string=Audit"}</definedName>
    <definedName name="_1354__FDSAUDITLINK__" hidden="1">{"fdsup://Directions/FactSet Auditing Viewer?action=AUDIT_VALUE&amp;DB=129&amp;ID1=61744644&amp;VALUEID=01001&amp;SDATE=201002&amp;PERIODTYPE=QTR_STD&amp;window=popup_no_bar&amp;width=385&amp;height=120&amp;START_MAXIMIZED=FALSE&amp;creator=factset&amp;display_string=Audit"}</definedName>
    <definedName name="_1355__FDSAUDITLINK__" hidden="1">{"fdsup://Directions/FactSet Auditing Viewer?action=AUDIT_VALUE&amp;DB=129&amp;ID1=56584910&amp;VALUEID=01001&amp;SDATE=200902&amp;PERIODTYPE=QTR_STD&amp;window=popup_no_bar&amp;width=385&amp;height=120&amp;START_MAXIMIZED=FALSE&amp;creator=factset&amp;display_string=Audit"}</definedName>
    <definedName name="_1356__FDSAUDITLINK__" hidden="1">{"fdsup://Directions/FactSet Auditing Viewer?action=AUDIT_VALUE&amp;DB=129&amp;ID1=56584910&amp;VALUEID=01001&amp;SDATE=201002&amp;PERIODTYPE=QTR_STD&amp;window=popup_no_bar&amp;width=385&amp;height=120&amp;START_MAXIMIZED=FALSE&amp;creator=factset&amp;display_string=Audit"}</definedName>
    <definedName name="_1357__FDSAUDITLINK__" hidden="1">{"fdsup://Directions/FactSet Auditing Viewer?action=AUDIT_VALUE&amp;DB=129&amp;ID1=58933Y10&amp;VALUEID=01001&amp;SDATE=200902&amp;PERIODTYPE=QTR_STD&amp;window=popup_no_bar&amp;width=385&amp;height=120&amp;START_MAXIMIZED=FALSE&amp;creator=factset&amp;display_string=Audit"}</definedName>
    <definedName name="_1358__FDSAUDITLINK__" hidden="1">{"fdsup://Directions/FactSet Auditing Viewer?action=AUDIT_VALUE&amp;DB=129&amp;ID1=58933Y10&amp;VALUEID=01001&amp;SDATE=201002&amp;PERIODTYPE=QTR_STD&amp;window=popup_no_bar&amp;width=385&amp;height=120&amp;START_MAXIMIZED=FALSE&amp;creator=factset&amp;display_string=Audit"}</definedName>
    <definedName name="_1359__FDSAUDITLINK__" hidden="1">{"fdsup://Directions/FactSet Auditing Viewer?action=AUDIT_VALUE&amp;DB=129&amp;ID1=62007610&amp;VALUEID=01001&amp;SDATE=200902&amp;PERIODTYPE=QTR_STD&amp;window=popup_no_bar&amp;width=385&amp;height=120&amp;START_MAXIMIZED=FALSE&amp;creator=factset&amp;display_string=Audit"}</definedName>
    <definedName name="_136__FDSAUDITLINK__" hidden="1">{"fdsup://directions/FAT Viewer?action=UPDATE&amp;creator=factset&amp;DYN_ARGS=TRUE&amp;DOC_NAME=FAT:FQL_AUDITING_CLIENT_TEMPLATE.FAT&amp;display_string=Audit&amp;VAR:KEY=ZIXEFILOLW&amp;VAR:QUERY=RkZfRUJJVERBX09QRVIoUVRSLDQvMS8yMDEwLDYvMzAvMjAxMCwsLFVTRCk=&amp;WINDOW=FIRST_POPUP&amp;HEIGH","T=450&amp;WIDTH=450&amp;START_MAXIMIZED=FALSE&amp;VAR:CALENDAR=US&amp;VAR:SYMBOL=TE&amp;VAR:INDEX=0"}</definedName>
    <definedName name="_1360__FDSAUDITLINK__" hidden="1">{"fdsup://Directions/FactSet Auditing Viewer?action=AUDIT_VALUE&amp;DB=129&amp;ID1=62007610&amp;VALUEID=01001&amp;SDATE=201002&amp;PERIODTYPE=QTR_STD&amp;window=popup_no_bar&amp;width=385&amp;height=120&amp;START_MAXIMIZED=FALSE&amp;creator=factset&amp;display_string=Audit"}</definedName>
    <definedName name="_1361__FDSAUDITLINK__" hidden="1">{"fdsup://Directions/FactSet Auditing Viewer?action=AUDIT_VALUE&amp;DB=129&amp;ID1=61166W10&amp;VALUEID=01001&amp;SDATE=200903&amp;PERIODTYPE=QTR_STD&amp;window=popup_no_bar&amp;width=385&amp;height=120&amp;START_MAXIMIZED=FALSE&amp;creator=factset&amp;display_string=Audit"}</definedName>
    <definedName name="_1362__FDSAUDITLINK__" hidden="1">{"fdsup://Directions/FactSet Auditing Viewer?action=AUDIT_VALUE&amp;DB=129&amp;ID1=61166W10&amp;VALUEID=01001&amp;SDATE=201003&amp;PERIODTYPE=QTR_STD&amp;window=popup_no_bar&amp;width=385&amp;height=120&amp;START_MAXIMIZED=FALSE&amp;creator=factset&amp;display_string=Audit"}</definedName>
    <definedName name="_1363__FDSAUDITLINK__" hidden="1">{"fdsup://Directions/FactSet Auditing Viewer?action=AUDIT_VALUE&amp;DB=129&amp;ID1=60855410&amp;VALUEID=01001&amp;SDATE=201004&amp;PERIODTYPE=QTR_STD&amp;window=popup_no_bar&amp;width=385&amp;height=120&amp;START_MAXIMIZED=FALSE&amp;creator=factset&amp;display_string=Audit"}</definedName>
    <definedName name="_1364__FDSAUDITLINK__" hidden="1">{"fdsup://Directions/FactSet Auditing Viewer?action=AUDIT_VALUE&amp;DB=129&amp;ID1=02209S10&amp;VALUEID=01001&amp;SDATE=200902&amp;PERIODTYPE=QTR_STD&amp;window=popup_no_bar&amp;width=385&amp;height=120&amp;START_MAXIMIZED=FALSE&amp;creator=factset&amp;display_string=Audit"}</definedName>
    <definedName name="_1365__FDSAUDITLINK__" hidden="1">{"fdsup://Directions/FactSet Auditing Viewer?action=AUDIT_VALUE&amp;DB=129&amp;ID1=02209S10&amp;VALUEID=01001&amp;SDATE=201002&amp;PERIODTYPE=QTR_STD&amp;window=popup_no_bar&amp;width=385&amp;height=120&amp;START_MAXIMIZED=FALSE&amp;creator=factset&amp;display_string=Audit"}</definedName>
    <definedName name="_1366__FDSAUDITLINK__" hidden="1">{"fdsup://Directions/FactSet Auditing Viewer?action=AUDIT_VALUE&amp;DB=129&amp;ID1=88579Y10&amp;VALUEID=01001&amp;SDATE=200902&amp;PERIODTYPE=QTR_STD&amp;window=popup_no_bar&amp;width=385&amp;height=120&amp;START_MAXIMIZED=FALSE&amp;creator=factset&amp;display_string=Audit"}</definedName>
    <definedName name="_1367__FDSAUDITLINK__" hidden="1">{"fdsup://Directions/FactSet Auditing Viewer?action=AUDIT_VALUE&amp;DB=129&amp;ID1=88579Y10&amp;VALUEID=01001&amp;SDATE=201002&amp;PERIODTYPE=QTR_STD&amp;window=popup_no_bar&amp;width=385&amp;height=120&amp;START_MAXIMIZED=FALSE&amp;creator=factset&amp;display_string=Audit"}</definedName>
    <definedName name="_1368__FDSAUDITLINK__" hidden="1">{"fdsup://Directions/FactSet Auditing Viewer?action=AUDIT_VALUE&amp;DB=129&amp;ID1=57174810&amp;VALUEID=01001&amp;SDATE=200902&amp;PERIODTYPE=QTR_STD&amp;window=popup_no_bar&amp;width=385&amp;height=120&amp;START_MAXIMIZED=FALSE&amp;creator=factset&amp;display_string=Audit"}</definedName>
    <definedName name="_1369__FDSAUDITLINK__" hidden="1">{"fdsup://Directions/FactSet Auditing Viewer?action=AUDIT_VALUE&amp;DB=129&amp;ID1=57174810&amp;VALUEID=01001&amp;SDATE=201002&amp;PERIODTYPE=QTR_STD&amp;window=popup_no_bar&amp;width=385&amp;height=120&amp;START_MAXIMIZED=FALSE&amp;creator=factset&amp;display_string=Audit"}</definedName>
    <definedName name="_137__FDSAUDITLINK__" hidden="1">{"fdsup://directions/FAT Viewer?action=UPDATE&amp;creator=factset&amp;DYN_ARGS=TRUE&amp;DOC_NAME=FAT:FQL_AUDITING_CLIENT_TEMPLATE.FAT&amp;display_string=Audit&amp;VAR:KEY=ROHAZYNUVS&amp;VAR:QUERY=RkZfRUJJVERBX09QRVIoUVRSLDQvMS8yMDA5LDYvMzAvMjAwOSwsLFVTRCk=&amp;WINDOW=FIRST_POPUP&amp;HEIGH","T=450&amp;WIDTH=450&amp;START_MAXIMIZED=FALSE&amp;VAR:CALENDAR=US&amp;VAR:SYMBOL=TDC&amp;VAR:INDEX=0"}</definedName>
    <definedName name="_1370__FDSAUDITLINK__" hidden="1">{"fdsup://Directions/FactSet Auditing Viewer?action=AUDIT_VALUE&amp;DB=129&amp;ID1=57978020&amp;VALUEID=01001&amp;SDATE=200902&amp;PERIODTYPE=QTR_STD&amp;window=popup_no_bar&amp;width=385&amp;height=120&amp;START_MAXIMIZED=FALSE&amp;creator=factset&amp;display_string=Audit"}</definedName>
    <definedName name="_1371__FDSAUDITLINK__" hidden="1">{"fdsup://Directions/FactSet Auditing Viewer?action=AUDIT_VALUE&amp;DB=129&amp;ID1=57978020&amp;VALUEID=01001&amp;SDATE=201002&amp;PERIODTYPE=QTR_STD&amp;window=popup_no_bar&amp;width=385&amp;height=120&amp;START_MAXIMIZED=FALSE&amp;creator=factset&amp;display_string=Audit"}</definedName>
    <definedName name="_1372__FDSAUDITLINK__" hidden="1">{"fdsup://Directions/FactSet Auditing Viewer?action=AUDIT_VALUE&amp;DB=129&amp;ID1=58283910&amp;VALUEID=01001&amp;SDATE=200902&amp;PERIODTYPE=QTR_STD&amp;window=popup_no_bar&amp;width=385&amp;height=120&amp;START_MAXIMIZED=FALSE&amp;creator=factset&amp;display_string=Audit"}</definedName>
    <definedName name="_1373__FDSAUDITLINK__" hidden="1">{"fdsup://Directions/FactSet Auditing Viewer?action=AUDIT_VALUE&amp;DB=129&amp;ID1=58283910&amp;VALUEID=01001&amp;SDATE=201002&amp;PERIODTYPE=QTR_STD&amp;window=popup_no_bar&amp;width=385&amp;height=120&amp;START_MAXIMIZED=FALSE&amp;creator=factset&amp;display_string=Audit"}</definedName>
    <definedName name="_1374__FDSAUDITLINK__" hidden="1">{"fdsup://Directions/FactSet Auditing Viewer?action=AUDIT_VALUE&amp;DB=129&amp;ID1=58405U10&amp;VALUEID=01001&amp;SDATE=200902&amp;PERIODTYPE=QTR_STD&amp;window=popup_no_bar&amp;width=385&amp;height=120&amp;START_MAXIMIZED=FALSE&amp;creator=factset&amp;display_string=Audit"}</definedName>
    <definedName name="_1375__FDSAUDITLINK__" hidden="1">{"fdsup://Directions/FactSet Auditing Viewer?action=AUDIT_VALUE&amp;DB=129&amp;ID1=58405U10&amp;VALUEID=01001&amp;SDATE=201002&amp;PERIODTYPE=QTR_STD&amp;window=popup_no_bar&amp;width=385&amp;height=120&amp;START_MAXIMIZED=FALSE&amp;creator=factset&amp;display_string=Audit"}</definedName>
    <definedName name="_1376__FDSAUDITLINK__" hidden="1">{"fdsup://Directions/FactSet Auditing Viewer?action=AUDIT_VALUE&amp;DB=129&amp;ID1=58064510&amp;VALUEID=01001&amp;SDATE=200902&amp;PERIODTYPE=QTR_STD&amp;window=popup_no_bar&amp;width=385&amp;height=120&amp;START_MAXIMIZED=FALSE&amp;creator=factset&amp;display_string=Audit"}</definedName>
    <definedName name="_1377__FDSAUDITLINK__" hidden="1">{"fdsup://Directions/FactSet Auditing Viewer?action=AUDIT_VALUE&amp;DB=129&amp;ID1=58064510&amp;VALUEID=01001&amp;SDATE=201002&amp;PERIODTYPE=QTR_STD&amp;window=popup_no_bar&amp;width=385&amp;height=120&amp;START_MAXIMIZED=FALSE&amp;creator=factset&amp;display_string=Audit"}</definedName>
    <definedName name="_1378__FDSAUDITLINK__" hidden="1">{"fdsup://Directions/FactSet Auditing Viewer?action=AUDIT_VALUE&amp;DB=129&amp;ID1=57906410&amp;VALUEID=01001&amp;SDATE=200902&amp;PERIODTYPE=QTR_STD&amp;window=popup_no_bar&amp;width=385&amp;height=120&amp;START_MAXIMIZED=FALSE&amp;creator=factset&amp;display_string=Audit"}</definedName>
    <definedName name="_1379__FDSAUDITLINK__" hidden="1">{"fdsup://Directions/FactSet Auditing Viewer?action=AUDIT_VALUE&amp;DB=129&amp;ID1=57906410&amp;VALUEID=01001&amp;SDATE=201002&amp;PERIODTYPE=QTR_STD&amp;window=popup_no_bar&amp;width=385&amp;height=120&amp;START_MAXIMIZED=FALSE&amp;creator=factset&amp;display_string=Audit"}</definedName>
    <definedName name="_138__FDSAUDITLINK__" hidden="1">{"fdsup://directions/FAT Viewer?action=UPDATE&amp;creator=factset&amp;DYN_ARGS=TRUE&amp;DOC_NAME=FAT:FQL_AUDITING_CLIENT_TEMPLATE.FAT&amp;display_string=Audit&amp;VAR:KEY=LCPULQJAHK&amp;VAR:QUERY=RkZfRUJJVERBX09QRVIoUVRSLDQvMS8yMDEwLDYvMzAvMjAxMCwsLFVTRCk=&amp;WINDOW=FIRST_POPUP&amp;HEIGH","T=450&amp;WIDTH=450&amp;START_MAXIMIZED=FALSE&amp;VAR:CALENDAR=US&amp;VAR:SYMBOL=TDC&amp;VAR:INDEX=0"}</definedName>
    <definedName name="_1380__FDSAUDITLINK__" hidden="1">{"fdsup://Directions/FactSet Auditing Viewer?action=AUDIT_VALUE&amp;DB=129&amp;ID1=59156R10&amp;VALUEID=01001&amp;SDATE=200902&amp;PERIODTYPE=QTR_STD&amp;window=popup_no_bar&amp;width=385&amp;height=120&amp;START_MAXIMIZED=FALSE&amp;creator=factset&amp;display_string=Audit"}</definedName>
    <definedName name="_1381__FDSAUDITLINK__" hidden="1">{"fdsup://Directions/FactSet Auditing Viewer?action=AUDIT_VALUE&amp;DB=129&amp;ID1=59156R10&amp;VALUEID=01001&amp;SDATE=201002&amp;PERIODTYPE=QTR_STD&amp;window=popup_no_bar&amp;width=385&amp;height=120&amp;START_MAXIMIZED=FALSE&amp;creator=factset&amp;display_string=Audit"}</definedName>
    <definedName name="_1382__FDSAUDITLINK__" hidden="1">{"fdsup://Directions/FactSet Auditing Viewer?action=AUDIT_VALUE&amp;DB=129&amp;ID1=57620610&amp;VALUEID=01001&amp;SDATE=201002&amp;PERIODTYPE=QTR_STD&amp;window=popup_no_bar&amp;width=385&amp;height=120&amp;START_MAXIMIZED=FALSE&amp;creator=factset&amp;display_string=Audit"}</definedName>
    <definedName name="_1383__FDSAUDITLINK__" hidden="1">{"fdsup://Directions/FactSet Auditing Viewer?action=AUDIT_VALUE&amp;DB=129&amp;ID1=58505510&amp;VALUEID=01001&amp;SDATE=200804&amp;PERIODTYPE=QTR_STD&amp;window=popup_no_bar&amp;width=385&amp;height=120&amp;START_MAXIMIZED=FALSE&amp;creator=factset&amp;display_string=Audit"}</definedName>
    <definedName name="_1384__FDSAUDITLINK__" hidden="1">{"fdsup://Directions/FactSet Auditing Viewer?action=AUDIT_VALUE&amp;DB=129&amp;ID1=58505510&amp;VALUEID=01001&amp;SDATE=200904&amp;PERIODTYPE=QTR_STD&amp;window=popup_no_bar&amp;width=385&amp;height=120&amp;START_MAXIMIZED=FALSE&amp;creator=factset&amp;display_string=Audit"}</definedName>
    <definedName name="_1385__FDSAUDITLINK__" hidden="1">{"fdsup://Directions/FactSet Auditing Viewer?action=AUDIT_VALUE&amp;DB=129&amp;ID1=58943310&amp;VALUEID=01001&amp;SDATE=200904&amp;PERIODTYPE=QTR_STD&amp;window=popup_no_bar&amp;width=385&amp;height=120&amp;START_MAXIMIZED=FALSE&amp;creator=factset&amp;display_string=Audit"}</definedName>
    <definedName name="_1386__FDSAUDITLINK__" hidden="1">{"fdsup://Directions/FactSet Auditing Viewer?action=AUDIT_VALUE&amp;DB=129&amp;ID1=58943310&amp;VALUEID=01001&amp;SDATE=201004&amp;PERIODTYPE=QTR_STD&amp;window=popup_no_bar&amp;width=385&amp;height=120&amp;START_MAXIMIZED=FALSE&amp;creator=factset&amp;display_string=Audit"}</definedName>
    <definedName name="_1387__FDSAUDITLINK__" hidden="1">{"fdsup://Directions/FactSet Auditing Viewer?action=AUDIT_VALUE&amp;DB=129&amp;ID1=61536910&amp;VALUEID=01001&amp;SDATE=200902&amp;PERIODTYPE=QTR_STD&amp;window=popup_no_bar&amp;width=385&amp;height=120&amp;START_MAXIMIZED=FALSE&amp;creator=factset&amp;display_string=Audit"}</definedName>
    <definedName name="_1388__FDSAUDITLINK__" hidden="1">{"fdsup://Directions/FactSet Auditing Viewer?action=AUDIT_VALUE&amp;DB=129&amp;ID1=61536910&amp;VALUEID=01001&amp;SDATE=201002&amp;PERIODTYPE=QTR_STD&amp;window=popup_no_bar&amp;width=385&amp;height=120&amp;START_MAXIMIZED=FALSE&amp;creator=factset&amp;display_string=Audit"}</definedName>
    <definedName name="_1389__FDSAUDITLINK__" hidden="1">{"fdsup://Directions/FactSet Auditing Viewer?action=AUDIT_VALUE&amp;DB=129&amp;ID1=58155Q10&amp;VALUEID=01001&amp;SDATE=200901&amp;PERIODTYPE=QTR_STD&amp;window=popup_no_bar&amp;width=385&amp;height=120&amp;START_MAXIMIZED=FALSE&amp;creator=factset&amp;display_string=Audit"}</definedName>
    <definedName name="_139__FDSAUDITLINK__" hidden="1">{"fdsup://directions/FAT Viewer?action=UPDATE&amp;creator=factset&amp;DYN_ARGS=TRUE&amp;DOC_NAME=FAT:FQL_AUDITING_CLIENT_TEMPLATE.FAT&amp;display_string=Audit&amp;VAR:KEY=LIZMREJUBM&amp;VAR:QUERY=RkZfRUJJVERBX09QRVIoUVRSLDQvMS8yMDA5LDYvMzAvMjAwOSwsLFVTRCk=&amp;WINDOW=FIRST_POPUP&amp;HEIGH","T=450&amp;WIDTH=450&amp;START_MAXIMIZED=FALSE&amp;VAR:CALENDAR=US&amp;VAR:SYMBOL=TAP&amp;VAR:INDEX=0"}</definedName>
    <definedName name="_1390__FDSAUDITLINK__" hidden="1">{"fdsup://Directions/FactSet Auditing Viewer?action=AUDIT_VALUE&amp;DB=129&amp;ID1=58155Q10&amp;VALUEID=01001&amp;SDATE=201001&amp;PERIODTYPE=QTR_STD&amp;window=popup_no_bar&amp;width=385&amp;height=120&amp;START_MAXIMIZED=FALSE&amp;creator=factset&amp;display_string=Audit"}</definedName>
    <definedName name="_1391__FDSAUDITLINK__" hidden="1">{"fdsup://Directions/FactSet Auditing Viewer?action=AUDIT_VALUE&amp;DB=129&amp;ID1=59501710&amp;VALUEID=01001&amp;SDATE=200901&amp;PERIODTYPE=QTR_STD&amp;window=popup_no_bar&amp;width=385&amp;height=120&amp;START_MAXIMIZED=FALSE&amp;creator=factset&amp;display_string=Audit"}</definedName>
    <definedName name="_1392__FDSAUDITLINK__" hidden="1">{"fdsup://Directions/FactSet Auditing Viewer?action=AUDIT_VALUE&amp;DB=129&amp;ID1=59501710&amp;VALUEID=01001&amp;SDATE=201001&amp;PERIODTYPE=QTR_STD&amp;window=popup_no_bar&amp;width=385&amp;height=120&amp;START_MAXIMIZED=FALSE&amp;creator=factset&amp;display_string=Audit"}</definedName>
    <definedName name="_1393__FDSAUDITLINK__" hidden="1">{"fdsup://Directions/FactSet Auditing Viewer?action=AUDIT_VALUE&amp;DB=129&amp;ID1=58013510&amp;VALUEID=01001&amp;SDATE=200902&amp;PERIODTYPE=QTR_STD&amp;window=popup_no_bar&amp;width=385&amp;height=120&amp;START_MAXIMIZED=FALSE&amp;creator=factset&amp;display_string=Audit"}</definedName>
    <definedName name="_1394__FDSAUDITLINK__" hidden="1">{"fdsup://Directions/FactSet Auditing Viewer?action=AUDIT_VALUE&amp;DB=129&amp;ID1=58013510&amp;VALUEID=01001&amp;SDATE=201002&amp;PERIODTYPE=QTR_STD&amp;window=popup_no_bar&amp;width=385&amp;height=120&amp;START_MAXIMIZED=FALSE&amp;creator=factset&amp;display_string=Audit"}</definedName>
    <definedName name="_1395__FDSAUDITLINK__" hidden="1">{"fdsup://Directions/FactSet Auditing Viewer?action=AUDIT_VALUE&amp;DB=129&amp;ID1=57708110&amp;VALUEID=01001&amp;SDATE=200902&amp;PERIODTYPE=QTR_STD&amp;window=popup_no_bar&amp;width=385&amp;height=120&amp;START_MAXIMIZED=FALSE&amp;creator=factset&amp;display_string=Audit"}</definedName>
    <definedName name="_1396__FDSAUDITLINK__" hidden="1">{"fdsup://Directions/FactSet Auditing Viewer?action=AUDIT_VALUE&amp;DB=129&amp;ID1=57708110&amp;VALUEID=01001&amp;SDATE=201002&amp;PERIODTYPE=QTR_STD&amp;window=popup_no_bar&amp;width=385&amp;height=120&amp;START_MAXIMIZED=FALSE&amp;creator=factset&amp;display_string=Audit"}</definedName>
    <definedName name="_1397__FDSAUDITLINK__" hidden="1">{"fdsup://Directions/FactSet Auditing Viewer?action=AUDIT_VALUE&amp;DB=129&amp;ID1=57459910&amp;VALUEID=01001&amp;SDATE=200902&amp;PERIODTYPE=QTR_STD&amp;window=popup_no_bar&amp;width=385&amp;height=120&amp;START_MAXIMIZED=FALSE&amp;creator=factset&amp;display_string=Audit"}</definedName>
    <definedName name="_1398__FDSAUDITLINK__" hidden="1">{"fdsup://Directions/FactSet Auditing Viewer?action=AUDIT_VALUE&amp;DB=129&amp;ID1=57459910&amp;VALUEID=01001&amp;SDATE=201002&amp;PERIODTYPE=QTR_STD&amp;window=popup_no_bar&amp;width=385&amp;height=120&amp;START_MAXIMIZED=FALSE&amp;creator=factset&amp;display_string=Audit"}</definedName>
    <definedName name="_1399__FDSAUDITLINK__" hidden="1">{"fdsup://Directions/FactSet Auditing Viewer?action=AUDIT_VALUE&amp;DB=129&amp;ID1=57190320&amp;VALUEID=01001&amp;SDATE=200902&amp;PERIODTYPE=QTR_STD&amp;window=popup_no_bar&amp;width=385&amp;height=120&amp;START_MAXIMIZED=FALSE&amp;creator=factset&amp;display_string=Audit"}</definedName>
    <definedName name="_14__123Graph_ASENS_COMPARISON">#REF!</definedName>
    <definedName name="_14__123Graph_CCONTRACT_BY_B_U">#REF!</definedName>
    <definedName name="_14__FDSAUDITLINK__" hidden="1">{"fdsup://directions/FAT Viewer?action=UPDATE&amp;creator=factset&amp;DYN_ARGS=TRUE&amp;DOC_NAME=FAT:FQL_AUDITING_CLIENT_TEMPLATE.FAT&amp;display_string=Audit&amp;VAR:KEY=XMTANELKRK&amp;VAR:QUERY=RkZfRUJJVERBX09QRVIoUVRSLDQvMS8yMDEwLDYvMzAvMjAxMCwsLFVTRCk=&amp;WINDOW=FIRST_POPUP&amp;HEIGH","T=450&amp;WIDTH=450&amp;START_MAXIMIZED=FALSE&amp;VAR:CALENDAR=US&amp;VAR:SYMBOL=XOM&amp;VAR:INDEX=0"}</definedName>
    <definedName name="_140__FDSAUDITLINK__" hidden="1">{"fdsup://directions/FAT Viewer?action=UPDATE&amp;creator=factset&amp;DYN_ARGS=TRUE&amp;DOC_NAME=FAT:FQL_AUDITING_CLIENT_TEMPLATE.FAT&amp;display_string=Audit&amp;VAR:KEY=RYLOJAFUPY&amp;VAR:QUERY=RkZfRUJJVERBX09QRVIoUVRSLDQvMS8yMDEwLDYvMzAvMjAxMCwsLFVTRCk=&amp;WINDOW=FIRST_POPUP&amp;HEIGH","T=450&amp;WIDTH=450&amp;START_MAXIMIZED=FALSE&amp;VAR:CALENDAR=US&amp;VAR:SYMBOL=TAP&amp;VAR:INDEX=0"}</definedName>
    <definedName name="_1400__FDSAUDITLINK__" hidden="1">{"fdsup://Directions/FactSet Auditing Viewer?action=AUDIT_VALUE&amp;DB=129&amp;ID1=57190320&amp;VALUEID=01001&amp;SDATE=201002&amp;PERIODTYPE=QTR_STD&amp;window=popup_no_bar&amp;width=385&amp;height=120&amp;START_MAXIMIZED=FALSE&amp;creator=factset&amp;display_string=Audit"}</definedName>
    <definedName name="_1401__FDSAUDITLINK__" hidden="1">{"fdsup://Directions/FactSet Auditing Viewer?action=AUDIT_VALUE&amp;DB=129&amp;ID1=57636Q10&amp;VALUEID=01001&amp;SDATE=200902&amp;PERIODTYPE=QTR_STD&amp;window=popup_no_bar&amp;width=385&amp;height=120&amp;START_MAXIMIZED=FALSE&amp;creator=factset&amp;display_string=Audit"}</definedName>
    <definedName name="_1402__FDSAUDITLINK__" hidden="1">{"fdsup://Directions/FactSet Auditing Viewer?action=AUDIT_VALUE&amp;DB=129&amp;ID1=57636Q10&amp;VALUEID=01001&amp;SDATE=201002&amp;PERIODTYPE=QTR_STD&amp;window=popup_no_bar&amp;width=385&amp;height=120&amp;START_MAXIMIZED=FALSE&amp;creator=factset&amp;display_string=Audit"}</definedName>
    <definedName name="_1403__FDSAUDITLINK__" hidden="1">{"fdsup://Directions/FactSet Auditing Viewer?action=AUDIT_VALUE&amp;DB=129&amp;ID1=55616P10&amp;VALUEID=01001&amp;SDATE=200901&amp;PERIODTYPE=QTR_STD&amp;window=popup_no_bar&amp;width=385&amp;height=120&amp;START_MAXIMIZED=FALSE&amp;creator=factset&amp;display_string=Audit"}</definedName>
    <definedName name="_1404__FDSAUDITLINK__" hidden="1">{"fdsup://Directions/FactSet Auditing Viewer?action=AUDIT_VALUE&amp;DB=129&amp;ID1=55616P10&amp;VALUEID=01001&amp;SDATE=201001&amp;PERIODTYPE=QTR_STD&amp;window=popup_no_bar&amp;width=385&amp;height=120&amp;START_MAXIMIZED=FALSE&amp;creator=factset&amp;display_string=Audit"}</definedName>
    <definedName name="_1405__FDSAUDITLINK__" hidden="1">{"fdsup://Directions/FactSet Auditing Viewer?action=AUDIT_VALUE&amp;DB=129&amp;ID1=52977110&amp;VALUEID=01001&amp;SDATE=201002&amp;PERIODTYPE=QTR_STD&amp;window=popup_no_bar&amp;width=385&amp;height=120&amp;START_MAXIMIZED=FALSE&amp;creator=factset&amp;display_string=Audit"}</definedName>
    <definedName name="_1406__FDSAUDITLINK__" hidden="1">{"fdsup://Directions/FactSet Auditing Viewer?action=AUDIT_VALUE&amp;DB=129&amp;ID1=84474110&amp;VALUEID=01001&amp;SDATE=200902&amp;PERIODTYPE=QTR_STD&amp;window=popup_no_bar&amp;width=385&amp;height=120&amp;START_MAXIMIZED=FALSE&amp;creator=factset&amp;display_string=Audit"}</definedName>
    <definedName name="_1407__FDSAUDITLINK__" hidden="1">{"fdsup://Directions/FactSet Auditing Viewer?action=AUDIT_VALUE&amp;DB=129&amp;ID1=84474110&amp;VALUEID=01001&amp;SDATE=201002&amp;PERIODTYPE=QTR_STD&amp;window=popup_no_bar&amp;width=385&amp;height=120&amp;START_MAXIMIZED=FALSE&amp;creator=factset&amp;display_string=Audit"}</definedName>
    <definedName name="_1408__FDSAUDITLINK__" hidden="1">{"fdsup://Directions/FactSet Auditing Viewer?action=AUDIT_VALUE&amp;DB=129&amp;ID1=52728810&amp;VALUEID=01001&amp;SDATE=200902&amp;PERIODTYPE=QTR_STD&amp;window=popup_no_bar&amp;width=385&amp;height=120&amp;START_MAXIMIZED=FALSE&amp;creator=factset&amp;display_string=Audit"}</definedName>
    <definedName name="_1409__FDSAUDITLINK__" hidden="1">{"fdsup://Directions/FactSet Auditing Viewer?action=AUDIT_VALUE&amp;DB=129&amp;ID1=52728810&amp;VALUEID=01001&amp;SDATE=201002&amp;PERIODTYPE=QTR_STD&amp;window=popup_no_bar&amp;width=385&amp;height=120&amp;START_MAXIMIZED=FALSE&amp;creator=factset&amp;display_string=Audit"}</definedName>
    <definedName name="_141__FDSAUDITLINK__" hidden="1">{"fdsup://directions/FAT Viewer?action=UPDATE&amp;creator=factset&amp;DYN_ARGS=TRUE&amp;DOC_NAME=FAT:FQL_AUDITING_CLIENT_TEMPLATE.FAT&amp;display_string=Audit&amp;VAR:KEY=RCVENYPMFS&amp;VAR:QUERY=RkZfRUJJVERBX09QRVIoUVRSLDQvMS8yMDA5LDYvMzAvMjAwOSwsLFVTRCk=&amp;WINDOW=FIRST_POPUP&amp;HEIGH","T=450&amp;WIDTH=450&amp;START_MAXIMIZED=FALSE&amp;VAR:CALENDAR=US&amp;VAR:SYMBOL=T&amp;VAR:INDEX=0"}</definedName>
    <definedName name="_1410__FDSAUDITLINK__" hidden="1">{"fdsup://Directions/FactSet Auditing Viewer?action=AUDIT_VALUE&amp;DB=129&amp;ID1=53271610&amp;VALUEID=01001&amp;SDATE=201001&amp;PERIODTYPE=QTR_STD&amp;window=popup_no_bar&amp;width=385&amp;height=120&amp;START_MAXIMIZED=FALSE&amp;creator=factset&amp;display_string=Audit"}</definedName>
    <definedName name="_1411__FDSAUDITLINK__" hidden="1">{"fdsup://Directions/FactSet Auditing Viewer?action=AUDIT_VALUE&amp;DB=129&amp;ID1=50216110&amp;VALUEID=01001&amp;SDATE=200902&amp;PERIODTYPE=QTR_STD&amp;window=popup_no_bar&amp;width=385&amp;height=120&amp;START_MAXIMIZED=FALSE&amp;creator=factset&amp;display_string=Audit"}</definedName>
    <definedName name="_1412__FDSAUDITLINK__" hidden="1">{"fdsup://Directions/FactSet Auditing Viewer?action=AUDIT_VALUE&amp;DB=129&amp;ID1=50216110&amp;VALUEID=01001&amp;SDATE=201002&amp;PERIODTYPE=QTR_STD&amp;window=popup_no_bar&amp;width=385&amp;height=120&amp;START_MAXIMIZED=FALSE&amp;creator=factset&amp;display_string=Audit"}</definedName>
    <definedName name="_1413__FDSAUDITLINK__" hidden="1">{"fdsup://Directions/FactSet Auditing Viewer?action=AUDIT_VALUE&amp;DB=129&amp;ID1=54414710&amp;VALUEID=01001&amp;SDATE=200902&amp;PERIODTYPE=QTR_STD&amp;window=popup_no_bar&amp;width=385&amp;height=120&amp;START_MAXIMIZED=FALSE&amp;creator=factset&amp;display_string=Audit"}</definedName>
    <definedName name="_1414__FDSAUDITLINK__" hidden="1">{"fdsup://Directions/FactSet Auditing Viewer?action=AUDIT_VALUE&amp;DB=129&amp;ID1=54414710&amp;VALUEID=01001&amp;SDATE=201002&amp;PERIODTYPE=QTR_STD&amp;window=popup_no_bar&amp;width=385&amp;height=120&amp;START_MAXIMIZED=FALSE&amp;creator=factset&amp;display_string=Audit"}</definedName>
    <definedName name="_1415__FDSAUDITLINK__" hidden="1">{"fdsup://Directions/FactSet Auditing Viewer?action=AUDIT_VALUE&amp;DB=129&amp;ID1=53418710&amp;VALUEID=01001&amp;SDATE=200902&amp;PERIODTYPE=QTR_STD&amp;window=popup_no_bar&amp;width=385&amp;height=120&amp;START_MAXIMIZED=FALSE&amp;creator=factset&amp;display_string=Audit"}</definedName>
    <definedName name="_1416__FDSAUDITLINK__" hidden="1">{"fdsup://Directions/FactSet Auditing Viewer?action=AUDIT_VALUE&amp;DB=129&amp;ID1=53418710&amp;VALUEID=01001&amp;SDATE=201002&amp;PERIODTYPE=QTR_STD&amp;window=popup_no_bar&amp;width=385&amp;height=120&amp;START_MAXIMIZED=FALSE&amp;creator=factset&amp;display_string=Audit"}</definedName>
    <definedName name="_1417__FDSAUDITLINK__" hidden="1">{"fdsup://Directions/FactSet Auditing Viewer?action=AUDIT_VALUE&amp;DB=129&amp;ID1=53983010&amp;VALUEID=01001&amp;SDATE=200902&amp;PERIODTYPE=QTR_STD&amp;window=popup_no_bar&amp;width=385&amp;height=120&amp;START_MAXIMIZED=FALSE&amp;creator=factset&amp;display_string=Audit"}</definedName>
    <definedName name="_1418__FDSAUDITLINK__" hidden="1">{"fdsup://Directions/FactSet Auditing Viewer?action=AUDIT_VALUE&amp;DB=129&amp;ID1=53983010&amp;VALUEID=01001&amp;SDATE=201002&amp;PERIODTYPE=QTR_STD&amp;window=popup_no_bar&amp;width=385&amp;height=120&amp;START_MAXIMIZED=FALSE&amp;creator=factset&amp;display_string=Audit"}</definedName>
    <definedName name="_1419__FDSAUDITLINK__" hidden="1">{"fdsup://Directions/FactSet Auditing Viewer?action=AUDIT_VALUE&amp;DB=129&amp;ID1=52490110&amp;VALUEID=01001&amp;SDATE=200901&amp;PERIODTYPE=QTR_STD&amp;window=popup_no_bar&amp;width=385&amp;height=120&amp;START_MAXIMIZED=FALSE&amp;creator=factset&amp;display_string=Audit"}</definedName>
    <definedName name="_142__FDSAUDITLINK__" hidden="1">{"fdsup://directions/FAT Viewer?action=UPDATE&amp;creator=factset&amp;DYN_ARGS=TRUE&amp;DOC_NAME=FAT:FQL_AUDITING_CLIENT_TEMPLATE.FAT&amp;display_string=Audit&amp;VAR:KEY=PGZCPMXMVK&amp;VAR:QUERY=RkZfRUJJVERBX09QRVIoUVRSLDQvMS8yMDEwLDYvMzAvMjAxMCwsLFVTRCk=&amp;WINDOW=FIRST_POPUP&amp;HEIGH","T=450&amp;WIDTH=450&amp;START_MAXIMIZED=FALSE&amp;VAR:CALENDAR=US&amp;VAR:SYMBOL=T&amp;VAR:INDEX=0"}</definedName>
    <definedName name="_1420__FDSAUDITLINK__" hidden="1">{"fdsup://Directions/FactSet Auditing Viewer?action=AUDIT_VALUE&amp;DB=129&amp;ID1=52490110&amp;VALUEID=01001&amp;SDATE=201001&amp;PERIODTYPE=QTR_STD&amp;window=popup_no_bar&amp;width=385&amp;height=120&amp;START_MAXIMIZED=FALSE&amp;creator=factset&amp;display_string=Audit"}</definedName>
    <definedName name="_1421__FDSAUDITLINK__" hidden="1">{"fdsup://Directions/FactSet Auditing Viewer?action=AUDIT_VALUE&amp;DB=129&amp;ID1=53245710&amp;VALUEID=01001&amp;SDATE=200902&amp;PERIODTYPE=QTR_STD&amp;window=popup_no_bar&amp;width=385&amp;height=120&amp;START_MAXIMIZED=FALSE&amp;creator=factset&amp;display_string=Audit"}</definedName>
    <definedName name="_1422__FDSAUDITLINK__" hidden="1">{"fdsup://Directions/FactSet Auditing Viewer?action=AUDIT_VALUE&amp;DB=129&amp;ID1=53245710&amp;VALUEID=01001&amp;SDATE=201002&amp;PERIODTYPE=QTR_STD&amp;window=popup_no_bar&amp;width=385&amp;height=120&amp;START_MAXIMIZED=FALSE&amp;creator=factset&amp;display_string=Audit"}</definedName>
    <definedName name="_1423__FDSAUDITLINK__" hidden="1">{"fdsup://Directions/FactSet Auditing Viewer?action=AUDIT_VALUE&amp;DB=129&amp;ID1=53567810&amp;VALUEID=01001&amp;SDATE=201004&amp;PERIODTYPE=QTR_STD&amp;window=popup_no_bar&amp;width=385&amp;height=120&amp;START_MAXIMIZED=FALSE&amp;creator=factset&amp;display_string=Audit"}</definedName>
    <definedName name="_1424__FDSAUDITLINK__" hidden="1">{"fdsup://Directions/FactSet Auditing Viewer?action=AUDIT_VALUE&amp;DB=129&amp;ID1=50242410&amp;VALUEID=01001&amp;SDATE=200902&amp;PERIODTYPE=QTR_STD&amp;window=popup_no_bar&amp;width=385&amp;height=120&amp;START_MAXIMIZED=FALSE&amp;creator=factset&amp;display_string=Audit"}</definedName>
    <definedName name="_1425__FDSAUDITLINK__" hidden="1">{"fdsup://Directions/FactSet Auditing Viewer?action=AUDIT_VALUE&amp;DB=129&amp;ID1=50242410&amp;VALUEID=01001&amp;SDATE=201002&amp;PERIODTYPE=QTR_STD&amp;window=popup_no_bar&amp;width=385&amp;height=120&amp;START_MAXIMIZED=FALSE&amp;creator=factset&amp;display_string=Audit"}</definedName>
    <definedName name="_1426__FDSAUDITLINK__" hidden="1">{"fdsup://Directions/FactSet Auditing Viewer?action=AUDIT_VALUE&amp;DB=129&amp;ID1=53217V10&amp;VALUEID=01001&amp;SDATE=200902&amp;PERIODTYPE=QTR_STD&amp;window=popup_no_bar&amp;width=385&amp;height=120&amp;START_MAXIMIZED=FALSE&amp;creator=factset&amp;display_string=Audit"}</definedName>
    <definedName name="_1427__FDSAUDITLINK__" hidden="1">{"fdsup://Directions/FactSet Auditing Viewer?action=AUDIT_VALUE&amp;DB=129&amp;ID1=53217V10&amp;VALUEID=01001&amp;SDATE=201002&amp;PERIODTYPE=QTR_STD&amp;window=popup_no_bar&amp;width=385&amp;height=120&amp;START_MAXIMIZED=FALSE&amp;creator=factset&amp;display_string=Audit"}</definedName>
    <definedName name="_1428__FDSAUDITLINK__" hidden="1">{"fdsup://Directions/FactSet Auditing Viewer?action=AUDIT_VALUE&amp;DB=129&amp;ID1=50540R40&amp;VALUEID=01001&amp;SDATE=200902&amp;PERIODTYPE=QTR_STD&amp;window=popup_no_bar&amp;width=385&amp;height=120&amp;START_MAXIMIZED=FALSE&amp;creator=factset&amp;display_string=Audit"}</definedName>
    <definedName name="_1429__FDSAUDITLINK__" hidden="1">{"fdsup://Directions/FactSet Auditing Viewer?action=AUDIT_VALUE&amp;DB=129&amp;ID1=50540R40&amp;VALUEID=01001&amp;SDATE=201002&amp;PERIODTYPE=QTR_STD&amp;window=popup_no_bar&amp;width=385&amp;height=120&amp;START_MAXIMIZED=FALSE&amp;creator=factset&amp;display_string=Audit"}</definedName>
    <definedName name="_143__FDSAUDITLINK__" hidden="1">{"fdsup://directions/FAT Viewer?action=UPDATE&amp;creator=factset&amp;DYN_ARGS=TRUE&amp;DOC_NAME=FAT:FQL_AUDITING_CLIENT_TEMPLATE.FAT&amp;display_string=Audit&amp;VAR:KEY=JKHUVWRMBO&amp;VAR:QUERY=RkZfRUJJVERBX09QRVIoUVRSLDQvMS8yMDA5LDYvMzAvMjAwOSwsLFVTRCk=&amp;WINDOW=FIRST_POPUP&amp;HEIGH","T=450&amp;WIDTH=450&amp;START_MAXIMIZED=FALSE&amp;VAR:CALENDAR=US&amp;VAR:SYMBOL=SYY&amp;VAR:INDEX=0"}</definedName>
    <definedName name="_1430__FDSAUDITLINK__" hidden="1">{"fdsup://Directions/FactSet Auditing Viewer?action=AUDIT_VALUE&amp;DB=129&amp;ID1=52605710&amp;VALUEID=01001&amp;SDATE=200902&amp;PERIODTYPE=QTR_STD&amp;window=popup_no_bar&amp;width=385&amp;height=120&amp;START_MAXIMIZED=FALSE&amp;creator=factset&amp;display_string=Audit"}</definedName>
    <definedName name="_1431__FDSAUDITLINK__" hidden="1">{"fdsup://Directions/FactSet Auditing Viewer?action=AUDIT_VALUE&amp;DB=129&amp;ID1=52605710&amp;VALUEID=01001&amp;SDATE=201002&amp;PERIODTYPE=QTR_STD&amp;window=popup_no_bar&amp;width=385&amp;height=120&amp;START_MAXIMIZED=FALSE&amp;creator=factset&amp;display_string=Audit"}</definedName>
    <definedName name="_1432__FDSAUDITLINK__" hidden="1">{"fdsup://Directions/FactSet Auditing Viewer?action=AUDIT_VALUE&amp;DB=129&amp;ID1=52466010&amp;VALUEID=01001&amp;SDATE=200902&amp;PERIODTYPE=QTR_STD&amp;window=popup_no_bar&amp;width=385&amp;height=120&amp;START_MAXIMIZED=FALSE&amp;creator=factset&amp;display_string=Audit"}</definedName>
    <definedName name="_1433__FDSAUDITLINK__" hidden="1">{"fdsup://Directions/FactSet Auditing Viewer?action=AUDIT_VALUE&amp;DB=129&amp;ID1=52466010&amp;VALUEID=01001&amp;SDATE=201002&amp;PERIODTYPE=QTR_STD&amp;window=popup_no_bar&amp;width=385&amp;height=120&amp;START_MAXIMIZED=FALSE&amp;creator=factset&amp;display_string=Audit"}</definedName>
    <definedName name="_1434__FDSAUDITLINK__" hidden="1">{"fdsup://Directions/FactSet Auditing Viewer?action=AUDIT_VALUE&amp;DB=129&amp;ID1=54042410&amp;VALUEID=01001&amp;SDATE=200902&amp;PERIODTYPE=QTR_STD&amp;window=popup_no_bar&amp;width=385&amp;height=120&amp;START_MAXIMIZED=FALSE&amp;creator=factset&amp;display_string=Audit"}</definedName>
    <definedName name="_1435__FDSAUDITLINK__" hidden="1">{"fdsup://Directions/FactSet Auditing Viewer?action=AUDIT_VALUE&amp;DB=129&amp;ID1=54042410&amp;VALUEID=01001&amp;SDATE=201002&amp;PERIODTYPE=QTR_STD&amp;window=popup_no_bar&amp;width=385&amp;height=120&amp;START_MAXIMIZED=FALSE&amp;creator=factset&amp;display_string=Audit"}</definedName>
    <definedName name="_1436__FDSAUDITLINK__" hidden="1">{"fdsup://Directions/FactSet Auditing Viewer?action=AUDIT_VALUE&amp;DB=129&amp;ID1=50025510&amp;VALUEID=01001&amp;SDATE=200901&amp;PERIODTYPE=QTR_STD&amp;window=popup_no_bar&amp;width=385&amp;height=120&amp;START_MAXIMIZED=FALSE&amp;creator=factset&amp;display_string=Audit"}</definedName>
    <definedName name="_1437__FDSAUDITLINK__" hidden="1">{"fdsup://Directions/FactSet Auditing Viewer?action=AUDIT_VALUE&amp;DB=129&amp;ID1=50025510&amp;VALUEID=01001&amp;SDATE=201001&amp;PERIODTYPE=QTR_STD&amp;window=popup_no_bar&amp;width=385&amp;height=120&amp;START_MAXIMIZED=FALSE&amp;creator=factset&amp;display_string=Audit"}</definedName>
    <definedName name="_1438__FDSAUDITLINK__" hidden="1">{"fdsup://Directions/FactSet Auditing Viewer?action=AUDIT_VALUE&amp;DB=129&amp;ID1=50104410&amp;VALUEID=01001&amp;SDATE=200901&amp;PERIODTYPE=QTR_STD&amp;window=popup_no_bar&amp;width=385&amp;height=120&amp;START_MAXIMIZED=FALSE&amp;creator=factset&amp;display_string=Audit"}</definedName>
    <definedName name="_1439__FDSAUDITLINK__" hidden="1">{"fdsup://Directions/FactSet Auditing Viewer?action=AUDIT_VALUE&amp;DB=129&amp;ID1=50104410&amp;VALUEID=01001&amp;SDATE=201001&amp;PERIODTYPE=QTR_STD&amp;window=popup_no_bar&amp;width=385&amp;height=120&amp;START_MAXIMIZED=FALSE&amp;creator=factset&amp;display_string=Audit"}</definedName>
    <definedName name="_144__FDSAUDITLINK__" hidden="1">{"fdsup://directions/FAT Viewer?action=UPDATE&amp;creator=factset&amp;DYN_ARGS=TRUE&amp;DOC_NAME=FAT:FQL_AUDITING_CLIENT_TEMPLATE.FAT&amp;display_string=Audit&amp;VAR:KEY=ZYXITQZKRG&amp;VAR:QUERY=RkZfRUJJVERBX09QRVIoUVRSLDQvMS8yMDEwLDYvMzAvMjAxMCwsLFVTRCk=&amp;WINDOW=FIRST_POPUP&amp;HEIGH","T=450&amp;WIDTH=450&amp;START_MAXIMIZED=FALSE&amp;VAR:CALENDAR=US&amp;VAR:SYMBOL=SYY&amp;VAR:INDEX=0"}</definedName>
    <definedName name="_1440__FDSAUDITLINK__" hidden="1">{"fdsup://Directions/FactSet Auditing Viewer?action=AUDIT_VALUE&amp;DB=129&amp;ID1=19121610&amp;VALUEID=01001&amp;SDATE=200902&amp;PERIODTYPE=QTR_STD&amp;window=popup_no_bar&amp;width=385&amp;height=120&amp;START_MAXIMIZED=FALSE&amp;creator=factset&amp;display_string=Audit"}</definedName>
    <definedName name="_1441__FDSAUDITLINK__" hidden="1">{"fdsup://Directions/FactSet Auditing Viewer?action=AUDIT_VALUE&amp;DB=129&amp;ID1=19121610&amp;VALUEID=01001&amp;SDATE=201002&amp;PERIODTYPE=QTR_STD&amp;window=popup_no_bar&amp;width=385&amp;height=120&amp;START_MAXIMIZED=FALSE&amp;creator=factset&amp;display_string=Audit"}</definedName>
    <definedName name="_1442__FDSAUDITLINK__" hidden="1">{"fdsup://Directions/FactSet Auditing Viewer?action=AUDIT_VALUE&amp;DB=129&amp;ID1=14313010&amp;VALUEID=01001&amp;SDATE=200901&amp;PERIODTYPE=QTR_STD&amp;window=popup_no_bar&amp;width=385&amp;height=120&amp;START_MAXIMIZED=FALSE&amp;creator=factset&amp;display_string=Audit"}</definedName>
    <definedName name="_1443__FDSAUDITLINK__" hidden="1">{"fdsup://Directions/FactSet Auditing Viewer?action=AUDIT_VALUE&amp;DB=129&amp;ID1=14313010&amp;VALUEID=01001&amp;SDATE=201001&amp;PERIODTYPE=QTR_STD&amp;window=popup_no_bar&amp;width=385&amp;height=120&amp;START_MAXIMIZED=FALSE&amp;creator=factset&amp;display_string=Audit"}</definedName>
    <definedName name="_1444__FDSAUDITLINK__" hidden="1">{"fdsup://Directions/FactSet Auditing Viewer?action=AUDIT_VALUE&amp;DB=129&amp;ID1=49436810&amp;VALUEID=01001&amp;SDATE=200902&amp;PERIODTYPE=QTR_STD&amp;window=popup_no_bar&amp;width=385&amp;height=120&amp;START_MAXIMIZED=FALSE&amp;creator=factset&amp;display_string=Audit"}</definedName>
    <definedName name="_1445__FDSAUDITLINK__" hidden="1">{"fdsup://Directions/FactSet Auditing Viewer?action=AUDIT_VALUE&amp;DB=129&amp;ID1=49436810&amp;VALUEID=01001&amp;SDATE=201002&amp;PERIODTYPE=QTR_STD&amp;window=popup_no_bar&amp;width=385&amp;height=120&amp;START_MAXIMIZED=FALSE&amp;creator=factset&amp;display_string=Audit"}</definedName>
    <definedName name="_1446__FDSAUDITLINK__" hidden="1">{"fdsup://Directions/FactSet Auditing Viewer?action=AUDIT_VALUE&amp;DB=129&amp;ID1=48248010&amp;VALUEID=01001&amp;SDATE=200904&amp;PERIODTYPE=QTR_STD&amp;window=popup_no_bar&amp;width=385&amp;height=120&amp;START_MAXIMIZED=FALSE&amp;creator=factset&amp;display_string=Audit"}</definedName>
    <definedName name="_1447__FDSAUDITLINK__" hidden="1">{"fdsup://Directions/FactSet Auditing Viewer?action=AUDIT_VALUE&amp;DB=129&amp;ID1=48248010&amp;VALUEID=01001&amp;SDATE=201004&amp;PERIODTYPE=QTR_STD&amp;window=popup_no_bar&amp;width=385&amp;height=120&amp;START_MAXIMIZED=FALSE&amp;creator=factset&amp;display_string=Audit"}</definedName>
    <definedName name="_1448__FDSAUDITLINK__" hidden="1">{"fdsup://Directions/FactSet Auditing Viewer?action=AUDIT_VALUE&amp;DB=129&amp;ID1=49446R10&amp;VALUEID=01001&amp;SDATE=200902&amp;PERIODTYPE=QTR_STD&amp;window=popup_no_bar&amp;width=385&amp;height=120&amp;START_MAXIMIZED=FALSE&amp;creator=factset&amp;display_string=Audit"}</definedName>
    <definedName name="_1449__FDSAUDITLINK__" hidden="1">{"fdsup://Directions/FactSet Auditing Viewer?action=AUDIT_VALUE&amp;DB=129&amp;ID1=49446R10&amp;VALUEID=01001&amp;SDATE=201002&amp;PERIODTYPE=QTR_STD&amp;window=popup_no_bar&amp;width=385&amp;height=120&amp;START_MAXIMIZED=FALSE&amp;creator=factset&amp;display_string=Audit"}</definedName>
    <definedName name="_145__FDSAUDITLINK__" hidden="1">{"fdsup://directions/FAT Viewer?action=UPDATE&amp;creator=factset&amp;DYN_ARGS=TRUE&amp;DOC_NAME=FAT:FQL_AUDITING_CLIENT_TEMPLATE.FAT&amp;display_string=Audit&amp;VAR:KEY=RWBSDSPGJG&amp;VAR:QUERY=RkZfRUJJVERBX09QRVIoUVRSLDQvMS8yMDA5LDYvMzAvMjAwOSwsLFVTRCk=&amp;WINDOW=FIRST_POPUP&amp;HEIGH","T=450&amp;WIDTH=450&amp;START_MAXIMIZED=FALSE&amp;VAR:CALENDAR=US&amp;VAR:SYMBOL=SYMC&amp;VAR:INDEX=0"}</definedName>
    <definedName name="_1450__FDSAUDITLINK__" hidden="1">{"fdsup://Directions/FactSet Auditing Viewer?action=AUDIT_VALUE&amp;DB=129&amp;ID1=49558210&amp;VALUEID=01001&amp;SDATE=200902&amp;PERIODTYPE=QTR_STD&amp;window=popup_no_bar&amp;width=385&amp;height=120&amp;START_MAXIMIZED=FALSE&amp;creator=factset&amp;display_string=Audit"}</definedName>
    <definedName name="_1451__FDSAUDITLINK__" hidden="1">{"fdsup://Directions/FactSet Auditing Viewer?action=AUDIT_VALUE&amp;DB=129&amp;ID1=49558210&amp;VALUEID=01001&amp;SDATE=201002&amp;PERIODTYPE=QTR_STD&amp;window=popup_no_bar&amp;width=385&amp;height=120&amp;START_MAXIMIZED=FALSE&amp;creator=factset&amp;display_string=Audit"}</definedName>
    <definedName name="_1452__FDSAUDITLINK__" hidden="1">{"fdsup://Directions/FactSet Auditing Viewer?action=AUDIT_VALUE&amp;DB=129&amp;ID1=50075N10&amp;VALUEID=01001&amp;SDATE=200902&amp;PERIODTYPE=QTR_STD&amp;window=popup_no_bar&amp;width=385&amp;height=120&amp;START_MAXIMIZED=FALSE&amp;creator=factset&amp;display_string=Audit"}</definedName>
    <definedName name="_1453__FDSAUDITLINK__" hidden="1">{"fdsup://Directions/FactSet Auditing Viewer?action=AUDIT_VALUE&amp;DB=129&amp;ID1=50075N10&amp;VALUEID=01001&amp;SDATE=201002&amp;PERIODTYPE=QTR_STD&amp;window=popup_no_bar&amp;width=385&amp;height=120&amp;START_MAXIMIZED=FALSE&amp;creator=factset&amp;display_string=Audit"}</definedName>
    <definedName name="_1454__FDSAUDITLINK__" hidden="1">{"fdsup://Directions/FactSet Auditing Viewer?action=AUDIT_VALUE&amp;DB=129&amp;ID1=48783610&amp;VALUEID=01001&amp;SDATE=200902&amp;PERIODTYPE=QTR_STD&amp;window=popup_no_bar&amp;width=385&amp;height=120&amp;START_MAXIMIZED=FALSE&amp;creator=factset&amp;display_string=Audit"}</definedName>
    <definedName name="_1455__FDSAUDITLINK__" hidden="1">{"fdsup://Directions/FactSet Auditing Viewer?action=AUDIT_VALUE&amp;DB=129&amp;ID1=48783610&amp;VALUEID=01001&amp;SDATE=201002&amp;PERIODTYPE=QTR_STD&amp;window=popup_no_bar&amp;width=385&amp;height=120&amp;START_MAXIMIZED=FALSE&amp;creator=factset&amp;display_string=Audit"}</definedName>
    <definedName name="_1456__FDSAUDITLINK__" hidden="1">{"fdsup://Directions/FactSet Auditing Viewer?action=AUDIT_VALUE&amp;DB=129&amp;ID1=65566410&amp;VALUEID=01001&amp;SDATE=201001&amp;PERIODTYPE=QTR_STD&amp;window=popup_no_bar&amp;width=385&amp;height=120&amp;START_MAXIMIZED=FALSE&amp;creator=factset&amp;display_string=Audit"}</definedName>
    <definedName name="_1457__FDSAUDITLINK__" hidden="1">{"fdsup://Directions/FactSet Auditing Viewer?action=AUDIT_VALUE&amp;DB=129&amp;ID1=47102X10&amp;VALUEID=01001&amp;SDATE=200902&amp;PERIODTYPE=QTR_STD&amp;window=popup_no_bar&amp;width=385&amp;height=120&amp;START_MAXIMIZED=FALSE&amp;creator=factset&amp;display_string=Audit"}</definedName>
    <definedName name="_1458__FDSAUDITLINK__" hidden="1">{"fdsup://Directions/FactSet Auditing Viewer?action=AUDIT_VALUE&amp;DB=129&amp;ID1=47102X10&amp;VALUEID=01001&amp;SDATE=201002&amp;PERIODTYPE=QTR_STD&amp;window=popup_no_bar&amp;width=385&amp;height=120&amp;START_MAXIMIZED=FALSE&amp;creator=factset&amp;display_string=Audit"}</definedName>
    <definedName name="_1459__FDSAUDITLINK__" hidden="1">{"fdsup://Directions/FactSet Auditing Viewer?action=AUDIT_VALUE&amp;DB=129&amp;ID1=48203R10&amp;VALUEID=01001&amp;SDATE=200902&amp;PERIODTYPE=QTR_STD&amp;window=popup_no_bar&amp;width=385&amp;height=120&amp;START_MAXIMIZED=FALSE&amp;creator=factset&amp;display_string=Audit"}</definedName>
    <definedName name="_146__FDSAUDITLINK__" hidden="1">{"fdsup://directions/FAT Viewer?action=UPDATE&amp;creator=factset&amp;DYN_ARGS=TRUE&amp;DOC_NAME=FAT:FQL_AUDITING_CLIENT_TEMPLATE.FAT&amp;display_string=Audit&amp;VAR:KEY=VSNWJKXIRC&amp;VAR:QUERY=RkZfRUJJVERBX09QRVIoUVRSLDQvMS8yMDEwLDYvMzAvMjAxMCwsLFVTRCk=&amp;WINDOW=FIRST_POPUP&amp;HEIGH","T=450&amp;WIDTH=450&amp;START_MAXIMIZED=FALSE&amp;VAR:CALENDAR=US&amp;VAR:SYMBOL=SYMC&amp;VAR:INDEX=0"}</definedName>
    <definedName name="_1460__FDSAUDITLINK__" hidden="1">{"fdsup://Directions/FactSet Auditing Viewer?action=AUDIT_VALUE&amp;DB=129&amp;ID1=48203R10&amp;VALUEID=01001&amp;SDATE=201002&amp;PERIODTYPE=QTR_STD&amp;window=popup_no_bar&amp;width=385&amp;height=120&amp;START_MAXIMIZED=FALSE&amp;creator=factset&amp;display_string=Audit"}</definedName>
    <definedName name="_1461__FDSAUDITLINK__" hidden="1">{"fdsup://Directions/FactSet Auditing Viewer?action=AUDIT_VALUE&amp;DB=129&amp;ID1=47816010&amp;VALUEID=01001&amp;SDATE=200902&amp;PERIODTYPE=QTR_STD&amp;window=popup_no_bar&amp;width=385&amp;height=120&amp;START_MAXIMIZED=FALSE&amp;creator=factset&amp;display_string=Audit"}</definedName>
    <definedName name="_1462__FDSAUDITLINK__" hidden="1">{"fdsup://Directions/FactSet Auditing Viewer?action=AUDIT_VALUE&amp;DB=129&amp;ID1=47816010&amp;VALUEID=01001&amp;SDATE=201002&amp;PERIODTYPE=QTR_STD&amp;window=popup_no_bar&amp;width=385&amp;height=120&amp;START_MAXIMIZED=FALSE&amp;creator=factset&amp;display_string=Audit"}</definedName>
    <definedName name="_1463__FDSAUDITLINK__" hidden="1">{"fdsup://Directions/FactSet Auditing Viewer?action=AUDIT_VALUE&amp;DB=129&amp;ID1=46981410&amp;VALUEID=01001&amp;SDATE=200903&amp;PERIODTYPE=QTR_STD&amp;window=popup_no_bar&amp;width=385&amp;height=120&amp;START_MAXIMIZED=FALSE&amp;creator=factset&amp;display_string=Audit"}</definedName>
    <definedName name="_1464__FDSAUDITLINK__" hidden="1">{"fdsup://Directions/FactSet Auditing Viewer?action=AUDIT_VALUE&amp;DB=129&amp;ID1=46981410&amp;VALUEID=01001&amp;SDATE=201003&amp;PERIODTYPE=QTR_STD&amp;window=popup_no_bar&amp;width=385&amp;height=120&amp;START_MAXIMIZED=FALSE&amp;creator=factset&amp;display_string=Audit"}</definedName>
    <definedName name="_1465__FDSAUDITLINK__" hidden="1">{"fdsup://Directions/FactSet Auditing Viewer?action=AUDIT_VALUE&amp;DB=129&amp;ID1=46612J50&amp;VALUEID=01001&amp;SDATE=201003&amp;PERIODTYPE=QTR_STD&amp;window=popup_no_bar&amp;width=385&amp;height=120&amp;START_MAXIMIZED=FALSE&amp;creator=factset&amp;display_string=Audit"}</definedName>
    <definedName name="_1466__FDSAUDITLINK__" hidden="1">{"fdsup://Directions/FactSet Auditing Viewer?action=AUDIT_VALUE&amp;DB=129&amp;ID1=70816010&amp;VALUEID=01001&amp;SDATE=200901&amp;PERIODTYPE=QTR_STD&amp;window=popup_no_bar&amp;width=385&amp;height=120&amp;START_MAXIMIZED=FALSE&amp;creator=factset&amp;display_string=Audit"}</definedName>
    <definedName name="_1467__FDSAUDITLINK__" hidden="1">{"fdsup://Directions/FactSet Auditing Viewer?action=AUDIT_VALUE&amp;DB=129&amp;ID1=70816010&amp;VALUEID=01001&amp;SDATE=201001&amp;PERIODTYPE=QTR_STD&amp;window=popup_no_bar&amp;width=385&amp;height=120&amp;START_MAXIMIZED=FALSE&amp;creator=factset&amp;display_string=Audit"}</definedName>
    <definedName name="_1468__FDSAUDITLINK__" hidden="1">{"fdsup://Directions/FactSet Auditing Viewer?action=AUDIT_VALUE&amp;DB=129&amp;ID1=47836610&amp;VALUEID=01001&amp;SDATE=200903&amp;PERIODTYPE=QTR_STD&amp;window=popup_no_bar&amp;width=385&amp;height=120&amp;START_MAXIMIZED=FALSE&amp;creator=factset&amp;display_string=Audit"}</definedName>
    <definedName name="_1469__FDSAUDITLINK__" hidden="1">{"fdsup://Directions/FactSet Auditing Viewer?action=AUDIT_VALUE&amp;DB=129&amp;ID1=47836610&amp;VALUEID=01001&amp;SDATE=201003&amp;PERIODTYPE=QTR_STD&amp;window=popup_no_bar&amp;width=385&amp;height=120&amp;START_MAXIMIZED=FALSE&amp;creator=factset&amp;display_string=Audit"}</definedName>
    <definedName name="_147__FDSAUDITLINK__" hidden="1">{"fdsup://directions/FAT Viewer?action=UPDATE&amp;creator=factset&amp;DYN_ARGS=TRUE&amp;DOC_NAME=FAT:FQL_AUDITING_CLIENT_TEMPLATE.FAT&amp;display_string=Audit&amp;VAR:KEY=BGROTWXYLS&amp;VAR:QUERY=RkZfRUJJVERBX09QRVIoUVRSLDQvMS8yMDA5LDYvMzAvMjAwOSwsLFVTRCk=&amp;WINDOW=FIRST_POPUP&amp;HEIGH","T=450&amp;WIDTH=450&amp;START_MAXIMIZED=FALSE&amp;VAR:CALENDAR=US&amp;VAR:SYMBOL=SYK&amp;VAR:INDEX=0"}</definedName>
    <definedName name="_1470__FDSAUDITLINK__" hidden="1">{"fdsup://Directions/FactSet Auditing Viewer?action=AUDIT_VALUE&amp;DB=129&amp;ID1=46631310&amp;VALUEID=01001&amp;SDATE=200903&amp;PERIODTYPE=QTR_STD&amp;window=popup_no_bar&amp;width=385&amp;height=120&amp;START_MAXIMIZED=FALSE&amp;creator=factset&amp;display_string=Audit"}</definedName>
    <definedName name="_1471__FDSAUDITLINK__" hidden="1">{"fdsup://Directions/FactSet Auditing Viewer?action=AUDIT_VALUE&amp;DB=129&amp;ID1=46631310&amp;VALUEID=01001&amp;SDATE=201003&amp;PERIODTYPE=QTR_STD&amp;window=popup_no_bar&amp;width=385&amp;height=120&amp;START_MAXIMIZED=FALSE&amp;creator=factset&amp;display_string=Audit"}</definedName>
    <definedName name="_1472__FDSAUDITLINK__" hidden="1">{"fdsup://Directions/FactSet Auditing Viewer?action=AUDIT_VALUE&amp;DB=129&amp;ID1=G491BT10&amp;VALUEID=01001&amp;SDATE=200902&amp;PERIODTYPE=QTR_STD&amp;window=popup_no_bar&amp;width=385&amp;height=120&amp;START_MAXIMIZED=FALSE&amp;creator=factset&amp;display_string=Audit"}</definedName>
    <definedName name="_1473__FDSAUDITLINK__" hidden="1">{"fdsup://Directions/FactSet Auditing Viewer?action=AUDIT_VALUE&amp;DB=129&amp;ID1=G491BT10&amp;VALUEID=01001&amp;SDATE=201002&amp;PERIODTYPE=QTR_STD&amp;window=popup_no_bar&amp;width=385&amp;height=120&amp;START_MAXIMIZED=FALSE&amp;creator=factset&amp;display_string=Audit"}</definedName>
    <definedName name="_1474__FDSAUDITLINK__" hidden="1">{"fdsup://Directions/FactSet Auditing Viewer?action=AUDIT_VALUE&amp;DB=129&amp;ID1=45230810&amp;VALUEID=01001&amp;SDATE=200902&amp;PERIODTYPE=QTR_STD&amp;window=popup_no_bar&amp;width=385&amp;height=120&amp;START_MAXIMIZED=FALSE&amp;creator=factset&amp;display_string=Audit"}</definedName>
    <definedName name="_1475__FDSAUDITLINK__" hidden="1">{"fdsup://Directions/FactSet Auditing Viewer?action=AUDIT_VALUE&amp;DB=129&amp;ID1=45230810&amp;VALUEID=01001&amp;SDATE=201002&amp;PERIODTYPE=QTR_STD&amp;window=popup_no_bar&amp;width=385&amp;height=120&amp;START_MAXIMIZED=FALSE&amp;creator=factset&amp;display_string=Audit"}</definedName>
    <definedName name="_1476__FDSAUDITLINK__" hidden="1">{"fdsup://Directions/FactSet Auditing Viewer?action=AUDIT_VALUE&amp;DB=129&amp;ID1=45091110&amp;VALUEID=01001&amp;SDATE=200902&amp;PERIODTYPE=QTR_STD&amp;window=popup_no_bar&amp;width=385&amp;height=120&amp;START_MAXIMIZED=FALSE&amp;creator=factset&amp;display_string=Audit"}</definedName>
    <definedName name="_1477__FDSAUDITLINK__" hidden="1">{"fdsup://Directions/FactSet Auditing Viewer?action=AUDIT_VALUE&amp;DB=129&amp;ID1=45091110&amp;VALUEID=01001&amp;SDATE=201002&amp;PERIODTYPE=QTR_STD&amp;window=popup_no_bar&amp;width=385&amp;height=120&amp;START_MAXIMIZED=FALSE&amp;creator=factset&amp;display_string=Audit"}</definedName>
    <definedName name="_1478__FDSAUDITLINK__" hidden="1">{"fdsup://Directions/FactSet Auditing Viewer?action=AUDIT_VALUE&amp;DB=129&amp;ID1=46120E60&amp;VALUEID=01001&amp;SDATE=200902&amp;PERIODTYPE=QTR_STD&amp;window=popup_no_bar&amp;width=385&amp;height=120&amp;START_MAXIMIZED=FALSE&amp;creator=factset&amp;display_string=Audit"}</definedName>
    <definedName name="_1479__FDSAUDITLINK__" hidden="1">{"fdsup://Directions/FactSet Auditing Viewer?action=AUDIT_VALUE&amp;DB=129&amp;ID1=46120E60&amp;VALUEID=01001&amp;SDATE=201002&amp;PERIODTYPE=QTR_STD&amp;window=popup_no_bar&amp;width=385&amp;height=120&amp;START_MAXIMIZED=FALSE&amp;creator=factset&amp;display_string=Audit"}</definedName>
    <definedName name="_148__FDSAUDITLINK__" hidden="1">{"fdsup://directions/FAT Viewer?action=UPDATE&amp;creator=factset&amp;DYN_ARGS=TRUE&amp;DOC_NAME=FAT:FQL_AUDITING_CLIENT_TEMPLATE.FAT&amp;display_string=Audit&amp;VAR:KEY=ZORQXUDSPW&amp;VAR:QUERY=RkZfRUJJVERBX09QRVIoUVRSLDQvMS8yMDEwLDYvMzAvMjAxMCwsLFVTRCk=&amp;WINDOW=FIRST_POPUP&amp;HEIGH","T=450&amp;WIDTH=450&amp;START_MAXIMIZED=FALSE&amp;VAR:CALENDAR=US&amp;VAR:SYMBOL=SYK&amp;VAR:INDEX=0"}</definedName>
    <definedName name="_1480__FDSAUDITLINK__" hidden="1">{"fdsup://Directions/FactSet Auditing Viewer?action=AUDIT_VALUE&amp;DB=129&amp;ID1=46284610&amp;VALUEID=01001&amp;SDATE=200902&amp;PERIODTYPE=QTR_STD&amp;window=popup_no_bar&amp;width=385&amp;height=120&amp;START_MAXIMIZED=FALSE&amp;creator=factset&amp;display_string=Audit"}</definedName>
    <definedName name="_1481__FDSAUDITLINK__" hidden="1">{"fdsup://Directions/FactSet Auditing Viewer?action=AUDIT_VALUE&amp;DB=129&amp;ID1=46284610&amp;VALUEID=01001&amp;SDATE=201002&amp;PERIODTYPE=QTR_STD&amp;window=popup_no_bar&amp;width=385&amp;height=120&amp;START_MAXIMIZED=FALSE&amp;creator=factset&amp;display_string=Audit"}</definedName>
    <definedName name="_1482__FDSAUDITLINK__" hidden="1">{"fdsup://Directions/FactSet Auditing Viewer?action=AUDIT_VALUE&amp;DB=129&amp;ID1=46069010&amp;VALUEID=01001&amp;SDATE=200902&amp;PERIODTYPE=QTR_STD&amp;window=popup_no_bar&amp;width=385&amp;height=120&amp;START_MAXIMIZED=FALSE&amp;creator=factset&amp;display_string=Audit"}</definedName>
    <definedName name="_1483__FDSAUDITLINK__" hidden="1">{"fdsup://Directions/FactSet Auditing Viewer?action=AUDIT_VALUE&amp;DB=129&amp;ID1=46069010&amp;VALUEID=01001&amp;SDATE=201002&amp;PERIODTYPE=QTR_STD&amp;window=popup_no_bar&amp;width=385&amp;height=120&amp;START_MAXIMIZED=FALSE&amp;creator=factset&amp;display_string=Audit"}</definedName>
    <definedName name="_1484__FDSAUDITLINK__" hidden="1">{"fdsup://Directions/FactSet Auditing Viewer?action=AUDIT_VALUE&amp;DB=129&amp;ID1=46014610&amp;VALUEID=01001&amp;SDATE=200902&amp;PERIODTYPE=QTR_STD&amp;window=popup_no_bar&amp;width=385&amp;height=120&amp;START_MAXIMIZED=FALSE&amp;creator=factset&amp;display_string=Audit"}</definedName>
    <definedName name="_1485__FDSAUDITLINK__" hidden="1">{"fdsup://Directions/FactSet Auditing Viewer?action=AUDIT_VALUE&amp;DB=129&amp;ID1=46014610&amp;VALUEID=01001&amp;SDATE=201002&amp;PERIODTYPE=QTR_STD&amp;window=popup_no_bar&amp;width=385&amp;height=120&amp;START_MAXIMIZED=FALSE&amp;creator=factset&amp;display_string=Audit"}</definedName>
    <definedName name="_1486__FDSAUDITLINK__" hidden="1">{"fdsup://Directions/FactSet Auditing Viewer?action=AUDIT_VALUE&amp;DB=129&amp;ID1=46120210&amp;VALUEID=01001&amp;SDATE=200903&amp;PERIODTYPE=QTR_STD&amp;window=popup_no_bar&amp;width=385&amp;height=120&amp;START_MAXIMIZED=FALSE&amp;creator=factset&amp;display_string=Audit"}</definedName>
    <definedName name="_1487__FDSAUDITLINK__" hidden="1">{"fdsup://Directions/FactSet Auditing Viewer?action=AUDIT_VALUE&amp;DB=129&amp;ID1=46120210&amp;VALUEID=01001&amp;SDATE=201003&amp;PERIODTYPE=QTR_STD&amp;window=popup_no_bar&amp;width=385&amp;height=120&amp;START_MAXIMIZED=FALSE&amp;creator=factset&amp;display_string=Audit"}</definedName>
    <definedName name="_1488__FDSAUDITLINK__" hidden="1">{"fdsup://Directions/FactSet Auditing Viewer?action=AUDIT_VALUE&amp;DB=129&amp;ID1=45814010&amp;VALUEID=01001&amp;SDATE=200902&amp;PERIODTYPE=QTR_STD&amp;window=popup_no_bar&amp;width=385&amp;height=120&amp;START_MAXIMIZED=FALSE&amp;creator=factset&amp;display_string=Audit"}</definedName>
    <definedName name="_1489__FDSAUDITLINK__" hidden="1">{"fdsup://Directions/FactSet Auditing Viewer?action=AUDIT_VALUE&amp;DB=129&amp;ID1=45814010&amp;VALUEID=01001&amp;SDATE=201002&amp;PERIODTYPE=QTR_STD&amp;window=popup_no_bar&amp;width=385&amp;height=120&amp;START_MAXIMIZED=FALSE&amp;creator=factset&amp;display_string=Audit"}</definedName>
    <definedName name="_149__FDSAUDITLINK__" hidden="1">{"fdsup://directions/FAT Viewer?action=UPDATE&amp;creator=factset&amp;DYN_ARGS=TRUE&amp;DOC_NAME=FAT:FQL_AUDITING_CLIENT_TEMPLATE.FAT&amp;display_string=Audit&amp;VAR:KEY=RGLWHGVEXO&amp;VAR:QUERY=RkZfRUJJVERBX09QRVIoUVRSLDQvMS8yMDA5LDYvMzAvMjAwOSwsLFVTRCk=&amp;WINDOW=FIRST_POPUP&amp;HEIGH","T=450&amp;WIDTH=450&amp;START_MAXIMIZED=FALSE&amp;VAR:CALENDAR=US&amp;VAR:SYMBOL=SWY&amp;VAR:INDEX=0"}</definedName>
    <definedName name="_1490__FDSAUDITLINK__" hidden="1">{"fdsup://Directions/FactSet Auditing Viewer?action=AUDIT_VALUE&amp;DB=129&amp;ID1=45990210&amp;VALUEID=01001&amp;SDATE=200903&amp;PERIODTYPE=QTR_STD&amp;window=popup_no_bar&amp;width=385&amp;height=120&amp;START_MAXIMIZED=FALSE&amp;creator=factset&amp;display_string=Audit"}</definedName>
    <definedName name="_1491__FDSAUDITLINK__" hidden="1">{"fdsup://Directions/FactSet Auditing Viewer?action=AUDIT_VALUE&amp;DB=129&amp;ID1=45990210&amp;VALUEID=01001&amp;SDATE=201003&amp;PERIODTYPE=QTR_STD&amp;window=popup_no_bar&amp;width=385&amp;height=120&amp;START_MAXIMIZED=FALSE&amp;creator=factset&amp;display_string=Audit"}</definedName>
    <definedName name="_1492__FDSAUDITLINK__" hidden="1">{"fdsup://Directions/FactSet Auditing Viewer?action=AUDIT_VALUE&amp;DB=129&amp;ID1=45950610&amp;VALUEID=01001&amp;SDATE=200902&amp;PERIODTYPE=QTR_STD&amp;window=popup_no_bar&amp;width=385&amp;height=120&amp;START_MAXIMIZED=FALSE&amp;creator=factset&amp;display_string=Audit"}</definedName>
    <definedName name="_1493__FDSAUDITLINK__" hidden="1">{"fdsup://Directions/FactSet Auditing Viewer?action=AUDIT_VALUE&amp;DB=129&amp;ID1=45950610&amp;VALUEID=01001&amp;SDATE=201002&amp;PERIODTYPE=QTR_STD&amp;window=popup_no_bar&amp;width=385&amp;height=120&amp;START_MAXIMIZED=FALSE&amp;creator=factset&amp;display_string=Audit"}</definedName>
    <definedName name="_1494__FDSAUDITLINK__" hidden="1">{"fdsup://Directions/FactSet Auditing Viewer?action=AUDIT_VALUE&amp;DB=129&amp;ID1=45865V10&amp;VALUEID=01001&amp;SDATE=200902&amp;PERIODTYPE=QTR_STD&amp;window=popup_no_bar&amp;width=385&amp;height=120&amp;START_MAXIMIZED=FALSE&amp;creator=factset&amp;display_string=Audit"}</definedName>
    <definedName name="_1495__FDSAUDITLINK__" hidden="1">{"fdsup://Directions/FactSet Auditing Viewer?action=AUDIT_VALUE&amp;DB=129&amp;ID1=45865V10&amp;VALUEID=01001&amp;SDATE=201002&amp;PERIODTYPE=QTR_STD&amp;window=popup_no_bar&amp;width=385&amp;height=120&amp;START_MAXIMIZED=FALSE&amp;creator=factset&amp;display_string=Audit"}</definedName>
    <definedName name="_1496__FDSAUDITLINK__" hidden="1">{"fdsup://Directions/FactSet Auditing Viewer?action=AUDIT_VALUE&amp;DB=129&amp;ID1=45920010&amp;VALUEID=01001&amp;SDATE=200902&amp;PERIODTYPE=QTR_STD&amp;window=popup_no_bar&amp;width=385&amp;height=120&amp;START_MAXIMIZED=FALSE&amp;creator=factset&amp;display_string=Audit"}</definedName>
    <definedName name="_1497__FDSAUDITLINK__" hidden="1">{"fdsup://Directions/FactSet Auditing Viewer?action=AUDIT_VALUE&amp;DB=129&amp;ID1=45920010&amp;VALUEID=01001&amp;SDATE=201002&amp;PERIODTYPE=QTR_STD&amp;window=popup_no_bar&amp;width=385&amp;height=120&amp;START_MAXIMIZED=FALSE&amp;creator=factset&amp;display_string=Audit"}</definedName>
    <definedName name="_1498__FDSAUDITLINK__" hidden="1">{"fdsup://Directions/FactSet Auditing Viewer?action=AUDIT_VALUE&amp;DB=129&amp;ID1=44485910&amp;VALUEID=01001&amp;SDATE=200902&amp;PERIODTYPE=QTR_STD&amp;window=popup_no_bar&amp;width=385&amp;height=120&amp;START_MAXIMIZED=FALSE&amp;creator=factset&amp;display_string=Audit"}</definedName>
    <definedName name="_1499__FDSAUDITLINK__" hidden="1">{"fdsup://Directions/FactSet Auditing Viewer?action=AUDIT_VALUE&amp;DB=129&amp;ID1=44485910&amp;VALUEID=01001&amp;SDATE=201002&amp;PERIODTYPE=QTR_STD&amp;window=popup_no_bar&amp;width=385&amp;height=120&amp;START_MAXIMIZED=FALSE&amp;creator=factset&amp;display_string=Audit"}</definedName>
    <definedName name="_15__123Graph_ASUPPLIES_BY_B_U">#REF!</definedName>
    <definedName name="_15__123Graph_CQRE_S_BY_CO.">#REF!</definedName>
    <definedName name="_15__FDSAUDITLINK__" hidden="1">{"fdsup://directions/FAT Viewer?action=UPDATE&amp;creator=factset&amp;DYN_ARGS=TRUE&amp;DOC_NAME=FAT:FQL_AUDITING_CLIENT_TEMPLATE.FAT&amp;display_string=Audit&amp;VAR:KEY=ZEPILGTOJO&amp;VAR:QUERY=RkZfRUJJVERBX09QRVIoUVRSLDQvMS8yMDA5LDYvMzAvMjAwOSwsLFVTRCk=&amp;WINDOW=FIRST_POPUP&amp;HEIGH","T=450&amp;WIDTH=450&amp;START_MAXIMIZED=FALSE&amp;VAR:CALENDAR=US&amp;VAR:SYMBOL=XLNX&amp;VAR:INDEX=0"}</definedName>
    <definedName name="_15_3__1_CRADDIN_DataGrid">#REF!</definedName>
    <definedName name="_150__FDSAUDITLINK__" hidden="1">{"fdsup://directions/FAT Viewer?action=UPDATE&amp;creator=factset&amp;DYN_ARGS=TRUE&amp;DOC_NAME=FAT:FQL_AUDITING_CLIENT_TEMPLATE.FAT&amp;display_string=Audit&amp;VAR:KEY=JGHIBMLYBM&amp;VAR:QUERY=RkZfRUJJVERBX09QRVIoUVRSLDQvMS8yMDEwLDYvMzAvMjAxMCwsLFVTRCk=&amp;WINDOW=FIRST_POPUP&amp;HEIGH","T=450&amp;WIDTH=450&amp;START_MAXIMIZED=FALSE&amp;VAR:CALENDAR=US&amp;VAR:SYMBOL=SWY&amp;VAR:INDEX=0"}</definedName>
    <definedName name="_1500__FDSAUDITLINK__" hidden="1">{"fdsup://Directions/FactSet Auditing Viewer?action=AUDIT_VALUE&amp;DB=129&amp;ID1=42786610&amp;VALUEID=01001&amp;SDATE=200902&amp;PERIODTYPE=QTR_STD&amp;window=popup_no_bar&amp;width=385&amp;height=120&amp;START_MAXIMIZED=FALSE&amp;creator=factset&amp;display_string=Audit"}</definedName>
    <definedName name="_1501__FDSAUDITLINK__" hidden="1">{"fdsup://Directions/FactSet Auditing Viewer?action=AUDIT_VALUE&amp;DB=129&amp;ID1=42786610&amp;VALUEID=01001&amp;SDATE=201002&amp;PERIODTYPE=QTR_STD&amp;window=popup_no_bar&amp;width=385&amp;height=120&amp;START_MAXIMIZED=FALSE&amp;creator=factset&amp;display_string=Audit"}</definedName>
    <definedName name="_1502__FDSAUDITLINK__" hidden="1">{"fdsup://Directions/FactSet Auditing Viewer?action=AUDIT_VALUE&amp;DB=129&amp;ID1=44107P10&amp;VALUEID=01001&amp;SDATE=200902&amp;PERIODTYPE=QTR_STD&amp;window=popup_no_bar&amp;width=385&amp;height=120&amp;START_MAXIMIZED=FALSE&amp;creator=factset&amp;display_string=Audit"}</definedName>
    <definedName name="_1503__FDSAUDITLINK__" hidden="1">{"fdsup://Directions/FactSet Auditing Viewer?action=AUDIT_VALUE&amp;DB=129&amp;ID1=44107P10&amp;VALUEID=01001&amp;SDATE=201002&amp;PERIODTYPE=QTR_STD&amp;window=popup_no_bar&amp;width=385&amp;height=120&amp;START_MAXIMIZED=FALSE&amp;creator=factset&amp;display_string=Audit"}</definedName>
    <definedName name="_1504__FDSAUDITLINK__" hidden="1">{"fdsup://Directions/FactSet Auditing Viewer?action=AUDIT_VALUE&amp;DB=129&amp;ID1=44106010&amp;VALUEID=01001&amp;SDATE=200902&amp;PERIODTYPE=QTR_STD&amp;window=popup_no_bar&amp;width=385&amp;height=120&amp;START_MAXIMIZED=FALSE&amp;creator=factset&amp;display_string=Audit"}</definedName>
    <definedName name="_1505__FDSAUDITLINK__" hidden="1">{"fdsup://Directions/FactSet Auditing Viewer?action=AUDIT_VALUE&amp;DB=129&amp;ID1=44106010&amp;VALUEID=01001&amp;SDATE=201002&amp;PERIODTYPE=QTR_STD&amp;window=popup_no_bar&amp;width=385&amp;height=120&amp;START_MAXIMIZED=FALSE&amp;creator=factset&amp;display_string=Audit"}</definedName>
    <definedName name="_1506__FDSAUDITLINK__" hidden="1">{"fdsup://Directions/FactSet Auditing Viewer?action=AUDIT_VALUE&amp;DB=129&amp;ID1=41387510&amp;VALUEID=01001&amp;SDATE=201004&amp;PERIODTYPE=QTR_STD&amp;window=popup_no_bar&amp;width=385&amp;height=120&amp;START_MAXIMIZED=FALSE&amp;creator=factset&amp;display_string=Audit"}</definedName>
    <definedName name="_1507__FDSAUDITLINK__" hidden="1">{"fdsup://Directions/FactSet Auditing Viewer?action=AUDIT_VALUE&amp;DB=129&amp;ID1=44045210&amp;VALUEID=01001&amp;SDATE=200902&amp;PERIODTYPE=QTR_STD&amp;window=popup_no_bar&amp;width=385&amp;height=120&amp;START_MAXIMIZED=FALSE&amp;creator=factset&amp;display_string=Audit"}</definedName>
    <definedName name="_1508__FDSAUDITLINK__" hidden="1">{"fdsup://Directions/FactSet Auditing Viewer?action=AUDIT_VALUE&amp;DB=129&amp;ID1=44045210&amp;VALUEID=01001&amp;SDATE=201002&amp;PERIODTYPE=QTR_STD&amp;window=popup_no_bar&amp;width=385&amp;height=120&amp;START_MAXIMIZED=FALSE&amp;creator=factset&amp;display_string=Audit"}</definedName>
    <definedName name="_1509__FDSAUDITLINK__" hidden="1">{"fdsup://Directions/FactSet Auditing Viewer?action=AUDIT_VALUE&amp;DB=129&amp;ID1=09367110&amp;VALUEID=01001&amp;SDATE=200904&amp;PERIODTYPE=QTR_STD&amp;window=popup_no_bar&amp;width=385&amp;height=120&amp;START_MAXIMIZED=FALSE&amp;creator=factset&amp;display_string=Audit"}</definedName>
    <definedName name="_151__FDSAUDITLINK__" hidden="1">{"fdsup://directions/FAT Viewer?action=UPDATE&amp;creator=factset&amp;DYN_ARGS=TRUE&amp;DOC_NAME=FAT:FQL_AUDITING_CLIENT_TEMPLATE.FAT&amp;display_string=Audit&amp;VAR:KEY=DWLALAPQPA&amp;VAR:QUERY=RkZfRUJJVERBX09QRVIoUVRSLDQvMS8yMDA5LDYvMzAvMjAwOSwsLFVTRCk=&amp;WINDOW=FIRST_POPUP&amp;HEIGH","T=450&amp;WIDTH=450&amp;START_MAXIMIZED=FALSE&amp;VAR:CALENDAR=US&amp;VAR:SYMBOL=SWN&amp;VAR:INDEX=0"}</definedName>
    <definedName name="_1510__FDSAUDITLINK__" hidden="1">{"fdsup://Directions/FactSet Auditing Viewer?action=AUDIT_VALUE&amp;DB=129&amp;ID1=42823610&amp;VALUEID=01001&amp;SDATE=200902&amp;PERIODTYPE=QTR_STD&amp;window=popup_no_bar&amp;width=385&amp;height=120&amp;START_MAXIMIZED=FALSE&amp;creator=factset&amp;display_string=Audit"}</definedName>
    <definedName name="_1511__FDSAUDITLINK__" hidden="1">{"fdsup://Directions/FactSet Auditing Viewer?action=AUDIT_VALUE&amp;DB=129&amp;ID1=42823610&amp;VALUEID=01001&amp;SDATE=201002&amp;PERIODTYPE=QTR_STD&amp;window=popup_no_bar&amp;width=385&amp;height=120&amp;START_MAXIMIZED=FALSE&amp;creator=factset&amp;display_string=Audit"}</definedName>
    <definedName name="_1512__FDSAUDITLINK__" hidden="1">{"fdsup://Directions/FactSet Auditing Viewer?action=AUDIT_VALUE&amp;DB=129&amp;ID1=42345210&amp;VALUEID=01001&amp;SDATE=200903&amp;PERIODTYPE=QTR_STD&amp;window=popup_no_bar&amp;width=385&amp;height=120&amp;START_MAXIMIZED=FALSE&amp;creator=factset&amp;display_string=Audit"}</definedName>
    <definedName name="_1513__FDSAUDITLINK__" hidden="1">{"fdsup://Directions/FactSet Auditing Viewer?action=AUDIT_VALUE&amp;DB=129&amp;ID1=42345210&amp;VALUEID=01001&amp;SDATE=201003&amp;PERIODTYPE=QTR_STD&amp;window=popup_no_bar&amp;width=385&amp;height=120&amp;START_MAXIMIZED=FALSE&amp;creator=factset&amp;display_string=Audit"}</definedName>
    <definedName name="_1514__FDSAUDITLINK__" hidden="1">{"fdsup://Directions/FactSet Auditing Viewer?action=AUDIT_VALUE&amp;DB=129&amp;ID1=85590A40&amp;VALUEID=01001&amp;SDATE=200902&amp;PERIODTYPE=QTR_STD&amp;window=popup_no_bar&amp;width=385&amp;height=120&amp;START_MAXIMIZED=FALSE&amp;creator=factset&amp;display_string=Audit"}</definedName>
    <definedName name="_1515__FDSAUDITLINK__" hidden="1">{"fdsup://Directions/FactSet Auditing Viewer?action=AUDIT_VALUE&amp;DB=129&amp;ID1=85590A40&amp;VALUEID=01001&amp;SDATE=201002&amp;PERIODTYPE=QTR_STD&amp;window=popup_no_bar&amp;width=385&amp;height=120&amp;START_MAXIMIZED=FALSE&amp;creator=factset&amp;display_string=Audit"}</definedName>
    <definedName name="_1516__FDSAUDITLINK__" hidden="1">{"fdsup://Directions/FactSet Auditing Viewer?action=AUDIT_VALUE&amp;DB=129&amp;ID1=43851610&amp;VALUEID=01001&amp;SDATE=200902&amp;PERIODTYPE=QTR_STD&amp;window=popup_no_bar&amp;width=385&amp;height=120&amp;START_MAXIMIZED=FALSE&amp;creator=factset&amp;display_string=Audit"}</definedName>
    <definedName name="_1517__FDSAUDITLINK__" hidden="1">{"fdsup://Directions/FactSet Auditing Viewer?action=AUDIT_VALUE&amp;DB=129&amp;ID1=43851610&amp;VALUEID=01001&amp;SDATE=201002&amp;PERIODTYPE=QTR_STD&amp;window=popup_no_bar&amp;width=385&amp;height=120&amp;START_MAXIMIZED=FALSE&amp;creator=factset&amp;display_string=Audit"}</definedName>
    <definedName name="_1518__FDSAUDITLINK__" hidden="1">{"fdsup://Directions/FactSet Auditing Viewer?action=AUDIT_VALUE&amp;DB=129&amp;ID1=41282210&amp;VALUEID=01001&amp;SDATE=200902&amp;PERIODTYPE=QTR_STD&amp;window=popup_no_bar&amp;width=385&amp;height=120&amp;START_MAXIMIZED=FALSE&amp;creator=factset&amp;display_string=Audit"}</definedName>
    <definedName name="_1519__FDSAUDITLINK__" hidden="1">{"fdsup://Directions/FactSet Auditing Viewer?action=AUDIT_VALUE&amp;DB=129&amp;ID1=41282210&amp;VALUEID=01001&amp;SDATE=201002&amp;PERIODTYPE=QTR_STD&amp;window=popup_no_bar&amp;width=385&amp;height=120&amp;START_MAXIMIZED=FALSE&amp;creator=factset&amp;display_string=Audit"}</definedName>
    <definedName name="_152__FDSAUDITLINK__" hidden="1">{"fdsup://directions/FAT Viewer?action=UPDATE&amp;creator=factset&amp;DYN_ARGS=TRUE&amp;DOC_NAME=FAT:FQL_AUDITING_CLIENT_TEMPLATE.FAT&amp;display_string=Audit&amp;VAR:KEY=TSLMFSVQVS&amp;VAR:QUERY=RkZfRUJJVERBX09QRVIoUVRSLDQvMS8yMDEwLDYvMzAvMjAxMCwsLFVTRCk=&amp;WINDOW=FIRST_POPUP&amp;HEIGH","T=450&amp;WIDTH=450&amp;START_MAXIMIZED=FALSE&amp;VAR:CALENDAR=US&amp;VAR:SYMBOL=SWN&amp;VAR:INDEX=0"}</definedName>
    <definedName name="_1520__FDSAUDITLINK__" hidden="1">{"fdsup://Directions/FactSet Auditing Viewer?action=AUDIT_VALUE&amp;DB=129&amp;ID1=42307410&amp;VALUEID=01001&amp;SDATE=200804&amp;PERIODTYPE=QTR_STD&amp;window=popup_no_bar&amp;width=385&amp;height=120&amp;START_MAXIMIZED=FALSE&amp;creator=factset&amp;display_string=Audit"}</definedName>
    <definedName name="_1521__FDSAUDITLINK__" hidden="1">{"fdsup://Directions/FactSet Auditing Viewer?action=AUDIT_VALUE&amp;DB=129&amp;ID1=42307410&amp;VALUEID=01001&amp;SDATE=200904&amp;PERIODTYPE=QTR_STD&amp;window=popup_no_bar&amp;width=385&amp;height=120&amp;START_MAXIMIZED=FALSE&amp;creator=factset&amp;display_string=Audit"}</definedName>
    <definedName name="_1522__FDSAUDITLINK__" hidden="1">{"fdsup://Directions/FactSet Auditing Viewer?action=AUDIT_VALUE&amp;DB=129&amp;ID1=41651510&amp;VALUEID=01001&amp;SDATE=200902&amp;PERIODTYPE=QTR_STD&amp;window=popup_no_bar&amp;width=385&amp;height=120&amp;START_MAXIMIZED=FALSE&amp;creator=factset&amp;display_string=Audit"}</definedName>
    <definedName name="_1523__FDSAUDITLINK__" hidden="1">{"fdsup://Directions/FactSet Auditing Viewer?action=AUDIT_VALUE&amp;DB=129&amp;ID1=41651510&amp;VALUEID=01001&amp;SDATE=201002&amp;PERIODTYPE=QTR_STD&amp;window=popup_no_bar&amp;width=385&amp;height=120&amp;START_MAXIMIZED=FALSE&amp;creator=factset&amp;display_string=Audit"}</definedName>
    <definedName name="_1524__FDSAUDITLINK__" hidden="1">{"fdsup://Directions/FactSet Auditing Viewer?action=AUDIT_VALUE&amp;DB=129&amp;ID1=42809H10&amp;VALUEID=01001&amp;SDATE=200902&amp;PERIODTYPE=QTR_STD&amp;window=popup_no_bar&amp;width=385&amp;height=120&amp;START_MAXIMIZED=FALSE&amp;creator=factset&amp;display_string=Audit"}</definedName>
    <definedName name="_1525__FDSAUDITLINK__" hidden="1">{"fdsup://Directions/FactSet Auditing Viewer?action=AUDIT_VALUE&amp;DB=129&amp;ID1=42809H10&amp;VALUEID=01001&amp;SDATE=201002&amp;PERIODTYPE=QTR_STD&amp;window=popup_no_bar&amp;width=385&amp;height=120&amp;START_MAXIMIZED=FALSE&amp;creator=factset&amp;display_string=Audit"}</definedName>
    <definedName name="_1526__FDSAUDITLINK__" hidden="1">{"fdsup://Directions/FactSet Auditing Viewer?action=AUDIT_VALUE&amp;DB=129&amp;ID1=43707610&amp;VALUEID=01001&amp;SDATE=200901&amp;PERIODTYPE=QTR_STD&amp;window=popup_no_bar&amp;width=385&amp;height=120&amp;START_MAXIMIZED=FALSE&amp;creator=factset&amp;display_string=Audit"}</definedName>
    <definedName name="_1527__FDSAUDITLINK__" hidden="1">{"fdsup://Directions/FactSet Auditing Viewer?action=AUDIT_VALUE&amp;DB=129&amp;ID1=43707610&amp;VALUEID=01001&amp;SDATE=201001&amp;PERIODTYPE=QTR_STD&amp;window=popup_no_bar&amp;width=385&amp;height=120&amp;START_MAXIMIZED=FALSE&amp;creator=factset&amp;display_string=Audit"}</definedName>
    <definedName name="_1528__FDSAUDITLINK__" hidden="1">{"fdsup://Directions/FactSet Auditing Viewer?action=AUDIT_VALUE&amp;DB=129&amp;ID1=40414L10&amp;VALUEID=01001&amp;SDATE=200902&amp;PERIODTYPE=QTR_STD&amp;window=popup_no_bar&amp;width=385&amp;height=120&amp;START_MAXIMIZED=FALSE&amp;creator=factset&amp;display_string=Audit"}</definedName>
    <definedName name="_1529__FDSAUDITLINK__" hidden="1">{"fdsup://Directions/FactSet Auditing Viewer?action=AUDIT_VALUE&amp;DB=129&amp;ID1=40414L10&amp;VALUEID=01001&amp;SDATE=201002&amp;PERIODTYPE=QTR_STD&amp;window=popup_no_bar&amp;width=385&amp;height=120&amp;START_MAXIMIZED=FALSE&amp;creator=factset&amp;display_string=Audit"}</definedName>
    <definedName name="_153__FDSAUDITLINK__" hidden="1">{"fdsup://directions/FAT Viewer?action=UPDATE&amp;creator=factset&amp;DYN_ARGS=TRUE&amp;DOC_NAME=FAT:FQL_AUDITING_CLIENT_TEMPLATE.FAT&amp;display_string=Audit&amp;VAR:KEY=NGVGDYJORE&amp;VAR:QUERY=RkZfRUJJVERBX09QRVIoUVRSLDQvMS8yMDA5LDYvMzAvMjAwOSwsLFVTRCk=&amp;WINDOW=FIRST_POPUP&amp;HEIGH","T=450&amp;WIDTH=450&amp;START_MAXIMIZED=FALSE&amp;VAR:CALENDAR=US&amp;VAR:SYMBOL=SWK&amp;VAR:INDEX=0"}</definedName>
    <definedName name="_1530__FDSAUDITLINK__" hidden="1">{"fdsup://Directions/FactSet Auditing Viewer?action=AUDIT_VALUE&amp;DB=129&amp;ID1=42217K10&amp;VALUEID=01001&amp;SDATE=200902&amp;PERIODTYPE=QTR_STD&amp;window=popup_no_bar&amp;width=385&amp;height=120&amp;START_MAXIMIZED=FALSE&amp;creator=factset&amp;display_string=Audit"}</definedName>
    <definedName name="_1531__FDSAUDITLINK__" hidden="1">{"fdsup://Directions/FactSet Auditing Viewer?action=AUDIT_VALUE&amp;DB=129&amp;ID1=42217K10&amp;VALUEID=01001&amp;SDATE=201002&amp;PERIODTYPE=QTR_STD&amp;window=popup_no_bar&amp;width=385&amp;height=120&amp;START_MAXIMIZED=FALSE&amp;creator=factset&amp;display_string=Audit"}</definedName>
    <definedName name="_1532__FDSAUDITLINK__" hidden="1">{"fdsup://Directions/FactSet Auditing Viewer?action=AUDIT_VALUE&amp;DB=129&amp;ID1=41805610&amp;VALUEID=01001&amp;SDATE=200902&amp;PERIODTYPE=QTR_STD&amp;window=popup_no_bar&amp;width=385&amp;height=120&amp;START_MAXIMIZED=FALSE&amp;creator=factset&amp;display_string=Audit"}</definedName>
    <definedName name="_1533__FDSAUDITLINK__" hidden="1">{"fdsup://Directions/FactSet Auditing Viewer?action=AUDIT_VALUE&amp;DB=129&amp;ID1=41805610&amp;VALUEID=01001&amp;SDATE=201002&amp;PERIODTYPE=QTR_STD&amp;window=popup_no_bar&amp;width=385&amp;height=120&amp;START_MAXIMIZED=FALSE&amp;creator=factset&amp;display_string=Audit"}</definedName>
    <definedName name="_1534__FDSAUDITLINK__" hidden="1">{"fdsup://Directions/FactSet Auditing Viewer?action=AUDIT_VALUE&amp;DB=129&amp;ID1=41308610&amp;VALUEID=01001&amp;SDATE=201004&amp;PERIODTYPE=QTR_STD&amp;window=popup_no_bar&amp;width=385&amp;height=120&amp;START_MAXIMIZED=FALSE&amp;creator=factset&amp;display_string=Audit"}</definedName>
    <definedName name="_1535__FDSAUDITLINK__" hidden="1">{"fdsup://Directions/FactSet Auditing Viewer?action=AUDIT_VALUE&amp;DB=129&amp;ID1=40621610&amp;VALUEID=01001&amp;SDATE=201002&amp;PERIODTYPE=QTR_STD&amp;window=popup_no_bar&amp;width=385&amp;height=120&amp;START_MAXIMIZED=FALSE&amp;creator=factset&amp;display_string=Audit"}</definedName>
    <definedName name="_1536__FDSAUDITLINK__" hidden="1">{"fdsup://Directions/FactSet Auditing Viewer?action=AUDIT_VALUE&amp;DB=129&amp;ID1=38480210&amp;VALUEID=01001&amp;SDATE=200902&amp;PERIODTYPE=QTR_STD&amp;window=popup_no_bar&amp;width=385&amp;height=120&amp;START_MAXIMIZED=FALSE&amp;creator=factset&amp;display_string=Audit"}</definedName>
    <definedName name="_1537__FDSAUDITLINK__" hidden="1">{"fdsup://Directions/FactSet Auditing Viewer?action=AUDIT_VALUE&amp;DB=129&amp;ID1=38480210&amp;VALUEID=01001&amp;SDATE=201002&amp;PERIODTYPE=QTR_STD&amp;window=popup_no_bar&amp;width=385&amp;height=120&amp;START_MAXIMIZED=FALSE&amp;creator=factset&amp;display_string=Audit"}</definedName>
    <definedName name="_1538__FDSAUDITLINK__" hidden="1">{"fdsup://Directions/FactSet Auditing Viewer?action=AUDIT_VALUE&amp;DB=129&amp;ID1=38255010&amp;VALUEID=01001&amp;SDATE=200902&amp;PERIODTYPE=QTR_STD&amp;window=popup_no_bar&amp;width=385&amp;height=120&amp;START_MAXIMIZED=FALSE&amp;creator=factset&amp;display_string=Audit"}</definedName>
    <definedName name="_1539__FDSAUDITLINK__" hidden="1">{"fdsup://Directions/FactSet Auditing Viewer?action=AUDIT_VALUE&amp;DB=129&amp;ID1=38255010&amp;VALUEID=01001&amp;SDATE=201002&amp;PERIODTYPE=QTR_STD&amp;window=popup_no_bar&amp;width=385&amp;height=120&amp;START_MAXIMIZED=FALSE&amp;creator=factset&amp;display_string=Audit"}</definedName>
    <definedName name="_154__FDSAUDITLINK__" hidden="1">{"fdsup://directions/FAT Viewer?action=UPDATE&amp;creator=factset&amp;DYN_ARGS=TRUE&amp;DOC_NAME=FAT:FQL_AUDITING_CLIENT_TEMPLATE.FAT&amp;display_string=Audit&amp;VAR:KEY=JYFSBIXSXC&amp;VAR:QUERY=RkZfRUJJVERBX09QRVIoUVRSLDQvMS8yMDEwLDYvMzAvMjAxMCwsLFVTRCk=&amp;WINDOW=FIRST_POPUP&amp;HEIGH","T=450&amp;WIDTH=450&amp;START_MAXIMIZED=FALSE&amp;VAR:CALENDAR=US&amp;VAR:SYMBOL=SWK&amp;VAR:INDEX=0"}</definedName>
    <definedName name="_1540__FDSAUDITLINK__" hidden="1">{"fdsup://Directions/FactSet Auditing Viewer?action=AUDIT_VALUE&amp;DB=129&amp;ID1=38141G10&amp;VALUEID=01001&amp;SDATE=200902&amp;PERIODTYPE=QTR_STD&amp;window=popup_no_bar&amp;width=385&amp;height=120&amp;START_MAXIMIZED=FALSE&amp;creator=factset&amp;display_string=Audit"}</definedName>
    <definedName name="_1541__FDSAUDITLINK__" hidden="1">{"fdsup://Directions/FactSet Auditing Viewer?action=AUDIT_VALUE&amp;DB=129&amp;ID1=38141G10&amp;VALUEID=01001&amp;SDATE=201002&amp;PERIODTYPE=QTR_STD&amp;window=popup_no_bar&amp;width=385&amp;height=120&amp;START_MAXIMIZED=FALSE&amp;creator=factset&amp;display_string=Audit"}</definedName>
    <definedName name="_1542__FDSAUDITLINK__" hidden="1">{"fdsup://Directions/FactSet Auditing Viewer?action=AUDIT_VALUE&amp;DB=129&amp;ID1=38238810&amp;VALUEID=01001&amp;SDATE=200902&amp;PERIODTYPE=QTR_STD&amp;window=popup_no_bar&amp;width=385&amp;height=120&amp;START_MAXIMIZED=FALSE&amp;creator=factset&amp;display_string=Audit"}</definedName>
    <definedName name="_1543__FDSAUDITLINK__" hidden="1">{"fdsup://Directions/FactSet Auditing Viewer?action=AUDIT_VALUE&amp;DB=129&amp;ID1=38238810&amp;VALUEID=01001&amp;SDATE=201002&amp;PERIODTYPE=QTR_STD&amp;window=popup_no_bar&amp;width=385&amp;height=120&amp;START_MAXIMIZED=FALSE&amp;creator=factset&amp;display_string=Audit"}</definedName>
    <definedName name="_1544__FDSAUDITLINK__" hidden="1">{"fdsup://Directions/FactSet Auditing Viewer?action=AUDIT_VALUE&amp;DB=129&amp;ID1=36476010&amp;VALUEID=01001&amp;SDATE=201001&amp;PERIODTYPE=QTR_STD&amp;window=popup_no_bar&amp;width=385&amp;height=120&amp;START_MAXIMIZED=FALSE&amp;creator=factset&amp;display_string=Audit"}</definedName>
    <definedName name="_1545__FDSAUDITLINK__" hidden="1">{"fdsup://Directions/FactSet Auditing Viewer?action=AUDIT_VALUE&amp;DB=129&amp;ID1=37246010&amp;VALUEID=01001&amp;SDATE=200902&amp;PERIODTYPE=QTR_STD&amp;window=popup_no_bar&amp;width=385&amp;height=120&amp;START_MAXIMIZED=FALSE&amp;creator=factset&amp;display_string=Audit"}</definedName>
    <definedName name="_1546__FDSAUDITLINK__" hidden="1">{"fdsup://Directions/FactSet Auditing Viewer?action=AUDIT_VALUE&amp;DB=129&amp;ID1=37246010&amp;VALUEID=01001&amp;SDATE=201002&amp;PERIODTYPE=QTR_STD&amp;window=popup_no_bar&amp;width=385&amp;height=120&amp;START_MAXIMIZED=FALSE&amp;creator=factset&amp;display_string=Audit"}</definedName>
    <definedName name="_1547__FDSAUDITLINK__" hidden="1">{"fdsup://Directions/FactSet Auditing Viewer?action=AUDIT_VALUE&amp;DB=129&amp;ID1=38259P50&amp;VALUEID=01001&amp;SDATE=200902&amp;PERIODTYPE=QTR_STD&amp;window=popup_no_bar&amp;width=385&amp;height=120&amp;START_MAXIMIZED=FALSE&amp;creator=factset&amp;display_string=Audit"}</definedName>
    <definedName name="_1548__FDSAUDITLINK__" hidden="1">{"fdsup://Directions/FactSet Auditing Viewer?action=AUDIT_VALUE&amp;DB=129&amp;ID1=38259P50&amp;VALUEID=01001&amp;SDATE=201002&amp;PERIODTYPE=QTR_STD&amp;window=popup_no_bar&amp;width=385&amp;height=120&amp;START_MAXIMIZED=FALSE&amp;creator=factset&amp;display_string=Audit"}</definedName>
    <definedName name="_1549__FDSAUDITLINK__" hidden="1">{"fdsup://Directions/FactSet Auditing Viewer?action=AUDIT_VALUE&amp;DB=129&amp;ID1=37247D10&amp;VALUEID=01001&amp;SDATE=200902&amp;PERIODTYPE=QTR_STD&amp;window=popup_no_bar&amp;width=385&amp;height=120&amp;START_MAXIMIZED=FALSE&amp;creator=factset&amp;display_string=Audit"}</definedName>
    <definedName name="_155__FDSAUDITLINK__" hidden="1">{"fdsup://directions/FAT Viewer?action=UPDATE&amp;creator=factset&amp;DYN_ARGS=TRUE&amp;DOC_NAME=FAT:FQL_AUDITING_CLIENT_TEMPLATE.FAT&amp;display_string=Audit&amp;VAR:KEY=VQRSTGPKJW&amp;VAR:QUERY=RkZfRUJJVERBX09QRVIoUVRSLDQvMS8yMDA5LDYvMzAvMjAwOSwsLFVTRCk=&amp;WINDOW=FIRST_POPUP&amp;HEIGH","T=450&amp;WIDTH=450&amp;START_MAXIMIZED=FALSE&amp;VAR:CALENDAR=US&amp;VAR:SYMBOL=SVU&amp;VAR:INDEX=0"}</definedName>
    <definedName name="_1550__FDSAUDITLINK__" hidden="1">{"fdsup://Directions/FactSet Auditing Viewer?action=AUDIT_VALUE&amp;DB=129&amp;ID1=37247D10&amp;VALUEID=01001&amp;SDATE=201002&amp;PERIODTYPE=QTR_STD&amp;window=popup_no_bar&amp;width=385&amp;height=120&amp;START_MAXIMIZED=FALSE&amp;creator=factset&amp;display_string=Audit"}</definedName>
    <definedName name="_1551__FDSAUDITLINK__" hidden="1">{"fdsup://Directions/FactSet Auditing Viewer?action=AUDIT_VALUE&amp;DB=129&amp;ID1=36467W10&amp;VALUEID=01001&amp;SDATE=200901&amp;PERIODTYPE=QTR_STD&amp;window=popup_no_bar&amp;width=385&amp;height=120&amp;START_MAXIMIZED=FALSE&amp;creator=factset&amp;display_string=Audit"}</definedName>
    <definedName name="_1552__FDSAUDITLINK__" hidden="1">{"fdsup://Directions/FactSet Auditing Viewer?action=AUDIT_VALUE&amp;DB=129&amp;ID1=36467W10&amp;VALUEID=01001&amp;SDATE=201001&amp;PERIODTYPE=QTR_STD&amp;window=popup_no_bar&amp;width=385&amp;height=120&amp;START_MAXIMIZED=FALSE&amp;creator=factset&amp;display_string=Audit"}</definedName>
    <definedName name="_1553__FDSAUDITLINK__" hidden="1">{"fdsup://Directions/FactSet Auditing Viewer?action=AUDIT_VALUE&amp;DB=129&amp;ID1=21935010&amp;VALUEID=01001&amp;SDATE=200902&amp;PERIODTYPE=QTR_STD&amp;window=popup_no_bar&amp;width=385&amp;height=120&amp;START_MAXIMIZED=FALSE&amp;creator=factset&amp;display_string=Audit"}</definedName>
    <definedName name="_1554__FDSAUDITLINK__" hidden="1">{"fdsup://Directions/FactSet Auditing Viewer?action=AUDIT_VALUE&amp;DB=129&amp;ID1=21935010&amp;VALUEID=01001&amp;SDATE=201002&amp;PERIODTYPE=QTR_STD&amp;window=popup_no_bar&amp;width=385&amp;height=120&amp;START_MAXIMIZED=FALSE&amp;creator=factset&amp;display_string=Audit"}</definedName>
    <definedName name="_1555__FDSAUDITLINK__" hidden="1">{"fdsup://Directions/FactSet Auditing Viewer?action=AUDIT_VALUE&amp;DB=129&amp;ID1=37033410&amp;VALUEID=01001&amp;SDATE=200804&amp;PERIODTYPE=QTR_STD&amp;window=popup_no_bar&amp;width=385&amp;height=120&amp;START_MAXIMIZED=FALSE&amp;creator=factset&amp;display_string=Audit"}</definedName>
    <definedName name="_1556__FDSAUDITLINK__" hidden="1">{"fdsup://Directions/FactSet Auditing Viewer?action=AUDIT_VALUE&amp;DB=129&amp;ID1=37033410&amp;VALUEID=01001&amp;SDATE=200904&amp;PERIODTYPE=QTR_STD&amp;window=popup_no_bar&amp;width=385&amp;height=120&amp;START_MAXIMIZED=FALSE&amp;creator=factset&amp;display_string=Audit"}</definedName>
    <definedName name="_1557__FDSAUDITLINK__" hidden="1">{"fdsup://Directions/FactSet Auditing Viewer?action=AUDIT_VALUE&amp;DB=129&amp;ID1=37555810&amp;VALUEID=01001&amp;SDATE=200902&amp;PERIODTYPE=QTR_STD&amp;window=popup_no_bar&amp;width=385&amp;height=120&amp;START_MAXIMIZED=FALSE&amp;creator=factset&amp;display_string=Audit"}</definedName>
    <definedName name="_1558__FDSAUDITLINK__" hidden="1">{"fdsup://Directions/FactSet Auditing Viewer?action=AUDIT_VALUE&amp;DB=129&amp;ID1=37555810&amp;VALUEID=01001&amp;SDATE=201002&amp;PERIODTYPE=QTR_STD&amp;window=popup_no_bar&amp;width=385&amp;height=120&amp;START_MAXIMIZED=FALSE&amp;creator=factset&amp;display_string=Audit"}</definedName>
    <definedName name="_1559__FDSAUDITLINK__" hidden="1">{"fdsup://Directions/FactSet Auditing Viewer?action=AUDIT_VALUE&amp;DB=129&amp;ID1=37291710&amp;VALUEID=01001&amp;SDATE=200902&amp;PERIODTYPE=QTR_STD&amp;window=popup_no_bar&amp;width=385&amp;height=120&amp;START_MAXIMIZED=FALSE&amp;creator=factset&amp;display_string=Audit"}</definedName>
    <definedName name="_156__FDSAUDITLINK__" hidden="1">{"fdsup://directions/FAT Viewer?action=UPDATE&amp;creator=factset&amp;DYN_ARGS=TRUE&amp;DOC_NAME=FAT:FQL_AUDITING_CLIENT_TEMPLATE.FAT&amp;display_string=Audit&amp;VAR:KEY=PIDIPEVSTY&amp;VAR:QUERY=RkZfRUJJVERBX09QRVIoUVRSLDQvMS8yMDEwLDYvMzAvMjAxMCwsLFVTRCk=&amp;WINDOW=FIRST_POPUP&amp;HEIGH","T=450&amp;WIDTH=450&amp;START_MAXIMIZED=FALSE&amp;VAR:CALENDAR=US&amp;VAR:SYMBOL=SVU&amp;VAR:INDEX=0"}</definedName>
    <definedName name="_1560__FDSAUDITLINK__" hidden="1">{"fdsup://Directions/FactSet Auditing Viewer?action=AUDIT_VALUE&amp;DB=129&amp;ID1=37291710&amp;VALUEID=01001&amp;SDATE=201002&amp;PERIODTYPE=QTR_STD&amp;window=popup_no_bar&amp;width=385&amp;height=120&amp;START_MAXIMIZED=FALSE&amp;creator=factset&amp;display_string=Audit"}</definedName>
    <definedName name="_1561__FDSAUDITLINK__" hidden="1">{"fdsup://Directions/FactSet Auditing Viewer?action=AUDIT_VALUE&amp;DB=129&amp;ID1=36960410&amp;VALUEID=01001&amp;SDATE=200902&amp;PERIODTYPE=QTR_STD&amp;window=popup_no_bar&amp;width=385&amp;height=120&amp;START_MAXIMIZED=FALSE&amp;creator=factset&amp;display_string=Audit"}</definedName>
    <definedName name="_1562__FDSAUDITLINK__" hidden="1">{"fdsup://Directions/FactSet Auditing Viewer?action=AUDIT_VALUE&amp;DB=129&amp;ID1=36960410&amp;VALUEID=01001&amp;SDATE=201002&amp;PERIODTYPE=QTR_STD&amp;window=popup_no_bar&amp;width=385&amp;height=120&amp;START_MAXIMIZED=FALSE&amp;creator=factset&amp;display_string=Audit"}</definedName>
    <definedName name="_1563__FDSAUDITLINK__" hidden="1">{"fdsup://Directions/FactSet Auditing Viewer?action=AUDIT_VALUE&amp;DB=129&amp;ID1=36955010&amp;VALUEID=01001&amp;SDATE=200902&amp;PERIODTYPE=QTR_STD&amp;window=popup_no_bar&amp;width=385&amp;height=120&amp;START_MAXIMIZED=FALSE&amp;creator=factset&amp;display_string=Audit"}</definedName>
    <definedName name="_1564__FDSAUDITLINK__" hidden="1">{"fdsup://Directions/FactSet Auditing Viewer?action=AUDIT_VALUE&amp;DB=129&amp;ID1=36955010&amp;VALUEID=01001&amp;SDATE=201002&amp;PERIODTYPE=QTR_STD&amp;window=popup_no_bar&amp;width=385&amp;height=120&amp;START_MAXIMIZED=FALSE&amp;creator=factset&amp;display_string=Audit"}</definedName>
    <definedName name="_1565__FDSAUDITLINK__" hidden="1">{"fdsup://Directions/FactSet Auditing Viewer?action=AUDIT_VALUE&amp;DB=129&amp;ID1=36473010&amp;VALUEID=01001&amp;SDATE=200902&amp;PERIODTYPE=QTR_STD&amp;window=popup_no_bar&amp;width=385&amp;height=120&amp;START_MAXIMIZED=FALSE&amp;creator=factset&amp;display_string=Audit"}</definedName>
    <definedName name="_1566__FDSAUDITLINK__" hidden="1">{"fdsup://Directions/FactSet Auditing Viewer?action=AUDIT_VALUE&amp;DB=129&amp;ID1=36473010&amp;VALUEID=01001&amp;SDATE=201002&amp;PERIODTYPE=QTR_STD&amp;window=popup_no_bar&amp;width=385&amp;height=120&amp;START_MAXIMIZED=FALSE&amp;creator=factset&amp;display_string=Audit"}</definedName>
    <definedName name="_1567__FDSAUDITLINK__" hidden="1">{"fdsup://Directions/FactSet Auditing Viewer?action=AUDIT_VALUE&amp;DB=129&amp;ID1=65408610&amp;VALUEID=01001&amp;SDATE=200902&amp;PERIODTYPE=QTR_STD&amp;window=popup_no_bar&amp;width=385&amp;height=120&amp;START_MAXIMIZED=FALSE&amp;creator=factset&amp;display_string=Audit"}</definedName>
    <definedName name="_1568__FDSAUDITLINK__" hidden="1">{"fdsup://Directions/FactSet Auditing Viewer?action=AUDIT_VALUE&amp;DB=129&amp;ID1=65408610&amp;VALUEID=01001&amp;SDATE=201002&amp;PERIODTYPE=QTR_STD&amp;window=popup_no_bar&amp;width=385&amp;height=120&amp;START_MAXIMIZED=FALSE&amp;creator=factset&amp;display_string=Audit"}</definedName>
    <definedName name="_1569__FDSAUDITLINK__" hidden="1">{"fdsup://Directions/FactSet Auditing Viewer?action=AUDIT_VALUE&amp;DB=129&amp;ID1=35906A10&amp;VALUEID=01001&amp;SDATE=201002&amp;PERIODTYPE=QTR_STD&amp;window=popup_no_bar&amp;width=385&amp;height=120&amp;START_MAXIMIZED=FALSE&amp;creator=factset&amp;display_string=Audit"}</definedName>
    <definedName name="_157__FDSAUDITLINK__" hidden="1">{"fdsup://directions/FAT Viewer?action=UPDATE&amp;creator=factset&amp;DYN_ARGS=TRUE&amp;DOC_NAME=FAT:FQL_AUDITING_CLIENT_TEMPLATE.FAT&amp;display_string=Audit&amp;VAR:KEY=DWVUHYBSJM&amp;VAR:QUERY=RkZfRUJJVERBX09QRVIoUVRSLDQvMS8yMDA5LDYvMzAvMjAwOSwsLFVTRCk=&amp;WINDOW=FIRST_POPUP&amp;HEIGH","T=450&amp;WIDTH=450&amp;START_MAXIMIZED=FALSE&amp;VAR:CALENDAR=US&amp;VAR:SYMBOL=SUN&amp;VAR:INDEX=0"}</definedName>
    <definedName name="_1570__FDSAUDITLINK__" hidden="1">{"fdsup://Directions/FactSet Auditing Viewer?action=AUDIT_VALUE&amp;DB=129&amp;ID1=30249U10&amp;VALUEID=01001&amp;SDATE=200902&amp;PERIODTYPE=QTR_STD&amp;window=popup_no_bar&amp;width=385&amp;height=120&amp;START_MAXIMIZED=FALSE&amp;creator=factset&amp;display_string=Audit"}</definedName>
    <definedName name="_1571__FDSAUDITLINK__" hidden="1">{"fdsup://Directions/FactSet Auditing Viewer?action=AUDIT_VALUE&amp;DB=129&amp;ID1=30249U10&amp;VALUEID=01001&amp;SDATE=201002&amp;PERIODTYPE=QTR_STD&amp;window=popup_no_bar&amp;width=385&amp;height=120&amp;START_MAXIMIZED=FALSE&amp;creator=factset&amp;display_string=Audit"}</definedName>
    <definedName name="_1572__FDSAUDITLINK__" hidden="1">{"fdsup://Directions/FactSet Auditing Viewer?action=AUDIT_VALUE&amp;DB=129&amp;ID1=33643310&amp;VALUEID=01001&amp;SDATE=200902&amp;PERIODTYPE=QTR_STD&amp;window=popup_no_bar&amp;width=385&amp;height=120&amp;START_MAXIMIZED=FALSE&amp;creator=factset&amp;display_string=Audit"}</definedName>
    <definedName name="_1573__FDSAUDITLINK__" hidden="1">{"fdsup://Directions/FactSet Auditing Viewer?action=AUDIT_VALUE&amp;DB=129&amp;ID1=33643310&amp;VALUEID=01001&amp;SDATE=201002&amp;PERIODTYPE=QTR_STD&amp;window=popup_no_bar&amp;width=385&amp;height=120&amp;START_MAXIMIZED=FALSE&amp;creator=factset&amp;display_string=Audit"}</definedName>
    <definedName name="_1574__FDSAUDITLINK__" hidden="1">{"fdsup://Directions/FactSet Auditing Viewer?action=AUDIT_VALUE&amp;DB=129&amp;ID1=34583810&amp;VALUEID=01001&amp;SDATE=200901&amp;PERIODTYPE=QTR_STD&amp;window=popup_no_bar&amp;width=385&amp;height=120&amp;START_MAXIMIZED=FALSE&amp;creator=factset&amp;display_string=Audit"}</definedName>
    <definedName name="_1575__FDSAUDITLINK__" hidden="1">{"fdsup://Directions/FactSet Auditing Viewer?action=AUDIT_VALUE&amp;DB=129&amp;ID1=34583810&amp;VALUEID=01001&amp;SDATE=201001&amp;PERIODTYPE=QTR_STD&amp;window=popup_no_bar&amp;width=385&amp;height=120&amp;START_MAXIMIZED=FALSE&amp;creator=factset&amp;display_string=Audit"}</definedName>
    <definedName name="_1576__FDSAUDITLINK__" hidden="1">{"fdsup://Directions/FactSet Auditing Viewer?action=AUDIT_VALUE&amp;DB=129&amp;ID1=34963110&amp;VALUEID=01001&amp;SDATE=200902&amp;PERIODTYPE=QTR_STD&amp;window=popup_no_bar&amp;width=385&amp;height=120&amp;START_MAXIMIZED=FALSE&amp;creator=factset&amp;display_string=Audit"}</definedName>
    <definedName name="_1577__FDSAUDITLINK__" hidden="1">{"fdsup://Directions/FactSet Auditing Viewer?action=AUDIT_VALUE&amp;DB=129&amp;ID1=34963110&amp;VALUEID=01001&amp;SDATE=201002&amp;PERIODTYPE=QTR_STD&amp;window=popup_no_bar&amp;width=385&amp;height=120&amp;START_MAXIMIZED=FALSE&amp;creator=factset&amp;display_string=Audit"}</definedName>
    <definedName name="_1578__FDSAUDITLINK__" hidden="1">{"fdsup://Directions/FactSet Auditing Viewer?action=AUDIT_VALUE&amp;DB=129&amp;ID1=30249130&amp;VALUEID=01001&amp;SDATE=200902&amp;PERIODTYPE=QTR_STD&amp;window=popup_no_bar&amp;width=385&amp;height=120&amp;START_MAXIMIZED=FALSE&amp;creator=factset&amp;display_string=Audit"}</definedName>
    <definedName name="_1579__FDSAUDITLINK__" hidden="1">{"fdsup://Directions/FactSet Auditing Viewer?action=AUDIT_VALUE&amp;DB=129&amp;ID1=30249130&amp;VALUEID=01001&amp;SDATE=201002&amp;PERIODTYPE=QTR_STD&amp;window=popup_no_bar&amp;width=385&amp;height=120&amp;START_MAXIMIZED=FALSE&amp;creator=factset&amp;display_string=Audit"}</definedName>
    <definedName name="_158__FDSAUDITLINK__" hidden="1">{"fdsup://directions/FAT Viewer?action=UPDATE&amp;creator=factset&amp;DYN_ARGS=TRUE&amp;DOC_NAME=FAT:FQL_AUDITING_CLIENT_TEMPLATE.FAT&amp;display_string=Audit&amp;VAR:KEY=PMLCNEVKLK&amp;VAR:QUERY=RkZfRUJJVERBX09QRVIoUVRSLDQvMS8yMDEwLDYvMzAvMjAxMCwsLFVTRCk=&amp;WINDOW=FIRST_POPUP&amp;HEIGH","T=450&amp;WIDTH=450&amp;START_MAXIMIZED=FALSE&amp;VAR:CALENDAR=US&amp;VAR:SYMBOL=SUN&amp;VAR:INDEX=0"}</definedName>
    <definedName name="_1580__FDSAUDITLINK__" hidden="1">{"fdsup://Directions/FactSet Auditing Viewer?action=AUDIT_VALUE&amp;DB=129&amp;ID1=34354P10&amp;VALUEID=01001&amp;SDATE=200902&amp;PERIODTYPE=QTR_STD&amp;window=popup_no_bar&amp;width=385&amp;height=120&amp;START_MAXIMIZED=FALSE&amp;creator=factset&amp;display_string=Audit"}</definedName>
    <definedName name="_1581__FDSAUDITLINK__" hidden="1">{"fdsup://Directions/FactSet Auditing Viewer?action=AUDIT_VALUE&amp;DB=129&amp;ID1=34354P10&amp;VALUEID=01001&amp;SDATE=201002&amp;PERIODTYPE=QTR_STD&amp;window=popup_no_bar&amp;width=385&amp;height=120&amp;START_MAXIMIZED=FALSE&amp;creator=factset&amp;display_string=Audit"}</definedName>
    <definedName name="_1582__FDSAUDITLINK__" hidden="1">{"fdsup://Directions/FactSet Auditing Viewer?action=AUDIT_VALUE&amp;DB=129&amp;ID1=34341210&amp;VALUEID=01001&amp;SDATE=200902&amp;PERIODTYPE=QTR_STD&amp;window=popup_no_bar&amp;width=385&amp;height=120&amp;START_MAXIMIZED=FALSE&amp;creator=factset&amp;display_string=Audit"}</definedName>
    <definedName name="_1583__FDSAUDITLINK__" hidden="1">{"fdsup://Directions/FactSet Auditing Viewer?action=AUDIT_VALUE&amp;DB=129&amp;ID1=34341210&amp;VALUEID=01001&amp;SDATE=201002&amp;PERIODTYPE=QTR_STD&amp;window=popup_no_bar&amp;width=385&amp;height=120&amp;START_MAXIMIZED=FALSE&amp;creator=factset&amp;display_string=Audit"}</definedName>
    <definedName name="_1584__FDSAUDITLINK__" hidden="1">{"fdsup://Directions/FactSet Auditing Viewer?action=AUDIT_VALUE&amp;DB=129&amp;ID1=30244510&amp;VALUEID=01001&amp;SDATE=200902&amp;PERIODTYPE=QTR_STD&amp;window=popup_no_bar&amp;width=385&amp;height=120&amp;START_MAXIMIZED=FALSE&amp;creator=factset&amp;display_string=Audit"}</definedName>
    <definedName name="_1585__FDSAUDITLINK__" hidden="1">{"fdsup://Directions/FactSet Auditing Viewer?action=AUDIT_VALUE&amp;DB=129&amp;ID1=30244510&amp;VALUEID=01001&amp;SDATE=201002&amp;PERIODTYPE=QTR_STD&amp;window=popup_no_bar&amp;width=385&amp;height=120&amp;START_MAXIMIZED=FALSE&amp;creator=factset&amp;display_string=Audit"}</definedName>
    <definedName name="_1586__FDSAUDITLINK__" hidden="1">{"fdsup://Directions/FactSet Auditing Viewer?action=AUDIT_VALUE&amp;DB=129&amp;ID1=33773810&amp;VALUEID=01001&amp;SDATE=200902&amp;PERIODTYPE=QTR_STD&amp;window=popup_no_bar&amp;width=385&amp;height=120&amp;START_MAXIMIZED=FALSE&amp;creator=factset&amp;display_string=Audit"}</definedName>
    <definedName name="_1587__FDSAUDITLINK__" hidden="1">{"fdsup://Directions/FactSet Auditing Viewer?action=AUDIT_VALUE&amp;DB=129&amp;ID1=33773810&amp;VALUEID=01001&amp;SDATE=201002&amp;PERIODTYPE=QTR_STD&amp;window=popup_no_bar&amp;width=385&amp;height=120&amp;START_MAXIMIZED=FALSE&amp;creator=factset&amp;display_string=Audit"}</definedName>
    <definedName name="_1588__FDSAUDITLINK__" hidden="1">{"fdsup://Directions/FactSet Auditing Viewer?action=AUDIT_VALUE&amp;DB=129&amp;ID1=31620M10&amp;VALUEID=01001&amp;SDATE=200902&amp;PERIODTYPE=QTR_STD&amp;window=popup_no_bar&amp;width=385&amp;height=120&amp;START_MAXIMIZED=FALSE&amp;creator=factset&amp;display_string=Audit"}</definedName>
    <definedName name="_1589__FDSAUDITLINK__" hidden="1">{"fdsup://Directions/FactSet Auditing Viewer?action=AUDIT_VALUE&amp;DB=129&amp;ID1=31620M10&amp;VALUEID=01001&amp;SDATE=201002&amp;PERIODTYPE=QTR_STD&amp;window=popup_no_bar&amp;width=385&amp;height=120&amp;START_MAXIMIZED=FALSE&amp;creator=factset&amp;display_string=Audit"}</definedName>
    <definedName name="_159__FDSAUDITLINK__" hidden="1">{"fdsup://directions/FAT Viewer?action=UPDATE&amp;creator=factset&amp;DYN_ARGS=TRUE&amp;DOC_NAME=FAT:FQL_AUDITING_CLIENT_TEMPLATE.FAT&amp;display_string=Audit&amp;VAR:KEY=RCPYNCFSLG&amp;VAR:QUERY=RkZfRUJJVERBX09QRVIoUVRSLDQvMS8yMDA5LDYvMzAvMjAwOSwsLFVTRCk=&amp;WINDOW=FIRST_POPUP&amp;HEIGH","T=450&amp;WIDTH=450&amp;START_MAXIMIZED=FALSE&amp;VAR:CALENDAR=US&amp;VAR:SYMBOL=STZ&amp;VAR:INDEX=0"}</definedName>
    <definedName name="_1590__FDSAUDITLINK__" hidden="1">{"fdsup://Directions/FactSet Auditing Viewer?action=AUDIT_VALUE&amp;DB=129&amp;ID1=31421110&amp;VALUEID=01001&amp;SDATE=200902&amp;PERIODTYPE=QTR_STD&amp;window=popup_no_bar&amp;width=385&amp;height=120&amp;START_MAXIMIZED=FALSE&amp;creator=factset&amp;display_string=Audit"}</definedName>
    <definedName name="_1591__FDSAUDITLINK__" hidden="1">{"fdsup://Directions/FactSet Auditing Viewer?action=AUDIT_VALUE&amp;DB=129&amp;ID1=31421110&amp;VALUEID=01001&amp;SDATE=201002&amp;PERIODTYPE=QTR_STD&amp;window=popup_no_bar&amp;width=385&amp;height=120&amp;START_MAXIMIZED=FALSE&amp;creator=factset&amp;display_string=Audit"}</definedName>
    <definedName name="_1592__FDSAUDITLINK__" hidden="1">{"fdsup://Directions/FactSet Auditing Viewer?action=AUDIT_VALUE&amp;DB=129&amp;ID1=33793210&amp;VALUEID=01001&amp;SDATE=201002&amp;PERIODTYPE=QTR_STD&amp;window=popup_no_bar&amp;width=385&amp;height=120&amp;START_MAXIMIZED=FALSE&amp;creator=factset&amp;display_string=Audit"}</definedName>
    <definedName name="_1593__FDSAUDITLINK__" hidden="1">{"fdsup://Directions/FactSet Auditing Viewer?action=AUDIT_VALUE&amp;DB=129&amp;ID1=31428X10&amp;VALUEID=01001&amp;SDATE=200804&amp;PERIODTYPE=QTR_STD&amp;window=popup_no_bar&amp;width=385&amp;height=120&amp;START_MAXIMIZED=FALSE&amp;creator=factset&amp;display_string=Audit"}</definedName>
    <definedName name="_1594__FDSAUDITLINK__" hidden="1">{"fdsup://Directions/FactSet Auditing Viewer?action=AUDIT_VALUE&amp;DB=129&amp;ID1=31428X10&amp;VALUEID=01001&amp;SDATE=200904&amp;PERIODTYPE=QTR_STD&amp;window=popup_no_bar&amp;width=385&amp;height=120&amp;START_MAXIMIZED=FALSE&amp;creator=factset&amp;display_string=Audit"}</definedName>
    <definedName name="_1595__FDSAUDITLINK__" hidden="1">{"fdsup://Directions/FactSet Auditing Viewer?action=AUDIT_VALUE&amp;DB=129&amp;ID1=30700010&amp;VALUEID=01001&amp;SDATE=200903&amp;PERIODTYPE=QTR_STD&amp;window=popup_no_bar&amp;width=385&amp;height=120&amp;START_MAXIMIZED=FALSE&amp;creator=factset&amp;display_string=Audit"}</definedName>
    <definedName name="_1596__FDSAUDITLINK__" hidden="1">{"fdsup://Directions/FactSet Auditing Viewer?action=AUDIT_VALUE&amp;DB=129&amp;ID1=30700010&amp;VALUEID=01001&amp;SDATE=201003&amp;PERIODTYPE=QTR_STD&amp;window=popup_no_bar&amp;width=385&amp;height=120&amp;START_MAXIMIZED=FALSE&amp;creator=factset&amp;display_string=Audit"}</definedName>
    <definedName name="_1597__FDSAUDITLINK__" hidden="1">{"fdsup://Directions/FactSet Auditing Viewer?action=AUDIT_VALUE&amp;DB=129&amp;ID1=35671D85&amp;VALUEID=01001&amp;SDATE=200902&amp;PERIODTYPE=QTR_STD&amp;window=popup_no_bar&amp;width=385&amp;height=120&amp;START_MAXIMIZED=FALSE&amp;creator=factset&amp;display_string=Audit"}</definedName>
    <definedName name="_1598__FDSAUDITLINK__" hidden="1">{"fdsup://Directions/FactSet Auditing Viewer?action=AUDIT_VALUE&amp;DB=129&amp;ID1=35671D85&amp;VALUEID=01001&amp;SDATE=201002&amp;PERIODTYPE=QTR_STD&amp;window=popup_no_bar&amp;width=385&amp;height=120&amp;START_MAXIMIZED=FALSE&amp;creator=factset&amp;display_string=Audit"}</definedName>
    <definedName name="_1599__FDSAUDITLINK__" hidden="1">{"fdsup://Directions/FactSet Auditing Viewer?action=AUDIT_VALUE&amp;DB=129&amp;ID1=31190010&amp;VALUEID=01001&amp;SDATE=200902&amp;PERIODTYPE=QTR_STD&amp;window=popup_no_bar&amp;width=385&amp;height=120&amp;START_MAXIMIZED=FALSE&amp;creator=factset&amp;display_string=Audit"}</definedName>
    <definedName name="_16__123Graph_ATAX_CREDIT">#REF!</definedName>
    <definedName name="_16__123Graph_CSENS_COMPARISON">#REF!</definedName>
    <definedName name="_16__FDSAUDITLINK__" hidden="1">{"fdsup://directions/FAT Viewer?action=UPDATE&amp;creator=factset&amp;DYN_ARGS=TRUE&amp;DOC_NAME=FAT:FQL_AUDITING_CLIENT_TEMPLATE.FAT&amp;display_string=Audit&amp;VAR:KEY=HSFCXGHKNC&amp;VAR:QUERY=RkZfRUJJVERBX09QRVIoUVRSLDQvMS8yMDEwLDYvMzAvMjAxMCwsLFVTRCk=&amp;WINDOW=FIRST_POPUP&amp;HEIGH","T=450&amp;WIDTH=450&amp;START_MAXIMIZED=FALSE&amp;VAR:CALENDAR=US&amp;VAR:SYMBOL=XLNX&amp;VAR:INDEX=0"}</definedName>
    <definedName name="_16_3__1_CRADDIN_Headings">#REF!</definedName>
    <definedName name="_160__FDSAUDITLINK__" hidden="1">{"fdsup://directions/FAT Viewer?action=UPDATE&amp;creator=factset&amp;DYN_ARGS=TRUE&amp;DOC_NAME=FAT:FQL_AUDITING_CLIENT_TEMPLATE.FAT&amp;display_string=Audit&amp;VAR:KEY=TKTERWJSVS&amp;VAR:QUERY=RkZfRUJJVERBX09QRVIoUVRSLDQvMS8yMDEwLDYvMzAvMjAxMCwsLFVTRCk=&amp;WINDOW=FIRST_POPUP&amp;HEIGH","T=450&amp;WIDTH=450&amp;START_MAXIMIZED=FALSE&amp;VAR:CALENDAR=US&amp;VAR:SYMBOL=STZ&amp;VAR:INDEX=0"}</definedName>
    <definedName name="_1600__FDSAUDITLINK__" hidden="1">{"fdsup://Directions/FactSet Auditing Viewer?action=AUDIT_VALUE&amp;DB=129&amp;ID1=31190010&amp;VALUEID=01001&amp;SDATE=201002&amp;PERIODTYPE=QTR_STD&amp;window=popup_no_bar&amp;width=385&amp;height=120&amp;START_MAXIMIZED=FALSE&amp;creator=factset&amp;display_string=Audit"}</definedName>
    <definedName name="_160000000">#REF!</definedName>
    <definedName name="_1601__FDSAUDITLINK__" hidden="1">{"fdsup://Directions/FactSet Auditing Viewer?action=AUDIT_VALUE&amp;DB=129&amp;ID1=34537086&amp;VALUEID=01001&amp;SDATE=200902&amp;PERIODTYPE=QTR_STD&amp;window=popup_no_bar&amp;width=385&amp;height=120&amp;START_MAXIMIZED=FALSE&amp;creator=factset&amp;display_string=Audit"}</definedName>
    <definedName name="_1602__FDSAUDITLINK__" hidden="1">{"fdsup://Directions/FactSet Auditing Viewer?action=AUDIT_VALUE&amp;DB=129&amp;ID1=34537086&amp;VALUEID=01001&amp;SDATE=201002&amp;PERIODTYPE=QTR_STD&amp;window=popup_no_bar&amp;width=385&amp;height=120&amp;START_MAXIMIZED=FALSE&amp;creator=factset&amp;display_string=Audit"}</definedName>
    <definedName name="_1603__FDSAUDITLINK__" hidden="1">{"fdsup://Directions/FactSet Auditing Viewer?action=AUDIT_VALUE&amp;DB=129&amp;ID1=30212P10&amp;VALUEID=01001&amp;SDATE=200902&amp;PERIODTYPE=QTR_STD&amp;window=popup_no_bar&amp;width=385&amp;height=120&amp;START_MAXIMIZED=FALSE&amp;creator=factset&amp;display_string=Audit"}</definedName>
    <definedName name="_1604__FDSAUDITLINK__" hidden="1">{"fdsup://Directions/FactSet Auditing Viewer?action=AUDIT_VALUE&amp;DB=129&amp;ID1=30212P10&amp;VALUEID=01001&amp;SDATE=201002&amp;PERIODTYPE=QTR_STD&amp;window=popup_no_bar&amp;width=385&amp;height=120&amp;START_MAXIMIZED=FALSE&amp;creator=factset&amp;display_string=Audit"}</definedName>
    <definedName name="_1605__FDSAUDITLINK__" hidden="1">{"fdsup://Directions/FactSet Auditing Viewer?action=AUDIT_VALUE&amp;DB=129&amp;ID1=30213010&amp;VALUEID=01001&amp;SDATE=200902&amp;PERIODTYPE=QTR_STD&amp;window=popup_no_bar&amp;width=385&amp;height=120&amp;START_MAXIMIZED=FALSE&amp;creator=factset&amp;display_string=Audit"}</definedName>
    <definedName name="_1606__FDSAUDITLINK__" hidden="1">{"fdsup://Directions/FactSet Auditing Viewer?action=AUDIT_VALUE&amp;DB=129&amp;ID1=30213010&amp;VALUEID=01001&amp;SDATE=201002&amp;PERIODTYPE=QTR_STD&amp;window=popup_no_bar&amp;width=385&amp;height=120&amp;START_MAXIMIZED=FALSE&amp;creator=factset&amp;display_string=Audit"}</definedName>
    <definedName name="_1607__FDSAUDITLINK__" hidden="1">{"fdsup://Directions/FactSet Auditing Viewer?action=AUDIT_VALUE&amp;DB=129&amp;ID1=30161N10&amp;VALUEID=01001&amp;SDATE=200902&amp;PERIODTYPE=QTR_STD&amp;window=popup_no_bar&amp;width=385&amp;height=120&amp;START_MAXIMIZED=FALSE&amp;creator=factset&amp;display_string=Audit"}</definedName>
    <definedName name="_1608__FDSAUDITLINK__" hidden="1">{"fdsup://Directions/FactSet Auditing Viewer?action=AUDIT_VALUE&amp;DB=129&amp;ID1=30161N10&amp;VALUEID=01001&amp;SDATE=201002&amp;PERIODTYPE=QTR_STD&amp;window=popup_no_bar&amp;width=385&amp;height=120&amp;START_MAXIMIZED=FALSE&amp;creator=factset&amp;display_string=Audit"}</definedName>
    <definedName name="_1609__FDSAUDITLINK__" hidden="1">{"fdsup://Directions/FactSet Auditing Viewer?action=AUDIT_VALUE&amp;DB=129&amp;ID1=29364G10&amp;VALUEID=01001&amp;SDATE=200902&amp;PERIODTYPE=QTR_STD&amp;window=popup_no_bar&amp;width=385&amp;height=120&amp;START_MAXIMIZED=FALSE&amp;creator=factset&amp;display_string=Audit"}</definedName>
    <definedName name="_161__FDSAUDITLINK__" hidden="1">{"fdsup://directions/FAT Viewer?action=UPDATE&amp;creator=factset&amp;DYN_ARGS=TRUE&amp;DOC_NAME=FAT:FQL_AUDITING_CLIENT_TEMPLATE.FAT&amp;display_string=Audit&amp;VAR:KEY=ZQHABYBAHQ&amp;VAR:QUERY=RkZfRUJJVERBX09QRVIoUVRSLDQvMS8yMDA5LDYvMzAvMjAwOSwsLFVTRCk=&amp;WINDOW=FIRST_POPUP&amp;HEIGH","T=450&amp;WIDTH=450&amp;START_MAXIMIZED=FALSE&amp;VAR:CALENDAR=US&amp;VAR:SYMBOL=STT&amp;VAR:INDEX=0"}</definedName>
    <definedName name="_1610__FDSAUDITLINK__" hidden="1">{"fdsup://Directions/FactSet Auditing Viewer?action=AUDIT_VALUE&amp;DB=129&amp;ID1=29364G10&amp;VALUEID=01001&amp;SDATE=201002&amp;PERIODTYPE=QTR_STD&amp;window=popup_no_bar&amp;width=385&amp;height=120&amp;START_MAXIMIZED=FALSE&amp;creator=factset&amp;display_string=Audit"}</definedName>
    <definedName name="_1611__FDSAUDITLINK__" hidden="1">{"fdsup://Directions/FactSet Auditing Viewer?action=AUDIT_VALUE&amp;DB=129&amp;ID1=27805810&amp;VALUEID=01001&amp;SDATE=200902&amp;PERIODTYPE=QTR_STD&amp;window=popup_no_bar&amp;width=385&amp;height=120&amp;START_MAXIMIZED=FALSE&amp;creator=factset&amp;display_string=Audit"}</definedName>
    <definedName name="_1612__FDSAUDITLINK__" hidden="1">{"fdsup://Directions/FactSet Auditing Viewer?action=AUDIT_VALUE&amp;DB=129&amp;ID1=27805810&amp;VALUEID=01001&amp;SDATE=201002&amp;PERIODTYPE=QTR_STD&amp;window=popup_no_bar&amp;width=385&amp;height=120&amp;START_MAXIMIZED=FALSE&amp;creator=factset&amp;display_string=Audit"}</definedName>
    <definedName name="_1613__FDSAUDITLINK__" hidden="1">{"fdsup://Directions/FactSet Auditing Viewer?action=AUDIT_VALUE&amp;DB=129&amp;ID1=26924640&amp;VALUEID=01001&amp;SDATE=200902&amp;PERIODTYPE=QTR_STD&amp;window=popup_no_bar&amp;width=385&amp;height=120&amp;START_MAXIMIZED=FALSE&amp;creator=factset&amp;display_string=Audit"}</definedName>
    <definedName name="_1614__FDSAUDITLINK__" hidden="1">{"fdsup://Directions/FactSet Auditing Viewer?action=AUDIT_VALUE&amp;DB=129&amp;ID1=26924640&amp;VALUEID=01001&amp;SDATE=201002&amp;PERIODTYPE=QTR_STD&amp;window=popup_no_bar&amp;width=385&amp;height=120&amp;START_MAXIMIZED=FALSE&amp;creator=factset&amp;display_string=Audit"}</definedName>
    <definedName name="_1615__FDSAUDITLINK__" hidden="1">{"fdsup://Directions/FactSet Auditing Viewer?action=AUDIT_VALUE&amp;DB=129&amp;ID1=30218210&amp;VALUEID=01001&amp;SDATE=200902&amp;PERIODTYPE=QTR_STD&amp;window=popup_no_bar&amp;width=385&amp;height=120&amp;START_MAXIMIZED=FALSE&amp;creator=factset&amp;display_string=Audit"}</definedName>
    <definedName name="_1616__FDSAUDITLINK__" hidden="1">{"fdsup://Directions/FactSet Auditing Viewer?action=AUDIT_VALUE&amp;DB=129&amp;ID1=30218210&amp;VALUEID=01001&amp;SDATE=201002&amp;PERIODTYPE=QTR_STD&amp;window=popup_no_bar&amp;width=385&amp;height=120&amp;START_MAXIMIZED=FALSE&amp;creator=factset&amp;display_string=Audit"}</definedName>
    <definedName name="_1617__FDSAUDITLINK__" hidden="1">{"fdsup://Directions/FactSet Auditing Viewer?action=AUDIT_VALUE&amp;DB=129&amp;ID1=28551210&amp;VALUEID=01001&amp;SDATE=200901&amp;PERIODTYPE=QTR_STD&amp;window=popup_no_bar&amp;width=385&amp;height=120&amp;START_MAXIMIZED=FALSE&amp;creator=factset&amp;display_string=Audit"}</definedName>
    <definedName name="_1618__FDSAUDITLINK__" hidden="1">{"fdsup://Directions/FactSet Auditing Viewer?action=AUDIT_VALUE&amp;DB=129&amp;ID1=28551210&amp;VALUEID=01001&amp;SDATE=201001&amp;PERIODTYPE=QTR_STD&amp;window=popup_no_bar&amp;width=385&amp;height=120&amp;START_MAXIMIZED=FALSE&amp;creator=factset&amp;display_string=Audit"}</definedName>
    <definedName name="_1619__FDSAUDITLINK__" hidden="1">{"fdsup://Directions/FactSet Auditing Viewer?action=AUDIT_VALUE&amp;DB=129&amp;ID1=26884L10&amp;VALUEID=01001&amp;SDATE=201002&amp;PERIODTYPE=QTR_STD&amp;window=popup_no_bar&amp;width=385&amp;height=120&amp;START_MAXIMIZED=FALSE&amp;creator=factset&amp;display_string=Audit"}</definedName>
    <definedName name="_162__FDSAUDITLINK__" hidden="1">{"fdsup://directions/FAT Viewer?action=UPDATE&amp;creator=factset&amp;DYN_ARGS=TRUE&amp;DOC_NAME=FAT:FQL_AUDITING_CLIENT_TEMPLATE.FAT&amp;display_string=Audit&amp;VAR:KEY=VMBYTULKJM&amp;VAR:QUERY=RkZfRUJJVERBX09QRVIoUVRSLDQvMS8yMDEwLDYvMzAvMjAxMCwsLFVTRCk=&amp;WINDOW=FIRST_POPUP&amp;HEIGH","T=450&amp;WIDTH=450&amp;START_MAXIMIZED=FALSE&amp;VAR:CALENDAR=US&amp;VAR:SYMBOL=STT&amp;VAR:INDEX=0"}</definedName>
    <definedName name="_1620__FDSAUDITLINK__" hidden="1">{"fdsup://Directions/FactSet Auditing Viewer?action=AUDIT_VALUE&amp;DB=129&amp;ID1=29476L10&amp;VALUEID=01001&amp;SDATE=200902&amp;PERIODTYPE=QTR_STD&amp;window=popup_no_bar&amp;width=385&amp;height=120&amp;START_MAXIMIZED=FALSE&amp;creator=factset&amp;display_string=Audit"}</definedName>
    <definedName name="_1621__FDSAUDITLINK__" hidden="1">{"fdsup://Directions/FactSet Auditing Viewer?action=AUDIT_VALUE&amp;DB=129&amp;ID1=29476L10&amp;VALUEID=01001&amp;SDATE=201002&amp;PERIODTYPE=QTR_STD&amp;window=popup_no_bar&amp;width=385&amp;height=120&amp;START_MAXIMIZED=FALSE&amp;creator=factset&amp;display_string=Audit"}</definedName>
    <definedName name="_1622__FDSAUDITLINK__" hidden="1">{"fdsup://Directions/FactSet Auditing Viewer?action=AUDIT_VALUE&amp;DB=129&amp;ID1=28336L10&amp;VALUEID=01001&amp;SDATE=200902&amp;PERIODTYPE=QTR_STD&amp;window=popup_no_bar&amp;width=385&amp;height=120&amp;START_MAXIMIZED=FALSE&amp;creator=factset&amp;display_string=Audit"}</definedName>
    <definedName name="_1623__FDSAUDITLINK__" hidden="1">{"fdsup://Directions/FactSet Auditing Viewer?action=AUDIT_VALUE&amp;DB=129&amp;ID1=28336L10&amp;VALUEID=01001&amp;SDATE=201002&amp;PERIODTYPE=QTR_STD&amp;window=popup_no_bar&amp;width=385&amp;height=120&amp;START_MAXIMIZED=FALSE&amp;creator=factset&amp;display_string=Audit"}</definedName>
    <definedName name="_1624__FDSAUDITLINK__" hidden="1">{"fdsup://Directions/FactSet Auditing Viewer?action=AUDIT_VALUE&amp;DB=129&amp;ID1=26875P10&amp;VALUEID=01001&amp;SDATE=200902&amp;PERIODTYPE=QTR_STD&amp;window=popup_no_bar&amp;width=385&amp;height=120&amp;START_MAXIMIZED=FALSE&amp;creator=factset&amp;display_string=Audit"}</definedName>
    <definedName name="_1625__FDSAUDITLINK__" hidden="1">{"fdsup://Directions/FactSet Auditing Viewer?action=AUDIT_VALUE&amp;DB=129&amp;ID1=26875P10&amp;VALUEID=01001&amp;SDATE=201002&amp;PERIODTYPE=QTR_STD&amp;window=popup_no_bar&amp;width=385&amp;height=120&amp;START_MAXIMIZED=FALSE&amp;creator=factset&amp;display_string=Audit"}</definedName>
    <definedName name="_1626__FDSAUDITLINK__" hidden="1">{"fdsup://Directions/FactSet Auditing Viewer?action=AUDIT_VALUE&amp;DB=129&amp;ID1=29101110&amp;VALUEID=01001&amp;SDATE=200903&amp;PERIODTYPE=QTR_STD&amp;window=popup_no_bar&amp;width=385&amp;height=120&amp;START_MAXIMIZED=FALSE&amp;creator=factset&amp;display_string=Audit"}</definedName>
    <definedName name="_1627__FDSAUDITLINK__" hidden="1">{"fdsup://Directions/FactSet Auditing Viewer?action=AUDIT_VALUE&amp;DB=129&amp;ID1=29101110&amp;VALUEID=01001&amp;SDATE=201003&amp;PERIODTYPE=QTR_STD&amp;window=popup_no_bar&amp;width=385&amp;height=120&amp;START_MAXIMIZED=FALSE&amp;creator=factset&amp;display_string=Audit"}</definedName>
    <definedName name="_1628__FDSAUDITLINK__" hidden="1">{"fdsup://Directions/FactSet Auditing Viewer?action=AUDIT_VALUE&amp;DB=129&amp;ID1=27743210&amp;VALUEID=01001&amp;SDATE=200902&amp;PERIODTYPE=QTR_STD&amp;window=popup_no_bar&amp;width=385&amp;height=120&amp;START_MAXIMIZED=FALSE&amp;creator=factset&amp;display_string=Audit"}</definedName>
    <definedName name="_1629__FDSAUDITLINK__" hidden="1">{"fdsup://Directions/FactSet Auditing Viewer?action=AUDIT_VALUE&amp;DB=129&amp;ID1=27743210&amp;VALUEID=01001&amp;SDATE=201002&amp;PERIODTYPE=QTR_STD&amp;window=popup_no_bar&amp;width=385&amp;height=120&amp;START_MAXIMIZED=FALSE&amp;creator=factset&amp;display_string=Audit"}</definedName>
    <definedName name="_163__FDSAUDITLINK__" hidden="1">{"fdsup://directions/FAT Viewer?action=UPDATE&amp;creator=factset&amp;DYN_ARGS=TRUE&amp;DOC_NAME=FAT:FQL_AUDITING_CLIENT_TEMPLATE.FAT&amp;display_string=Audit&amp;VAR:KEY=ZSPQZMXIXW&amp;VAR:QUERY=RkZfRUJJVERBX09QRVIoUVRSLDQvMS8yMDA5LDYvMzAvMjAwOSwsLFVTRCk=&amp;WINDOW=FIRST_POPUP&amp;HEIGH","T=450&amp;WIDTH=450&amp;START_MAXIMIZED=FALSE&amp;VAR:CALENDAR=US&amp;VAR:SYMBOL=STJ&amp;VAR:INDEX=0"}</definedName>
    <definedName name="_1630__FDSAUDITLINK__" hidden="1">{"fdsup://Directions/FactSet Auditing Viewer?action=AUDIT_VALUE&amp;DB=129&amp;ID1=26864810&amp;VALUEID=01001&amp;SDATE=200902&amp;PERIODTYPE=QTR_STD&amp;window=popup_no_bar&amp;width=385&amp;height=120&amp;START_MAXIMIZED=FALSE&amp;creator=factset&amp;display_string=Audit"}</definedName>
    <definedName name="_1631__FDSAUDITLINK__" hidden="1">{"fdsup://Directions/FactSet Auditing Viewer?action=AUDIT_VALUE&amp;DB=129&amp;ID1=26864810&amp;VALUEID=01001&amp;SDATE=201002&amp;PERIODTYPE=QTR_STD&amp;window=popup_no_bar&amp;width=385&amp;height=120&amp;START_MAXIMIZED=FALSE&amp;creator=factset&amp;display_string=Audit"}</definedName>
    <definedName name="_1632__FDSAUDITLINK__" hidden="1">{"fdsup://Directions/FactSet Auditing Viewer?action=AUDIT_VALUE&amp;DB=129&amp;ID1=51843910&amp;VALUEID=01001&amp;SDATE=201004&amp;PERIODTYPE=QTR_STD&amp;window=popup_no_bar&amp;width=385&amp;height=120&amp;START_MAXIMIZED=FALSE&amp;creator=factset&amp;display_string=Audit"}</definedName>
    <definedName name="_1633__FDSAUDITLINK__" hidden="1">{"fdsup://Directions/FactSet Auditing Viewer?action=AUDIT_VALUE&amp;DB=129&amp;ID1=27746110&amp;VALUEID=01001&amp;SDATE=200902&amp;PERIODTYPE=QTR_STD&amp;window=popup_no_bar&amp;width=385&amp;height=120&amp;START_MAXIMIZED=FALSE&amp;creator=factset&amp;display_string=Audit"}</definedName>
    <definedName name="_1634__FDSAUDITLINK__" hidden="1">{"fdsup://Directions/FactSet Auditing Viewer?action=AUDIT_VALUE&amp;DB=129&amp;ID1=27746110&amp;VALUEID=01001&amp;SDATE=201002&amp;PERIODTYPE=QTR_STD&amp;window=popup_no_bar&amp;width=385&amp;height=120&amp;START_MAXIMIZED=FALSE&amp;creator=factset&amp;display_string=Audit"}</definedName>
    <definedName name="_1635__FDSAUDITLINK__" hidden="1">{"fdsup://Directions/FactSet Auditing Viewer?action=AUDIT_VALUE&amp;DB=129&amp;ID1=28102010&amp;VALUEID=01001&amp;SDATE=200902&amp;PERIODTYPE=QTR_STD&amp;window=popup_no_bar&amp;width=385&amp;height=120&amp;START_MAXIMIZED=FALSE&amp;creator=factset&amp;display_string=Audit"}</definedName>
    <definedName name="_1636__FDSAUDITLINK__" hidden="1">{"fdsup://Directions/FactSet Auditing Viewer?action=AUDIT_VALUE&amp;DB=129&amp;ID1=28102010&amp;VALUEID=01001&amp;SDATE=201002&amp;PERIODTYPE=QTR_STD&amp;window=popup_no_bar&amp;width=385&amp;height=120&amp;START_MAXIMIZED=FALSE&amp;creator=factset&amp;display_string=Audit"}</definedName>
    <definedName name="_1637__FDSAUDITLINK__" hidden="1">{"fdsup://Directions/FactSet Auditing Viewer?action=AUDIT_VALUE&amp;DB=129&amp;ID1=29442910&amp;VALUEID=01001&amp;SDATE=200902&amp;PERIODTYPE=QTR_STD&amp;window=popup_no_bar&amp;width=385&amp;height=120&amp;START_MAXIMIZED=FALSE&amp;creator=factset&amp;display_string=Audit"}</definedName>
    <definedName name="_1638__FDSAUDITLINK__" hidden="1">{"fdsup://Directions/FactSet Auditing Viewer?action=AUDIT_VALUE&amp;DB=129&amp;ID1=29442910&amp;VALUEID=01001&amp;SDATE=201002&amp;PERIODTYPE=QTR_STD&amp;window=popup_no_bar&amp;width=385&amp;height=120&amp;START_MAXIMIZED=FALSE&amp;creator=factset&amp;display_string=Audit"}</definedName>
    <definedName name="_1639__FDSAUDITLINK__" hidden="1">{"fdsup://Directions/FactSet Auditing Viewer?action=AUDIT_VALUE&amp;DB=129&amp;ID1=20911510&amp;VALUEID=01001&amp;SDATE=200902&amp;PERIODTYPE=QTR_STD&amp;window=popup_no_bar&amp;width=385&amp;height=120&amp;START_MAXIMIZED=FALSE&amp;creator=factset&amp;display_string=Audit"}</definedName>
    <definedName name="_164__FDSAUDITLINK__" hidden="1">{"fdsup://directions/FAT Viewer?action=UPDATE&amp;creator=factset&amp;DYN_ARGS=TRUE&amp;DOC_NAME=FAT:FQL_AUDITING_CLIENT_TEMPLATE.FAT&amp;display_string=Audit&amp;VAR:KEY=XEVYNCHCJK&amp;VAR:QUERY=RkZfRUJJVERBX09QRVIoUVRSLDQvMS8yMDEwLDYvMzAvMjAxMCwsLFVTRCk=&amp;WINDOW=FIRST_POPUP&amp;HEIGH","T=450&amp;WIDTH=450&amp;START_MAXIMIZED=FALSE&amp;VAR:CALENDAR=US&amp;VAR:SYMBOL=STJ&amp;VAR:INDEX=0"}</definedName>
    <definedName name="_1640__FDSAUDITLINK__" hidden="1">{"fdsup://Directions/FactSet Auditing Viewer?action=AUDIT_VALUE&amp;DB=129&amp;ID1=20911510&amp;VALUEID=01001&amp;SDATE=201002&amp;PERIODTYPE=QTR_STD&amp;window=popup_no_bar&amp;width=385&amp;height=120&amp;START_MAXIMIZED=FALSE&amp;creator=factset&amp;display_string=Audit"}</definedName>
    <definedName name="_1641__FDSAUDITLINK__" hidden="1">{"fdsup://Directions/FactSet Auditing Viewer?action=AUDIT_VALUE&amp;DB=129&amp;ID1=27886510&amp;VALUEID=01001&amp;SDATE=200902&amp;PERIODTYPE=QTR_STD&amp;window=popup_no_bar&amp;width=385&amp;height=120&amp;START_MAXIMIZED=FALSE&amp;creator=factset&amp;display_string=Audit"}</definedName>
    <definedName name="_1642__FDSAUDITLINK__" hidden="1">{"fdsup://Directions/FactSet Auditing Viewer?action=AUDIT_VALUE&amp;DB=129&amp;ID1=27886510&amp;VALUEID=01001&amp;SDATE=201002&amp;PERIODTYPE=QTR_STD&amp;window=popup_no_bar&amp;width=385&amp;height=120&amp;START_MAXIMIZED=FALSE&amp;creator=factset&amp;display_string=Audit"}</definedName>
    <definedName name="_1643__FDSAUDITLINK__" hidden="1">{"fdsup://Directions/FactSet Auditing Viewer?action=AUDIT_VALUE&amp;DB=129&amp;ID1=27864210&amp;VALUEID=01001&amp;SDATE=200902&amp;PERIODTYPE=QTR_STD&amp;window=popup_no_bar&amp;width=385&amp;height=120&amp;START_MAXIMIZED=FALSE&amp;creator=factset&amp;display_string=Audit"}</definedName>
    <definedName name="_1644__FDSAUDITLINK__" hidden="1">{"fdsup://Directions/FactSet Auditing Viewer?action=AUDIT_VALUE&amp;DB=129&amp;ID1=27864210&amp;VALUEID=01001&amp;SDATE=201002&amp;PERIODTYPE=QTR_STD&amp;window=popup_no_bar&amp;width=385&amp;height=120&amp;START_MAXIMIZED=FALSE&amp;creator=factset&amp;display_string=Audit"}</definedName>
    <definedName name="_1645__FDSAUDITLINK__" hidden="1">{"fdsup://Directions/FactSet Auditing Viewer?action=AUDIT_VALUE&amp;DB=129&amp;ID1=25179M10&amp;VALUEID=01001&amp;SDATE=200902&amp;PERIODTYPE=QTR_STD&amp;window=popup_no_bar&amp;width=385&amp;height=120&amp;START_MAXIMIZED=FALSE&amp;creator=factset&amp;display_string=Audit"}</definedName>
    <definedName name="_1646__FDSAUDITLINK__" hidden="1">{"fdsup://Directions/FactSet Auditing Viewer?action=AUDIT_VALUE&amp;DB=129&amp;ID1=25179M10&amp;VALUEID=01001&amp;SDATE=201002&amp;PERIODTYPE=QTR_STD&amp;window=popup_no_bar&amp;width=385&amp;height=120&amp;START_MAXIMIZED=FALSE&amp;creator=factset&amp;display_string=Audit"}</definedName>
    <definedName name="_1647__FDSAUDITLINK__" hidden="1">{"fdsup://Directions/FactSet Auditing Viewer?action=AUDIT_VALUE&amp;DB=129&amp;ID1=23918K10&amp;VALUEID=01001&amp;SDATE=200902&amp;PERIODTYPE=QTR_STD&amp;window=popup_no_bar&amp;width=385&amp;height=120&amp;START_MAXIMIZED=FALSE&amp;creator=factset&amp;display_string=Audit"}</definedName>
    <definedName name="_1648__FDSAUDITLINK__" hidden="1">{"fdsup://Directions/FactSet Auditing Viewer?action=AUDIT_VALUE&amp;DB=129&amp;ID1=23918K10&amp;VALUEID=01001&amp;SDATE=201002&amp;PERIODTYPE=QTR_STD&amp;window=popup_no_bar&amp;width=385&amp;height=120&amp;START_MAXIMIZED=FALSE&amp;creator=factset&amp;display_string=Audit"}</definedName>
    <definedName name="_1649__FDSAUDITLINK__" hidden="1">{"fdsup://Directions/FactSet Auditing Viewer?action=AUDIT_VALUE&amp;DB=129&amp;ID1=25189310&amp;VALUEID=01001&amp;SDATE=201004&amp;PERIODTYPE=QTR_STD&amp;window=popup_no_bar&amp;width=385&amp;height=120&amp;START_MAXIMIZED=FALSE&amp;creator=factset&amp;display_string=Audit"}</definedName>
    <definedName name="_165__FDSAUDITLINK__" hidden="1">{"fdsup://directions/FAT Viewer?action=UPDATE&amp;creator=factset&amp;DYN_ARGS=TRUE&amp;DOC_NAME=FAT:FQL_AUDITING_CLIENT_TEMPLATE.FAT&amp;display_string=Audit&amp;VAR:KEY=BEPYBYLYPU&amp;VAR:QUERY=RkZfRUJJVERBX09QRVIoUVRSLDQvMS8yMDA5LDYvMzAvMjAwOSwsLFVTRCk=&amp;WINDOW=FIRST_POPUP&amp;HEIGH","T=450&amp;WIDTH=450&amp;START_MAXIMIZED=FALSE&amp;VAR:CALENDAR=US&amp;VAR:SYMBOL=STI&amp;VAR:INDEX=0"}</definedName>
    <definedName name="_1650__FDSAUDITLINK__" hidden="1">{"fdsup://Directions/FactSet Auditing Viewer?action=AUDIT_VALUE&amp;DB=129&amp;ID1=26441C10&amp;VALUEID=01001&amp;SDATE=200902&amp;PERIODTYPE=QTR_STD&amp;window=popup_no_bar&amp;width=385&amp;height=120&amp;START_MAXIMIZED=FALSE&amp;creator=factset&amp;display_string=Audit"}</definedName>
    <definedName name="_1651__FDSAUDITLINK__" hidden="1">{"fdsup://Directions/FactSet Auditing Viewer?action=AUDIT_VALUE&amp;DB=129&amp;ID1=26441C10&amp;VALUEID=01001&amp;SDATE=201002&amp;PERIODTYPE=QTR_STD&amp;window=popup_no_bar&amp;width=385&amp;height=120&amp;START_MAXIMIZED=FALSE&amp;creator=factset&amp;display_string=Audit"}</definedName>
    <definedName name="_1652__FDSAUDITLINK__" hidden="1">{"fdsup://Directions/FactSet Auditing Viewer?action=AUDIT_VALUE&amp;DB=129&amp;ID1=25490A10&amp;VALUEID=01001&amp;SDATE=200902&amp;PERIODTYPE=QTR_STD&amp;window=popup_no_bar&amp;width=385&amp;height=120&amp;START_MAXIMIZED=FALSE&amp;creator=factset&amp;display_string=Audit"}</definedName>
    <definedName name="_1653__FDSAUDITLINK__" hidden="1">{"fdsup://Directions/FactSet Auditing Viewer?action=AUDIT_VALUE&amp;DB=129&amp;ID1=25490A10&amp;VALUEID=01001&amp;SDATE=201002&amp;PERIODTYPE=QTR_STD&amp;window=popup_no_bar&amp;width=385&amp;height=120&amp;START_MAXIMIZED=FALSE&amp;creator=factset&amp;display_string=Audit"}</definedName>
    <definedName name="_1654__FDSAUDITLINK__" hidden="1">{"fdsup://Directions/FactSet Auditing Viewer?action=AUDIT_VALUE&amp;DB=129&amp;ID1=23333110&amp;VALUEID=01001&amp;SDATE=200902&amp;PERIODTYPE=QTR_STD&amp;window=popup_no_bar&amp;width=385&amp;height=120&amp;START_MAXIMIZED=FALSE&amp;creator=factset&amp;display_string=Audit"}</definedName>
    <definedName name="_1655__FDSAUDITLINK__" hidden="1">{"fdsup://Directions/FactSet Auditing Viewer?action=AUDIT_VALUE&amp;DB=129&amp;ID1=23333110&amp;VALUEID=01001&amp;SDATE=201002&amp;PERIODTYPE=QTR_STD&amp;window=popup_no_bar&amp;width=385&amp;height=120&amp;START_MAXIMIZED=FALSE&amp;creator=factset&amp;display_string=Audit"}</definedName>
    <definedName name="_1656__FDSAUDITLINK__" hidden="1">{"fdsup://Directions/FactSet Auditing Viewer?action=AUDIT_VALUE&amp;DB=129&amp;ID1=23719410&amp;VALUEID=01001&amp;SDATE=200804&amp;PERIODTYPE=QTR_STD&amp;window=popup_no_bar&amp;width=385&amp;height=120&amp;START_MAXIMIZED=FALSE&amp;creator=factset&amp;display_string=Audit"}</definedName>
    <definedName name="_1657__FDSAUDITLINK__" hidden="1">{"fdsup://Directions/FactSet Auditing Viewer?action=AUDIT_VALUE&amp;DB=129&amp;ID1=23719410&amp;VALUEID=01001&amp;SDATE=200904&amp;PERIODTYPE=QTR_STD&amp;window=popup_no_bar&amp;width=385&amp;height=120&amp;START_MAXIMIZED=FALSE&amp;creator=factset&amp;display_string=Audit"}</definedName>
    <definedName name="_1658__FDSAUDITLINK__" hidden="1">{"fdsup://Directions/FactSet Auditing Viewer?action=AUDIT_VALUE&amp;DB=129&amp;ID1=26138E10&amp;VALUEID=01001&amp;SDATE=200902&amp;PERIODTYPE=QTR_STD&amp;window=popup_no_bar&amp;width=385&amp;height=120&amp;START_MAXIMIZED=FALSE&amp;creator=factset&amp;display_string=Audit"}</definedName>
    <definedName name="_1659__FDSAUDITLINK__" hidden="1">{"fdsup://Directions/FactSet Auditing Viewer?action=AUDIT_VALUE&amp;DB=129&amp;ID1=26138E10&amp;VALUEID=01001&amp;SDATE=201002&amp;PERIODTYPE=QTR_STD&amp;window=popup_no_bar&amp;width=385&amp;height=120&amp;START_MAXIMIZED=FALSE&amp;creator=factset&amp;display_string=Audit"}</definedName>
    <definedName name="_166__FDSAUDITLINK__" hidden="1">{"fdsup://directions/FAT Viewer?action=UPDATE&amp;creator=factset&amp;DYN_ARGS=TRUE&amp;DOC_NAME=FAT:FQL_AUDITING_CLIENT_TEMPLATE.FAT&amp;display_string=Audit&amp;VAR:KEY=JMBWLQJOPA&amp;VAR:QUERY=RkZfRUJJVERBX09QRVIoUVRSLDQvMS8yMDEwLDYvMzAvMjAxMCwsLFVTRCk=&amp;WINDOW=FIRST_POPUP&amp;HEIGH","T=450&amp;WIDTH=450&amp;START_MAXIMIZED=FALSE&amp;VAR:CALENDAR=US&amp;VAR:SYMBOL=STI&amp;VAR:INDEX=0"}</definedName>
    <definedName name="_1660__FDSAUDITLINK__" hidden="1">{"fdsup://Directions/FactSet Auditing Viewer?action=AUDIT_VALUE&amp;DB=129&amp;ID1=26054310&amp;VALUEID=01001&amp;SDATE=200902&amp;PERIODTYPE=QTR_STD&amp;window=popup_no_bar&amp;width=385&amp;height=120&amp;START_MAXIMIZED=FALSE&amp;creator=factset&amp;display_string=Audit"}</definedName>
    <definedName name="_1661__FDSAUDITLINK__" hidden="1">{"fdsup://Directions/FactSet Auditing Viewer?action=AUDIT_VALUE&amp;DB=129&amp;ID1=26054310&amp;VALUEID=01001&amp;SDATE=201002&amp;PERIODTYPE=QTR_STD&amp;window=popup_no_bar&amp;width=385&amp;height=120&amp;START_MAXIMIZED=FALSE&amp;creator=factset&amp;display_string=Audit"}</definedName>
    <definedName name="_1662__FDSAUDITLINK__" hidden="1">{"fdsup://Directions/FactSet Auditing Viewer?action=AUDIT_VALUE&amp;DB=129&amp;ID1=26000310&amp;VALUEID=01001&amp;SDATE=200902&amp;PERIODTYPE=QTR_STD&amp;window=popup_no_bar&amp;width=385&amp;height=120&amp;START_MAXIMIZED=FALSE&amp;creator=factset&amp;display_string=Audit"}</definedName>
    <definedName name="_1663__FDSAUDITLINK__" hidden="1">{"fdsup://Directions/FactSet Auditing Viewer?action=AUDIT_VALUE&amp;DB=129&amp;ID1=26000310&amp;VALUEID=01001&amp;SDATE=201002&amp;PERIODTYPE=QTR_STD&amp;window=popup_no_bar&amp;width=385&amp;height=120&amp;START_MAXIMIZED=FALSE&amp;creator=factset&amp;display_string=Audit"}</definedName>
    <definedName name="_1664__FDSAUDITLINK__" hidden="1">{"fdsup://Directions/FactSet Auditing Viewer?action=AUDIT_VALUE&amp;DB=129&amp;ID1=25271C10&amp;VALUEID=01001&amp;SDATE=200902&amp;PERIODTYPE=QTR_STD&amp;window=popup_no_bar&amp;width=385&amp;height=120&amp;START_MAXIMIZED=FALSE&amp;creator=factset&amp;display_string=Audit"}</definedName>
    <definedName name="_1665__FDSAUDITLINK__" hidden="1">{"fdsup://Directions/FactSet Auditing Viewer?action=AUDIT_VALUE&amp;DB=129&amp;ID1=25271C10&amp;VALUEID=01001&amp;SDATE=201002&amp;PERIODTYPE=QTR_STD&amp;window=popup_no_bar&amp;width=385&amp;height=120&amp;START_MAXIMIZED=FALSE&amp;creator=factset&amp;display_string=Audit"}</definedName>
    <definedName name="_1666__FDSAUDITLINK__" hidden="1">{"fdsup://Directions/FactSet Auditing Viewer?action=AUDIT_VALUE&amp;DB=129&amp;ID1=24791620&amp;VALUEID=01001&amp;SDATE=200902&amp;PERIODTYPE=QTR_STD&amp;window=popup_no_bar&amp;width=385&amp;height=120&amp;START_MAXIMIZED=FALSE&amp;creator=factset&amp;display_string=Audit"}</definedName>
    <definedName name="_1667__FDSAUDITLINK__" hidden="1">{"fdsup://Directions/FactSet Auditing Viewer?action=AUDIT_VALUE&amp;DB=129&amp;ID1=24791620&amp;VALUEID=01001&amp;SDATE=201002&amp;PERIODTYPE=QTR_STD&amp;window=popup_no_bar&amp;width=385&amp;height=120&amp;START_MAXIMIZED=FALSE&amp;creator=factset&amp;display_string=Audit"}</definedName>
    <definedName name="_1668__FDSAUDITLINK__" hidden="1">{"fdsup://Directions/FactSet Auditing Viewer?action=AUDIT_VALUE&amp;DB=129&amp;ID1=26483E10&amp;VALUEID=01001&amp;SDATE=200902&amp;PERIODTYPE=QTR_STD&amp;window=popup_no_bar&amp;width=385&amp;height=120&amp;START_MAXIMIZED=FALSE&amp;creator=factset&amp;display_string=Audit"}</definedName>
    <definedName name="_1669__FDSAUDITLINK__" hidden="1">{"fdsup://Directions/FactSet Auditing Viewer?action=AUDIT_VALUE&amp;DB=129&amp;ID1=26483E10&amp;VALUEID=01001&amp;SDATE=201002&amp;PERIODTYPE=QTR_STD&amp;window=popup_no_bar&amp;width=385&amp;height=120&amp;START_MAXIMIZED=FALSE&amp;creator=factset&amp;display_string=Audit"}</definedName>
    <definedName name="_167__FDSAUDITLINK__" hidden="1">{"fdsup://directions/FAT Viewer?action=UPDATE&amp;creator=factset&amp;DYN_ARGS=TRUE&amp;DOC_NAME=FAT:FQL_AUDITING_CLIENT_TEMPLATE.FAT&amp;display_string=Audit&amp;VAR:KEY=ZEJKFOZUBY&amp;VAR:QUERY=RkZfRUJJVERBX09QRVIoUVRSLDQvMS8yMDA5LDYvMzAvMjAwOSwsLFVTRCk=&amp;WINDOW=FIRST_POPUP&amp;HEIGH","T=450&amp;WIDTH=450&amp;START_MAXIMIZED=FALSE&amp;VAR:CALENDAR=US&amp;VAR:SYMBOL=SRE&amp;VAR:INDEX=0"}</definedName>
    <definedName name="_1670__FDSAUDITLINK__" hidden="1">{"fdsup://Directions/FactSet Auditing Viewer?action=AUDIT_VALUE&amp;DB=129&amp;ID1=25470F10&amp;VALUEID=01001&amp;SDATE=200902&amp;PERIODTYPE=QTR_STD&amp;window=popup_no_bar&amp;width=385&amp;height=120&amp;START_MAXIMIZED=FALSE&amp;creator=factset&amp;display_string=Audit"}</definedName>
    <definedName name="_1671__FDSAUDITLINK__" hidden="1">{"fdsup://Directions/FactSet Auditing Viewer?action=AUDIT_VALUE&amp;DB=129&amp;ID1=25470F10&amp;VALUEID=01001&amp;SDATE=201002&amp;PERIODTYPE=QTR_STD&amp;window=popup_no_bar&amp;width=385&amp;height=120&amp;START_MAXIMIZED=FALSE&amp;creator=factset&amp;display_string=Audit"}</definedName>
    <definedName name="_1672__FDSAUDITLINK__" hidden="1">{"fdsup://Directions/FactSet Auditing Viewer?action=AUDIT_VALUE&amp;DB=129&amp;ID1=25468710&amp;VALUEID=01001&amp;SDATE=200903&amp;PERIODTYPE=QTR_STD&amp;window=popup_no_bar&amp;width=385&amp;height=120&amp;START_MAXIMIZED=FALSE&amp;creator=factset&amp;display_string=Audit"}</definedName>
    <definedName name="_1673__FDSAUDITLINK__" hidden="1">{"fdsup://Directions/FactSet Auditing Viewer?action=AUDIT_VALUE&amp;DB=129&amp;ID1=25468710&amp;VALUEID=01001&amp;SDATE=201003&amp;PERIODTYPE=QTR_STD&amp;window=popup_no_bar&amp;width=385&amp;height=120&amp;START_MAXIMIZED=FALSE&amp;creator=factset&amp;display_string=Audit"}</definedName>
    <definedName name="_1674__FDSAUDITLINK__" hidden="1">{"fdsup://Directions/FactSet Auditing Viewer?action=AUDIT_VALUE&amp;DB=129&amp;ID1=23585110&amp;VALUEID=01001&amp;SDATE=200902&amp;PERIODTYPE=QTR_STD&amp;window=popup_no_bar&amp;width=385&amp;height=120&amp;START_MAXIMIZED=FALSE&amp;creator=factset&amp;display_string=Audit"}</definedName>
    <definedName name="_1675__FDSAUDITLINK__" hidden="1">{"fdsup://Directions/FactSet Auditing Viewer?action=AUDIT_VALUE&amp;DB=129&amp;ID1=23585110&amp;VALUEID=01001&amp;SDATE=201002&amp;PERIODTYPE=QTR_STD&amp;window=popup_no_bar&amp;width=385&amp;height=120&amp;START_MAXIMIZED=FALSE&amp;creator=factset&amp;display_string=Audit"}</definedName>
    <definedName name="_1676__FDSAUDITLINK__" hidden="1">{"fdsup://Directions/FactSet Auditing Viewer?action=AUDIT_VALUE&amp;DB=129&amp;ID1=23331A10&amp;VALUEID=01001&amp;SDATE=200903&amp;PERIODTYPE=QTR_STD&amp;window=popup_no_bar&amp;width=385&amp;height=120&amp;START_MAXIMIZED=FALSE&amp;creator=factset&amp;display_string=Audit"}</definedName>
    <definedName name="_1677__FDSAUDITLINK__" hidden="1">{"fdsup://Directions/FactSet Auditing Viewer?action=AUDIT_VALUE&amp;DB=129&amp;ID1=23331A10&amp;VALUEID=01001&amp;SDATE=201003&amp;PERIODTYPE=QTR_STD&amp;window=popup_no_bar&amp;width=385&amp;height=120&amp;START_MAXIMIZED=FALSE&amp;creator=factset&amp;display_string=Audit"}</definedName>
    <definedName name="_1678__FDSAUDITLINK__" hidden="1">{"fdsup://Directions/FactSet Auditing Viewer?action=AUDIT_VALUE&amp;DB=129&amp;ID1=74834L10&amp;VALUEID=01001&amp;SDATE=200902&amp;PERIODTYPE=QTR_STD&amp;window=popup_no_bar&amp;width=385&amp;height=120&amp;START_MAXIMIZED=FALSE&amp;creator=factset&amp;display_string=Audit"}</definedName>
    <definedName name="_1679__FDSAUDITLINK__" hidden="1">{"fdsup://Directions/FactSet Auditing Viewer?action=AUDIT_VALUE&amp;DB=129&amp;ID1=74834L10&amp;VALUEID=01001&amp;SDATE=201002&amp;PERIODTYPE=QTR_STD&amp;window=popup_no_bar&amp;width=385&amp;height=120&amp;START_MAXIMIZED=FALSE&amp;creator=factset&amp;display_string=Audit"}</definedName>
    <definedName name="_168__FDSAUDITLINK__" hidden="1">{"fdsup://directions/FAT Viewer?action=UPDATE&amp;creator=factset&amp;DYN_ARGS=TRUE&amp;DOC_NAME=FAT:FQL_AUDITING_CLIENT_TEMPLATE.FAT&amp;display_string=Audit&amp;VAR:KEY=ZABITWPSVC&amp;VAR:QUERY=RkZfRUJJVERBX09QRVIoUVRSLDQvMS8yMDEwLDYvMzAvMjAxMCwsLFVTRCk=&amp;WINDOW=FIRST_POPUP&amp;HEIGH","T=450&amp;WIDTH=450&amp;START_MAXIMIZED=FALSE&amp;VAR:CALENDAR=US&amp;VAR:SYMBOL=SRE&amp;VAR:INDEX=0"}</definedName>
    <definedName name="_1680__FDSAUDITLINK__" hidden="1">{"fdsup://Directions/FactSet Auditing Viewer?action=AUDIT_VALUE&amp;DB=129&amp;ID1=25470910&amp;VALUEID=01001&amp;SDATE=201002&amp;PERIODTYPE=QTR_STD&amp;window=popup_no_bar&amp;width=385&amp;height=120&amp;START_MAXIMIZED=FALSE&amp;creator=factset&amp;display_string=Audit"}</definedName>
    <definedName name="_1681__FDSAUDITLINK__" hidden="1">{"fdsup://Directions/FactSet Auditing Viewer?action=AUDIT_VALUE&amp;DB=129&amp;ID1=24237010&amp;VALUEID=01001&amp;SDATE=200902&amp;PERIODTYPE=QTR_STD&amp;window=popup_no_bar&amp;width=385&amp;height=120&amp;START_MAXIMIZED=FALSE&amp;creator=factset&amp;display_string=Audit"}</definedName>
    <definedName name="_1682__FDSAUDITLINK__" hidden="1">{"fdsup://Directions/FactSet Auditing Viewer?action=AUDIT_VALUE&amp;DB=129&amp;ID1=24237010&amp;VALUEID=01001&amp;SDATE=201002&amp;PERIODTYPE=QTR_STD&amp;window=popup_no_bar&amp;width=385&amp;height=120&amp;START_MAXIMIZED=FALSE&amp;creator=factset&amp;display_string=Audit"}</definedName>
    <definedName name="_1683__FDSAUDITLINK__" hidden="1">{"fdsup://Directions/FactSet Auditing Viewer?action=AUDIT_VALUE&amp;DB=129&amp;ID1=24702R10&amp;VALUEID=01001&amp;SDATE=201001&amp;PERIODTYPE=QTR_STD&amp;window=popup_no_bar&amp;width=385&amp;height=120&amp;START_MAXIMIZED=FALSE&amp;creator=factset&amp;display_string=Audit"}</definedName>
    <definedName name="_1684__FDSAUDITLINK__" hidden="1">{"fdsup://Directions/FactSet Auditing Viewer?action=AUDIT_VALUE&amp;DB=129&amp;ID1=24419910&amp;VALUEID=01001&amp;SDATE=200902&amp;PERIODTYPE=QTR_STD&amp;window=popup_no_bar&amp;width=385&amp;height=120&amp;START_MAXIMIZED=FALSE&amp;creator=factset&amp;display_string=Audit"}</definedName>
    <definedName name="_1685__FDSAUDITLINK__" hidden="1">{"fdsup://Directions/FactSet Auditing Viewer?action=AUDIT_VALUE&amp;DB=129&amp;ID1=24419910&amp;VALUEID=01001&amp;SDATE=201002&amp;PERIODTYPE=QTR_STD&amp;window=popup_no_bar&amp;width=385&amp;height=120&amp;START_MAXIMIZED=FALSE&amp;creator=factset&amp;display_string=Audit"}</definedName>
    <definedName name="_1686__FDSAUDITLINK__" hidden="1">{"fdsup://Directions/FactSet Auditing Viewer?action=AUDIT_VALUE&amp;DB=129&amp;ID1=26353410&amp;VALUEID=01001&amp;SDATE=200902&amp;PERIODTYPE=QTR_STD&amp;window=popup_no_bar&amp;width=385&amp;height=120&amp;START_MAXIMIZED=FALSE&amp;creator=factset&amp;display_string=Audit"}</definedName>
    <definedName name="_1687__FDSAUDITLINK__" hidden="1">{"fdsup://Directions/FactSet Auditing Viewer?action=AUDIT_VALUE&amp;DB=129&amp;ID1=26353410&amp;VALUEID=01001&amp;SDATE=201002&amp;PERIODTYPE=QTR_STD&amp;window=popup_no_bar&amp;width=385&amp;height=120&amp;START_MAXIMIZED=FALSE&amp;creator=factset&amp;display_string=Audit"}</definedName>
    <definedName name="_1688__FDSAUDITLINK__" hidden="1">{"fdsup://Directions/FactSet Auditing Viewer?action=AUDIT_VALUE&amp;DB=129&amp;ID1=25746U10&amp;VALUEID=01001&amp;SDATE=200902&amp;PERIODTYPE=QTR_STD&amp;window=popup_no_bar&amp;width=385&amp;height=120&amp;START_MAXIMIZED=FALSE&amp;creator=factset&amp;display_string=Audit"}</definedName>
    <definedName name="_1689__FDSAUDITLINK__" hidden="1">{"fdsup://Directions/FactSet Auditing Viewer?action=AUDIT_VALUE&amp;DB=129&amp;ID1=25746U10&amp;VALUEID=01001&amp;SDATE=201002&amp;PERIODTYPE=QTR_STD&amp;window=popup_no_bar&amp;width=385&amp;height=120&amp;START_MAXIMIZED=FALSE&amp;creator=factset&amp;display_string=Audit"}</definedName>
    <definedName name="_169__FDSAUDITLINK__" hidden="1">{"fdsup://directions/FAT Viewer?action=UPDATE&amp;creator=factset&amp;DYN_ARGS=TRUE&amp;DOC_NAME=FAT:FQL_AUDITING_CLIENT_TEMPLATE.FAT&amp;display_string=Audit&amp;VAR:KEY=BYXCZQLCDW&amp;VAR:QUERY=RkZfRUJJVERBX09QRVIoUVRSLDQvMS8yMDA5LDYvMzAvMjAwOSwsLFVTRCk=&amp;WINDOW=FIRST_POPUP&amp;HEIGH","T=450&amp;WIDTH=450&amp;START_MAXIMIZED=FALSE&amp;VAR:CALENDAR=US&amp;VAR:SYMBOL=SRCL&amp;VAR:INDEX=0"}</definedName>
    <definedName name="_1690__FDSAUDITLINK__" hidden="1">{"fdsup://Directions/FactSet Auditing Viewer?action=AUDIT_VALUE&amp;DB=129&amp;ID1=16676410&amp;VALUEID=01001&amp;SDATE=200902&amp;PERIODTYPE=QTR_STD&amp;window=popup_no_bar&amp;width=385&amp;height=120&amp;START_MAXIMIZED=FALSE&amp;creator=factset&amp;display_string=Audit"}</definedName>
    <definedName name="_1691__FDSAUDITLINK__" hidden="1">{"fdsup://Directions/FactSet Auditing Viewer?action=AUDIT_VALUE&amp;DB=129&amp;ID1=16676410&amp;VALUEID=01001&amp;SDATE=201002&amp;PERIODTYPE=QTR_STD&amp;window=popup_no_bar&amp;width=385&amp;height=120&amp;START_MAXIMIZED=FALSE&amp;creator=factset&amp;display_string=Audit"}</definedName>
    <definedName name="_1692__FDSAUDITLINK__" hidden="1">{"fdsup://Directions/FactSet Auditing Viewer?action=AUDIT_VALUE&amp;DB=129&amp;ID1=12665010&amp;VALUEID=01001&amp;SDATE=200902&amp;PERIODTYPE=QTR_STD&amp;window=popup_no_bar&amp;width=385&amp;height=120&amp;START_MAXIMIZED=FALSE&amp;creator=factset&amp;display_string=Audit"}</definedName>
    <definedName name="_1693__FDSAUDITLINK__" hidden="1">{"fdsup://Directions/FactSet Auditing Viewer?action=AUDIT_VALUE&amp;DB=129&amp;ID1=12665010&amp;VALUEID=01001&amp;SDATE=201002&amp;PERIODTYPE=QTR_STD&amp;window=popup_no_bar&amp;width=385&amp;height=120&amp;START_MAXIMIZED=FALSE&amp;creator=factset&amp;display_string=Audit"}</definedName>
    <definedName name="_1694__FDSAUDITLINK__" hidden="1">{"fdsup://Directions/FactSet Auditing Viewer?action=AUDIT_VALUE&amp;DB=129&amp;ID1=22286210&amp;VALUEID=01001&amp;SDATE=200902&amp;PERIODTYPE=QTR_STD&amp;window=popup_no_bar&amp;width=385&amp;height=120&amp;START_MAXIMIZED=FALSE&amp;creator=factset&amp;display_string=Audit"}</definedName>
    <definedName name="_1695__FDSAUDITLINK__" hidden="1">{"fdsup://Directions/FactSet Auditing Viewer?action=AUDIT_VALUE&amp;DB=129&amp;ID1=22286210&amp;VALUEID=01001&amp;SDATE=201002&amp;PERIODTYPE=QTR_STD&amp;window=popup_no_bar&amp;width=385&amp;height=120&amp;START_MAXIMIZED=FALSE&amp;creator=factset&amp;display_string=Audit"}</definedName>
    <definedName name="_1696__FDSAUDITLINK__" hidden="1">{"fdsup://Directions/FactSet Auditing Viewer?action=AUDIT_VALUE&amp;DB=129&amp;ID1=17737610&amp;VALUEID=01001&amp;SDATE=200902&amp;PERIODTYPE=QTR_STD&amp;window=popup_no_bar&amp;width=385&amp;height=120&amp;START_MAXIMIZED=FALSE&amp;creator=factset&amp;display_string=Audit"}</definedName>
    <definedName name="_1697__FDSAUDITLINK__" hidden="1">{"fdsup://Directions/FactSet Auditing Viewer?action=AUDIT_VALUE&amp;DB=129&amp;ID1=17737610&amp;VALUEID=01001&amp;SDATE=201002&amp;PERIODTYPE=QTR_STD&amp;window=popup_no_bar&amp;width=385&amp;height=120&amp;START_MAXIMIZED=FALSE&amp;creator=factset&amp;display_string=Audit"}</definedName>
    <definedName name="_1698__FDSAUDITLINK__" hidden="1">{"fdsup://Directions/FactSet Auditing Viewer?action=AUDIT_VALUE&amp;DB=129&amp;ID1=19244610&amp;VALUEID=01001&amp;SDATE=200902&amp;PERIODTYPE=QTR_STD&amp;window=popup_no_bar&amp;width=385&amp;height=120&amp;START_MAXIMIZED=FALSE&amp;creator=factset&amp;display_string=Audit"}</definedName>
    <definedName name="_1699__FDSAUDITLINK__" hidden="1">{"fdsup://Directions/FactSet Auditing Viewer?action=AUDIT_VALUE&amp;DB=129&amp;ID1=19244610&amp;VALUEID=01001&amp;SDATE=201002&amp;PERIODTYPE=QTR_STD&amp;window=popup_no_bar&amp;width=385&amp;height=120&amp;START_MAXIMIZED=FALSE&amp;creator=factset&amp;display_string=Audit"}</definedName>
    <definedName name="_17__123Graph_AWAGES_BY_B_U">#REF!</definedName>
    <definedName name="_17__123Graph_CSUPPLIES_BY_B_U">#REF!</definedName>
    <definedName name="_17__FDSAUDITLINK__" hidden="1">{"fdsup://directions/FAT Viewer?action=UPDATE&amp;creator=factset&amp;DYN_ARGS=TRUE&amp;DOC_NAME=FAT:FQL_AUDITING_CLIENT_TEMPLATE.FAT&amp;display_string=Audit&amp;VAR:KEY=VSXADOBIVQ&amp;VAR:QUERY=RkZfRUJJVERBX09QRVIoUVRSLDQvMS8yMDA5LDYvMzAvMjAwOSwsLFVTRCk=&amp;WINDOW=FIRST_POPUP&amp;HEIGH","T=450&amp;WIDTH=450&amp;START_MAXIMIZED=FALSE&amp;VAR:CALENDAR=US&amp;VAR:SYMBOL=XL&amp;VAR:INDEX=0"}</definedName>
    <definedName name="_17_3__1_CRADDIN_Table">#REF!</definedName>
    <definedName name="_170__FDSAUDITLINK__" hidden="1">{"fdsup://directions/FAT Viewer?action=UPDATE&amp;creator=factset&amp;DYN_ARGS=TRUE&amp;DOC_NAME=FAT:FQL_AUDITING_CLIENT_TEMPLATE.FAT&amp;display_string=Audit&amp;VAR:KEY=ZMVWFQNGJE&amp;VAR:QUERY=RkZfRUJJVERBX09QRVIoUVRSLDQvMS8yMDEwLDYvMzAvMjAxMCwsLFVTRCk=&amp;WINDOW=FIRST_POPUP&amp;HEIGH","T=450&amp;WIDTH=450&amp;START_MAXIMIZED=FALSE&amp;VAR:CALENDAR=US&amp;VAR:SYMBOL=SRCL&amp;VAR:INDEX=0"}</definedName>
    <definedName name="_1700__FDSAUDITLINK__" hidden="1">{"fdsup://Directions/FactSet Auditing Viewer?action=AUDIT_VALUE&amp;DB=129&amp;ID1=15670010&amp;VALUEID=01001&amp;SDATE=200902&amp;PERIODTYPE=QTR_STD&amp;window=popup_no_bar&amp;width=385&amp;height=120&amp;START_MAXIMIZED=FALSE&amp;creator=factset&amp;display_string=Audit"}</definedName>
    <definedName name="_1701__FDSAUDITLINK__" hidden="1">{"fdsup://Directions/FactSet Auditing Viewer?action=AUDIT_VALUE&amp;DB=129&amp;ID1=15670010&amp;VALUEID=01001&amp;SDATE=201002&amp;PERIODTYPE=QTR_STD&amp;window=popup_no_bar&amp;width=385&amp;height=120&amp;START_MAXIMIZED=FALSE&amp;creator=factset&amp;display_string=Audit"}</definedName>
    <definedName name="_1702__FDSAUDITLINK__" hidden="1">{"fdsup://Directions/FactSet Auditing Viewer?action=AUDIT_VALUE&amp;DB=129&amp;ID1=17290810&amp;VALUEID=01001&amp;SDATE=200904&amp;PERIODTYPE=QTR_STD&amp;window=popup_no_bar&amp;width=385&amp;height=120&amp;START_MAXIMIZED=FALSE&amp;creator=factset&amp;display_string=Audit"}</definedName>
    <definedName name="_1703__FDSAUDITLINK__" hidden="1">{"fdsup://Directions/FactSet Auditing Viewer?action=AUDIT_VALUE&amp;DB=129&amp;ID1=12640810&amp;VALUEID=01001&amp;SDATE=201002&amp;PERIODTYPE=QTR_STD&amp;window=popup_no_bar&amp;width=385&amp;height=120&amp;START_MAXIMIZED=FALSE&amp;creator=factset&amp;display_string=Audit"}</definedName>
    <definedName name="_1704__FDSAUDITLINK__" hidden="1">{"fdsup://Directions/FactSet Auditing Viewer?action=AUDIT_VALUE&amp;DB=129&amp;ID1=17275R10&amp;VALUEID=01001&amp;SDATE=200903&amp;PERIODTYPE=QTR_STD&amp;window=popup_no_bar&amp;width=385&amp;height=120&amp;START_MAXIMIZED=FALSE&amp;creator=factset&amp;display_string=Audit"}</definedName>
    <definedName name="_1705__FDSAUDITLINK__" hidden="1">{"fdsup://Directions/FactSet Auditing Viewer?action=AUDIT_VALUE&amp;DB=129&amp;ID1=17275R10&amp;VALUEID=01001&amp;SDATE=201003&amp;PERIODTYPE=QTR_STD&amp;window=popup_no_bar&amp;width=385&amp;height=120&amp;START_MAXIMIZED=FALSE&amp;creator=factset&amp;display_string=Audit"}</definedName>
    <definedName name="_1706__FDSAUDITLINK__" hidden="1">{"fdsup://Directions/FactSet Auditing Viewer?action=AUDIT_VALUE&amp;DB=129&amp;ID1=20536310&amp;VALUEID=01001&amp;SDATE=200901&amp;PERIODTYPE=QTR_STD&amp;window=popup_no_bar&amp;width=385&amp;height=120&amp;START_MAXIMIZED=FALSE&amp;creator=factset&amp;display_string=Audit"}</definedName>
    <definedName name="_1707__FDSAUDITLINK__" hidden="1">{"fdsup://Directions/FactSet Auditing Viewer?action=AUDIT_VALUE&amp;DB=129&amp;ID1=20536310&amp;VALUEID=01001&amp;SDATE=201001&amp;PERIODTYPE=QTR_STD&amp;window=popup_no_bar&amp;width=385&amp;height=120&amp;START_MAXIMIZED=FALSE&amp;creator=factset&amp;display_string=Audit"}</definedName>
    <definedName name="_1708__FDSAUDITLINK__" hidden="1">{"fdsup://Directions/FactSet Auditing Viewer?action=AUDIT_VALUE&amp;DB=129&amp;ID1=79466L30&amp;VALUEID=01001&amp;SDATE=201001&amp;PERIODTYPE=QTR_STD&amp;window=popup_no_bar&amp;width=385&amp;height=120&amp;START_MAXIMIZED=FALSE&amp;creator=factset&amp;display_string=Audit"}</definedName>
    <definedName name="_1709__FDSAUDITLINK__" hidden="1">{"fdsup://Directions/FactSet Auditing Viewer?action=AUDIT_VALUE&amp;DB=129&amp;ID1=20563810&amp;VALUEID=01001&amp;SDATE=200901&amp;PERIODTYPE=QTR_STD&amp;window=popup_no_bar&amp;width=385&amp;height=120&amp;START_MAXIMIZED=FALSE&amp;creator=factset&amp;display_string=Audit"}</definedName>
    <definedName name="_171__FDSAUDITLINK__" hidden="1">{"fdsup://directions/FAT Viewer?action=UPDATE&amp;creator=factset&amp;DYN_ARGS=TRUE&amp;DOC_NAME=FAT:FQL_AUDITING_CLIENT_TEMPLATE.FAT&amp;display_string=Audit&amp;VAR:KEY=HQVGTMNGXE&amp;VAR:QUERY=RkZfRUJJVERBX09QRVIoUVRSLDQvMS8yMDA5LDYvMzAvMjAwOSwsLFVTRCk=&amp;WINDOW=FIRST_POPUP&amp;HEIGH","T=450&amp;WIDTH=450&amp;START_MAXIMIZED=FALSE&amp;VAR:CALENDAR=US&amp;VAR:SYMBOL=SPLS&amp;VAR:INDEX=0"}</definedName>
    <definedName name="_1710__FDSAUDITLINK__" hidden="1">{"fdsup://Directions/FactSet Auditing Viewer?action=AUDIT_VALUE&amp;DB=129&amp;ID1=20563810&amp;VALUEID=01001&amp;SDATE=201001&amp;PERIODTYPE=QTR_STD&amp;window=popup_no_bar&amp;width=385&amp;height=120&amp;START_MAXIMIZED=FALSE&amp;creator=factset&amp;display_string=Audit"}</definedName>
    <definedName name="_1711__FDSAUDITLINK__" hidden="1">{"fdsup://Directions/FactSet Auditing Viewer?action=AUDIT_VALUE&amp;DB=129&amp;ID1=13442910&amp;VALUEID=01001&amp;SDATE=200903&amp;PERIODTYPE=QTR_STD&amp;window=popup_no_bar&amp;width=385&amp;height=120&amp;START_MAXIMIZED=FALSE&amp;creator=factset&amp;display_string=Audit"}</definedName>
    <definedName name="_1712__FDSAUDITLINK__" hidden="1">{"fdsup://Directions/FactSet Auditing Viewer?action=AUDIT_VALUE&amp;DB=129&amp;ID1=13442910&amp;VALUEID=01001&amp;SDATE=201003&amp;PERIODTYPE=QTR_STD&amp;window=popup_no_bar&amp;width=385&amp;height=120&amp;START_MAXIMIZED=FALSE&amp;creator=factset&amp;display_string=Audit"}</definedName>
    <definedName name="_1713__FDSAUDITLINK__" hidden="1">{"fdsup://Directions/FactSet Auditing Viewer?action=AUDIT_VALUE&amp;DB=129&amp;ID1=22160K10&amp;VALUEID=01001&amp;SDATE=200903&amp;PERIODTYPE=QTR_STD&amp;window=popup_no_bar&amp;width=385&amp;height=120&amp;START_MAXIMIZED=FALSE&amp;creator=factset&amp;display_string=Audit"}</definedName>
    <definedName name="_1714__FDSAUDITLINK__" hidden="1">{"fdsup://Directions/FactSet Auditing Viewer?action=AUDIT_VALUE&amp;DB=129&amp;ID1=22160K10&amp;VALUEID=01001&amp;SDATE=201003&amp;PERIODTYPE=QTR_STD&amp;window=popup_no_bar&amp;width=385&amp;height=120&amp;START_MAXIMIZED=FALSE&amp;creator=factset&amp;display_string=Audit"}</definedName>
    <definedName name="_1715__FDSAUDITLINK__" hidden="1">{"fdsup://Directions/FactSet Auditing Viewer?action=AUDIT_VALUE&amp;DB=129&amp;ID1=20825C10&amp;VALUEID=01001&amp;SDATE=200902&amp;PERIODTYPE=QTR_STD&amp;window=popup_no_bar&amp;width=385&amp;height=120&amp;START_MAXIMIZED=FALSE&amp;creator=factset&amp;display_string=Audit"}</definedName>
    <definedName name="_1716__FDSAUDITLINK__" hidden="1">{"fdsup://Directions/FactSet Auditing Viewer?action=AUDIT_VALUE&amp;DB=129&amp;ID1=20825C10&amp;VALUEID=01001&amp;SDATE=201002&amp;PERIODTYPE=QTR_STD&amp;window=popup_no_bar&amp;width=385&amp;height=120&amp;START_MAXIMIZED=FALSE&amp;creator=factset&amp;display_string=Audit"}</definedName>
    <definedName name="_1717__FDSAUDITLINK__" hidden="1">{"fdsup://Directions/FactSet Auditing Viewer?action=AUDIT_VALUE&amp;DB=129&amp;ID1=77434110&amp;VALUEID=01001&amp;SDATE=200903&amp;PERIODTYPE=QTR_STD&amp;window=popup_no_bar&amp;width=385&amp;height=120&amp;START_MAXIMIZED=FALSE&amp;creator=factset&amp;display_string=Audit"}</definedName>
    <definedName name="_1718__FDSAUDITLINK__" hidden="1">{"fdsup://Directions/FactSet Auditing Viewer?action=AUDIT_VALUE&amp;DB=129&amp;ID1=77434110&amp;VALUEID=01001&amp;SDATE=201003&amp;PERIODTYPE=QTR_STD&amp;window=popup_no_bar&amp;width=385&amp;height=120&amp;START_MAXIMIZED=FALSE&amp;creator=factset&amp;display_string=Audit"}</definedName>
    <definedName name="_1719__FDSAUDITLINK__" hidden="1">{"fdsup://Directions/FactSet Auditing Viewer?action=AUDIT_VALUE&amp;DB=129&amp;ID1=18975410&amp;VALUEID=01001&amp;SDATE=201004&amp;PERIODTYPE=QTR_STD&amp;window=popup_no_bar&amp;width=385&amp;height=120&amp;START_MAXIMIZED=FALSE&amp;creator=factset&amp;display_string=Audit"}</definedName>
    <definedName name="_172__FDSAUDITLINK__" hidden="1">{"fdsup://directions/FAT Viewer?action=UPDATE&amp;creator=factset&amp;DYN_ARGS=TRUE&amp;DOC_NAME=FAT:FQL_AUDITING_CLIENT_TEMPLATE.FAT&amp;display_string=Audit&amp;VAR:KEY=NGVWJSTYJQ&amp;VAR:QUERY=RkZfRUJJVERBX09QRVIoUVRSLDQvMS8yMDEwLDYvMzAvMjAxMCwsLFVTRCk=&amp;WINDOW=FIRST_POPUP&amp;HEIGH","T=450&amp;WIDTH=450&amp;START_MAXIMIZED=FALSE&amp;VAR:CALENDAR=US&amp;VAR:SYMBOL=SPLS&amp;VAR:INDEX=0"}</definedName>
    <definedName name="_1720__FDSAUDITLINK__" hidden="1">{"fdsup://Directions/FactSet Auditing Viewer?action=AUDIT_VALUE&amp;DB=129&amp;ID1=12709710&amp;VALUEID=01001&amp;SDATE=200902&amp;PERIODTYPE=QTR_STD&amp;window=popup_no_bar&amp;width=385&amp;height=120&amp;START_MAXIMIZED=FALSE&amp;creator=factset&amp;display_string=Audit"}</definedName>
    <definedName name="_1721__FDSAUDITLINK__" hidden="1">{"fdsup://Directions/FactSet Auditing Viewer?action=AUDIT_VALUE&amp;DB=129&amp;ID1=12709710&amp;VALUEID=01001&amp;SDATE=201002&amp;PERIODTYPE=QTR_STD&amp;window=popup_no_bar&amp;width=385&amp;height=120&amp;START_MAXIMIZED=FALSE&amp;creator=factset&amp;display_string=Audit"}</definedName>
    <definedName name="_1722__FDSAUDITLINK__" hidden="1">{"fdsup://Directions/FactSet Auditing Viewer?action=AUDIT_VALUE&amp;DB=129&amp;ID1=14040H10&amp;VALUEID=01001&amp;SDATE=200902&amp;PERIODTYPE=QTR_STD&amp;window=popup_no_bar&amp;width=385&amp;height=120&amp;START_MAXIMIZED=FALSE&amp;creator=factset&amp;display_string=Audit"}</definedName>
    <definedName name="_1723__FDSAUDITLINK__" hidden="1">{"fdsup://Directions/FactSet Auditing Viewer?action=AUDIT_VALUE&amp;DB=129&amp;ID1=20854P10&amp;VALUEID=01001&amp;SDATE=200902&amp;PERIODTYPE=QTR_STD&amp;window=popup_no_bar&amp;width=385&amp;height=120&amp;START_MAXIMIZED=FALSE&amp;creator=factset&amp;display_string=Audit"}</definedName>
    <definedName name="_1724__FDSAUDITLINK__" hidden="1">{"fdsup://Directions/FactSet Auditing Viewer?action=AUDIT_VALUE&amp;DB=129&amp;ID1=20854P10&amp;VALUEID=01001&amp;SDATE=201002&amp;PERIODTYPE=QTR_STD&amp;window=popup_no_bar&amp;width=385&amp;height=120&amp;START_MAXIMIZED=FALSE&amp;creator=factset&amp;display_string=Audit"}</definedName>
    <definedName name="_1725__FDSAUDITLINK__" hidden="1">{"fdsup://Directions/FactSet Auditing Viewer?action=AUDIT_VALUE&amp;DB=129&amp;ID1=15189T10&amp;VALUEID=01001&amp;SDATE=200902&amp;PERIODTYPE=QTR_STD&amp;window=popup_no_bar&amp;width=385&amp;height=120&amp;START_MAXIMIZED=FALSE&amp;creator=factset&amp;display_string=Audit"}</definedName>
    <definedName name="_1726__FDSAUDITLINK__" hidden="1">{"fdsup://Directions/FactSet Auditing Viewer?action=AUDIT_VALUE&amp;DB=129&amp;ID1=15189T10&amp;VALUEID=01001&amp;SDATE=201002&amp;PERIODTYPE=QTR_STD&amp;window=popup_no_bar&amp;width=385&amp;height=120&amp;START_MAXIMIZED=FALSE&amp;creator=factset&amp;display_string=Audit"}</definedName>
    <definedName name="_1727__FDSAUDITLINK__" hidden="1">{"fdsup://Directions/FactSet Auditing Viewer?action=AUDIT_VALUE&amp;DB=129&amp;ID1=12589610&amp;VALUEID=01001&amp;SDATE=200902&amp;PERIODTYPE=QTR_STD&amp;window=popup_no_bar&amp;width=385&amp;height=120&amp;START_MAXIMIZED=FALSE&amp;creator=factset&amp;display_string=Audit"}</definedName>
    <definedName name="_1728__FDSAUDITLINK__" hidden="1">{"fdsup://Directions/FactSet Auditing Viewer?action=AUDIT_VALUE&amp;DB=129&amp;ID1=12589610&amp;VALUEID=01001&amp;SDATE=201002&amp;PERIODTYPE=QTR_STD&amp;window=popup_no_bar&amp;width=385&amp;height=120&amp;START_MAXIMIZED=FALSE&amp;creator=factset&amp;display_string=Audit"}</definedName>
    <definedName name="_1729__FDSAUDITLINK__" hidden="1">{"fdsup://Directions/FactSet Auditing Viewer?action=AUDIT_VALUE&amp;DB=129&amp;ID1=23102110&amp;VALUEID=01001&amp;SDATE=200902&amp;PERIODTYPE=QTR_STD&amp;window=popup_no_bar&amp;width=385&amp;height=120&amp;START_MAXIMIZED=FALSE&amp;creator=factset&amp;display_string=Audit"}</definedName>
    <definedName name="_173__FDSAUDITLINK__" hidden="1">{"fdsup://directions/FAT Viewer?action=UPDATE&amp;creator=factset&amp;DYN_ARGS=TRUE&amp;DOC_NAME=FAT:FQL_AUDITING_CLIENT_TEMPLATE.FAT&amp;display_string=Audit&amp;VAR:KEY=ZMNCJOFIFO&amp;VAR:QUERY=RkZfRUJJVERBX09QRVIoUVRSLDQvMS8yMDA5LDYvMzAvMjAwOSwsLFVTRCk=&amp;WINDOW=FIRST_POPUP&amp;HEIGH","T=450&amp;WIDTH=450&amp;START_MAXIMIZED=FALSE&amp;VAR:CALENDAR=US&amp;VAR:SYMBOL=SPG&amp;VAR:INDEX=0"}</definedName>
    <definedName name="_1730__FDSAUDITLINK__" hidden="1">{"fdsup://Directions/FactSet Auditing Viewer?action=AUDIT_VALUE&amp;DB=129&amp;ID1=23102110&amp;VALUEID=01001&amp;SDATE=201002&amp;PERIODTYPE=QTR_STD&amp;window=popup_no_bar&amp;width=385&amp;height=120&amp;START_MAXIMIZED=FALSE&amp;creator=factset&amp;display_string=Audit"}</definedName>
    <definedName name="_1731__FDSAUDITLINK__" hidden="1">{"fdsup://Directions/FactSet Auditing Viewer?action=AUDIT_VALUE&amp;DB=129&amp;ID1=12572Q10&amp;VALUEID=01001&amp;SDATE=200902&amp;PERIODTYPE=QTR_STD&amp;window=popup_no_bar&amp;width=385&amp;height=120&amp;START_MAXIMIZED=FALSE&amp;creator=factset&amp;display_string=Audit"}</definedName>
    <definedName name="_1732__FDSAUDITLINK__" hidden="1">{"fdsup://Directions/FactSet Auditing Viewer?action=AUDIT_VALUE&amp;DB=129&amp;ID1=12572Q10&amp;VALUEID=01001&amp;SDATE=201002&amp;PERIODTYPE=QTR_STD&amp;window=popup_no_bar&amp;width=385&amp;height=120&amp;START_MAXIMIZED=FALSE&amp;creator=factset&amp;display_string=Audit"}</definedName>
    <definedName name="_1733__FDSAUDITLINK__" hidden="1">{"fdsup://Directions/FactSet Auditing Viewer?action=AUDIT_VALUE&amp;DB=129&amp;ID1=20030N10&amp;VALUEID=01001&amp;SDATE=200902&amp;PERIODTYPE=QTR_STD&amp;window=popup_no_bar&amp;width=385&amp;height=120&amp;START_MAXIMIZED=FALSE&amp;creator=factset&amp;display_string=Audit"}</definedName>
    <definedName name="_1734__FDSAUDITLINK__" hidden="1">{"fdsup://Directions/FactSet Auditing Viewer?action=AUDIT_VALUE&amp;DB=129&amp;ID1=20030N10&amp;VALUEID=01001&amp;SDATE=201002&amp;PERIODTYPE=QTR_STD&amp;window=popup_no_bar&amp;width=385&amp;height=120&amp;START_MAXIMIZED=FALSE&amp;creator=factset&amp;display_string=Audit"}</definedName>
    <definedName name="_1735__FDSAUDITLINK__" hidden="1">{"fdsup://Directions/FactSet Auditing Viewer?action=AUDIT_VALUE&amp;DB=129&amp;ID1=18905410&amp;VALUEID=01001&amp;SDATE=200904&amp;PERIODTYPE=QTR_STD&amp;window=popup_no_bar&amp;width=385&amp;height=120&amp;START_MAXIMIZED=FALSE&amp;creator=factset&amp;display_string=Audit"}</definedName>
    <definedName name="_1736__FDSAUDITLINK__" hidden="1">{"fdsup://Directions/FactSet Auditing Viewer?action=AUDIT_VALUE&amp;DB=129&amp;ID1=18905410&amp;VALUEID=01001&amp;SDATE=201004&amp;PERIODTYPE=QTR_STD&amp;window=popup_no_bar&amp;width=385&amp;height=120&amp;START_MAXIMIZED=FALSE&amp;creator=factset&amp;display_string=Audit"}</definedName>
    <definedName name="_1737__FDSAUDITLINK__" hidden="1">{"fdsup://Directions/FactSet Auditing Viewer?action=AUDIT_VALUE&amp;DB=129&amp;ID1=18683K10&amp;VALUEID=01001&amp;SDATE=200902&amp;PERIODTYPE=QTR_STD&amp;window=popup_no_bar&amp;width=385&amp;height=120&amp;START_MAXIMIZED=FALSE&amp;creator=factset&amp;display_string=Audit"}</definedName>
    <definedName name="_1738__FDSAUDITLINK__" hidden="1">{"fdsup://Directions/FactSet Auditing Viewer?action=AUDIT_VALUE&amp;DB=129&amp;ID1=18683K10&amp;VALUEID=01001&amp;SDATE=201002&amp;PERIODTYPE=QTR_STD&amp;window=popup_no_bar&amp;width=385&amp;height=120&amp;START_MAXIMIZED=FALSE&amp;creator=factset&amp;display_string=Audit"}</definedName>
    <definedName name="_1739__FDSAUDITLINK__" hidden="1">{"fdsup://Directions/FactSet Auditing Viewer?action=AUDIT_VALUE&amp;DB=129&amp;ID1=19416210&amp;VALUEID=01001&amp;SDATE=200902&amp;PERIODTYPE=QTR_STD&amp;window=popup_no_bar&amp;width=385&amp;height=120&amp;START_MAXIMIZED=FALSE&amp;creator=factset&amp;display_string=Audit"}</definedName>
    <definedName name="_174__FDSAUDITLINK__" hidden="1">{"fdsup://directions/FAT Viewer?action=UPDATE&amp;creator=factset&amp;DYN_ARGS=TRUE&amp;DOC_NAME=FAT:FQL_AUDITING_CLIENT_TEMPLATE.FAT&amp;display_string=Audit&amp;VAR:KEY=LYZEXSBEPA&amp;VAR:QUERY=RkZfRUJJVERBX09QRVIoUVRSLDQvMS8yMDEwLDYvMzAvMjAxMCwsLFVTRCk=&amp;WINDOW=FIRST_POPUP&amp;HEIGH","T=450&amp;WIDTH=450&amp;START_MAXIMIZED=FALSE&amp;VAR:CALENDAR=US&amp;VAR:SYMBOL=SPG&amp;VAR:INDEX=0"}</definedName>
    <definedName name="_1740__FDSAUDITLINK__" hidden="1">{"fdsup://Directions/FactSet Auditing Viewer?action=AUDIT_VALUE&amp;DB=129&amp;ID1=19416210&amp;VALUEID=01001&amp;SDATE=201002&amp;PERIODTYPE=QTR_STD&amp;window=popup_no_bar&amp;width=385&amp;height=120&amp;START_MAXIMIZED=FALSE&amp;creator=factset&amp;display_string=Audit"}</definedName>
    <definedName name="_1741__FDSAUDITLINK__" hidden="1">{"fdsup://Directions/FactSet Auditing Viewer?action=AUDIT_VALUE&amp;DB=129&amp;ID1=17206210&amp;VALUEID=01001&amp;SDATE=200902&amp;PERIODTYPE=QTR_STD&amp;window=popup_no_bar&amp;width=385&amp;height=120&amp;START_MAXIMIZED=FALSE&amp;creator=factset&amp;display_string=Audit"}</definedName>
    <definedName name="_1742__FDSAUDITLINK__" hidden="1">{"fdsup://Directions/FactSet Auditing Viewer?action=AUDIT_VALUE&amp;DB=129&amp;ID1=17206210&amp;VALUEID=01001&amp;SDATE=201002&amp;PERIODTYPE=QTR_STD&amp;window=popup_no_bar&amp;width=385&amp;height=120&amp;START_MAXIMIZED=FALSE&amp;creator=factset&amp;display_string=Audit"}</definedName>
    <definedName name="_1743__FDSAUDITLINK__" hidden="1">{"fdsup://Directions/FactSet Auditing Viewer?action=AUDIT_VALUE&amp;DB=129&amp;ID1=12550910&amp;VALUEID=01001&amp;SDATE=200902&amp;PERIODTYPE=QTR_STD&amp;window=popup_no_bar&amp;width=385&amp;height=120&amp;START_MAXIMIZED=FALSE&amp;creator=factset&amp;display_string=Audit"}</definedName>
    <definedName name="_1744__FDSAUDITLINK__" hidden="1">{"fdsup://Directions/FactSet Auditing Viewer?action=AUDIT_VALUE&amp;DB=129&amp;ID1=12550910&amp;VALUEID=01001&amp;SDATE=201002&amp;PERIODTYPE=QTR_STD&amp;window=popup_no_bar&amp;width=385&amp;height=120&amp;START_MAXIMIZED=FALSE&amp;creator=factset&amp;display_string=Audit"}</definedName>
    <definedName name="_1745__FDSAUDITLINK__" hidden="1">{"fdsup://Directions/FactSet Auditing Viewer?action=AUDIT_VALUE&amp;DB=129&amp;ID1=12541W20&amp;VALUEID=01001&amp;SDATE=200902&amp;PERIODTYPE=QTR_STD&amp;window=popup_no_bar&amp;width=385&amp;height=120&amp;START_MAXIMIZED=FALSE&amp;creator=factset&amp;display_string=Audit"}</definedName>
    <definedName name="_1746__FDSAUDITLINK__" hidden="1">{"fdsup://Directions/FactSet Auditing Viewer?action=AUDIT_VALUE&amp;DB=129&amp;ID1=12541W20&amp;VALUEID=01001&amp;SDATE=201002&amp;PERIODTYPE=QTR_STD&amp;window=popup_no_bar&amp;width=385&amp;height=120&amp;START_MAXIMIZED=FALSE&amp;creator=factset&amp;display_string=Audit"}</definedName>
    <definedName name="_1747__FDSAUDITLINK__" hidden="1">{"fdsup://Directions/FactSet Auditing Viewer?action=AUDIT_VALUE&amp;DB=129&amp;ID1=16516710&amp;VALUEID=01001&amp;SDATE=200902&amp;PERIODTYPE=QTR_STD&amp;window=popup_no_bar&amp;width=385&amp;height=120&amp;START_MAXIMIZED=FALSE&amp;creator=factset&amp;display_string=Audit"}</definedName>
    <definedName name="_1748__FDSAUDITLINK__" hidden="1">{"fdsup://Directions/FactSet Auditing Viewer?action=AUDIT_VALUE&amp;DB=129&amp;ID1=16516710&amp;VALUEID=01001&amp;SDATE=201002&amp;PERIODTYPE=QTR_STD&amp;window=popup_no_bar&amp;width=385&amp;height=120&amp;START_MAXIMIZED=FALSE&amp;creator=factset&amp;display_string=Audit"}</definedName>
    <definedName name="_1749__FDSAUDITLINK__" hidden="1">{"fdsup://Directions/FactSet Auditing Viewer?action=AUDIT_VALUE&amp;DB=129&amp;ID1=14170T10&amp;VALUEID=01001&amp;SDATE=201004&amp;PERIODTYPE=QTR_STD&amp;window=popup_no_bar&amp;width=385&amp;height=120&amp;START_MAXIMIZED=FALSE&amp;creator=factset&amp;display_string=Audit"}</definedName>
    <definedName name="_175__FDSAUDITLINK__" hidden="1">{"fdsup://directions/FAT Viewer?action=UPDATE&amp;creator=factset&amp;DYN_ARGS=TRUE&amp;DOC_NAME=FAT:FQL_AUDITING_CLIENT_TEMPLATE.FAT&amp;display_string=Audit&amp;VAR:KEY=TABENGFCVQ&amp;VAR:QUERY=RkZfRUJJVERBX09QRVIoUVRSLDQvMS8yMDA5LDYvMzAvMjAwOSwsLFVTRCk=&amp;WINDOW=FIRST_POPUP&amp;HEIGH","T=450&amp;WIDTH=450&amp;START_MAXIMIZED=FALSE&amp;VAR:CALENDAR=US&amp;VAR:SYMBOL=SO&amp;VAR:INDEX=0"}</definedName>
    <definedName name="_1750__FDSAUDITLINK__" hidden="1">{"fdsup://Directions/FactSet Auditing Viewer?action=AUDIT_VALUE&amp;DB=129&amp;ID1=12526910&amp;VALUEID=01001&amp;SDATE=200902&amp;PERIODTYPE=QTR_STD&amp;window=popup_no_bar&amp;width=385&amp;height=120&amp;START_MAXIMIZED=FALSE&amp;creator=factset&amp;display_string=Audit"}</definedName>
    <definedName name="_1751__FDSAUDITLINK__" hidden="1">{"fdsup://Directions/FactSet Auditing Viewer?action=AUDIT_VALUE&amp;DB=129&amp;ID1=12526910&amp;VALUEID=01001&amp;SDATE=201002&amp;PERIODTYPE=QTR_STD&amp;window=popup_no_bar&amp;width=385&amp;height=120&amp;START_MAXIMIZED=FALSE&amp;creator=factset&amp;display_string=Audit"}</definedName>
    <definedName name="_1752__FDSAUDITLINK__" hidden="1">{"fdsup://Directions/FactSet Auditing Viewer?action=AUDIT_VALUE&amp;DB=129&amp;ID1=15678210&amp;VALUEID=01001&amp;SDATE=200902&amp;PERIODTYPE=QTR_STD&amp;window=popup_no_bar&amp;width=385&amp;height=120&amp;START_MAXIMIZED=FALSE&amp;creator=factset&amp;display_string=Audit"}</definedName>
    <definedName name="_1753__FDSAUDITLINK__" hidden="1">{"fdsup://Directions/FactSet Auditing Viewer?action=AUDIT_VALUE&amp;DB=129&amp;ID1=15678210&amp;VALUEID=01001&amp;SDATE=201002&amp;PERIODTYPE=QTR_STD&amp;window=popup_no_bar&amp;width=385&amp;height=120&amp;START_MAXIMIZED=FALSE&amp;creator=factset&amp;display_string=Audit"}</definedName>
    <definedName name="_1754__FDSAUDITLINK__" hidden="1">{"fdsup://Directions/FactSet Auditing Viewer?action=AUDIT_VALUE&amp;DB=129&amp;ID1=15670810&amp;VALUEID=01001&amp;SDATE=200902&amp;PERIODTYPE=QTR_STD&amp;window=popup_no_bar&amp;width=385&amp;height=120&amp;START_MAXIMIZED=FALSE&amp;creator=factset&amp;display_string=Audit"}</definedName>
    <definedName name="_1755__FDSAUDITLINK__" hidden="1">{"fdsup://Directions/FactSet Auditing Viewer?action=AUDIT_VALUE&amp;DB=129&amp;ID1=15670810&amp;VALUEID=01001&amp;SDATE=201002&amp;PERIODTYPE=QTR_STD&amp;window=popup_no_bar&amp;width=385&amp;height=120&amp;START_MAXIMIZED=FALSE&amp;creator=factset&amp;display_string=Audit"}</definedName>
    <definedName name="_1756__FDSAUDITLINK__" hidden="1">{"fdsup://Directions/FactSet Auditing Viewer?action=AUDIT_VALUE&amp;DB=129&amp;ID1=15102010&amp;VALUEID=01001&amp;SDATE=200902&amp;PERIODTYPE=QTR_STD&amp;window=popup_no_bar&amp;width=385&amp;height=120&amp;START_MAXIMIZED=FALSE&amp;creator=factset&amp;display_string=Audit"}</definedName>
    <definedName name="_1757__FDSAUDITLINK__" hidden="1">{"fdsup://Directions/FactSet Auditing Viewer?action=AUDIT_VALUE&amp;DB=129&amp;ID1=15102010&amp;VALUEID=01001&amp;SDATE=201002&amp;PERIODTYPE=QTR_STD&amp;window=popup_no_bar&amp;width=385&amp;height=120&amp;START_MAXIMIZED=FALSE&amp;creator=factset&amp;display_string=Audit"}</definedName>
    <definedName name="_1758__FDSAUDITLINK__" hidden="1">{"fdsup://Directions/FactSet Auditing Viewer?action=AUDIT_VALUE&amp;DB=129&amp;ID1=21037110&amp;VALUEID=01001&amp;SDATE=200902&amp;PERIODTYPE=QTR_STD&amp;window=popup_no_bar&amp;width=385&amp;height=120&amp;START_MAXIMIZED=FALSE&amp;creator=factset&amp;display_string=Audit"}</definedName>
    <definedName name="_1759__FDSAUDITLINK__" hidden="1">{"fdsup://Directions/FactSet Auditing Viewer?action=AUDIT_VALUE&amp;DB=129&amp;ID1=21037110&amp;VALUEID=01001&amp;SDATE=201002&amp;PERIODTYPE=QTR_STD&amp;window=popup_no_bar&amp;width=385&amp;height=120&amp;START_MAXIMIZED=FALSE&amp;creator=factset&amp;display_string=Audit"}</definedName>
    <definedName name="_176__FDSAUDITLINK__" hidden="1">{"fdsup://directions/FAT Viewer?action=UPDATE&amp;creator=factset&amp;DYN_ARGS=TRUE&amp;DOC_NAME=FAT:FQL_AUDITING_CLIENT_TEMPLATE.FAT&amp;display_string=Audit&amp;VAR:KEY=RUBKFCPCRU&amp;VAR:QUERY=RkZfRUJJVERBX09QRVIoUVRSLDQvMS8yMDEwLDYvMzAvMjAxMCwsLFVTRCk=&amp;WINDOW=FIRST_POPUP&amp;HEIGH","T=450&amp;WIDTH=450&amp;START_MAXIMIZED=FALSE&amp;VAR:CALENDAR=US&amp;VAR:SYMBOL=SO&amp;VAR:INDEX=0"}</definedName>
    <definedName name="_1760__FDSAUDITLINK__" hidden="1">{"fdsup://Directions/FactSet Auditing Viewer?action=AUDIT_VALUE&amp;DB=129&amp;ID1=14365830&amp;VALUEID=01001&amp;SDATE=200902&amp;PERIODTYPE=QTR_STD&amp;window=popup_no_bar&amp;width=385&amp;height=120&amp;START_MAXIMIZED=FALSE&amp;creator=factset&amp;display_string=Audit"}</definedName>
    <definedName name="_1761__FDSAUDITLINK__" hidden="1">{"fdsup://Directions/FactSet Auditing Viewer?action=AUDIT_VALUE&amp;DB=129&amp;ID1=14365830&amp;VALUEID=01001&amp;SDATE=201002&amp;PERIODTYPE=QTR_STD&amp;window=popup_no_bar&amp;width=385&amp;height=120&amp;START_MAXIMIZED=FALSE&amp;creator=factset&amp;display_string=Audit"}</definedName>
    <definedName name="_1762__FDSAUDITLINK__" hidden="1">{"fdsup://Directions/FactSet Auditing Viewer?action=AUDIT_VALUE&amp;DB=129&amp;ID1=19121910&amp;VALUEID=01001&amp;SDATE=200902&amp;PERIODTYPE=QTR_STD&amp;window=popup_no_bar&amp;width=385&amp;height=120&amp;START_MAXIMIZED=FALSE&amp;creator=factset&amp;display_string=Audit"}</definedName>
    <definedName name="_1763__FDSAUDITLINK__" hidden="1">{"fdsup://Directions/FactSet Auditing Viewer?action=AUDIT_VALUE&amp;DB=129&amp;ID1=19121910&amp;VALUEID=01001&amp;SDATE=201002&amp;PERIODTYPE=QTR_STD&amp;window=popup_no_bar&amp;width=385&amp;height=120&amp;START_MAXIMIZED=FALSE&amp;creator=factset&amp;display_string=Audit"}</definedName>
    <definedName name="_1764__FDSAUDITLINK__" hidden="1">{"fdsup://Directions/FactSet Auditing Viewer?action=AUDIT_VALUE&amp;DB=129&amp;ID1=12485720&amp;VALUEID=01001&amp;SDATE=200902&amp;PERIODTYPE=QTR_STD&amp;window=popup_no_bar&amp;width=385&amp;height=120&amp;START_MAXIMIZED=FALSE&amp;creator=factset&amp;display_string=Audit"}</definedName>
    <definedName name="_1765__FDSAUDITLINK__" hidden="1">{"fdsup://Directions/FactSet Auditing Viewer?action=AUDIT_VALUE&amp;DB=129&amp;ID1=12485720&amp;VALUEID=01001&amp;SDATE=201002&amp;PERIODTYPE=QTR_STD&amp;window=popup_no_bar&amp;width=385&amp;height=120&amp;START_MAXIMIZED=FALSE&amp;creator=factset&amp;display_string=Audit"}</definedName>
    <definedName name="_1766__FDSAUDITLINK__" hidden="1">{"fdsup://Directions/FactSet Auditing Viewer?action=AUDIT_VALUE&amp;DB=129&amp;ID1=12497T10&amp;VALUEID=01001&amp;SDATE=200902&amp;PERIODTYPE=QTR_STD&amp;window=popup_no_bar&amp;width=385&amp;height=120&amp;START_MAXIMIZED=FALSE&amp;creator=factset&amp;display_string=Audit"}</definedName>
    <definedName name="_1767__FDSAUDITLINK__" hidden="1">{"fdsup://Directions/FactSet Auditing Viewer?action=AUDIT_VALUE&amp;DB=129&amp;ID1=12497T10&amp;VALUEID=01001&amp;SDATE=201002&amp;PERIODTYPE=QTR_STD&amp;window=popup_no_bar&amp;width=385&amp;height=120&amp;START_MAXIMIZED=FALSE&amp;creator=factset&amp;display_string=Audit"}</definedName>
    <definedName name="_1768__FDSAUDITLINK__" hidden="1">{"fdsup://Directions/FactSet Auditing Viewer?action=AUDIT_VALUE&amp;DB=129&amp;ID1=17123210&amp;VALUEID=01001&amp;SDATE=200902&amp;PERIODTYPE=QTR_STD&amp;window=popup_no_bar&amp;width=385&amp;height=120&amp;START_MAXIMIZED=FALSE&amp;creator=factset&amp;display_string=Audit"}</definedName>
    <definedName name="_1769__FDSAUDITLINK__" hidden="1">{"fdsup://Directions/FactSet Auditing Viewer?action=AUDIT_VALUE&amp;DB=129&amp;ID1=17123210&amp;VALUEID=01001&amp;SDATE=201002&amp;PERIODTYPE=QTR_STD&amp;window=popup_no_bar&amp;width=385&amp;height=120&amp;START_MAXIMIZED=FALSE&amp;creator=factset&amp;display_string=Audit"}</definedName>
    <definedName name="_177__FDSAUDITLINK__" hidden="1">{"fdsup://directions/FAT Viewer?action=UPDATE&amp;creator=factset&amp;DYN_ARGS=TRUE&amp;DOC_NAME=FAT:FQL_AUDITING_CLIENT_TEMPLATE.FAT&amp;display_string=Audit&amp;VAR:KEY=JUNKNQHYBK&amp;VAR:QUERY=RkZfRUJJVERBX09QRVIoUVRSLDQvMS8yMDA5LDYvMzAvMjAwOSwsLFVTRCk=&amp;WINDOW=FIRST_POPUP&amp;HEIGH","T=450&amp;WIDTH=450&amp;START_MAXIMIZED=FALSE&amp;VAR:CALENDAR=US&amp;VAR:SYMBOL=SNI&amp;VAR:INDEX=0"}</definedName>
    <definedName name="_1770__FDSAUDITLINK__" hidden="1">{"fdsup://Directions/FactSet Auditing Viewer?action=AUDIT_VALUE&amp;DB=129&amp;ID1=14912310&amp;VALUEID=01001&amp;SDATE=201002&amp;PERIODTYPE=QTR_STD&amp;window=popup_no_bar&amp;width=385&amp;height=120&amp;START_MAXIMIZED=FALSE&amp;creator=factset&amp;display_string=Audit"}</definedName>
    <definedName name="_1771__FDSAUDITLINK__" hidden="1">{"fdsup://Directions/FactSet Auditing Viewer?action=AUDIT_VALUE&amp;DB=129&amp;ID1=13342B10&amp;VALUEID=01001&amp;SDATE=200902&amp;PERIODTYPE=QTR_STD&amp;window=popup_no_bar&amp;width=385&amp;height=120&amp;START_MAXIMIZED=FALSE&amp;creator=factset&amp;display_string=Audit"}</definedName>
    <definedName name="_1772__FDSAUDITLINK__" hidden="1">{"fdsup://Directions/FactSet Auditing Viewer?action=AUDIT_VALUE&amp;DB=129&amp;ID1=13342B10&amp;VALUEID=01001&amp;SDATE=201002&amp;PERIODTYPE=QTR_STD&amp;window=popup_no_bar&amp;width=385&amp;height=120&amp;START_MAXIMIZED=FALSE&amp;creator=factset&amp;display_string=Audit"}</definedName>
    <definedName name="_1773__FDSAUDITLINK__" hidden="1">{"fdsup://Directions/FactSet Auditing Viewer?action=AUDIT_VALUE&amp;DB=129&amp;ID1=14149Y10&amp;VALUEID=01001&amp;SDATE=201004&amp;PERIODTYPE=QTR_STD&amp;window=popup_no_bar&amp;width=385&amp;height=120&amp;START_MAXIMIZED=FALSE&amp;creator=factset&amp;display_string=Audit"}</definedName>
    <definedName name="_1774__FDSAUDITLINK__" hidden="1">{"fdsup://Directions/FactSet Auditing Viewer?action=AUDIT_VALUE&amp;DB=129&amp;ID1=20588710&amp;VALUEID=01001&amp;SDATE=200804&amp;PERIODTYPE=QTR_STD&amp;window=popup_no_bar&amp;width=385&amp;height=120&amp;START_MAXIMIZED=FALSE&amp;creator=factset&amp;display_string=Audit"}</definedName>
    <definedName name="_1775__FDSAUDITLINK__" hidden="1">{"fdsup://Directions/FactSet Auditing Viewer?action=AUDIT_VALUE&amp;DB=129&amp;ID1=20588710&amp;VALUEID=01001&amp;SDATE=200904&amp;PERIODTYPE=QTR_STD&amp;window=popup_no_bar&amp;width=385&amp;height=120&amp;START_MAXIMIZED=FALSE&amp;creator=factset&amp;display_string=Audit"}</definedName>
    <definedName name="_1776__FDSAUDITLINK__" hidden="1">{"fdsup://Directions/FactSet Auditing Viewer?action=AUDIT_VALUE&amp;DB=129&amp;ID1=12673P10&amp;VALUEID=01001&amp;SDATE=200901&amp;PERIODTYPE=QTR_STD&amp;window=popup_no_bar&amp;width=385&amp;height=120&amp;START_MAXIMIZED=FALSE&amp;creator=factset&amp;display_string=Audit"}</definedName>
    <definedName name="_1777__FDSAUDITLINK__" hidden="1">{"fdsup://Directions/FactSet Auditing Viewer?action=AUDIT_VALUE&amp;DB=129&amp;ID1=12673P10&amp;VALUEID=01001&amp;SDATE=201001&amp;PERIODTYPE=QTR_STD&amp;window=popup_no_bar&amp;width=385&amp;height=120&amp;START_MAXIMIZED=FALSE&amp;creator=factset&amp;display_string=Audit"}</definedName>
    <definedName name="_1778__FDSAUDITLINK__" hidden="1">{"fdsup://Directions/FactSet Auditing Viewer?action=AUDIT_VALUE&amp;DB=129&amp;ID1=70454910&amp;VALUEID=01001&amp;SDATE=200902&amp;PERIODTYPE=QTR_STD&amp;window=popup_no_bar&amp;width=385&amp;height=120&amp;START_MAXIMIZED=FALSE&amp;creator=factset&amp;display_string=Audit"}</definedName>
    <definedName name="_1779__FDSAUDITLINK__" hidden="1">{"fdsup://Directions/FactSet Auditing Viewer?action=AUDIT_VALUE&amp;DB=129&amp;ID1=70454910&amp;VALUEID=01001&amp;SDATE=201002&amp;PERIODTYPE=QTR_STD&amp;window=popup_no_bar&amp;width=385&amp;height=120&amp;START_MAXIMIZED=FALSE&amp;creator=factset&amp;display_string=Audit"}</definedName>
    <definedName name="_178__FDSAUDITLINK__" hidden="1">{"fdsup://directions/FAT Viewer?action=UPDATE&amp;creator=factset&amp;DYN_ARGS=TRUE&amp;DOC_NAME=FAT:FQL_AUDITING_CLIENT_TEMPLATE.FAT&amp;display_string=Audit&amp;VAR:KEY=DQTUROXOHC&amp;VAR:QUERY=RkZfRUJJVERBX09QRVIoUVRSLDQvMS8yMDEwLDYvMzAvMjAxMCwsLFVTRCk=&amp;WINDOW=FIRST_POPUP&amp;HEIGH","T=450&amp;WIDTH=450&amp;START_MAXIMIZED=FALSE&amp;VAR:CALENDAR=US&amp;VAR:SYMBOL=SNI&amp;VAR:INDEX=0"}</definedName>
    <definedName name="_1780__FDSAUDITLINK__" hidden="1">{"fdsup://Directions/FactSet Auditing Viewer?action=AUDIT_VALUE&amp;DB=129&amp;ID1=10113710&amp;VALUEID=01001&amp;SDATE=200902&amp;PERIODTYPE=QTR_STD&amp;window=popup_no_bar&amp;width=385&amp;height=120&amp;START_MAXIMIZED=FALSE&amp;creator=factset&amp;display_string=Audit"}</definedName>
    <definedName name="_1781__FDSAUDITLINK__" hidden="1">{"fdsup://Directions/FactSet Auditing Viewer?action=AUDIT_VALUE&amp;DB=129&amp;ID1=10113710&amp;VALUEID=01001&amp;SDATE=201002&amp;PERIODTYPE=QTR_STD&amp;window=popup_no_bar&amp;width=385&amp;height=120&amp;START_MAXIMIZED=FALSE&amp;creator=factset&amp;display_string=Audit"}</definedName>
    <definedName name="_1782__FDSAUDITLINK__" hidden="1">{"fdsup://Directions/FactSet Auditing Viewer?action=AUDIT_VALUE&amp;DB=129&amp;ID1=08467070&amp;VALUEID=01001&amp;SDATE=200902&amp;PERIODTYPE=QTR_STD&amp;window=popup_no_bar&amp;width=385&amp;height=120&amp;START_MAXIMIZED=FALSE&amp;creator=factset&amp;display_string=Audit"}</definedName>
    <definedName name="_1783__FDSAUDITLINK__" hidden="1">{"fdsup://Directions/FactSet Auditing Viewer?action=AUDIT_VALUE&amp;DB=129&amp;ID1=08467070&amp;VALUEID=01001&amp;SDATE=201002&amp;PERIODTYPE=QTR_STD&amp;window=popup_no_bar&amp;width=385&amp;height=120&amp;START_MAXIMIZED=FALSE&amp;creator=factset&amp;display_string=Audit"}</definedName>
    <definedName name="_1784__FDSAUDITLINK__" hidden="1">{"fdsup://Directions/FactSet Auditing Viewer?action=AUDIT_VALUE&amp;DB=129&amp;ID1=11132010&amp;VALUEID=01001&amp;SDATE=200902&amp;PERIODTYPE=QTR_STD&amp;window=popup_no_bar&amp;width=385&amp;height=120&amp;START_MAXIMIZED=FALSE&amp;creator=factset&amp;display_string=Audit"}</definedName>
    <definedName name="_1785__FDSAUDITLINK__" hidden="1">{"fdsup://Directions/FactSet Auditing Viewer?action=AUDIT_VALUE&amp;DB=129&amp;ID1=11132010&amp;VALUEID=01001&amp;SDATE=201002&amp;PERIODTYPE=QTR_STD&amp;window=popup_no_bar&amp;width=385&amp;height=120&amp;START_MAXIMIZED=FALSE&amp;creator=factset&amp;display_string=Audit"}</definedName>
    <definedName name="_1786__FDSAUDITLINK__" hidden="1">{"fdsup://Directions/FactSet Auditing Viewer?action=AUDIT_VALUE&amp;DB=129&amp;ID1=11012210&amp;VALUEID=01001&amp;SDATE=200902&amp;PERIODTYPE=QTR_STD&amp;window=popup_no_bar&amp;width=385&amp;height=120&amp;START_MAXIMIZED=FALSE&amp;creator=factset&amp;display_string=Audit"}</definedName>
    <definedName name="_1787__FDSAUDITLINK__" hidden="1">{"fdsup://Directions/FactSet Auditing Viewer?action=AUDIT_VALUE&amp;DB=129&amp;ID1=11012210&amp;VALUEID=01001&amp;SDATE=201002&amp;PERIODTYPE=QTR_STD&amp;window=popup_no_bar&amp;width=385&amp;height=120&amp;START_MAXIMIZED=FALSE&amp;creator=factset&amp;display_string=Audit"}</definedName>
    <definedName name="_1788__FDSAUDITLINK__" hidden="1">{"fdsup://Directions/FactSet Auditing Viewer?action=AUDIT_VALUE&amp;DB=129&amp;ID1=08143710&amp;VALUEID=01001&amp;SDATE=200902&amp;PERIODTYPE=QTR_STD&amp;window=popup_no_bar&amp;width=385&amp;height=120&amp;START_MAXIMIZED=FALSE&amp;creator=factset&amp;display_string=Audit"}</definedName>
    <definedName name="_1789__FDSAUDITLINK__" hidden="1">{"fdsup://Directions/FactSet Auditing Viewer?action=AUDIT_VALUE&amp;DB=129&amp;ID1=08143710&amp;VALUEID=01001&amp;SDATE=201002&amp;PERIODTYPE=QTR_STD&amp;window=popup_no_bar&amp;width=385&amp;height=120&amp;START_MAXIMIZED=FALSE&amp;creator=factset&amp;display_string=Audit"}</definedName>
    <definedName name="_179__FDSAUDITLINK__" hidden="1">{"fdsup://directions/FAT Viewer?action=UPDATE&amp;creator=factset&amp;DYN_ARGS=TRUE&amp;DOC_NAME=FAT:FQL_AUDITING_CLIENT_TEMPLATE.FAT&amp;display_string=Audit&amp;VAR:KEY=NCLCLONQJA&amp;VAR:QUERY=RkZfRUJJVERBX09QRVIoUVRSLDQvMS8yMDA5LDYvMzAvMjAwOSwsLFVTRCk=&amp;WINDOW=FIRST_POPUP&amp;HEIGH","T=450&amp;WIDTH=450&amp;START_MAXIMIZED=FALSE&amp;VAR:CALENDAR=US&amp;VAR:SYMBOL=SNDK&amp;VAR:INDEX=0"}</definedName>
    <definedName name="_1790__FDSAUDITLINK__" hidden="1">{"fdsup://Directions/FactSet Auditing Viewer?action=AUDIT_VALUE&amp;DB=129&amp;ID1=05592110&amp;VALUEID=01001&amp;SDATE=200901&amp;PERIODTYPE=QTR_STD&amp;window=popup_no_bar&amp;width=385&amp;height=120&amp;START_MAXIMIZED=FALSE&amp;creator=factset&amp;display_string=Audit"}</definedName>
    <definedName name="_1791__FDSAUDITLINK__" hidden="1">{"fdsup://Directions/FactSet Auditing Viewer?action=AUDIT_VALUE&amp;DB=129&amp;ID1=05592110&amp;VALUEID=01001&amp;SDATE=201001&amp;PERIODTYPE=QTR_STD&amp;window=popup_no_bar&amp;width=385&amp;height=120&amp;START_MAXIMIZED=FALSE&amp;creator=factset&amp;display_string=Audit"}</definedName>
    <definedName name="_1792__FDSAUDITLINK__" hidden="1">{"fdsup://Directions/FactSet Auditing Viewer?action=AUDIT_VALUE&amp;DB=129&amp;ID1=05849810&amp;VALUEID=01001&amp;SDATE=200902&amp;PERIODTYPE=QTR_STD&amp;window=popup_no_bar&amp;width=385&amp;height=120&amp;START_MAXIMIZED=FALSE&amp;creator=factset&amp;display_string=Audit"}</definedName>
    <definedName name="_1793__FDSAUDITLINK__" hidden="1">{"fdsup://Directions/FactSet Auditing Viewer?action=AUDIT_VALUE&amp;DB=129&amp;ID1=05849810&amp;VALUEID=01001&amp;SDATE=201002&amp;PERIODTYPE=QTR_STD&amp;window=popup_no_bar&amp;width=385&amp;height=120&amp;START_MAXIMIZED=FALSE&amp;creator=factset&amp;display_string=Audit"}</definedName>
    <definedName name="_1794__FDSAUDITLINK__" hidden="1">{"fdsup://Directions/FactSet Auditing Viewer?action=AUDIT_VALUE&amp;DB=129&amp;ID1=09062X10&amp;VALUEID=01001&amp;SDATE=200902&amp;PERIODTYPE=QTR_STD&amp;window=popup_no_bar&amp;width=385&amp;height=120&amp;START_MAXIMIZED=FALSE&amp;creator=factset&amp;display_string=Audit"}</definedName>
    <definedName name="_1795__FDSAUDITLINK__" hidden="1">{"fdsup://Directions/FactSet Auditing Viewer?action=AUDIT_VALUE&amp;DB=129&amp;ID1=09062X10&amp;VALUEID=01001&amp;SDATE=201002&amp;PERIODTYPE=QTR_STD&amp;window=popup_no_bar&amp;width=385&amp;height=120&amp;START_MAXIMIZED=FALSE&amp;creator=factset&amp;display_string=Audit"}</definedName>
    <definedName name="_1796__FDSAUDITLINK__" hidden="1">{"fdsup://Directions/FactSet Auditing Viewer?action=AUDIT_VALUE&amp;DB=129&amp;ID1=08930210&amp;VALUEID=01001&amp;SDATE=200901&amp;PERIODTYPE=QTR_STD&amp;window=popup_no_bar&amp;width=385&amp;height=120&amp;START_MAXIMIZED=FALSE&amp;creator=factset&amp;display_string=Audit"}</definedName>
    <definedName name="_1797__FDSAUDITLINK__" hidden="1">{"fdsup://Directions/FactSet Auditing Viewer?action=AUDIT_VALUE&amp;DB=129&amp;ID1=08930210&amp;VALUEID=01001&amp;SDATE=201001&amp;PERIODTYPE=QTR_STD&amp;window=popup_no_bar&amp;width=385&amp;height=120&amp;START_MAXIMIZED=FALSE&amp;creator=factset&amp;display_string=Audit"}</definedName>
    <definedName name="_1798__FDSAUDITLINK__" hidden="1">{"fdsup://Directions/FactSet Auditing Viewer?action=AUDIT_VALUE&amp;DB=129&amp;ID1=05722410&amp;VALUEID=01001&amp;SDATE=200902&amp;PERIODTYPE=QTR_STD&amp;window=popup_no_bar&amp;width=385&amp;height=120&amp;START_MAXIMIZED=FALSE&amp;creator=factset&amp;display_string=Audit"}</definedName>
    <definedName name="_1799__FDSAUDITLINK__" hidden="1">{"fdsup://Directions/FactSet Auditing Viewer?action=AUDIT_VALUE&amp;DB=129&amp;ID1=05722410&amp;VALUEID=01001&amp;SDATE=201002&amp;PERIODTYPE=QTR_STD&amp;window=popup_no_bar&amp;width=385&amp;height=120&amp;START_MAXIMIZED=FALSE&amp;creator=factset&amp;display_string=Audit"}</definedName>
    <definedName name="_18__123Graph_BCONTRACT_BY_B_U">#REF!</definedName>
    <definedName name="_18__123Graph_CWAGES_BY_B_U">#REF!</definedName>
    <definedName name="_18__FDSAUDITLINK__" hidden="1">{"fdsup://directions/FAT Viewer?action=UPDATE&amp;creator=factset&amp;DYN_ARGS=TRUE&amp;DOC_NAME=FAT:FQL_AUDITING_CLIENT_TEMPLATE.FAT&amp;display_string=Audit&amp;VAR:KEY=VSRGLEROZK&amp;VAR:QUERY=RkZfRUJJVERBX09QRVIoUVRSLDQvMS8yMDEwLDYvMzAvMjAxMCwsLFVTRCk=&amp;WINDOW=FIRST_POPUP&amp;HEIGH","T=450&amp;WIDTH=450&amp;START_MAXIMIZED=FALSE&amp;VAR:CALENDAR=US&amp;VAR:SYMBOL=XL&amp;VAR:INDEX=0"}</definedName>
    <definedName name="_18_5__1_CRADDIN_DataGrid">#REF!</definedName>
    <definedName name="_180__FDSAUDITLINK__" hidden="1">{"fdsup://directions/FAT Viewer?action=UPDATE&amp;creator=factset&amp;DYN_ARGS=TRUE&amp;DOC_NAME=FAT:FQL_AUDITING_CLIENT_TEMPLATE.FAT&amp;display_string=Audit&amp;VAR:KEY=TWVINYNEFC&amp;VAR:QUERY=RkZfRUJJVERBX09QRVIoUVRSLDQvMS8yMDEwLDYvMzAvMjAxMCwsLFVTRCk=&amp;WINDOW=FIRST_POPUP&amp;HEIGH","T=450&amp;WIDTH=450&amp;START_MAXIMIZED=FALSE&amp;VAR:CALENDAR=US&amp;VAR:SYMBOL=SNDK&amp;VAR:INDEX=0"}</definedName>
    <definedName name="_1800__FDSAUDITLINK__" hidden="1">{"fdsup://Directions/FactSet Auditing Viewer?action=AUDIT_VALUE&amp;DB=129&amp;ID1=11563720&amp;VALUEID=01001&amp;SDATE=200904&amp;PERIODTYPE=QTR_STD&amp;window=popup_no_bar&amp;width=385&amp;height=120&amp;START_MAXIMIZED=FALSE&amp;creator=factset&amp;display_string=Audit"}</definedName>
    <definedName name="_1801__FDSAUDITLINK__" hidden="1">{"fdsup://Directions/FactSet Auditing Viewer?action=AUDIT_VALUE&amp;DB=129&amp;ID1=35461310&amp;VALUEID=01001&amp;SDATE=200903&amp;PERIODTYPE=QTR_STD&amp;window=popup_no_bar&amp;width=385&amp;height=120&amp;START_MAXIMIZED=FALSE&amp;creator=factset&amp;display_string=Audit"}</definedName>
    <definedName name="_1802__FDSAUDITLINK__" hidden="1">{"fdsup://Directions/FactSet Auditing Viewer?action=AUDIT_VALUE&amp;DB=129&amp;ID1=35461310&amp;VALUEID=01001&amp;SDATE=201003&amp;PERIODTYPE=QTR_STD&amp;window=popup_no_bar&amp;width=385&amp;height=120&amp;START_MAXIMIZED=FALSE&amp;creator=factset&amp;display_string=Audit"}</definedName>
    <definedName name="_1803__FDSAUDITLINK__" hidden="1">{"fdsup://Directions/FactSet Auditing Viewer?action=AUDIT_VALUE&amp;DB=129&amp;ID1=07588710&amp;VALUEID=01001&amp;SDATE=200903&amp;PERIODTYPE=QTR_STD&amp;window=popup_no_bar&amp;width=385&amp;height=120&amp;START_MAXIMIZED=FALSE&amp;creator=factset&amp;display_string=Audit"}</definedName>
    <definedName name="_1804__FDSAUDITLINK__" hidden="1">{"fdsup://Directions/FactSet Auditing Viewer?action=AUDIT_VALUE&amp;DB=129&amp;ID1=07588710&amp;VALUEID=01001&amp;SDATE=201003&amp;PERIODTYPE=QTR_STD&amp;window=popup_no_bar&amp;width=385&amp;height=120&amp;START_MAXIMIZED=FALSE&amp;creator=factset&amp;display_string=Audit"}</definedName>
    <definedName name="_1805__FDSAUDITLINK__" hidden="1">{"fdsup://Directions/FactSet Auditing Viewer?action=AUDIT_VALUE&amp;DB=129&amp;ID1=06738310&amp;VALUEID=01001&amp;SDATE=200902&amp;PERIODTYPE=QTR_STD&amp;window=popup_no_bar&amp;width=385&amp;height=120&amp;START_MAXIMIZED=FALSE&amp;creator=factset&amp;display_string=Audit"}</definedName>
    <definedName name="_1806__FDSAUDITLINK__" hidden="1">{"fdsup://Directions/FactSet Auditing Viewer?action=AUDIT_VALUE&amp;DB=129&amp;ID1=06738310&amp;VALUEID=01001&amp;SDATE=201002&amp;PERIODTYPE=QTR_STD&amp;window=popup_no_bar&amp;width=385&amp;height=120&amp;START_MAXIMIZED=FALSE&amp;creator=factset&amp;display_string=Audit"}</definedName>
    <definedName name="_1807__FDSAUDITLINK__" hidden="1">{"fdsup://Directions/FactSet Auditing Viewer?action=AUDIT_VALUE&amp;DB=129&amp;ID1=08651610&amp;VALUEID=01001&amp;SDATE=200901&amp;PERIODTYPE=QTR_STD&amp;window=popup_no_bar&amp;width=385&amp;height=120&amp;START_MAXIMIZED=FALSE&amp;creator=factset&amp;display_string=Audit"}</definedName>
    <definedName name="_1808__FDSAUDITLINK__" hidden="1">{"fdsup://Directions/FactSet Auditing Viewer?action=AUDIT_VALUE&amp;DB=129&amp;ID1=08651610&amp;VALUEID=01001&amp;SDATE=201001&amp;PERIODTYPE=QTR_STD&amp;window=popup_no_bar&amp;width=385&amp;height=120&amp;START_MAXIMIZED=FALSE&amp;creator=factset&amp;display_string=Audit"}</definedName>
    <definedName name="_1809__FDSAUDITLINK__" hidden="1">{"fdsup://Directions/FactSet Auditing Viewer?action=AUDIT_VALUE&amp;DB=129&amp;ID1=07589610&amp;VALUEID=01001&amp;SDATE=200901&amp;PERIODTYPE=QTR_STD&amp;window=popup_no_bar&amp;width=385&amp;height=120&amp;START_MAXIMIZED=FALSE&amp;creator=factset&amp;display_string=Audit"}</definedName>
    <definedName name="_181__FDSAUDITLINK__" hidden="1">{"fdsup://directions/FAT Viewer?action=UPDATE&amp;creator=factset&amp;DYN_ARGS=TRUE&amp;DOC_NAME=FAT:FQL_AUDITING_CLIENT_TEMPLATE.FAT&amp;display_string=Audit&amp;VAR:KEY=HITQNWJMRG&amp;VAR:QUERY=RkZfRUJJVERBX09QRVIoUVRSLDQvMS8yMDA5LDYvMzAvMjAwOSwsLFVTRCk=&amp;WINDOW=FIRST_POPUP&amp;HEIGH","T=450&amp;WIDTH=450&amp;START_MAXIMIZED=FALSE&amp;VAR:CALENDAR=US&amp;VAR:SYMBOL=SNA&amp;VAR:INDEX=0"}</definedName>
    <definedName name="_1810__FDSAUDITLINK__" hidden="1">{"fdsup://Directions/FactSet Auditing Viewer?action=AUDIT_VALUE&amp;DB=129&amp;ID1=07589610&amp;VALUEID=01001&amp;SDATE=201001&amp;PERIODTYPE=QTR_STD&amp;window=popup_no_bar&amp;width=385&amp;height=120&amp;START_MAXIMIZED=FALSE&amp;creator=factset&amp;display_string=Audit"}</definedName>
    <definedName name="_1811__FDSAUDITLINK__" hidden="1">{"fdsup://Directions/FactSet Auditing Viewer?action=AUDIT_VALUE&amp;DB=129&amp;ID1=07181310&amp;VALUEID=01001&amp;SDATE=200902&amp;PERIODTYPE=QTR_STD&amp;window=popup_no_bar&amp;width=385&amp;height=120&amp;START_MAXIMIZED=FALSE&amp;creator=factset&amp;display_string=Audit"}</definedName>
    <definedName name="_1812__FDSAUDITLINK__" hidden="1">{"fdsup://Directions/FactSet Auditing Viewer?action=AUDIT_VALUE&amp;DB=129&amp;ID1=07181310&amp;VALUEID=01001&amp;SDATE=201002&amp;PERIODTYPE=QTR_STD&amp;window=popup_no_bar&amp;width=385&amp;height=120&amp;START_MAXIMIZED=FALSE&amp;creator=factset&amp;display_string=Audit"}</definedName>
    <definedName name="_1813__FDSAUDITLINK__" hidden="1">{"fdsup://Directions/FactSet Auditing Viewer?action=AUDIT_VALUE&amp;DB=129&amp;ID1=09702310&amp;VALUEID=01001&amp;SDATE=200902&amp;PERIODTYPE=QTR_STD&amp;window=popup_no_bar&amp;width=385&amp;height=120&amp;START_MAXIMIZED=FALSE&amp;creator=factset&amp;display_string=Audit"}</definedName>
    <definedName name="_1814__FDSAUDITLINK__" hidden="1">{"fdsup://Directions/FactSet Auditing Viewer?action=AUDIT_VALUE&amp;DB=129&amp;ID1=09702310&amp;VALUEID=01001&amp;SDATE=201002&amp;PERIODTYPE=QTR_STD&amp;window=popup_no_bar&amp;width=385&amp;height=120&amp;START_MAXIMIZED=FALSE&amp;creator=factset&amp;display_string=Audit"}</definedName>
    <definedName name="_1815__FDSAUDITLINK__" hidden="1">{"fdsup://Directions/FactSet Auditing Viewer?action=AUDIT_VALUE&amp;DB=129&amp;ID1=05333210&amp;VALUEID=01001&amp;SDATE=200903&amp;PERIODTYPE=QTR_STD&amp;window=popup_no_bar&amp;width=385&amp;height=120&amp;START_MAXIMIZED=FALSE&amp;creator=factset&amp;display_string=Audit"}</definedName>
    <definedName name="_1816__FDSAUDITLINK__" hidden="1">{"fdsup://Directions/FactSet Auditing Viewer?action=AUDIT_VALUE&amp;DB=129&amp;ID1=05333210&amp;VALUEID=01001&amp;SDATE=201003&amp;PERIODTYPE=QTR_STD&amp;window=popup_no_bar&amp;width=385&amp;height=120&amp;START_MAXIMIZED=FALSE&amp;creator=factset&amp;display_string=Audit"}</definedName>
    <definedName name="_1817__FDSAUDITLINK__" hidden="1">{"fdsup://Directions/FactSet Auditing Viewer?action=AUDIT_VALUE&amp;DB=129&amp;ID1=01736110&amp;VALUEID=01001&amp;SDATE=200902&amp;PERIODTYPE=QTR_STD&amp;window=popup_no_bar&amp;width=385&amp;height=120&amp;START_MAXIMIZED=FALSE&amp;creator=factset&amp;display_string=Audit"}</definedName>
    <definedName name="_1818__FDSAUDITLINK__" hidden="1">{"fdsup://Directions/FactSet Auditing Viewer?action=AUDIT_VALUE&amp;DB=129&amp;ID1=01736110&amp;VALUEID=01001&amp;SDATE=201002&amp;PERIODTYPE=QTR_STD&amp;window=popup_no_bar&amp;width=385&amp;height=120&amp;START_MAXIMIZED=FALSE&amp;creator=factset&amp;display_string=Audit"}</definedName>
    <definedName name="_1819__FDSAUDITLINK__" hidden="1">{"fdsup://Directions/FactSet Auditing Viewer?action=AUDIT_VALUE&amp;DB=129&amp;ID1=02581610&amp;VALUEID=01001&amp;SDATE=200902&amp;PERIODTYPE=QTR_STD&amp;window=popup_no_bar&amp;width=385&amp;height=120&amp;START_MAXIMIZED=FALSE&amp;creator=factset&amp;display_string=Audit"}</definedName>
    <definedName name="_182__FDSAUDITLINK__" hidden="1">{"fdsup://directions/FAT Viewer?action=UPDATE&amp;creator=factset&amp;DYN_ARGS=TRUE&amp;DOC_NAME=FAT:FQL_AUDITING_CLIENT_TEMPLATE.FAT&amp;display_string=Audit&amp;VAR:KEY=DMDCZWFOPY&amp;VAR:QUERY=RkZfRUJJVERBX09QRVIoUVRSLDQvMS8yMDEwLDYvMzAvMjAxMCwsLFVTRCk=&amp;WINDOW=FIRST_POPUP&amp;HEIGH","T=450&amp;WIDTH=450&amp;START_MAXIMIZED=FALSE&amp;VAR:CALENDAR=US&amp;VAR:SYMBOL=SNA&amp;VAR:INDEX=0"}</definedName>
    <definedName name="_1820__FDSAUDITLINK__" hidden="1">{"fdsup://Directions/FactSet Auditing Viewer?action=AUDIT_VALUE&amp;DB=129&amp;ID1=02581610&amp;VALUEID=01001&amp;SDATE=201002&amp;PERIODTYPE=QTR_STD&amp;window=popup_no_bar&amp;width=385&amp;height=120&amp;START_MAXIMIZED=FALSE&amp;creator=factset&amp;display_string=Audit"}</definedName>
    <definedName name="_1821__FDSAUDITLINK__" hidden="1">{"fdsup://Directions/FactSet Auditing Viewer?action=AUDIT_VALUE&amp;DB=129&amp;ID1=05361110&amp;VALUEID=01001&amp;SDATE=200902&amp;PERIODTYPE=QTR_STD&amp;window=popup_no_bar&amp;width=385&amp;height=120&amp;START_MAXIMIZED=FALSE&amp;creator=factset&amp;display_string=Audit"}</definedName>
    <definedName name="_1822__FDSAUDITLINK__" hidden="1">{"fdsup://Directions/FactSet Auditing Viewer?action=AUDIT_VALUE&amp;DB=129&amp;ID1=05361110&amp;VALUEID=01001&amp;SDATE=201002&amp;PERIODTYPE=QTR_STD&amp;window=popup_no_bar&amp;width=385&amp;height=120&amp;START_MAXIMIZED=FALSE&amp;creator=factset&amp;display_string=Audit"}</definedName>
    <definedName name="_1823__FDSAUDITLINK__" hidden="1">{"fdsup://Directions/FactSet Auditing Viewer?action=AUDIT_VALUE&amp;DB=129&amp;ID1=05430310&amp;VALUEID=01001&amp;SDATE=200902&amp;PERIODTYPE=QTR_STD&amp;window=popup_no_bar&amp;width=385&amp;height=120&amp;START_MAXIMIZED=FALSE&amp;creator=factset&amp;display_string=Audit"}</definedName>
    <definedName name="_1824__FDSAUDITLINK__" hidden="1">{"fdsup://Directions/FactSet Auditing Viewer?action=AUDIT_VALUE&amp;DB=129&amp;ID1=05430310&amp;VALUEID=01001&amp;SDATE=201002&amp;PERIODTYPE=QTR_STD&amp;window=popup_no_bar&amp;width=385&amp;height=120&amp;START_MAXIMIZED=FALSE&amp;creator=factset&amp;display_string=Audit"}</definedName>
    <definedName name="_1825__FDSAUDITLINK__" hidden="1">{"fdsup://Directions/FactSet Auditing Viewer?action=AUDIT_VALUE&amp;DB=129&amp;ID1=05348410&amp;VALUEID=01001&amp;SDATE=200902&amp;PERIODTYPE=QTR_STD&amp;window=popup_no_bar&amp;width=385&amp;height=120&amp;START_MAXIMIZED=FALSE&amp;creator=factset&amp;display_string=Audit"}</definedName>
    <definedName name="_1826__FDSAUDITLINK__" hidden="1">{"fdsup://Directions/FactSet Auditing Viewer?action=AUDIT_VALUE&amp;DB=129&amp;ID1=05348410&amp;VALUEID=01001&amp;SDATE=201002&amp;PERIODTYPE=QTR_STD&amp;window=popup_no_bar&amp;width=385&amp;height=120&amp;START_MAXIMIZED=FALSE&amp;creator=factset&amp;display_string=Audit"}</definedName>
    <definedName name="_1827__FDSAUDITLINK__" hidden="1">{"fdsup://Directions/FactSet Auditing Viewer?action=AUDIT_VALUE&amp;DB=129&amp;ID1=01741R10&amp;VALUEID=01001&amp;SDATE=200902&amp;PERIODTYPE=QTR_STD&amp;window=popup_no_bar&amp;width=385&amp;height=120&amp;START_MAXIMIZED=FALSE&amp;creator=factset&amp;display_string=Audit"}</definedName>
    <definedName name="_1828__FDSAUDITLINK__" hidden="1">{"fdsup://Directions/FactSet Auditing Viewer?action=AUDIT_VALUE&amp;DB=129&amp;ID1=01741R10&amp;VALUEID=01001&amp;SDATE=201002&amp;PERIODTYPE=QTR_STD&amp;window=popup_no_bar&amp;width=385&amp;height=120&amp;START_MAXIMIZED=FALSE&amp;creator=factset&amp;display_string=Audit"}</definedName>
    <definedName name="_1829__FDSAUDITLINK__" hidden="1">{"fdsup://Directions/FactSet Auditing Viewer?action=AUDIT_VALUE&amp;DB=129&amp;ID1=00936310&amp;VALUEID=01001&amp;SDATE=200901&amp;PERIODTYPE=QTR_STD&amp;window=popup_no_bar&amp;width=385&amp;height=120&amp;START_MAXIMIZED=FALSE&amp;creator=factset&amp;display_string=Audit"}</definedName>
    <definedName name="_183__FDSAUDITLINK__" hidden="1">{"fdsup://directions/FAT Viewer?action=UPDATE&amp;creator=factset&amp;DYN_ARGS=TRUE&amp;DOC_NAME=FAT:FQL_AUDITING_CLIENT_TEMPLATE.FAT&amp;display_string=Audit&amp;VAR:KEY=TWZWZYHAHE&amp;VAR:QUERY=RkZfRUJJVERBX09QRVIoUVRSLDQvMS8yMDA5LDYvMzAvMjAwOSwsLFVTRCk=&amp;WINDOW=FIRST_POPUP&amp;HEIGH","T=450&amp;WIDTH=450&amp;START_MAXIMIZED=FALSE&amp;VAR:CALENDAR=US&amp;VAR:SYMBOL=SLM&amp;VAR:INDEX=0"}</definedName>
    <definedName name="_1830__FDSAUDITLINK__" hidden="1">{"fdsup://Directions/FactSet Auditing Viewer?action=AUDIT_VALUE&amp;DB=129&amp;ID1=00936310&amp;VALUEID=01001&amp;SDATE=201001&amp;PERIODTYPE=QTR_STD&amp;window=popup_no_bar&amp;width=385&amp;height=120&amp;START_MAXIMIZED=FALSE&amp;creator=factset&amp;display_string=Audit"}</definedName>
    <definedName name="_1831__FDSAUDITLINK__" hidden="1">{"fdsup://Directions/FactSet Auditing Viewer?action=AUDIT_VALUE&amp;DB=129&amp;ID1=03760410&amp;VALUEID=01001&amp;SDATE=200903&amp;PERIODTYPE=QTR_STD&amp;window=popup_no_bar&amp;width=385&amp;height=120&amp;START_MAXIMIZED=FALSE&amp;creator=factset&amp;display_string=Audit"}</definedName>
    <definedName name="_1832__FDSAUDITLINK__" hidden="1">{"fdsup://Directions/FactSet Auditing Viewer?action=AUDIT_VALUE&amp;DB=129&amp;ID1=03760410&amp;VALUEID=01001&amp;SDATE=201003&amp;PERIODTYPE=QTR_STD&amp;window=popup_no_bar&amp;width=385&amp;height=120&amp;START_MAXIMIZED=FALSE&amp;creator=factset&amp;display_string=Audit"}</definedName>
    <definedName name="_1833__FDSAUDITLINK__" hidden="1">{"fdsup://Directions/FactSet Auditing Viewer?action=AUDIT_VALUE&amp;DB=129&amp;ID1=03209510&amp;VALUEID=01001&amp;SDATE=200902&amp;PERIODTYPE=QTR_STD&amp;window=popup_no_bar&amp;width=385&amp;height=120&amp;START_MAXIMIZED=FALSE&amp;creator=factset&amp;display_string=Audit"}</definedName>
    <definedName name="_1834__FDSAUDITLINK__" hidden="1">{"fdsup://Directions/FactSet Auditing Viewer?action=AUDIT_VALUE&amp;DB=129&amp;ID1=03209510&amp;VALUEID=01001&amp;SDATE=201002&amp;PERIODTYPE=QTR_STD&amp;window=popup_no_bar&amp;width=385&amp;height=120&amp;START_MAXIMIZED=FALSE&amp;creator=factset&amp;display_string=Audit"}</definedName>
    <definedName name="_1835__FDSAUDITLINK__" hidden="1">{"fdsup://Directions/FactSet Auditing Viewer?action=AUDIT_VALUE&amp;DB=129&amp;ID1=00915810&amp;VALUEID=01001&amp;SDATE=200903&amp;PERIODTYPE=QTR_STD&amp;window=popup_no_bar&amp;width=385&amp;height=120&amp;START_MAXIMIZED=FALSE&amp;creator=factset&amp;display_string=Audit"}</definedName>
    <definedName name="_1836__FDSAUDITLINK__" hidden="1">{"fdsup://Directions/FactSet Auditing Viewer?action=AUDIT_VALUE&amp;DB=129&amp;ID1=00915810&amp;VALUEID=01001&amp;SDATE=201003&amp;PERIODTYPE=QTR_STD&amp;window=popup_no_bar&amp;width=385&amp;height=120&amp;START_MAXIMIZED=FALSE&amp;creator=factset&amp;display_string=Audit"}</definedName>
    <definedName name="_1837__FDSAUDITLINK__" hidden="1">{"fdsup://Directions/FactSet Auditing Viewer?action=AUDIT_VALUE&amp;DB=129&amp;ID1=03251110&amp;VALUEID=01001&amp;SDATE=200902&amp;PERIODTYPE=QTR_STD&amp;window=popup_no_bar&amp;width=385&amp;height=120&amp;START_MAXIMIZED=FALSE&amp;creator=factset&amp;display_string=Audit"}</definedName>
    <definedName name="_1838__FDSAUDITLINK__" hidden="1">{"fdsup://Directions/FactSet Auditing Viewer?action=AUDIT_VALUE&amp;DB=129&amp;ID1=03251110&amp;VALUEID=01001&amp;SDATE=201002&amp;PERIODTYPE=QTR_STD&amp;window=popup_no_bar&amp;width=385&amp;height=120&amp;START_MAXIMIZED=FALSE&amp;creator=factset&amp;display_string=Audit"}</definedName>
    <definedName name="_1839__FDSAUDITLINK__" hidden="1">{"fdsup://Directions/FactSet Auditing Viewer?action=AUDIT_VALUE&amp;DB=129&amp;ID1=03741110&amp;VALUEID=01001&amp;SDATE=200902&amp;PERIODTYPE=QTR_STD&amp;window=popup_no_bar&amp;width=385&amp;height=120&amp;START_MAXIMIZED=FALSE&amp;creator=factset&amp;display_string=Audit"}</definedName>
    <definedName name="_184__FDSAUDITLINK__" hidden="1">{"fdsup://directions/FAT Viewer?action=UPDATE&amp;creator=factset&amp;DYN_ARGS=TRUE&amp;DOC_NAME=FAT:FQL_AUDITING_CLIENT_TEMPLATE.FAT&amp;display_string=Audit&amp;VAR:KEY=BEBELCHIHU&amp;VAR:QUERY=RkZfRUJJVERBX09QRVIoUVRSLDQvMS8yMDEwLDYvMzAvMjAxMCwsLFVTRCk=&amp;WINDOW=FIRST_POPUP&amp;HEIGH","T=450&amp;WIDTH=450&amp;START_MAXIMIZED=FALSE&amp;VAR:CALENDAR=US&amp;VAR:SYMBOL=SLM&amp;VAR:INDEX=0"}</definedName>
    <definedName name="_1840__FDSAUDITLINK__" hidden="1">{"fdsup://Directions/FactSet Auditing Viewer?action=AUDIT_VALUE&amp;DB=129&amp;ID1=03741110&amp;VALUEID=01001&amp;SDATE=201002&amp;PERIODTYPE=QTR_STD&amp;window=popup_no_bar&amp;width=385&amp;height=120&amp;START_MAXIMIZED=FALSE&amp;creator=factset&amp;display_string=Audit"}</definedName>
    <definedName name="_1841__FDSAUDITLINK__" hidden="1">{"fdsup://Directions/FactSet Auditing Viewer?action=AUDIT_VALUE&amp;DB=129&amp;ID1=03738910&amp;VALUEID=01001&amp;SDATE=200902&amp;PERIODTYPE=QTR_STD&amp;window=popup_no_bar&amp;width=385&amp;height=120&amp;START_MAXIMIZED=FALSE&amp;creator=factset&amp;display_string=Audit"}</definedName>
    <definedName name="_1842__FDSAUDITLINK__" hidden="1">{"fdsup://Directions/FactSet Auditing Viewer?action=AUDIT_VALUE&amp;DB=129&amp;ID1=03738910&amp;VALUEID=01001&amp;SDATE=201002&amp;PERIODTYPE=QTR_STD&amp;window=popup_no_bar&amp;width=385&amp;height=120&amp;START_MAXIMIZED=FALSE&amp;creator=factset&amp;display_string=Audit"}</definedName>
    <definedName name="_1843__FDSAUDITLINK__" hidden="1">{"fdsup://Directions/FactSet Auditing Viewer?action=AUDIT_VALUE&amp;DB=129&amp;ID1=00289620&amp;VALUEID=01001&amp;SDATE=201001&amp;PERIODTYPE=QTR_STD&amp;window=popup_no_bar&amp;width=385&amp;height=120&amp;START_MAXIMIZED=FALSE&amp;creator=factset&amp;display_string=Audit"}</definedName>
    <definedName name="_1844__FDSAUDITLINK__" hidden="1">{"fdsup://Directions/FactSet Auditing Viewer?action=AUDIT_VALUE&amp;DB=129&amp;ID1=05329W10&amp;VALUEID=01001&amp;SDATE=200902&amp;PERIODTYPE=QTR_STD&amp;window=popup_no_bar&amp;width=385&amp;height=120&amp;START_MAXIMIZED=FALSE&amp;creator=factset&amp;display_string=Audit"}</definedName>
    <definedName name="_1845__FDSAUDITLINK__" hidden="1">{"fdsup://Directions/FactSet Auditing Viewer?action=AUDIT_VALUE&amp;DB=129&amp;ID1=05329W10&amp;VALUEID=01001&amp;SDATE=201002&amp;PERIODTYPE=QTR_STD&amp;window=popup_no_bar&amp;width=385&amp;height=120&amp;START_MAXIMIZED=FALSE&amp;creator=factset&amp;display_string=Audit"}</definedName>
    <definedName name="_1846__FDSAUDITLINK__" hidden="1">{"fdsup://Directions/FactSet Auditing Viewer?action=AUDIT_VALUE&amp;DB=129&amp;ID1=02313510&amp;VALUEID=01001&amp;SDATE=200902&amp;PERIODTYPE=QTR_STD&amp;window=popup_no_bar&amp;width=385&amp;height=120&amp;START_MAXIMIZED=FALSE&amp;creator=factset&amp;display_string=Audit"}</definedName>
    <definedName name="_1847__FDSAUDITLINK__" hidden="1">{"fdsup://Directions/FactSet Auditing Viewer?action=AUDIT_VALUE&amp;DB=129&amp;ID1=02313510&amp;VALUEID=01001&amp;SDATE=201002&amp;PERIODTYPE=QTR_STD&amp;window=popup_no_bar&amp;width=385&amp;height=120&amp;START_MAXIMIZED=FALSE&amp;creator=factset&amp;display_string=Audit"}</definedName>
    <definedName name="_1848__FDSAUDITLINK__" hidden="1">{"fdsup://Directions/FactSet Auditing Viewer?action=AUDIT_VALUE&amp;DB=129&amp;ID1=02991220&amp;VALUEID=01001&amp;SDATE=200902&amp;PERIODTYPE=QTR_STD&amp;window=popup_no_bar&amp;width=385&amp;height=120&amp;START_MAXIMIZED=FALSE&amp;creator=factset&amp;display_string=Audit"}</definedName>
    <definedName name="_1849__FDSAUDITLINK__" hidden="1">{"fdsup://Directions/FactSet Auditing Viewer?action=AUDIT_VALUE&amp;DB=129&amp;ID1=02991220&amp;VALUEID=01001&amp;SDATE=201002&amp;PERIODTYPE=QTR_STD&amp;window=popup_no_bar&amp;width=385&amp;height=120&amp;START_MAXIMIZED=FALSE&amp;creator=factset&amp;display_string=Audit"}</definedName>
    <definedName name="_185__FDSAUDITLINK__" hidden="1">{"fdsup://directions/FAT Viewer?action=UPDATE&amp;creator=factset&amp;DYN_ARGS=TRUE&amp;DOC_NAME=FAT:FQL_AUDITING_CLIENT_TEMPLATE.FAT&amp;display_string=Audit&amp;VAR:KEY=PERGZWPWVQ&amp;VAR:QUERY=RkZfRUJJVERBX09QRVIoUVRSLDQvMS8yMDA5LDYvMzAvMjAwOSwsLFVTRCk=&amp;WINDOW=FIRST_POPUP&amp;HEIGH","T=450&amp;WIDTH=450&amp;START_MAXIMIZED=FALSE&amp;VAR:CALENDAR=US&amp;VAR:SYMBOL=SLE&amp;VAR:INDEX=0"}</definedName>
    <definedName name="_1850__FDSAUDITLINK__" hidden="1">{"fdsup://Directions/FactSet Auditing Viewer?action=AUDIT_VALUE&amp;DB=129&amp;ID1=03076C10&amp;VALUEID=01001&amp;SDATE=200902&amp;PERIODTYPE=QTR_STD&amp;window=popup_no_bar&amp;width=385&amp;height=120&amp;START_MAXIMIZED=FALSE&amp;creator=factset&amp;display_string=Audit"}</definedName>
    <definedName name="_1851__FDSAUDITLINK__" hidden="1">{"fdsup://Directions/FactSet Auditing Viewer?action=AUDIT_VALUE&amp;DB=129&amp;ID1=03076C10&amp;VALUEID=01001&amp;SDATE=201002&amp;PERIODTYPE=QTR_STD&amp;window=popup_no_bar&amp;width=385&amp;height=120&amp;START_MAXIMIZED=FALSE&amp;creator=factset&amp;display_string=Audit"}</definedName>
    <definedName name="_1852__FDSAUDITLINK__" hidden="1">{"fdsup://Directions/FactSet Auditing Viewer?action=AUDIT_VALUE&amp;DB=129&amp;ID1=03116210&amp;VALUEID=01001&amp;SDATE=200902&amp;PERIODTYPE=QTR_STD&amp;window=popup_no_bar&amp;width=385&amp;height=120&amp;START_MAXIMIZED=FALSE&amp;creator=factset&amp;display_string=Audit"}</definedName>
    <definedName name="_1853__FDSAUDITLINK__" hidden="1">{"fdsup://Directions/FactSet Auditing Viewer?action=AUDIT_VALUE&amp;DB=129&amp;ID1=03116210&amp;VALUEID=01001&amp;SDATE=201002&amp;PERIODTYPE=QTR_STD&amp;window=popup_no_bar&amp;width=385&amp;height=120&amp;START_MAXIMIZED=FALSE&amp;creator=factset&amp;display_string=Audit"}</definedName>
    <definedName name="_1854__FDSAUDITLINK__" hidden="1">{"fdsup://Directions/FactSet Auditing Viewer?action=AUDIT_VALUE&amp;DB=129&amp;ID1=00790310&amp;VALUEID=01001&amp;SDATE=200902&amp;PERIODTYPE=QTR_STD&amp;window=popup_no_bar&amp;width=385&amp;height=120&amp;START_MAXIMIZED=FALSE&amp;creator=factset&amp;display_string=Audit"}</definedName>
    <definedName name="_1855__FDSAUDITLINK__" hidden="1">{"fdsup://Directions/FactSet Auditing Viewer?action=AUDIT_VALUE&amp;DB=129&amp;ID1=00790310&amp;VALUEID=01001&amp;SDATE=201002&amp;PERIODTYPE=QTR_STD&amp;window=popup_no_bar&amp;width=385&amp;height=120&amp;START_MAXIMIZED=FALSE&amp;creator=factset&amp;display_string=Audit"}</definedName>
    <definedName name="_1856__FDSAUDITLINK__" hidden="1">{"fdsup://Directions/FactSet Auditing Viewer?action=AUDIT_VALUE&amp;DB=129&amp;ID1=03822210&amp;VALUEID=01001&amp;SDATE=200902&amp;PERIODTYPE=QTR_STD&amp;window=popup_no_bar&amp;width=385&amp;height=120&amp;START_MAXIMIZED=FALSE&amp;creator=factset&amp;display_string=Audit"}</definedName>
    <definedName name="_1857__FDSAUDITLINK__" hidden="1">{"fdsup://Directions/FactSet Auditing Viewer?action=AUDIT_VALUE&amp;DB=129&amp;ID1=03822210&amp;VALUEID=01001&amp;SDATE=201002&amp;PERIODTYPE=QTR_STD&amp;window=popup_no_bar&amp;width=385&amp;height=120&amp;START_MAXIMIZED=FALSE&amp;creator=factset&amp;display_string=Audit"}</definedName>
    <definedName name="_1858__FDSAUDITLINK__" hidden="1">{"fdsup://Directions/FactSet Auditing Viewer?action=AUDIT_VALUE&amp;DB=129&amp;ID1=02144110&amp;VALUEID=01001&amp;SDATE=200902&amp;PERIODTYPE=QTR_STD&amp;window=popup_no_bar&amp;width=385&amp;height=120&amp;START_MAXIMIZED=FALSE&amp;creator=factset&amp;display_string=Audit"}</definedName>
    <definedName name="_1859__FDSAUDITLINK__" hidden="1">{"fdsup://Directions/FactSet Auditing Viewer?action=AUDIT_VALUE&amp;DB=129&amp;ID1=02144110&amp;VALUEID=01001&amp;SDATE=201002&amp;PERIODTYPE=QTR_STD&amp;window=popup_no_bar&amp;width=385&amp;height=120&amp;START_MAXIMIZED=FALSE&amp;creator=factset&amp;display_string=Audit"}</definedName>
    <definedName name="_186__FDSAUDITLINK__" hidden="1">{"fdsup://directions/FAT Viewer?action=UPDATE&amp;creator=factset&amp;DYN_ARGS=TRUE&amp;DOC_NAME=FAT:FQL_AUDITING_CLIENT_TEMPLATE.FAT&amp;display_string=Audit&amp;VAR:KEY=TQJQRSXSHA&amp;VAR:QUERY=RkZfRUJJVERBX09QRVIoUVRSLDQvMS8yMDEwLDYvMzAvMjAxMCwsLFVTRCk=&amp;WINDOW=FIRST_POPUP&amp;HEIGH","T=450&amp;WIDTH=450&amp;START_MAXIMIZED=FALSE&amp;VAR:CALENDAR=US&amp;VAR:SYMBOL=SLE&amp;VAR:INDEX=0"}</definedName>
    <definedName name="_1860__FDSAUDITLINK__" hidden="1">{"fdsup://Directions/FactSet Auditing Viewer?action=AUDIT_VALUE&amp;DB=129&amp;ID1=02000210&amp;VALUEID=01001&amp;SDATE=200902&amp;PERIODTYPE=QTR_STD&amp;window=popup_no_bar&amp;width=385&amp;height=120&amp;START_MAXIMIZED=FALSE&amp;creator=factset&amp;display_string=Audit"}</definedName>
    <definedName name="_1861__FDSAUDITLINK__" hidden="1">{"fdsup://Directions/FactSet Auditing Viewer?action=AUDIT_VALUE&amp;DB=129&amp;ID1=02000210&amp;VALUEID=01001&amp;SDATE=201002&amp;PERIODTYPE=QTR_STD&amp;window=popup_no_bar&amp;width=385&amp;height=120&amp;START_MAXIMIZED=FALSE&amp;creator=factset&amp;display_string=Audit"}</definedName>
    <definedName name="_1862__FDSAUDITLINK__" hidden="1">{"fdsup://Directions/FactSet Auditing Viewer?action=AUDIT_VALUE&amp;DB=129&amp;ID1=00154710&amp;VALUEID=01001&amp;SDATE=200902&amp;PERIODTYPE=QTR_STD&amp;window=popup_no_bar&amp;width=385&amp;height=120&amp;START_MAXIMIZED=FALSE&amp;creator=factset&amp;display_string=Audit"}</definedName>
    <definedName name="_1863__FDSAUDITLINK__" hidden="1">{"fdsup://Directions/FactSet Auditing Viewer?action=AUDIT_VALUE&amp;DB=129&amp;ID1=00154710&amp;VALUEID=01001&amp;SDATE=201002&amp;PERIODTYPE=QTR_STD&amp;window=popup_no_bar&amp;width=385&amp;height=120&amp;START_MAXIMIZED=FALSE&amp;creator=factset&amp;display_string=Audit"}</definedName>
    <definedName name="_1864__FDSAUDITLINK__" hidden="1">{"fdsup://Directions/FactSet Auditing Viewer?action=AUDIT_VALUE&amp;DB=129&amp;ID1=00971T10&amp;VALUEID=01001&amp;SDATE=200902&amp;PERIODTYPE=QTR_STD&amp;window=popup_no_bar&amp;width=385&amp;height=120&amp;START_MAXIMIZED=FALSE&amp;creator=factset&amp;display_string=Audit"}</definedName>
    <definedName name="_1865__FDSAUDITLINK__" hidden="1">{"fdsup://Directions/FactSet Auditing Viewer?action=AUDIT_VALUE&amp;DB=129&amp;ID1=00971T10&amp;VALUEID=01001&amp;SDATE=201002&amp;PERIODTYPE=QTR_STD&amp;window=popup_no_bar&amp;width=385&amp;height=120&amp;START_MAXIMIZED=FALSE&amp;creator=factset&amp;display_string=Audit"}</definedName>
    <definedName name="_1866__FDSAUDITLINK__" hidden="1">{"fdsup://Directions/FactSet Auditing Viewer?action=AUDIT_VALUE&amp;DB=129&amp;ID1=04621X10&amp;VALUEID=01001&amp;SDATE=200902&amp;PERIODTYPE=QTR_STD&amp;window=popup_no_bar&amp;width=385&amp;height=120&amp;START_MAXIMIZED=FALSE&amp;creator=factset&amp;display_string=Audit"}</definedName>
    <definedName name="_1867__FDSAUDITLINK__" hidden="1">{"fdsup://Directions/FactSet Auditing Viewer?action=AUDIT_VALUE&amp;DB=129&amp;ID1=04621X10&amp;VALUEID=01001&amp;SDATE=201002&amp;PERIODTYPE=QTR_STD&amp;window=popup_no_bar&amp;width=385&amp;height=120&amp;START_MAXIMIZED=FALSE&amp;creator=factset&amp;display_string=Audit"}</definedName>
    <definedName name="_1868__FDSAUDITLINK__" hidden="1">{"fdsup://Directions/FactSet Auditing Viewer?action=AUDIT_VALUE&amp;DB=129&amp;ID1=03748R10&amp;VALUEID=01001&amp;SDATE=200902&amp;PERIODTYPE=QTR_STD&amp;window=popup_no_bar&amp;width=385&amp;height=120&amp;START_MAXIMIZED=FALSE&amp;creator=factset&amp;display_string=Audit"}</definedName>
    <definedName name="_1869__FDSAUDITLINK__" hidden="1">{"fdsup://Directions/FactSet Auditing Viewer?action=AUDIT_VALUE&amp;DB=129&amp;ID1=03748R10&amp;VALUEID=01001&amp;SDATE=201002&amp;PERIODTYPE=QTR_STD&amp;window=popup_no_bar&amp;width=385&amp;height=120&amp;START_MAXIMIZED=FALSE&amp;creator=factset&amp;display_string=Audit"}</definedName>
    <definedName name="_187__FDSAUDITLINK__" hidden="1">{"fdsup://directions/FAT Viewer?action=UPDATE&amp;creator=factset&amp;DYN_ARGS=TRUE&amp;DOC_NAME=FAT:FQL_AUDITING_CLIENT_TEMPLATE.FAT&amp;display_string=Audit&amp;VAR:KEY=NIBYJQBCTS&amp;VAR:QUERY=RkZfRUJJVERBX09QRVIoUVRSLDQvMS8yMDA5LDYvMzAvMjAwOSwsLFVTRCk=&amp;WINDOW=FIRST_POPUP&amp;HEIGH","T=450&amp;WIDTH=450&amp;START_MAXIMIZED=FALSE&amp;VAR:CALENDAR=US&amp;VAR:SYMBOL=SLB&amp;VAR:INDEX=0"}</definedName>
    <definedName name="_1870__FDSAUDITLINK__" hidden="1">{"fdsup://Directions/FactSet Auditing Viewer?action=AUDIT_VALUE&amp;DB=129&amp;ID1=02687478&amp;VALUEID=01001&amp;SDATE=200902&amp;PERIODTYPE=QTR_STD&amp;window=popup_no_bar&amp;width=385&amp;height=120&amp;START_MAXIMIZED=FALSE&amp;creator=factset&amp;display_string=Audit"}</definedName>
    <definedName name="_1871__FDSAUDITLINK__" hidden="1">{"fdsup://Directions/FactSet Auditing Viewer?action=AUDIT_VALUE&amp;DB=129&amp;ID1=02687478&amp;VALUEID=01001&amp;SDATE=201002&amp;PERIODTYPE=QTR_STD&amp;window=popup_no_bar&amp;width=385&amp;height=120&amp;START_MAXIMIZED=FALSE&amp;creator=factset&amp;display_string=Audit"}</definedName>
    <definedName name="_1872__FDSAUDITLINK__" hidden="1">{"fdsup://Directions/FactSet Auditing Viewer?action=AUDIT_VALUE&amp;DB=129&amp;ID1=01849010&amp;VALUEID=01001&amp;SDATE=200902&amp;PERIODTYPE=QTR_STD&amp;window=popup_no_bar&amp;width=385&amp;height=120&amp;START_MAXIMIZED=FALSE&amp;creator=factset&amp;display_string=Audit"}</definedName>
    <definedName name="_1873__FDSAUDITLINK__" hidden="1">{"fdsup://Directions/FactSet Auditing Viewer?action=AUDIT_VALUE&amp;DB=129&amp;ID1=01849010&amp;VALUEID=01001&amp;SDATE=201002&amp;PERIODTYPE=QTR_STD&amp;window=popup_no_bar&amp;width=385&amp;height=120&amp;START_MAXIMIZED=FALSE&amp;creator=factset&amp;display_string=Audit"}</definedName>
    <definedName name="_1874__FDSAUDITLINK__" hidden="1">{"fdsup://Directions/FactSet Auditing Viewer?action=AUDIT_VALUE&amp;DB=129&amp;ID1=00105510&amp;VALUEID=01001&amp;SDATE=200902&amp;PERIODTYPE=QTR_STD&amp;window=popup_no_bar&amp;width=385&amp;height=120&amp;START_MAXIMIZED=FALSE&amp;creator=factset&amp;display_string=Audit"}</definedName>
    <definedName name="_1875__FDSAUDITLINK__" hidden="1">{"fdsup://Directions/FactSet Auditing Viewer?action=AUDIT_VALUE&amp;DB=129&amp;ID1=00105510&amp;VALUEID=01001&amp;SDATE=201002&amp;PERIODTYPE=QTR_STD&amp;window=popup_no_bar&amp;width=385&amp;height=120&amp;START_MAXIMIZED=FALSE&amp;creator=factset&amp;display_string=Audit"}</definedName>
    <definedName name="_1876__FDSAUDITLINK__" hidden="1">{"fdsup://Directions/FactSet Auditing Viewer?action=AUDIT_VALUE&amp;DB=129&amp;ID1=00817Y10&amp;VALUEID=01001&amp;SDATE=201002&amp;PERIODTYPE=QTR_STD&amp;window=popup_no_bar&amp;width=385&amp;height=120&amp;START_MAXIMIZED=FALSE&amp;creator=factset&amp;display_string=Audit"}</definedName>
    <definedName name="_1877__FDSAUDITLINK__" hidden="1">{"fdsup://Directions/FactSet Auditing Viewer?action=AUDIT_VALUE&amp;DB=129&amp;ID1=00130H10&amp;VALUEID=01001&amp;SDATE=200902&amp;PERIODTYPE=QTR_STD&amp;window=popup_no_bar&amp;width=385&amp;height=120&amp;START_MAXIMIZED=FALSE&amp;creator=factset&amp;display_string=Audit"}</definedName>
    <definedName name="_1878__FDSAUDITLINK__" hidden="1">{"fdsup://Directions/FactSet Auditing Viewer?action=AUDIT_VALUE&amp;DB=129&amp;ID1=00130H10&amp;VALUEID=01001&amp;SDATE=201002&amp;PERIODTYPE=QTR_STD&amp;window=popup_no_bar&amp;width=385&amp;height=120&amp;START_MAXIMIZED=FALSE&amp;creator=factset&amp;display_string=Audit"}</definedName>
    <definedName name="_1879__FDSAUDITLINK__" hidden="1">{"fdsup://Directions/FactSet Auditing Viewer?action=AUDIT_VALUE&amp;DB=129&amp;ID1=02553710&amp;VALUEID=01001&amp;SDATE=200902&amp;PERIODTYPE=QTR_STD&amp;window=popup_no_bar&amp;width=385&amp;height=120&amp;START_MAXIMIZED=FALSE&amp;creator=factset&amp;display_string=Audit"}</definedName>
    <definedName name="_188__FDSAUDITLINK__" hidden="1">{"fdsup://directions/FAT Viewer?action=UPDATE&amp;creator=factset&amp;DYN_ARGS=TRUE&amp;DOC_NAME=FAT:FQL_AUDITING_CLIENT_TEMPLATE.FAT&amp;display_string=Audit&amp;VAR:KEY=XMJCHQTGFI&amp;VAR:QUERY=RkZfRUJJVERBX09QRVIoUVRSLDQvMS8yMDEwLDYvMzAvMjAxMCwsLFVTRCk=&amp;WINDOW=FIRST_POPUP&amp;HEIGH","T=450&amp;WIDTH=450&amp;START_MAXIMIZED=FALSE&amp;VAR:CALENDAR=US&amp;VAR:SYMBOL=SLB&amp;VAR:INDEX=0"}</definedName>
    <definedName name="_1880__FDSAUDITLINK__" hidden="1">{"fdsup://Directions/FactSet Auditing Viewer?action=AUDIT_VALUE&amp;DB=129&amp;ID1=02553710&amp;VALUEID=01001&amp;SDATE=201002&amp;PERIODTYPE=QTR_STD&amp;window=popup_no_bar&amp;width=385&amp;height=120&amp;START_MAXIMIZED=FALSE&amp;creator=factset&amp;display_string=Audit"}</definedName>
    <definedName name="_1881__FDSAUDITLINK__" hidden="1">{"fdsup://Directions/FactSet Auditing Viewer?action=AUDIT_VALUE&amp;DB=129&amp;ID1=02360810&amp;VALUEID=01001&amp;SDATE=200902&amp;PERIODTYPE=QTR_STD&amp;window=popup_no_bar&amp;width=385&amp;height=120&amp;START_MAXIMIZED=FALSE&amp;creator=factset&amp;display_string=Audit"}</definedName>
    <definedName name="_1882__FDSAUDITLINK__" hidden="1">{"fdsup://Directions/FactSet Auditing Viewer?action=AUDIT_VALUE&amp;DB=129&amp;ID1=02360810&amp;VALUEID=01001&amp;SDATE=201002&amp;PERIODTYPE=QTR_STD&amp;window=popup_no_bar&amp;width=385&amp;height=120&amp;START_MAXIMIZED=FALSE&amp;creator=factset&amp;display_string=Audit"}</definedName>
    <definedName name="_1883__FDSAUDITLINK__" hidden="1">{"fdsup://Directions/FactSet Auditing Viewer?action=AUDIT_VALUE&amp;DB=129&amp;ID1=05276910&amp;VALUEID=01001&amp;SDATE=201001&amp;PERIODTYPE=QTR_STD&amp;window=popup_no_bar&amp;width=385&amp;height=120&amp;START_MAXIMIZED=FALSE&amp;creator=factset&amp;display_string=Audit"}</definedName>
    <definedName name="_1884__FDSAUDITLINK__" hidden="1">{"fdsup://Directions/FactSet Auditing Viewer?action=AUDIT_VALUE&amp;DB=129&amp;ID1=05301510&amp;VALUEID=01001&amp;SDATE=200904&amp;PERIODTYPE=QTR_STD&amp;window=popup_no_bar&amp;width=385&amp;height=120&amp;START_MAXIMIZED=FALSE&amp;creator=factset&amp;display_string=Audit"}</definedName>
    <definedName name="_1885__FDSAUDITLINK__" hidden="1">{"fdsup://Directions/FactSet Auditing Viewer?action=AUDIT_VALUE&amp;DB=129&amp;ID1=05301510&amp;VALUEID=01001&amp;SDATE=201004&amp;PERIODTYPE=QTR_STD&amp;window=popup_no_bar&amp;width=385&amp;height=120&amp;START_MAXIMIZED=FALSE&amp;creator=factset&amp;display_string=Audit"}</definedName>
    <definedName name="_1886__FDSAUDITLINK__" hidden="1">{"fdsup://Directions/FactSet Auditing Viewer?action=AUDIT_VALUE&amp;DB=129&amp;ID1=03948310&amp;VALUEID=01001&amp;SDATE=201004&amp;PERIODTYPE=QTR_STD&amp;window=popup_no_bar&amp;width=385&amp;height=120&amp;START_MAXIMIZED=FALSE&amp;creator=factset&amp;display_string=Audit"}</definedName>
    <definedName name="_1887__FDSAUDITLINK__" hidden="1">{"fdsup://Directions/FactSet Auditing Viewer?action=AUDIT_VALUE&amp;DB=129&amp;ID1=03265410&amp;VALUEID=01001&amp;SDATE=201002&amp;PERIODTYPE=QTR_STD&amp;window=popup_no_bar&amp;width=385&amp;height=120&amp;START_MAXIMIZED=FALSE&amp;creator=factset&amp;display_string=Audit"}</definedName>
    <definedName name="_1888__FDSAUDITLINK__" hidden="1">{"fdsup://Directions/FactSet Auditing Viewer?action=AUDIT_VALUE&amp;DB=129&amp;ID1=00724F10&amp;VALUEID=01001&amp;SDATE=200902&amp;PERIODTYPE=QTR_STD&amp;window=popup_no_bar&amp;width=385&amp;height=120&amp;START_MAXIMIZED=FALSE&amp;creator=factset&amp;display_string=Audit"}</definedName>
    <definedName name="_1889__FDSAUDITLINK__" hidden="1">{"fdsup://Directions/FactSet Auditing Viewer?action=AUDIT_VALUE&amp;DB=129&amp;ID1=00724F10&amp;VALUEID=01001&amp;SDATE=201002&amp;PERIODTYPE=QTR_STD&amp;window=popup_no_bar&amp;width=385&amp;height=120&amp;START_MAXIMIZED=FALSE&amp;creator=factset&amp;display_string=Audit"}</definedName>
    <definedName name="_189__FDSAUDITLINK__" hidden="1">{"fdsup://directions/FAT Viewer?action=UPDATE&amp;creator=factset&amp;DYN_ARGS=TRUE&amp;DOC_NAME=FAT:FQL_AUDITING_CLIENT_TEMPLATE.FAT&amp;display_string=Audit&amp;VAR:KEY=LYRKBCXMTW&amp;VAR:QUERY=RkZfRUJJVERBX09QRVIoUVRSLDQvMS8yMDA5LDYvMzAvMjAwOSwsLFVTRCk=&amp;WINDOW=FIRST_POPUP&amp;HEIGH","T=450&amp;WIDTH=450&amp;START_MAXIMIZED=FALSE&amp;VAR:CALENDAR=US&amp;VAR:SYMBOL=SJM&amp;VAR:INDEX=0"}</definedName>
    <definedName name="_1890__FDSAUDITLINK__" hidden="1">{"fdsup://Directions/FactSet Auditing Viewer?action=AUDIT_VALUE&amp;DB=129&amp;ID1=H0023R10&amp;VALUEID=01001&amp;SDATE=200902&amp;PERIODTYPE=QTR_STD&amp;window=popup_no_bar&amp;width=385&amp;height=120&amp;START_MAXIMIZED=FALSE&amp;creator=factset&amp;display_string=Audit"}</definedName>
    <definedName name="_1891__FDSAUDITLINK__" hidden="1">{"fdsup://Directions/FactSet Auditing Viewer?action=AUDIT_VALUE&amp;DB=129&amp;ID1=H0023R10&amp;VALUEID=01001&amp;SDATE=201002&amp;PERIODTYPE=QTR_STD&amp;window=popup_no_bar&amp;width=385&amp;height=120&amp;START_MAXIMIZED=FALSE&amp;creator=factset&amp;display_string=Audit"}</definedName>
    <definedName name="_1892__FDSAUDITLINK__" hidden="1">{"fdsup://Directions/FactSet Auditing Viewer?action=AUDIT_VALUE&amp;DB=129&amp;ID1=00282410&amp;VALUEID=01001&amp;SDATE=200902&amp;PERIODTYPE=QTR_STD&amp;window=popup_no_bar&amp;width=385&amp;height=120&amp;START_MAXIMIZED=FALSE&amp;creator=factset&amp;display_string=Audit"}</definedName>
    <definedName name="_1893__FDSAUDITLINK__" hidden="1">{"fdsup://Directions/FactSet Auditing Viewer?action=AUDIT_VALUE&amp;DB=129&amp;ID1=00282410&amp;VALUEID=01001&amp;SDATE=201002&amp;PERIODTYPE=QTR_STD&amp;window=popup_no_bar&amp;width=385&amp;height=120&amp;START_MAXIMIZED=FALSE&amp;creator=factset&amp;display_string=Audit"}</definedName>
    <definedName name="_1894__FDSAUDITLINK__" hidden="1">{"fdsup://Directions/FactSet Auditing Viewer?action=AUDIT_VALUE&amp;DB=129&amp;ID1=03073E10&amp;VALUEID=01001&amp;SDATE=200903&amp;PERIODTYPE=QTR_STD&amp;window=popup_no_bar&amp;width=385&amp;height=120&amp;START_MAXIMIZED=FALSE&amp;creator=factset&amp;display_string=Audit"}</definedName>
    <definedName name="_1895__FDSAUDITLINK__" hidden="1">{"fdsup://Directions/FactSet Auditing Viewer?action=AUDIT_VALUE&amp;DB=129&amp;ID1=03073E10&amp;VALUEID=01001&amp;SDATE=201003&amp;PERIODTYPE=QTR_STD&amp;window=popup_no_bar&amp;width=385&amp;height=120&amp;START_MAXIMIZED=FALSE&amp;creator=factset&amp;display_string=Audit"}</definedName>
    <definedName name="_1896__FDSAUDITLINK__" hidden="1">{"fdsup://Directions/FactSet Auditing Viewer?action=AUDIT_VALUE&amp;DB=129&amp;ID1=03783310&amp;VALUEID=01001&amp;SDATE=200903&amp;PERIODTYPE=QTR_STD&amp;window=popup_no_bar&amp;width=385&amp;height=120&amp;START_MAXIMIZED=FALSE&amp;creator=factset&amp;display_string=Audit"}</definedName>
    <definedName name="_1897__FDSAUDITLINK__" hidden="1">{"fdsup://Directions/FactSet Auditing Viewer?action=AUDIT_VALUE&amp;DB=129&amp;ID1=03783310&amp;VALUEID=01001&amp;SDATE=201003&amp;PERIODTYPE=QTR_STD&amp;window=popup_no_bar&amp;width=385&amp;height=120&amp;START_MAXIMIZED=FALSE&amp;creator=factset&amp;display_string=Audit"}</definedName>
    <definedName name="_1898__FDSAUDITLINK__" hidden="1">{"fdsup://Directions/FactSet Auditing Viewer?action=AUDIT_VALUE&amp;DB=129&amp;ID1=01381710&amp;VALUEID=01001&amp;SDATE=200902&amp;PERIODTYPE=QTR_STD&amp;window=popup_no_bar&amp;width=385&amp;height=120&amp;START_MAXIMIZED=FALSE&amp;creator=factset&amp;display_string=Audit"}</definedName>
    <definedName name="_1899__FDSAUDITLINK__" hidden="1">{"fdsup://Directions/FactSet Auditing Viewer?action=AUDIT_VALUE&amp;DB=129&amp;ID1=01381710&amp;VALUEID=01001&amp;SDATE=201002&amp;PERIODTYPE=QTR_STD&amp;window=popup_no_bar&amp;width=385&amp;height=120&amp;START_MAXIMIZED=FALSE&amp;creator=factset&amp;display_string=Audit"}</definedName>
    <definedName name="_19__123Graph_BQRE_S_BY_CO.">#REF!</definedName>
    <definedName name="_19__123Graph_DCONTRACT_BY_B_U">#REF!</definedName>
    <definedName name="_19__FDSAUDITLINK__" hidden="1">{"fdsup://directions/FAT Viewer?action=UPDATE&amp;creator=factset&amp;DYN_ARGS=TRUE&amp;DOC_NAME=FAT:FQL_AUDITING_CLIENT_TEMPLATE.FAT&amp;display_string=Audit&amp;VAR:KEY=LQFIVAVIRA&amp;VAR:QUERY=RkZfRUJJVERBX09QRVIoUVRSLDQvMS8yMDA5LDYvMzAvMjAwOSwsLFVTRCk=&amp;WINDOW=FIRST_POPUP&amp;HEIGH","T=450&amp;WIDTH=450&amp;START_MAXIMIZED=FALSE&amp;VAR:CALENDAR=US&amp;VAR:SYMBOL=XEL&amp;VAR:INDEX=0"}</definedName>
    <definedName name="_19_5__1_CRADDIN_Headings">#REF!</definedName>
    <definedName name="_190__FDSAUDITLINK__" hidden="1">{"fdsup://directions/FAT Viewer?action=UPDATE&amp;creator=factset&amp;DYN_ARGS=TRUE&amp;DOC_NAME=FAT:FQL_AUDITING_CLIENT_TEMPLATE.FAT&amp;display_string=Audit&amp;VAR:KEY=HIPYTYRUBC&amp;VAR:QUERY=RkZfRUJJVERBX09QRVIoUVRSLDQvMS8yMDEwLDYvMzAvMjAxMCwsLFVTRCk=&amp;WINDOW=FIRST_POPUP&amp;HEIGH","T=450&amp;WIDTH=450&amp;START_MAXIMIZED=FALSE&amp;VAR:CALENDAR=US&amp;VAR:SYMBOL=SJM&amp;VAR:INDEX=0"}</definedName>
    <definedName name="_1900__FDSAUDITLINK__" hidden="1">{"fdsup://Directions/FactSet Auditing Viewer?action=AUDIT_VALUE&amp;DB=129&amp;ID1=00846U10&amp;VALUEID=01001&amp;SDATE=200902&amp;PERIODTYPE=QTR_STD&amp;window=popup_no_bar&amp;width=385&amp;height=120&amp;START_MAXIMIZED=FALSE&amp;creator=factset&amp;display_string=Audit"}</definedName>
    <definedName name="_1901__FDSAUDITLINK__" hidden="1">{"fdsup://Directions/FactSet Auditing Viewer?action=AUDIT_VALUE&amp;DB=129&amp;ID1=00846U10&amp;VALUEID=01001&amp;SDATE=201002&amp;PERIODTYPE=QTR_STD&amp;window=popup_no_bar&amp;width=385&amp;height=120&amp;START_MAXIMIZED=FALSE&amp;creator=factset&amp;display_string=Audit"}</definedName>
    <definedName name="_191__FDSAUDITLINK__" hidden="1">{"fdsup://directions/FAT Viewer?action=UPDATE&amp;creator=factset&amp;DYN_ARGS=TRUE&amp;DOC_NAME=FAT:FQL_AUDITING_CLIENT_TEMPLATE.FAT&amp;display_string=Audit&amp;VAR:KEY=FOFABKDYZA&amp;VAR:QUERY=RkZfRUJJVERBX09QRVIoUVRSLDQvMS8yMDA5LDYvMzAvMjAwOSwsLFVTRCk=&amp;WINDOW=FIRST_POPUP&amp;HEIGH","T=450&amp;WIDTH=450&amp;START_MAXIMIZED=FALSE&amp;VAR:CALENDAR=US&amp;VAR:SYMBOL=SIAL&amp;VAR:INDEX=0"}</definedName>
    <definedName name="_192__FDSAUDITLINK__" hidden="1">{"fdsup://directions/FAT Viewer?action=UPDATE&amp;creator=factset&amp;DYN_ARGS=TRUE&amp;DOC_NAME=FAT:FQL_AUDITING_CLIENT_TEMPLATE.FAT&amp;display_string=Audit&amp;VAR:KEY=HMJIHUHGXA&amp;VAR:QUERY=RkZfRUJJVERBX09QRVIoUVRSLDQvMS8yMDEwLDYvMzAvMjAxMCwsLFVTRCk=&amp;WINDOW=FIRST_POPUP&amp;HEIGH","T=450&amp;WIDTH=450&amp;START_MAXIMIZED=FALSE&amp;VAR:CALENDAR=US&amp;VAR:SYMBOL=SIAL&amp;VAR:INDEX=0"}</definedName>
    <definedName name="_193__FDSAUDITLINK__" hidden="1">{"fdsup://directions/FAT Viewer?action=UPDATE&amp;creator=factset&amp;DYN_ARGS=TRUE&amp;DOC_NAME=FAT:FQL_AUDITING_CLIENT_TEMPLATE.FAT&amp;display_string=Audit&amp;VAR:KEY=NOXOVYBIVS&amp;VAR:QUERY=RkZfRUJJVERBX09QRVIoUVRSLDQvMS8yMDA5LDYvMzAvMjAwOSwsLFVTRCk=&amp;WINDOW=FIRST_POPUP&amp;HEIGH","T=450&amp;WIDTH=450&amp;START_MAXIMIZED=FALSE&amp;VAR:CALENDAR=US&amp;VAR:SYMBOL=SHW&amp;VAR:INDEX=0"}</definedName>
    <definedName name="_194__FDSAUDITLINK__" hidden="1">{"fdsup://directions/FAT Viewer?action=UPDATE&amp;creator=factset&amp;DYN_ARGS=TRUE&amp;DOC_NAME=FAT:FQL_AUDITING_CLIENT_TEMPLATE.FAT&amp;display_string=Audit&amp;VAR:KEY=LALEVWNALE&amp;VAR:QUERY=RkZfRUJJVERBX09QRVIoUVRSLDQvMS8yMDEwLDYvMzAvMjAxMCwsLFVTRCk=&amp;WINDOW=FIRST_POPUP&amp;HEIGH","T=450&amp;WIDTH=450&amp;START_MAXIMIZED=FALSE&amp;VAR:CALENDAR=US&amp;VAR:SYMBOL=SHW&amp;VAR:INDEX=0"}</definedName>
    <definedName name="_195__FDSAUDITLINK__" hidden="1">{"fdsup://directions/FAT Viewer?action=UPDATE&amp;creator=factset&amp;DYN_ARGS=TRUE&amp;DOC_NAME=FAT:FQL_AUDITING_CLIENT_TEMPLATE.FAT&amp;display_string=Audit&amp;VAR:KEY=BWRWPCJELG&amp;VAR:QUERY=RkZfRUJJVERBX09QRVIoUVRSLDQvMS8yMDA5LDYvMzAvMjAwOSwsLFVTRCk=&amp;WINDOW=FIRST_POPUP&amp;HEIGH","T=450&amp;WIDTH=450&amp;START_MAXIMIZED=FALSE&amp;VAR:CALENDAR=US&amp;VAR:SYMBOL=SHLD&amp;VAR:INDEX=0"}</definedName>
    <definedName name="_196__FDSAUDITLINK__" hidden="1">{"fdsup://directions/FAT Viewer?action=UPDATE&amp;creator=factset&amp;DYN_ARGS=TRUE&amp;DOC_NAME=FAT:FQL_AUDITING_CLIENT_TEMPLATE.FAT&amp;display_string=Audit&amp;VAR:KEY=TIJURCVMNO&amp;VAR:QUERY=RkZfRUJJVERBX09QRVIoUVRSLDQvMS8yMDEwLDYvMzAvMjAxMCwsLFVTRCk=&amp;WINDOW=FIRST_POPUP&amp;HEIGH","T=450&amp;WIDTH=450&amp;START_MAXIMIZED=FALSE&amp;VAR:CALENDAR=US&amp;VAR:SYMBOL=SHLD&amp;VAR:INDEX=0"}</definedName>
    <definedName name="_197__FDSAUDITLINK__" hidden="1">{"fdsup://directions/FAT Viewer?action=UPDATE&amp;creator=factset&amp;DYN_ARGS=TRUE&amp;DOC_NAME=FAT:FQL_AUDITING_CLIENT_TEMPLATE.FAT&amp;display_string=Audit&amp;VAR:KEY=HSJUPEXEBS&amp;VAR:QUERY=RkZfRUJJVERBX09QRVIoUVRSLDQvMS8yMDA5LDYvMzAvMjAwOSwsLFVTRCk=&amp;WINDOW=FIRST_POPUP&amp;HEIGH","T=450&amp;WIDTH=450&amp;START_MAXIMIZED=FALSE&amp;VAR:CALENDAR=US&amp;VAR:SYMBOL=SEE&amp;VAR:INDEX=0"}</definedName>
    <definedName name="_198__FDSAUDITLINK__" hidden="1">{"fdsup://directions/FAT Viewer?action=UPDATE&amp;creator=factset&amp;DYN_ARGS=TRUE&amp;DOC_NAME=FAT:FQL_AUDITING_CLIENT_TEMPLATE.FAT&amp;display_string=Audit&amp;VAR:KEY=RMDYXIHQFI&amp;VAR:QUERY=RkZfRUJJVERBX09QRVIoUVRSLDQvMS8yMDEwLDYvMzAvMjAxMCwsLFVTRCk=&amp;WINDOW=FIRST_POPUP&amp;HEIGH","T=450&amp;WIDTH=450&amp;START_MAXIMIZED=FALSE&amp;VAR:CALENDAR=US&amp;VAR:SYMBOL=SEE&amp;VAR:INDEX=0"}</definedName>
    <definedName name="_199__FDSAUDITLINK__" hidden="1">{"fdsup://directions/FAT Viewer?action=UPDATE&amp;creator=factset&amp;DYN_ARGS=TRUE&amp;DOC_NAME=FAT:FQL_AUDITING_CLIENT_TEMPLATE.FAT&amp;display_string=Audit&amp;VAR:KEY=JCHMDCTUFM&amp;VAR:QUERY=RkZfRUJJVERBX09QRVIoUVRSLDQvMS8yMDA5LDYvMzAvMjAwOSwsLFVTRCk=&amp;WINDOW=FIRST_POPUP&amp;HEIGH","T=450&amp;WIDTH=450&amp;START_MAXIMIZED=FALSE&amp;VAR:CALENDAR=US&amp;VAR:SYMBOL=SE&amp;VAR:INDEX=0"}</definedName>
    <definedName name="_1ƒ0ACwvu.Sommai">#REF!</definedName>
    <definedName name="_2__123Graph_ACONTRACT_BY_B_U">#REF!</definedName>
    <definedName name="_2__123Graph_BCHART_3">#REF!</definedName>
    <definedName name="_2__123Graph_BQRE_S_BY_TYPE">#REF!</definedName>
    <definedName name="_2__FDSAUDITLINK__" hidden="1">{"fdsup://directions/FAT Viewer?action=UPDATE&amp;creator=factset&amp;DYN_ARGS=TRUE&amp;DOC_NAME=FAT:FQL_AUDITING_CLIENT_TEMPLATE.FAT&amp;display_string=Audit&amp;VAR:KEY=GZGJKDCFCZ&amp;VAR:QUERY=RkZfRU5UUlBSX1ZBTF9EQUlMWSg0LzExLzIwMTEp&amp;WINDOW=FIRST_POPUP&amp;HEIGHT=450&amp;WIDTH=450&amp;STAR","T_MAXIMIZED=FALSE&amp;VAR:CALENDAR=FIVEDAY&amp;VAR:SYMBOL=CNQR&amp;VAR:INDEX=0"}</definedName>
    <definedName name="_2_123Grap">#REF!</definedName>
    <definedName name="_20__123Graph_DQRE_S_BY_CO.">#REF!</definedName>
    <definedName name="_20__FDSAUDITLINK__" hidden="1">{"fdsup://directions/FAT Viewer?action=UPDATE&amp;creator=factset&amp;DYN_ARGS=TRUE&amp;DOC_NAME=FAT:FQL_AUDITING_CLIENT_TEMPLATE.FAT&amp;display_string=Audit&amp;VAR:KEY=NEVSZIZQHY&amp;VAR:QUERY=RkZfRUJJVERBX09QRVIoUVRSLDQvMS8yMDEwLDYvMzAvMjAxMCwsLFVTRCk=&amp;WINDOW=FIRST_POPUP&amp;HEIGH","T=450&amp;WIDTH=450&amp;START_MAXIMIZED=FALSE&amp;VAR:CALENDAR=US&amp;VAR:SYMBOL=XEL&amp;VAR:INDEX=0"}</definedName>
    <definedName name="_20_5__1_CRADDIN_Table">#REF!</definedName>
    <definedName name="_200__FDSAUDITLINK__" hidden="1">{"fdsup://directions/FAT Viewer?action=UPDATE&amp;creator=factset&amp;DYN_ARGS=TRUE&amp;DOC_NAME=FAT:FQL_AUDITING_CLIENT_TEMPLATE.FAT&amp;display_string=Audit&amp;VAR:KEY=PAVUDCPSRE&amp;VAR:QUERY=RkZfRUJJVERBX09QRVIoUVRSLDQvMS8yMDEwLDYvMzAvMjAxMCwsLFVTRCk=&amp;WINDOW=FIRST_POPUP&amp;HEIGH","T=450&amp;WIDTH=450&amp;START_MAXIMIZED=FALSE&amp;VAR:CALENDAR=US&amp;VAR:SYMBOL=SE&amp;VAR:INDEX=0"}</definedName>
    <definedName name="_201__FDSAUDITLINK__" hidden="1">{"fdsup://directions/FAT Viewer?action=UPDATE&amp;creator=factset&amp;DYN_ARGS=TRUE&amp;DOC_NAME=FAT:FQL_AUDITING_CLIENT_TEMPLATE.FAT&amp;display_string=Audit&amp;VAR:KEY=VSJODOHYLS&amp;VAR:QUERY=RkZfRUJJVERBX09QRVIoUVRSLDQvMS8yMDA5LDYvMzAvMjAwOSwsLFVTRCk=&amp;WINDOW=FIRST_POPUP&amp;HEIGH","T=450&amp;WIDTH=450&amp;START_MAXIMIZED=FALSE&amp;VAR:CALENDAR=US&amp;VAR:SYMBOL=SCHW&amp;VAR:INDEX=0"}</definedName>
    <definedName name="_202__FDSAUDITLINK__" hidden="1">{"fdsup://directions/FAT Viewer?action=UPDATE&amp;creator=factset&amp;DYN_ARGS=TRUE&amp;DOC_NAME=FAT:FQL_AUDITING_CLIENT_TEMPLATE.FAT&amp;display_string=Audit&amp;VAR:KEY=LSRMTSZEFM&amp;VAR:QUERY=RkZfRUJJVERBX09QRVIoUVRSLDQvMS8yMDEwLDYvMzAvMjAxMCwsLFVTRCk=&amp;WINDOW=FIRST_POPUP&amp;HEIGH","T=450&amp;WIDTH=450&amp;START_MAXIMIZED=FALSE&amp;VAR:CALENDAR=US&amp;VAR:SYMBOL=SCHW&amp;VAR:INDEX=0"}</definedName>
    <definedName name="_203__FDSAUDITLINK__" hidden="1">{"fdsup://directions/FAT Viewer?action=UPDATE&amp;creator=factset&amp;DYN_ARGS=TRUE&amp;DOC_NAME=FAT:FQL_AUDITING_CLIENT_TEMPLATE.FAT&amp;display_string=Audit&amp;VAR:KEY=XQPQTEJAXO&amp;VAR:QUERY=RkZfRUJJVERBX09QRVIoUVRSLDQvMS8yMDA5LDYvMzAvMjAwOSwsLFVTRCk=&amp;WINDOW=FIRST_POPUP&amp;HEIGH","T=450&amp;WIDTH=450&amp;START_MAXIMIZED=FALSE&amp;VAR:CALENDAR=US&amp;VAR:SYMBOL=SCG&amp;VAR:INDEX=0"}</definedName>
    <definedName name="_204__FDSAUDITLINK__" hidden="1">{"fdsup://directions/FAT Viewer?action=UPDATE&amp;creator=factset&amp;DYN_ARGS=TRUE&amp;DOC_NAME=FAT:FQL_AUDITING_CLIENT_TEMPLATE.FAT&amp;display_string=Audit&amp;VAR:KEY=VOFIPILIZY&amp;VAR:QUERY=RkZfRUJJVERBX09QRVIoUVRSLDQvMS8yMDEwLDYvMzAvMjAxMCwsLFVTRCk=&amp;WINDOW=FIRST_POPUP&amp;HEIGH","T=450&amp;WIDTH=450&amp;START_MAXIMIZED=FALSE&amp;VAR:CALENDAR=US&amp;VAR:SYMBOL=SCG&amp;VAR:INDEX=0"}</definedName>
    <definedName name="_205__FDSAUDITLINK__" hidden="1">{"fdsup://directions/FAT Viewer?action=UPDATE&amp;creator=factset&amp;DYN_ARGS=TRUE&amp;DOC_NAME=FAT:FQL_AUDITING_CLIENT_TEMPLATE.FAT&amp;display_string=Audit&amp;VAR:KEY=VOFKTUNUFC&amp;VAR:QUERY=RkZfRUJJVERBX09QRVIoUVRSLDQvMS8yMDA5LDYvMzAvMjAwOSwsLFVTRCk=&amp;WINDOW=FIRST_POPUP&amp;HEIGH","T=450&amp;WIDTH=450&amp;START_MAXIMIZED=FALSE&amp;VAR:CALENDAR=US&amp;VAR:SYMBOL=SBUX&amp;VAR:INDEX=0"}</definedName>
    <definedName name="_206__FDSAUDITLINK__" hidden="1">{"fdsup://directions/FAT Viewer?action=UPDATE&amp;creator=factset&amp;DYN_ARGS=TRUE&amp;DOC_NAME=FAT:FQL_AUDITING_CLIENT_TEMPLATE.FAT&amp;display_string=Audit&amp;VAR:KEY=LMJGFMDADY&amp;VAR:QUERY=RkZfRUJJVERBX09QRVIoUVRSLDQvMS8yMDEwLDYvMzAvMjAxMCwsLFVTRCk=&amp;WINDOW=FIRST_POPUP&amp;HEIGH","T=450&amp;WIDTH=450&amp;START_MAXIMIZED=FALSE&amp;VAR:CALENDAR=US&amp;VAR:SYMBOL=SBUX&amp;VAR:INDEX=0"}</definedName>
    <definedName name="_207__FDSAUDITLINK__" hidden="1">{"fdsup://directions/FAT Viewer?action=UPDATE&amp;creator=factset&amp;DYN_ARGS=TRUE&amp;DOC_NAME=FAT:FQL_AUDITING_CLIENT_TEMPLATE.FAT&amp;display_string=Audit&amp;VAR:KEY=RYHUPELOVO&amp;VAR:QUERY=RkZfRUJJVERBX09QRVIoUVRSLDQvMS8yMDA5LDYvMzAvMjAwOSwsLFVTRCk=&amp;WINDOW=FIRST_POPUP&amp;HEIGH","T=450&amp;WIDTH=450&amp;START_MAXIMIZED=FALSE&amp;VAR:CALENDAR=US&amp;VAR:SYMBOL=SAI&amp;VAR:INDEX=0"}</definedName>
    <definedName name="_208__FDSAUDITLINK__" hidden="1">{"fdsup://directions/FAT Viewer?action=UPDATE&amp;creator=factset&amp;DYN_ARGS=TRUE&amp;DOC_NAME=FAT:FQL_AUDITING_CLIENT_TEMPLATE.FAT&amp;display_string=Audit&amp;VAR:KEY=VOHITUVEVS&amp;VAR:QUERY=RkZfRUJJVERBX09QRVIoUVRSLDQvMS8yMDEwLDYvMzAvMjAxMCwsLFVTRCk=&amp;WINDOW=FIRST_POPUP&amp;HEIGH","T=450&amp;WIDTH=450&amp;START_MAXIMIZED=FALSE&amp;VAR:CALENDAR=US&amp;VAR:SYMBOL=SAI&amp;VAR:INDEX=0"}</definedName>
    <definedName name="_209__FDSAUDITLINK__" hidden="1">{"fdsup://directions/FAT Viewer?action=UPDATE&amp;creator=factset&amp;DYN_ARGS=TRUE&amp;DOC_NAME=FAT:FQL_AUDITING_CLIENT_TEMPLATE.FAT&amp;display_string=Audit&amp;VAR:KEY=FOTOZMLGDA&amp;VAR:QUERY=RkZfRUJJVERBX09QRVIoUVRSLDQvMS8yMDA5LDYvMzAvMjAwOSwsLFVTRCk=&amp;WINDOW=FIRST_POPUP&amp;HEIGH","T=450&amp;WIDTH=450&amp;START_MAXIMIZED=FALSE&amp;VAR:CALENDAR=US&amp;VAR:SYMBOL=S&amp;VAR:INDEX=0"}</definedName>
    <definedName name="_21__123Graph_DSUPPLIES_BY_B_U">#REF!</definedName>
    <definedName name="_21__FDSAUDITLINK__" hidden="1">{"fdsup://directions/FAT Viewer?action=UPDATE&amp;creator=factset&amp;DYN_ARGS=TRUE&amp;DOC_NAME=FAT:FQL_AUDITING_CLIENT_TEMPLATE.FAT&amp;display_string=Audit&amp;VAR:KEY=NUDGVWTODA&amp;VAR:QUERY=RkZfRUJJVERBX09QRVIoUVRSLDQvMS8yMDA5LDYvMzAvMjAwOSwsLFVTRCk=&amp;WINDOW=FIRST_POPUP&amp;HEIGH","T=450&amp;WIDTH=450&amp;START_MAXIMIZED=FALSE&amp;VAR:CALENDAR=US&amp;VAR:SYMBOL=X&amp;VAR:INDEX=0"}</definedName>
    <definedName name="_21_6__1_CRADDIN_DataGrid">#REF!</definedName>
    <definedName name="_210__FDSAUDITLINK__" hidden="1">{"fdsup://directions/FAT Viewer?action=UPDATE&amp;creator=factset&amp;DYN_ARGS=TRUE&amp;DOC_NAME=FAT:FQL_AUDITING_CLIENT_TEMPLATE.FAT&amp;display_string=Audit&amp;VAR:KEY=HCZADMXGZA&amp;VAR:QUERY=RkZfRUJJVERBX09QRVIoUVRSLDQvMS8yMDEwLDYvMzAvMjAxMCwsLFVTRCk=&amp;WINDOW=FIRST_POPUP&amp;HEIGH","T=450&amp;WIDTH=450&amp;START_MAXIMIZED=FALSE&amp;VAR:CALENDAR=US&amp;VAR:SYMBOL=S&amp;VAR:INDEX=0"}</definedName>
    <definedName name="_211__FDSAUDITLINK__" hidden="1">{"fdsup://directions/FAT Viewer?action=UPDATE&amp;creator=factset&amp;DYN_ARGS=TRUE&amp;DOC_NAME=FAT:FQL_AUDITING_CLIENT_TEMPLATE.FAT&amp;display_string=Audit&amp;VAR:KEY=FKFMFOBOLU&amp;VAR:QUERY=RkZfRUJJVERBX09QRVIoUVRSLDQvMS8yMDA5LDYvMzAvMjAwOSwsLFVTRCk=&amp;WINDOW=FIRST_POPUP&amp;HEIGH","T=450&amp;WIDTH=450&amp;START_MAXIMIZED=FALSE&amp;VAR:CALENDAR=US&amp;VAR:SYMBOL=RTN&amp;VAR:INDEX=0"}</definedName>
    <definedName name="_212__FDSAUDITLINK__" hidden="1">{"fdsup://directions/FAT Viewer?action=UPDATE&amp;creator=factset&amp;DYN_ARGS=TRUE&amp;DOC_NAME=FAT:FQL_AUDITING_CLIENT_TEMPLATE.FAT&amp;display_string=Audit&amp;VAR:KEY=XYJADKHUBC&amp;VAR:QUERY=RkZfRUJJVERBX09QRVIoUVRSLDQvMS8yMDEwLDYvMzAvMjAxMCwsLFVTRCk=&amp;WINDOW=FIRST_POPUP&amp;HEIGH","T=450&amp;WIDTH=450&amp;START_MAXIMIZED=FALSE&amp;VAR:CALENDAR=US&amp;VAR:SYMBOL=RTN&amp;VAR:INDEX=0"}</definedName>
    <definedName name="_213__FDSAUDITLINK__" hidden="1">{"fdsup://directions/FAT Viewer?action=UPDATE&amp;creator=factset&amp;DYN_ARGS=TRUE&amp;DOC_NAME=FAT:FQL_AUDITING_CLIENT_TEMPLATE.FAT&amp;display_string=Audit&amp;VAR:KEY=DCVUZETEHK&amp;VAR:QUERY=RkZfRUJJVERBX09QRVIoUVRSLDQvMS8yMDA5LDYvMzAvMjAwOSwsLFVTRCk=&amp;WINDOW=FIRST_POPUP&amp;HEIGH","T=450&amp;WIDTH=450&amp;START_MAXIMIZED=FALSE&amp;VAR:CALENDAR=US&amp;VAR:SYMBOL=RSH&amp;VAR:INDEX=0"}</definedName>
    <definedName name="_214__FDSAUDITLINK__" hidden="1">{"fdsup://directions/FAT Viewer?action=UPDATE&amp;creator=factset&amp;DYN_ARGS=TRUE&amp;DOC_NAME=FAT:FQL_AUDITING_CLIENT_TEMPLATE.FAT&amp;display_string=Audit&amp;VAR:KEY=PAHYRYDELM&amp;VAR:QUERY=RkZfRUJJVERBX09QRVIoUVRSLDQvMS8yMDEwLDYvMzAvMjAxMCwsLFVTRCk=&amp;WINDOW=FIRST_POPUP&amp;HEIGH","T=450&amp;WIDTH=450&amp;START_MAXIMIZED=FALSE&amp;VAR:CALENDAR=US&amp;VAR:SYMBOL=RSH&amp;VAR:INDEX=0"}</definedName>
    <definedName name="_215__FDSAUDITLINK__" hidden="1">{"fdsup://directions/FAT Viewer?action=UPDATE&amp;creator=factset&amp;DYN_ARGS=TRUE&amp;DOC_NAME=FAT:FQL_AUDITING_CLIENT_TEMPLATE.FAT&amp;display_string=Audit&amp;VAR:KEY=BGTULIBOLS&amp;VAR:QUERY=RkZfRUJJVERBX09QRVIoUVRSLDQvMS8yMDA5LDYvMzAvMjAwOSwsLFVTRCk=&amp;WINDOW=FIRST_POPUP&amp;HEIGH","T=450&amp;WIDTH=450&amp;START_MAXIMIZED=FALSE&amp;VAR:CALENDAR=US&amp;VAR:SYMBOL=RSG&amp;VAR:INDEX=0"}</definedName>
    <definedName name="_216__FDSAUDITLINK__" hidden="1">{"fdsup://directions/FAT Viewer?action=UPDATE&amp;creator=factset&amp;DYN_ARGS=TRUE&amp;DOC_NAME=FAT:FQL_AUDITING_CLIENT_TEMPLATE.FAT&amp;display_string=Audit&amp;VAR:KEY=HWNOVORCDM&amp;VAR:QUERY=RkZfRUJJVERBX09QRVIoUVRSLDQvMS8yMDEwLDYvMzAvMjAxMCwsLFVTRCk=&amp;WINDOW=FIRST_POPUP&amp;HEIGH","T=450&amp;WIDTH=450&amp;START_MAXIMIZED=FALSE&amp;VAR:CALENDAR=US&amp;VAR:SYMBOL=RSG&amp;VAR:INDEX=0"}</definedName>
    <definedName name="_217__FDSAUDITLINK__" hidden="1">{"fdsup://directions/FAT Viewer?action=UPDATE&amp;creator=factset&amp;DYN_ARGS=TRUE&amp;DOC_NAME=FAT:FQL_AUDITING_CLIENT_TEMPLATE.FAT&amp;display_string=Audit&amp;VAR:KEY=XAFCPMLMFU&amp;VAR:QUERY=RkZfRUJJVERBX09QRVIoUVRSLDQvMS8yMDA5LDYvMzAvMjAwOSwsLFVTRCk=&amp;WINDOW=FIRST_POPUP&amp;HEIGH","T=450&amp;WIDTH=450&amp;START_MAXIMIZED=FALSE&amp;VAR:CALENDAR=US&amp;VAR:SYMBOL=RRD&amp;VAR:INDEX=0"}</definedName>
    <definedName name="_218__FDSAUDITLINK__" hidden="1">{"fdsup://directions/FAT Viewer?action=UPDATE&amp;creator=factset&amp;DYN_ARGS=TRUE&amp;DOC_NAME=FAT:FQL_AUDITING_CLIENT_TEMPLATE.FAT&amp;display_string=Audit&amp;VAR:KEY=TANQJGBMBK&amp;VAR:QUERY=RkZfRUJJVERBX09QRVIoUVRSLDQvMS8yMDEwLDYvMzAvMjAxMCwsLFVTRCk=&amp;WINDOW=FIRST_POPUP&amp;HEIGH","T=450&amp;WIDTH=450&amp;START_MAXIMIZED=FALSE&amp;VAR:CALENDAR=US&amp;VAR:SYMBOL=RRD&amp;VAR:INDEX=0"}</definedName>
    <definedName name="_219__FDSAUDITLINK__" hidden="1">{"fdsup://directions/FAT Viewer?action=UPDATE&amp;creator=factset&amp;DYN_ARGS=TRUE&amp;DOC_NAME=FAT:FQL_AUDITING_CLIENT_TEMPLATE.FAT&amp;display_string=Audit&amp;VAR:KEY=XKFULUREDW&amp;VAR:QUERY=RkZfRUJJVERBX09QRVIoUVRSLDQvMS8yMDA5LDYvMzAvMjAwOSwsLFVTRCk=&amp;WINDOW=FIRST_POPUP&amp;HEIGH","T=450&amp;WIDTH=450&amp;START_MAXIMIZED=FALSE&amp;VAR:CALENDAR=US&amp;VAR:SYMBOL=RRC&amp;VAR:INDEX=0"}</definedName>
    <definedName name="_22__123Graph_DWAGES_BY_B_U">#REF!</definedName>
    <definedName name="_22__FDSAUDITLINK__" hidden="1">{"fdsup://directions/FAT Viewer?action=UPDATE&amp;creator=factset&amp;DYN_ARGS=TRUE&amp;DOC_NAME=FAT:FQL_AUDITING_CLIENT_TEMPLATE.FAT&amp;display_string=Audit&amp;VAR:KEY=ZCDGZERAJK&amp;VAR:QUERY=RkZfRUJJVERBX09QRVIoUVRSLDQvMS8yMDEwLDYvMzAvMjAxMCwsLFVTRCk=&amp;WINDOW=FIRST_POPUP&amp;HEIGH","T=450&amp;WIDTH=450&amp;START_MAXIMIZED=FALSE&amp;VAR:CALENDAR=US&amp;VAR:SYMBOL=X&amp;VAR:INDEX=0"}</definedName>
    <definedName name="_22_6__1_CRADDIN_Headings">#REF!</definedName>
    <definedName name="_220__FDSAUDITLINK__" hidden="1">{"fdsup://directions/FAT Viewer?action=UPDATE&amp;creator=factset&amp;DYN_ARGS=TRUE&amp;DOC_NAME=FAT:FQL_AUDITING_CLIENT_TEMPLATE.FAT&amp;display_string=Audit&amp;VAR:KEY=DSVKBEHWRE&amp;VAR:QUERY=RkZfRUJJVERBX09QRVIoUVRSLDQvMS8yMDEwLDYvMzAvMjAxMCwsLFVTRCk=&amp;WINDOW=FIRST_POPUP&amp;HEIGH","T=450&amp;WIDTH=450&amp;START_MAXIMIZED=FALSE&amp;VAR:CALENDAR=US&amp;VAR:SYMBOL=RRC&amp;VAR:INDEX=0"}</definedName>
    <definedName name="_221__FDSAUDITLINK__" hidden="1">{"fdsup://directions/FAT Viewer?action=UPDATE&amp;creator=factset&amp;DYN_ARGS=TRUE&amp;DOC_NAME=FAT:FQL_AUDITING_CLIENT_TEMPLATE.FAT&amp;display_string=Audit&amp;VAR:KEY=ZGBSLYDWHA&amp;VAR:QUERY=RkZfRUJJVERBX09QRVIoUVRSLDQvMS8yMDA5LDYvMzAvMjAwOSwsLFVTRCk=&amp;WINDOW=FIRST_POPUP&amp;HEIGH","T=450&amp;WIDTH=450&amp;START_MAXIMIZED=FALSE&amp;VAR:CALENDAR=US&amp;VAR:SYMBOL=ROST&amp;VAR:INDEX=0"}</definedName>
    <definedName name="_222__FDSAUDITLINK__" hidden="1">{"fdsup://directions/FAT Viewer?action=UPDATE&amp;creator=factset&amp;DYN_ARGS=TRUE&amp;DOC_NAME=FAT:FQL_AUDITING_CLIENT_TEMPLATE.FAT&amp;display_string=Audit&amp;VAR:KEY=HKVUFKFQTU&amp;VAR:QUERY=RkZfRUJJVERBX09QRVIoUVRSLDQvMS8yMDEwLDYvMzAvMjAxMCwsLFVTRCk=&amp;WINDOW=FIRST_POPUP&amp;HEIGH","T=450&amp;WIDTH=450&amp;START_MAXIMIZED=FALSE&amp;VAR:CALENDAR=US&amp;VAR:SYMBOL=ROST&amp;VAR:INDEX=0"}</definedName>
    <definedName name="_223__FDSAUDITLINK__" hidden="1">{"fdsup://directions/FAT Viewer?action=UPDATE&amp;creator=factset&amp;DYN_ARGS=TRUE&amp;DOC_NAME=FAT:FQL_AUDITING_CLIENT_TEMPLATE.FAT&amp;display_string=Audit&amp;VAR:KEY=NKFQFQRSXS&amp;VAR:QUERY=RkZfRUJJVERBX09QRVIoUVRSLDQvMS8yMDA5LDYvMzAvMjAwOSwsLFVTRCk=&amp;WINDOW=FIRST_POPUP&amp;HEIGH","T=450&amp;WIDTH=450&amp;START_MAXIMIZED=FALSE&amp;VAR:CALENDAR=US&amp;VAR:SYMBOL=ROP&amp;VAR:INDEX=0"}</definedName>
    <definedName name="_224__FDSAUDITLINK__" hidden="1">{"fdsup://directions/FAT Viewer?action=UPDATE&amp;creator=factset&amp;DYN_ARGS=TRUE&amp;DOC_NAME=FAT:FQL_AUDITING_CLIENT_TEMPLATE.FAT&amp;display_string=Audit&amp;VAR:KEY=XWZQNWLOHU&amp;VAR:QUERY=RkZfRUJJVERBX09QRVIoUVRSLDQvMS8yMDEwLDYvMzAvMjAxMCwsLFVTRCk=&amp;WINDOW=FIRST_POPUP&amp;HEIGH","T=450&amp;WIDTH=450&amp;START_MAXIMIZED=FALSE&amp;VAR:CALENDAR=US&amp;VAR:SYMBOL=ROP&amp;VAR:INDEX=0"}</definedName>
    <definedName name="_225__FDSAUDITLINK__" hidden="1">{"fdsup://directions/FAT Viewer?action=UPDATE&amp;creator=factset&amp;DYN_ARGS=TRUE&amp;DOC_NAME=FAT:FQL_AUDITING_CLIENT_TEMPLATE.FAT&amp;display_string=Audit&amp;VAR:KEY=VYJQZIHMTG&amp;VAR:QUERY=RkZfRUJJVERBX09QRVIoUVRSLDQvMS8yMDA5LDYvMzAvMjAwOSwsLFVTRCk=&amp;WINDOW=FIRST_POPUP&amp;HEIGH","T=450&amp;WIDTH=450&amp;START_MAXIMIZED=FALSE&amp;VAR:CALENDAR=US&amp;VAR:SYMBOL=ROK&amp;VAR:INDEX=0"}</definedName>
    <definedName name="_226__FDSAUDITLINK__" hidden="1">{"fdsup://directions/FAT Viewer?action=UPDATE&amp;creator=factset&amp;DYN_ARGS=TRUE&amp;DOC_NAME=FAT:FQL_AUDITING_CLIENT_TEMPLATE.FAT&amp;display_string=Audit&amp;VAR:KEY=NIVEJCDGJE&amp;VAR:QUERY=RkZfRUJJVERBX09QRVIoUVRSLDQvMS8yMDEwLDYvMzAvMjAxMCwsLFVTRCk=&amp;WINDOW=FIRST_POPUP&amp;HEIGH","T=450&amp;WIDTH=450&amp;START_MAXIMIZED=FALSE&amp;VAR:CALENDAR=US&amp;VAR:SYMBOL=ROK&amp;VAR:INDEX=0"}</definedName>
    <definedName name="_227__FDSAUDITLINK__" hidden="1">{"fdsup://directions/FAT Viewer?action=UPDATE&amp;creator=factset&amp;DYN_ARGS=TRUE&amp;DOC_NAME=FAT:FQL_AUDITING_CLIENT_TEMPLATE.FAT&amp;display_string=Audit&amp;VAR:KEY=BGVILEHQPS&amp;VAR:QUERY=RkZfRUJJVERBX09QRVIoUVRSLDQvMS8yMDA5LDYvMzAvMjAwOSwsLFVTRCk=&amp;WINDOW=FIRST_POPUP&amp;HEIGH","T=450&amp;WIDTH=450&amp;START_MAXIMIZED=FALSE&amp;VAR:CALENDAR=US&amp;VAR:SYMBOL=RL&amp;VAR:INDEX=0"}</definedName>
    <definedName name="_228__FDSAUDITLINK__" hidden="1">{"fdsup://directions/FAT Viewer?action=UPDATE&amp;creator=factset&amp;DYN_ARGS=TRUE&amp;DOC_NAME=FAT:FQL_AUDITING_CLIENT_TEMPLATE.FAT&amp;display_string=Audit&amp;VAR:KEY=RUFCBCXSDU&amp;VAR:QUERY=RkZfRUJJVERBX09QRVIoUVRSLDQvMS8yMDEwLDYvMzAvMjAxMCwsLFVTRCk=&amp;WINDOW=FIRST_POPUP&amp;HEIGH","T=450&amp;WIDTH=450&amp;START_MAXIMIZED=FALSE&amp;VAR:CALENDAR=US&amp;VAR:SYMBOL=RL&amp;VAR:INDEX=0"}</definedName>
    <definedName name="_229__FDSAUDITLINK__" hidden="1">{"fdsup://directions/FAT Viewer?action=UPDATE&amp;creator=factset&amp;DYN_ARGS=TRUE&amp;DOC_NAME=FAT:FQL_AUDITING_CLIENT_TEMPLATE.FAT&amp;display_string=Audit&amp;VAR:KEY=FMRWDADEFC&amp;VAR:QUERY=RkZfRUJJVERBX09QRVIoUVRSLDQvMS8yMDA5LDYvMzAvMjAwOSwsLFVTRCk=&amp;WINDOW=FIRST_POPUP&amp;HEIGH","T=450&amp;WIDTH=450&amp;START_MAXIMIZED=FALSE&amp;VAR:CALENDAR=US&amp;VAR:SYMBOL=RHT&amp;VAR:INDEX=0"}</definedName>
    <definedName name="_23__123Graph_ECONTRACT_BY_B_U">#REF!</definedName>
    <definedName name="_23__FDSAUDITLINK__" hidden="1">{"fdsup://directions/FAT Viewer?action=UPDATE&amp;creator=factset&amp;DYN_ARGS=TRUE&amp;DOC_NAME=FAT:FQL_AUDITING_CLIENT_TEMPLATE.FAT&amp;display_string=Audit&amp;VAR:KEY=TOXUBALQZG&amp;VAR:QUERY=RkZfRUJJVERBX09QRVIoUVRSLDQvMS8yMDA5LDYvMzAvMjAwOSwsLFVTRCk=&amp;WINDOW=FIRST_POPUP&amp;HEIGH","T=450&amp;WIDTH=450&amp;START_MAXIMIZED=FALSE&amp;VAR:CALENDAR=US&amp;VAR:SYMBOL=WYNN&amp;VAR:INDEX=0"}</definedName>
    <definedName name="_23_6__1_CRADDIN_Table">#REF!</definedName>
    <definedName name="_230__FDSAUDITLINK__" hidden="1">{"fdsup://directions/FAT Viewer?action=UPDATE&amp;creator=factset&amp;DYN_ARGS=TRUE&amp;DOC_NAME=FAT:FQL_AUDITING_CLIENT_TEMPLATE.FAT&amp;display_string=Audit&amp;VAR:KEY=ZSXARITWRU&amp;VAR:QUERY=RkZfRUJJVERBX09QRVIoUVRSLDQvMS8yMDEwLDYvMzAvMjAxMCwsLFVTRCk=&amp;WINDOW=FIRST_POPUP&amp;HEIGH","T=450&amp;WIDTH=450&amp;START_MAXIMIZED=FALSE&amp;VAR:CALENDAR=US&amp;VAR:SYMBOL=RHT&amp;VAR:INDEX=0"}</definedName>
    <definedName name="_231__FDSAUDITLINK__" hidden="1">{"fdsup://directions/FAT Viewer?action=UPDATE&amp;creator=factset&amp;DYN_ARGS=TRUE&amp;DOC_NAME=FAT:FQL_AUDITING_CLIENT_TEMPLATE.FAT&amp;display_string=Audit&amp;VAR:KEY=NMPIZKTCPO&amp;VAR:QUERY=RkZfRUJJVERBX09QRVIoUVRSLDQvMS8yMDA5LDYvMzAvMjAwOSwsLFVTRCk=&amp;WINDOW=FIRST_POPUP&amp;HEIGH","T=450&amp;WIDTH=450&amp;START_MAXIMIZED=FALSE&amp;VAR:CALENDAR=US&amp;VAR:SYMBOL=RHI&amp;VAR:INDEX=0"}</definedName>
    <definedName name="_232__FDSAUDITLINK__" hidden="1">{"fdsup://directions/FAT Viewer?action=UPDATE&amp;creator=factset&amp;DYN_ARGS=TRUE&amp;DOC_NAME=FAT:FQL_AUDITING_CLIENT_TEMPLATE.FAT&amp;display_string=Audit&amp;VAR:KEY=BAFINQXYJK&amp;VAR:QUERY=RkZfRUJJVERBX09QRVIoUVRSLDQvMS8yMDEwLDYvMzAvMjAxMCwsLFVTRCk=&amp;WINDOW=FIRST_POPUP&amp;HEIGH","T=450&amp;WIDTH=450&amp;START_MAXIMIZED=FALSE&amp;VAR:CALENDAR=US&amp;VAR:SYMBOL=RHI&amp;VAR:INDEX=0"}</definedName>
    <definedName name="_233__FDSAUDITLINK__" hidden="1">{"fdsup://directions/FAT Viewer?action=UPDATE&amp;creator=factset&amp;DYN_ARGS=TRUE&amp;DOC_NAME=FAT:FQL_AUDITING_CLIENT_TEMPLATE.FAT&amp;display_string=Audit&amp;VAR:KEY=FWVIDMRWPC&amp;VAR:QUERY=RkZfRUJJVERBX09QRVIoUVRSLDQvMS8yMDA5LDYvMzAvMjAwOSwsLFVTRCk=&amp;WINDOW=FIRST_POPUP&amp;HEIGH","T=450&amp;WIDTH=450&amp;START_MAXIMIZED=FALSE&amp;VAR:CALENDAR=US&amp;VAR:SYMBOL=RF&amp;VAR:INDEX=0"}</definedName>
    <definedName name="_234__FDSAUDITLINK__" hidden="1">{"fdsup://directions/FAT Viewer?action=UPDATE&amp;creator=factset&amp;DYN_ARGS=TRUE&amp;DOC_NAME=FAT:FQL_AUDITING_CLIENT_TEMPLATE.FAT&amp;display_string=Audit&amp;VAR:KEY=LEJOXSTWRA&amp;VAR:QUERY=RkZfRUJJVERBX09QRVIoUVRSLDQvMS8yMDEwLDYvMzAvMjAxMCwsLFVTRCk=&amp;WINDOW=FIRST_POPUP&amp;HEIGH","T=450&amp;WIDTH=450&amp;START_MAXIMIZED=FALSE&amp;VAR:CALENDAR=US&amp;VAR:SYMBOL=RF&amp;VAR:INDEX=0"}</definedName>
    <definedName name="_235__FDSAUDITLINK__" hidden="1">{"fdsup://directions/FAT Viewer?action=UPDATE&amp;creator=factset&amp;DYN_ARGS=TRUE&amp;DOC_NAME=FAT:FQL_AUDITING_CLIENT_TEMPLATE.FAT&amp;display_string=Audit&amp;VAR:KEY=NOJQDUBABU&amp;VAR:QUERY=RkZfRUJJVERBX09QRVIoUVRSLDQvMS8yMDA5LDYvMzAvMjAwOSwsLFVTRCk=&amp;WINDOW=FIRST_POPUP&amp;HEIGH","T=450&amp;WIDTH=450&amp;START_MAXIMIZED=FALSE&amp;VAR:CALENDAR=US&amp;VAR:SYMBOL=RDC&amp;VAR:INDEX=0"}</definedName>
    <definedName name="_236__FDSAUDITLINK__" hidden="1">{"fdsup://directions/FAT Viewer?action=UPDATE&amp;creator=factset&amp;DYN_ARGS=TRUE&amp;DOC_NAME=FAT:FQL_AUDITING_CLIENT_TEMPLATE.FAT&amp;display_string=Audit&amp;VAR:KEY=BAHQHAPMZM&amp;VAR:QUERY=RkZfRUJJVERBX09QRVIoUVRSLDQvMS8yMDEwLDYvMzAvMjAxMCwsLFVTRCk=&amp;WINDOW=FIRST_POPUP&amp;HEIGH","T=450&amp;WIDTH=450&amp;START_MAXIMIZED=FALSE&amp;VAR:CALENDAR=US&amp;VAR:SYMBOL=RDC&amp;VAR:INDEX=0"}</definedName>
    <definedName name="_237__FDSAUDITLINK__" hidden="1">{"fdsup://directions/FAT Viewer?action=UPDATE&amp;creator=factset&amp;DYN_ARGS=TRUE&amp;DOC_NAME=FAT:FQL_AUDITING_CLIENT_TEMPLATE.FAT&amp;display_string=Audit&amp;VAR:KEY=BIHMFOJWVG&amp;VAR:QUERY=RkZfRUJJVERBX09QRVIoUVRSLDQvMS8yMDA5LDYvMzAvMjAwOSwsLFVTRCk=&amp;WINDOW=FIRST_POPUP&amp;HEIGH","T=450&amp;WIDTH=450&amp;START_MAXIMIZED=FALSE&amp;VAR:CALENDAR=US&amp;VAR:SYMBOL=RAI&amp;VAR:INDEX=0"}</definedName>
    <definedName name="_238__FDSAUDITLINK__" hidden="1">{"fdsup://directions/FAT Viewer?action=UPDATE&amp;creator=factset&amp;DYN_ARGS=TRUE&amp;DOC_NAME=FAT:FQL_AUDITING_CLIENT_TEMPLATE.FAT&amp;display_string=Audit&amp;VAR:KEY=HKVILWBGJG&amp;VAR:QUERY=RkZfRUJJVERBX09QRVIoUVRSLDQvMS8yMDEwLDYvMzAvMjAxMCwsLFVTRCk=&amp;WINDOW=FIRST_POPUP&amp;HEIGH","T=450&amp;WIDTH=450&amp;START_MAXIMIZED=FALSE&amp;VAR:CALENDAR=US&amp;VAR:SYMBOL=RAI&amp;VAR:INDEX=0"}</definedName>
    <definedName name="_239__FDSAUDITLINK__" hidden="1">{"fdsup://directions/FAT Viewer?action=UPDATE&amp;creator=factset&amp;DYN_ARGS=TRUE&amp;DOC_NAME=FAT:FQL_AUDITING_CLIENT_TEMPLATE.FAT&amp;display_string=Audit&amp;VAR:KEY=DGLCBEPGVO&amp;VAR:QUERY=RkZfRUJJVERBX09QRVIoUVRSLDQvMS8yMDA5LDYvMzAvMjAwOSwsLFVTRCk=&amp;WINDOW=FIRST_POPUP&amp;HEIGH","T=450&amp;WIDTH=450&amp;START_MAXIMIZED=FALSE&amp;VAR:CALENDAR=US&amp;VAR:SYMBOL=R&amp;VAR:INDEX=0"}</definedName>
    <definedName name="_24__123Graph_EQRE_S_BY_CO.">#REF!</definedName>
    <definedName name="_24__FDSAUDITLINK__" hidden="1">{"fdsup://directions/FAT Viewer?action=UPDATE&amp;creator=factset&amp;DYN_ARGS=TRUE&amp;DOC_NAME=FAT:FQL_AUDITING_CLIENT_TEMPLATE.FAT&amp;display_string=Audit&amp;VAR:KEY=DCPIFIFMNU&amp;VAR:QUERY=RkZfRUJJVERBX09QRVIoUVRSLDQvMS8yMDEwLDYvMzAvMjAxMCwsLFVTRCk=&amp;WINDOW=FIRST_POPUP&amp;HEIGH","T=450&amp;WIDTH=450&amp;START_MAXIMIZED=FALSE&amp;VAR:CALENDAR=US&amp;VAR:SYMBOL=WYNN&amp;VAR:INDEX=0"}</definedName>
    <definedName name="_240__FDSAUDITLINK__" hidden="1">{"fdsup://directions/FAT Viewer?action=UPDATE&amp;creator=factset&amp;DYN_ARGS=TRUE&amp;DOC_NAME=FAT:FQL_AUDITING_CLIENT_TEMPLATE.FAT&amp;display_string=Audit&amp;VAR:KEY=BYXSTIJCXA&amp;VAR:QUERY=RkZfRUJJVERBX09QRVIoUVRSLDQvMS8yMDEwLDYvMzAvMjAxMCwsLFVTRCk=&amp;WINDOW=FIRST_POPUP&amp;HEIGH","T=450&amp;WIDTH=450&amp;START_MAXIMIZED=FALSE&amp;VAR:CALENDAR=US&amp;VAR:SYMBOL=R&amp;VAR:INDEX=0"}</definedName>
    <definedName name="_241__FDSAUDITLINK__" hidden="1">{"fdsup://directions/FAT Viewer?action=UPDATE&amp;creator=factset&amp;DYN_ARGS=TRUE&amp;DOC_NAME=FAT:FQL_AUDITING_CLIENT_TEMPLATE.FAT&amp;display_string=Audit&amp;VAR:KEY=VEHCPYZOXY&amp;VAR:QUERY=RkZfRUJJVERBX09QRVIoUVRSLDQvMS8yMDA5LDYvMzAvMjAwOSwsLFVTRCk=&amp;WINDOW=FIRST_POPUP&amp;HEIGH","T=450&amp;WIDTH=450&amp;START_MAXIMIZED=FALSE&amp;VAR:CALENDAR=US&amp;VAR:SYMBOL=QLGC&amp;VAR:INDEX=0"}</definedName>
    <definedName name="_242__FDSAUDITLINK__" hidden="1">{"fdsup://directions/FAT Viewer?action=UPDATE&amp;creator=factset&amp;DYN_ARGS=TRUE&amp;DOC_NAME=FAT:FQL_AUDITING_CLIENT_TEMPLATE.FAT&amp;display_string=Audit&amp;VAR:KEY=BKNMVUNOXK&amp;VAR:QUERY=RkZfRUJJVERBX09QRVIoUVRSLDQvMS8yMDEwLDYvMzAvMjAxMCwsLFVTRCk=&amp;WINDOW=FIRST_POPUP&amp;HEIGH","T=450&amp;WIDTH=450&amp;START_MAXIMIZED=FALSE&amp;VAR:CALENDAR=US&amp;VAR:SYMBOL=QLGC&amp;VAR:INDEX=0"}</definedName>
    <definedName name="_243__FDSAUDITLINK__" hidden="1">{"fdsup://directions/FAT Viewer?action=UPDATE&amp;creator=factset&amp;DYN_ARGS=TRUE&amp;DOC_NAME=FAT:FQL_AUDITING_CLIENT_TEMPLATE.FAT&amp;display_string=Audit&amp;VAR:KEY=VORMTIVMZE&amp;VAR:QUERY=RkZfRUJJVERBX09QRVIoUVRSLDQvMS8yMDA5LDYvMzAvMjAwOSwsLFVTRCk=&amp;WINDOW=FIRST_POPUP&amp;HEIGH","T=450&amp;WIDTH=450&amp;START_MAXIMIZED=FALSE&amp;VAR:CALENDAR=US&amp;VAR:SYMBOL=QEP&amp;VAR:INDEX=0"}</definedName>
    <definedName name="_244__FDSAUDITLINK__" hidden="1">{"fdsup://directions/FAT Viewer?action=UPDATE&amp;creator=factset&amp;DYN_ARGS=TRUE&amp;DOC_NAME=FAT:FQL_AUDITING_CLIENT_TEMPLATE.FAT&amp;display_string=Audit&amp;VAR:KEY=HUJMPIFYXI&amp;VAR:QUERY=RkZfRUJJVERBX09QRVIoUVRSLDQvMS8yMDEwLDYvMzAvMjAxMCwsLFVTRCk=&amp;WINDOW=FIRST_POPUP&amp;HEIGH","T=450&amp;WIDTH=450&amp;START_MAXIMIZED=FALSE&amp;VAR:CALENDAR=US&amp;VAR:SYMBOL=QEP&amp;VAR:INDEX=0"}</definedName>
    <definedName name="_245__FDSAUDITLINK__" hidden="1">{"fdsup://directions/FAT Viewer?action=UPDATE&amp;creator=factset&amp;DYN_ARGS=TRUE&amp;DOC_NAME=FAT:FQL_AUDITING_CLIENT_TEMPLATE.FAT&amp;display_string=Audit&amp;VAR:KEY=LMLSLUBWVY&amp;VAR:QUERY=RkZfRUJJVERBX09QRVIoUVRSLDQvMS8yMDA5LDYvMzAvMjAwOSwsLFVTRCk=&amp;WINDOW=FIRST_POPUP&amp;HEIGH","T=450&amp;WIDTH=450&amp;START_MAXIMIZED=FALSE&amp;VAR:CALENDAR=US&amp;VAR:SYMBOL=QCOM&amp;VAR:INDEX=0"}</definedName>
    <definedName name="_246__FDSAUDITLINK__" hidden="1">{"fdsup://directions/FAT Viewer?action=UPDATE&amp;creator=factset&amp;DYN_ARGS=TRUE&amp;DOC_NAME=FAT:FQL_AUDITING_CLIENT_TEMPLATE.FAT&amp;display_string=Audit&amp;VAR:KEY=VMXURULYBA&amp;VAR:QUERY=RkZfRUJJVERBX09QRVIoUVRSLDQvMS8yMDEwLDYvMzAvMjAxMCwsLFVTRCk=&amp;WINDOW=FIRST_POPUP&amp;HEIGH","T=450&amp;WIDTH=450&amp;START_MAXIMIZED=FALSE&amp;VAR:CALENDAR=US&amp;VAR:SYMBOL=QCOM&amp;VAR:INDEX=0"}</definedName>
    <definedName name="_247__FDSAUDITLINK__" hidden="1">{"fdsup://directions/FAT Viewer?action=UPDATE&amp;creator=factset&amp;DYN_ARGS=TRUE&amp;DOC_NAME=FAT:FQL_AUDITING_CLIENT_TEMPLATE.FAT&amp;display_string=Audit&amp;VAR:KEY=NCLCDMPKBU&amp;VAR:QUERY=RkZfRUJJVERBX09QRVIoUVRSLDQvMS8yMDA5LDYvMzAvMjAwOSwsLFVTRCk=&amp;WINDOW=FIRST_POPUP&amp;HEIGH","T=450&amp;WIDTH=450&amp;START_MAXIMIZED=FALSE&amp;VAR:CALENDAR=US&amp;VAR:SYMBOL=Q&amp;VAR:INDEX=0"}</definedName>
    <definedName name="_248__FDSAUDITLINK__" hidden="1">{"fdsup://directions/FAT Viewer?action=UPDATE&amp;creator=factset&amp;DYN_ARGS=TRUE&amp;DOC_NAME=FAT:FQL_AUDITING_CLIENT_TEMPLATE.FAT&amp;display_string=Audit&amp;VAR:KEY=NINIHQHIPO&amp;VAR:QUERY=RkZfRUJJVERBX09QRVIoUVRSLDQvMS8yMDEwLDYvMzAvMjAxMCwsLFVTRCk=&amp;WINDOW=FIRST_POPUP&amp;HEIGH","T=450&amp;WIDTH=450&amp;START_MAXIMIZED=FALSE&amp;VAR:CALENDAR=US&amp;VAR:SYMBOL=Q&amp;VAR:INDEX=0"}</definedName>
    <definedName name="_249__FDSAUDITLINK__" hidden="1">{"fdsup://directions/FAT Viewer?action=UPDATE&amp;creator=factset&amp;DYN_ARGS=TRUE&amp;DOC_NAME=FAT:FQL_AUDITING_CLIENT_TEMPLATE.FAT&amp;display_string=Audit&amp;VAR:KEY=LQNQPGDQJK&amp;VAR:QUERY=RkZfRUJJVERBX09QRVIoUVRSLDQvMS8yMDA5LDYvMzAvMjAwOSwsLFVTRCk=&amp;WINDOW=FIRST_POPUP&amp;HEIGH","T=450&amp;WIDTH=450&amp;START_MAXIMIZED=FALSE&amp;VAR:CALENDAR=US&amp;VAR:SYMBOL=PXD&amp;VAR:INDEX=0"}</definedName>
    <definedName name="_25__123Graph_ESUPPLIES_BY_B_U">#REF!</definedName>
    <definedName name="_25__FDSAUDITLINK__" hidden="1">{"fdsup://directions/FAT Viewer?action=UPDATE&amp;creator=factset&amp;DYN_ARGS=TRUE&amp;DOC_NAME=FAT:FQL_AUDITING_CLIENT_TEMPLATE.FAT&amp;display_string=Audit&amp;VAR:KEY=BSHUTKFQTQ&amp;VAR:QUERY=RkZfRUJJVERBX09QRVIoUVRSLDQvMS8yMDA5LDYvMzAvMjAwOSwsLFVTRCk=&amp;WINDOW=FIRST_POPUP&amp;HEIGH","T=450&amp;WIDTH=450&amp;START_MAXIMIZED=FALSE&amp;VAR:CALENDAR=US&amp;VAR:SYMBOL=WYN&amp;VAR:INDEX=0"}</definedName>
    <definedName name="_250__FDSAUDITLINK__" hidden="1">{"fdsup://directions/FAT Viewer?action=UPDATE&amp;creator=factset&amp;DYN_ARGS=TRUE&amp;DOC_NAME=FAT:FQL_AUDITING_CLIENT_TEMPLATE.FAT&amp;display_string=Audit&amp;VAR:KEY=PYPOPIFAVQ&amp;VAR:QUERY=RkZfRUJJVERBX09QRVIoUVRSLDQvMS8yMDEwLDYvMzAvMjAxMCwsLFVTRCk=&amp;WINDOW=FIRST_POPUP&amp;HEIGH","T=450&amp;WIDTH=450&amp;START_MAXIMIZED=FALSE&amp;VAR:CALENDAR=US&amp;VAR:SYMBOL=PXD&amp;VAR:INDEX=0"}</definedName>
    <definedName name="_251__FDSAUDITLINK__" hidden="1">{"fdsup://directions/FAT Viewer?action=UPDATE&amp;creator=factset&amp;DYN_ARGS=TRUE&amp;DOC_NAME=FAT:FQL_AUDITING_CLIENT_TEMPLATE.FAT&amp;display_string=Audit&amp;VAR:KEY=ZYDCBYBGFI&amp;VAR:QUERY=RkZfRUJJVERBX09QRVIoUVRSLDQvMS8yMDA5LDYvMzAvMjAwOSwsLFVTRCk=&amp;WINDOW=FIRST_POPUP&amp;HEIGH","T=450&amp;WIDTH=450&amp;START_MAXIMIZED=FALSE&amp;VAR:CALENDAR=US&amp;VAR:SYMBOL=PX&amp;VAR:INDEX=0"}</definedName>
    <definedName name="_252__FDSAUDITLINK__" hidden="1">{"fdsup://directions/FAT Viewer?action=UPDATE&amp;creator=factset&amp;DYN_ARGS=TRUE&amp;DOC_NAME=FAT:FQL_AUDITING_CLIENT_TEMPLATE.FAT&amp;display_string=Audit&amp;VAR:KEY=NEVUZSLSJA&amp;VAR:QUERY=RkZfRUJJVERBX09QRVIoUVRSLDQvMS8yMDEwLDYvMzAvMjAxMCwsLFVTRCk=&amp;WINDOW=FIRST_POPUP&amp;HEIGH","T=450&amp;WIDTH=450&amp;START_MAXIMIZED=FALSE&amp;VAR:CALENDAR=US&amp;VAR:SYMBOL=PX&amp;VAR:INDEX=0"}</definedName>
    <definedName name="_253__FDSAUDITLINK__" hidden="1">{"fdsup://directions/FAT Viewer?action=UPDATE&amp;creator=factset&amp;DYN_ARGS=TRUE&amp;DOC_NAME=FAT:FQL_AUDITING_CLIENT_TEMPLATE.FAT&amp;display_string=Audit&amp;VAR:KEY=LQDYTWLQDS&amp;VAR:QUERY=RkZfRUJJVERBX09QRVIoUVRSLDQvMS8yMDA5LDYvMzAvMjAwOSwsLFVTRCk=&amp;WINDOW=FIRST_POPUP&amp;HEIGH","T=450&amp;WIDTH=450&amp;START_MAXIMIZED=FALSE&amp;VAR:CALENDAR=US&amp;VAR:SYMBOL=PWR&amp;VAR:INDEX=0"}</definedName>
    <definedName name="_254__FDSAUDITLINK__" hidden="1">{"fdsup://directions/FAT Viewer?action=UPDATE&amp;creator=factset&amp;DYN_ARGS=TRUE&amp;DOC_NAME=FAT:FQL_AUDITING_CLIENT_TEMPLATE.FAT&amp;display_string=Audit&amp;VAR:KEY=BAPOXMBUFG&amp;VAR:QUERY=RkZfRUJJVERBX09QRVIoUVRSLDQvMS8yMDEwLDYvMzAvMjAxMCwsLFVTRCk=&amp;WINDOW=FIRST_POPUP&amp;HEIGH","T=450&amp;WIDTH=450&amp;START_MAXIMIZED=FALSE&amp;VAR:CALENDAR=US&amp;VAR:SYMBOL=PWR&amp;VAR:INDEX=0"}</definedName>
    <definedName name="_255__FDSAUDITLINK__" hidden="1">{"fdsup://directions/FAT Viewer?action=UPDATE&amp;creator=factset&amp;DYN_ARGS=TRUE&amp;DOC_NAME=FAT:FQL_AUDITING_CLIENT_TEMPLATE.FAT&amp;display_string=Audit&amp;VAR:KEY=LSXWVWVETI&amp;VAR:QUERY=RkZfRUJJVERBX09QRVIoUVRSLDQvMS8yMDA5LDYvMzAvMjAwOSwsLFVTRCk=&amp;WINDOW=FIRST_POPUP&amp;HEIGH","T=450&amp;WIDTH=450&amp;START_MAXIMIZED=FALSE&amp;VAR:CALENDAR=US&amp;VAR:SYMBOL=PTV&amp;VAR:INDEX=0"}</definedName>
    <definedName name="_256__FDSAUDITLINK__" hidden="1">{"fdsup://directions/FAT Viewer?action=UPDATE&amp;creator=factset&amp;DYN_ARGS=TRUE&amp;DOC_NAME=FAT:FQL_AUDITING_CLIENT_TEMPLATE.FAT&amp;display_string=Audit&amp;VAR:KEY=ZYTQLKNSPW&amp;VAR:QUERY=RkZfRUJJVERBX09QRVIoUVRSLDQvMS8yMDEwLDYvMzAvMjAxMCwsLFVTRCk=&amp;WINDOW=FIRST_POPUP&amp;HEIGH","T=450&amp;WIDTH=450&amp;START_MAXIMIZED=FALSE&amp;VAR:CALENDAR=US&amp;VAR:SYMBOL=PTV&amp;VAR:INDEX=0"}</definedName>
    <definedName name="_257__FDSAUDITLINK__" hidden="1">{"fdsup://directions/FAT Viewer?action=UPDATE&amp;creator=factset&amp;DYN_ARGS=TRUE&amp;DOC_NAME=FAT:FQL_AUDITING_CLIENT_TEMPLATE.FAT&amp;display_string=Audit&amp;VAR:KEY=FKDUNMPQBY&amp;VAR:QUERY=RkZfRUJJVERBX09QRVIoUVRSLDQvMS8yMDA5LDYvMzAvMjAwOSwsLFVTRCk=&amp;WINDOW=FIRST_POPUP&amp;HEIGH","T=450&amp;WIDTH=450&amp;START_MAXIMIZED=FALSE&amp;VAR:CALENDAR=US&amp;VAR:SYMBOL=PSA&amp;VAR:INDEX=0"}</definedName>
    <definedName name="_258__FDSAUDITLINK__" hidden="1">{"fdsup://directions/FAT Viewer?action=UPDATE&amp;creator=factset&amp;DYN_ARGS=TRUE&amp;DOC_NAME=FAT:FQL_AUDITING_CLIENT_TEMPLATE.FAT&amp;display_string=Audit&amp;VAR:KEY=VGJSLUPADS&amp;VAR:QUERY=RkZfRUJJVERBX09QRVIoUVRSLDQvMS8yMDEwLDYvMzAvMjAxMCwsLFVTRCk=&amp;WINDOW=FIRST_POPUP&amp;HEIGH","T=450&amp;WIDTH=450&amp;START_MAXIMIZED=FALSE&amp;VAR:CALENDAR=US&amp;VAR:SYMBOL=PSA&amp;VAR:INDEX=0"}</definedName>
    <definedName name="_259__FDSAUDITLINK__" hidden="1">{"fdsup://directions/FAT Viewer?action=UPDATE&amp;creator=factset&amp;DYN_ARGS=TRUE&amp;DOC_NAME=FAT:FQL_AUDITING_CLIENT_TEMPLATE.FAT&amp;display_string=Audit&amp;VAR:KEY=LSLQZARINE&amp;VAR:QUERY=RkZfRUJJVERBX09QRVIoUVRSLDQvMS8yMDA5LDYvMzAvMjAwOSwsLFVTRCk=&amp;WINDOW=FIRST_POPUP&amp;HEIGH","T=450&amp;WIDTH=450&amp;START_MAXIMIZED=FALSE&amp;VAR:CALENDAR=US&amp;VAR:SYMBOL=PRU&amp;VAR:INDEX=0"}</definedName>
    <definedName name="_26__123Graph_EWAGES_BY_B_U">#REF!</definedName>
    <definedName name="_26__FDSAUDITLINK__" hidden="1">{"fdsup://directions/FAT Viewer?action=UPDATE&amp;creator=factset&amp;DYN_ARGS=TRUE&amp;DOC_NAME=FAT:FQL_AUDITING_CLIENT_TEMPLATE.FAT&amp;display_string=Audit&amp;VAR:KEY=FKBOTWFQTY&amp;VAR:QUERY=RkZfRUJJVERBX09QRVIoUVRSLDQvMS8yMDEwLDYvMzAvMjAxMCwsLFVTRCk=&amp;WINDOW=FIRST_POPUP&amp;HEIGH","T=450&amp;WIDTH=450&amp;START_MAXIMIZED=FALSE&amp;VAR:CALENDAR=US&amp;VAR:SYMBOL=WYN&amp;VAR:INDEX=0"}</definedName>
    <definedName name="_260__FDSAUDITLINK__" hidden="1">{"fdsup://directions/FAT Viewer?action=UPDATE&amp;creator=factset&amp;DYN_ARGS=TRUE&amp;DOC_NAME=FAT:FQL_AUDITING_CLIENT_TEMPLATE.FAT&amp;display_string=Audit&amp;VAR:KEY=HKZGBUXAXG&amp;VAR:QUERY=RkZfRUJJVERBX09QRVIoUVRSLDQvMS8yMDEwLDYvMzAvMjAxMCwsLFVTRCk=&amp;WINDOW=FIRST_POPUP&amp;HEIGH","T=450&amp;WIDTH=450&amp;START_MAXIMIZED=FALSE&amp;VAR:CALENDAR=US&amp;VAR:SYMBOL=PRU&amp;VAR:INDEX=0"}</definedName>
    <definedName name="_261__FDSAUDITLINK__" hidden="1">{"fdsup://directions/FAT Viewer?action=UPDATE&amp;creator=factset&amp;DYN_ARGS=TRUE&amp;DOC_NAME=FAT:FQL_AUDITING_CLIENT_TEMPLATE.FAT&amp;display_string=Audit&amp;VAR:KEY=VEZCFSZMRO&amp;VAR:QUERY=RkZfRUJJVERBX09QRVIoUVRSLDQvMS8yMDA5LDYvMzAvMjAwOSwsLFVTRCk=&amp;WINDOW=FIRST_POPUP&amp;HEIGH","T=450&amp;WIDTH=450&amp;START_MAXIMIZED=FALSE&amp;VAR:CALENDAR=US&amp;VAR:SYMBOL=PPL&amp;VAR:INDEX=0"}</definedName>
    <definedName name="_262__FDSAUDITLINK__" hidden="1">{"fdsup://directions/FAT Viewer?action=UPDATE&amp;creator=factset&amp;DYN_ARGS=TRUE&amp;DOC_NAME=FAT:FQL_AUDITING_CLIENT_TEMPLATE.FAT&amp;display_string=Audit&amp;VAR:KEY=FMDWBKVCBA&amp;VAR:QUERY=RkZfRUJJVERBX09QRVIoUVRSLDQvMS8yMDEwLDYvMzAvMjAxMCwsLFVTRCk=&amp;WINDOW=FIRST_POPUP&amp;HEIGH","T=450&amp;WIDTH=450&amp;START_MAXIMIZED=FALSE&amp;VAR:CALENDAR=US&amp;VAR:SYMBOL=PPL&amp;VAR:INDEX=0"}</definedName>
    <definedName name="_263__FDSAUDITLINK__" hidden="1">{"fdsup://directions/FAT Viewer?action=UPDATE&amp;creator=factset&amp;DYN_ARGS=TRUE&amp;DOC_NAME=FAT:FQL_AUDITING_CLIENT_TEMPLATE.FAT&amp;display_string=Audit&amp;VAR:KEY=NERYVKHSBY&amp;VAR:QUERY=RkZfRUJJVERBX09QRVIoUVRSLDQvMS8yMDA5LDYvMzAvMjAwOSwsLFVTRCk=&amp;WINDOW=FIRST_POPUP&amp;HEIGH","T=450&amp;WIDTH=450&amp;START_MAXIMIZED=FALSE&amp;VAR:CALENDAR=US&amp;VAR:SYMBOL=PPG&amp;VAR:INDEX=0"}</definedName>
    <definedName name="_264__FDSAUDITLINK__" hidden="1">{"fdsup://directions/FAT Viewer?action=UPDATE&amp;creator=factset&amp;DYN_ARGS=TRUE&amp;DOC_NAME=FAT:FQL_AUDITING_CLIENT_TEMPLATE.FAT&amp;display_string=Audit&amp;VAR:KEY=ZKNILWTMTI&amp;VAR:QUERY=RkZfRUJJVERBX09QRVIoUVRSLDQvMS8yMDEwLDYvMzAvMjAxMCwsLFVTRCk=&amp;WINDOW=FIRST_POPUP&amp;HEIGH","T=450&amp;WIDTH=450&amp;START_MAXIMIZED=FALSE&amp;VAR:CALENDAR=US&amp;VAR:SYMBOL=PPG&amp;VAR:INDEX=0"}</definedName>
    <definedName name="_265__FDSAUDITLINK__" hidden="1">{"fdsup://directions/FAT Viewer?action=UPDATE&amp;creator=factset&amp;DYN_ARGS=TRUE&amp;DOC_NAME=FAT:FQL_AUDITING_CLIENT_TEMPLATE.FAT&amp;display_string=Audit&amp;VAR:KEY=VADWJQTWXS&amp;VAR:QUERY=RkZfRUJJVERBX09QRVIoUVRSLDQvMS8yMDA5LDYvMzAvMjAwOSwsLFVTRCk=&amp;WINDOW=FIRST_POPUP&amp;HEIGH","T=450&amp;WIDTH=450&amp;START_MAXIMIZED=FALSE&amp;VAR:CALENDAR=US&amp;VAR:SYMBOL=POM&amp;VAR:INDEX=0"}</definedName>
    <definedName name="_266__FDSAUDITLINK__" hidden="1">{"fdsup://directions/FAT Viewer?action=UPDATE&amp;creator=factset&amp;DYN_ARGS=TRUE&amp;DOC_NAME=FAT:FQL_AUDITING_CLIENT_TEMPLATE.FAT&amp;display_string=Audit&amp;VAR:KEY=DMJUBWPEVY&amp;VAR:QUERY=RkZfRUJJVERBX09QRVIoUVRSLDQvMS8yMDEwLDYvMzAvMjAxMCwsLFVTRCk=&amp;WINDOW=FIRST_POPUP&amp;HEIGH","T=450&amp;WIDTH=450&amp;START_MAXIMIZED=FALSE&amp;VAR:CALENDAR=US&amp;VAR:SYMBOL=POM&amp;VAR:INDEX=0"}</definedName>
    <definedName name="_267__FDSAUDITLINK__" hidden="1">{"fdsup://directions/FAT Viewer?action=UPDATE&amp;creator=factset&amp;DYN_ARGS=TRUE&amp;DOC_NAME=FAT:FQL_AUDITING_CLIENT_TEMPLATE.FAT&amp;display_string=Audit&amp;VAR:KEY=ZIXUTKBSVQ&amp;VAR:QUERY=RkZfRUJJVERBX09QRVIoUVRSLDQvMS8yMDA5LDYvMzAvMjAwOSwsLFVTRCk=&amp;WINDOW=FIRST_POPUP&amp;HEIGH","T=450&amp;WIDTH=450&amp;START_MAXIMIZED=FALSE&amp;VAR:CALENDAR=US&amp;VAR:SYMBOL=PNW&amp;VAR:INDEX=0"}</definedName>
    <definedName name="_268__FDSAUDITLINK__" hidden="1">{"fdsup://directions/FAT Viewer?action=UPDATE&amp;creator=factset&amp;DYN_ARGS=TRUE&amp;DOC_NAME=FAT:FQL_AUDITING_CLIENT_TEMPLATE.FAT&amp;display_string=Audit&amp;VAR:KEY=ZMDADMXGPO&amp;VAR:QUERY=RkZfRUJJVERBX09QRVIoUVRSLDQvMS8yMDEwLDYvMzAvMjAxMCwsLFVTRCk=&amp;WINDOW=FIRST_POPUP&amp;HEIGH","T=450&amp;WIDTH=450&amp;START_MAXIMIZED=FALSE&amp;VAR:CALENDAR=US&amp;VAR:SYMBOL=PNW&amp;VAR:INDEX=0"}</definedName>
    <definedName name="_269__FDSAUDITLINK__" hidden="1">{"fdsup://directions/FAT Viewer?action=UPDATE&amp;creator=factset&amp;DYN_ARGS=TRUE&amp;DOC_NAME=FAT:FQL_AUDITING_CLIENT_TEMPLATE.FAT&amp;display_string=Audit&amp;VAR:KEY=BIVKRYBUZQ&amp;VAR:QUERY=RkZfRUJJVERBX09QRVIoUVRSLDQvMS8yMDA5LDYvMzAvMjAwOSwsLFVTRCk=&amp;WINDOW=FIRST_POPUP&amp;HEIGH","T=450&amp;WIDTH=450&amp;START_MAXIMIZED=FALSE&amp;VAR:CALENDAR=US&amp;VAR:SYMBOL=PNC&amp;VAR:INDEX=0"}</definedName>
    <definedName name="_27__123Graph_FCONTRACT_BY_B_U">#REF!</definedName>
    <definedName name="_27__FDSAUDITLINK__" hidden="1">{"fdsup://directions/FAT Viewer?action=UPDATE&amp;creator=factset&amp;DYN_ARGS=TRUE&amp;DOC_NAME=FAT:FQL_AUDITING_CLIENT_TEMPLATE.FAT&amp;display_string=Audit&amp;VAR:KEY=TKRCZANMHQ&amp;VAR:QUERY=RkZfRUJJVERBX09QRVIoUVRSLDQvMS8yMDA5LDYvMzAvMjAwOSwsLFVTRCk=&amp;WINDOW=FIRST_POPUP&amp;HEIGH","T=450&amp;WIDTH=450&amp;START_MAXIMIZED=FALSE&amp;VAR:CALENDAR=US&amp;VAR:SYMBOL=WY&amp;VAR:INDEX=0"}</definedName>
    <definedName name="_270__FDSAUDITLINK__" hidden="1">{"fdsup://directions/FAT Viewer?action=UPDATE&amp;creator=factset&amp;DYN_ARGS=TRUE&amp;DOC_NAME=FAT:FQL_AUDITING_CLIENT_TEMPLATE.FAT&amp;display_string=Audit&amp;VAR:KEY=FYPYHQBQTS&amp;VAR:QUERY=RkZfRUJJVERBX09QRVIoUVRSLDQvMS8yMDEwLDYvMzAvMjAxMCwsLFVTRCk=&amp;WINDOW=FIRST_POPUP&amp;HEIGH","T=450&amp;WIDTH=450&amp;START_MAXIMIZED=FALSE&amp;VAR:CALENDAR=US&amp;VAR:SYMBOL=PNC&amp;VAR:INDEX=0"}</definedName>
    <definedName name="_271__FDSAUDITLINK__" hidden="1">{"fdsup://directions/FAT Viewer?action=UPDATE&amp;creator=factset&amp;DYN_ARGS=TRUE&amp;DOC_NAME=FAT:FQL_AUDITING_CLIENT_TEMPLATE.FAT&amp;display_string=Audit&amp;VAR:KEY=NWFANCHYXE&amp;VAR:QUERY=RkZfRUJJVERBX09QRVIoUVRSLDQvMS8yMDA5LDYvMzAvMjAwOSwsLFVTRCk=&amp;WINDOW=FIRST_POPUP&amp;HEIGH","T=450&amp;WIDTH=450&amp;START_MAXIMIZED=FALSE&amp;VAR:CALENDAR=US&amp;VAR:SYMBOL=PM&amp;VAR:INDEX=0"}</definedName>
    <definedName name="_272__FDSAUDITLINK__" hidden="1">{"fdsup://directions/FAT Viewer?action=UPDATE&amp;creator=factset&amp;DYN_ARGS=TRUE&amp;DOC_NAME=FAT:FQL_AUDITING_CLIENT_TEMPLATE.FAT&amp;display_string=Audit&amp;VAR:KEY=LYRUBWRWDK&amp;VAR:QUERY=RkZfRUJJVERBX09QRVIoUVRSLDQvMS8yMDEwLDYvMzAvMjAxMCwsLFVTRCk=&amp;WINDOW=FIRST_POPUP&amp;HEIGH","T=450&amp;WIDTH=450&amp;START_MAXIMIZED=FALSE&amp;VAR:CALENDAR=US&amp;VAR:SYMBOL=PM&amp;VAR:INDEX=0"}</definedName>
    <definedName name="_273__FDSAUDITLINK__" hidden="1">{"fdsup://directions/FAT Viewer?action=UPDATE&amp;creator=factset&amp;DYN_ARGS=TRUE&amp;DOC_NAME=FAT:FQL_AUDITING_CLIENT_TEMPLATE.FAT&amp;display_string=Audit&amp;VAR:KEY=FCLKDENQBO&amp;VAR:QUERY=RkZfRUJJVERBX09QRVIoUVRSLDQvMS8yMDA5LDYvMzAvMjAwOSwsLFVTRCk=&amp;WINDOW=FIRST_POPUP&amp;HEIGH","T=450&amp;WIDTH=450&amp;START_MAXIMIZED=FALSE&amp;VAR:CALENDAR=US&amp;VAR:SYMBOL=PLL&amp;VAR:INDEX=0"}</definedName>
    <definedName name="_274__FDSAUDITLINK__" hidden="1">{"fdsup://directions/FAT Viewer?action=UPDATE&amp;creator=factset&amp;DYN_ARGS=TRUE&amp;DOC_NAME=FAT:FQL_AUDITING_CLIENT_TEMPLATE.FAT&amp;display_string=Audit&amp;VAR:KEY=XCJQRQPARI&amp;VAR:QUERY=RkZfRUJJVERBX09QRVIoUVRSLDQvMS8yMDEwLDYvMzAvMjAxMCwsLFVTRCk=&amp;WINDOW=FIRST_POPUP&amp;HEIGH","T=450&amp;WIDTH=450&amp;START_MAXIMIZED=FALSE&amp;VAR:CALENDAR=US&amp;VAR:SYMBOL=PLL&amp;VAR:INDEX=0"}</definedName>
    <definedName name="_275__FDSAUDITLINK__" hidden="1">{"fdsup://directions/FAT Viewer?action=UPDATE&amp;creator=factset&amp;DYN_ARGS=TRUE&amp;DOC_NAME=FAT:FQL_AUDITING_CLIENT_TEMPLATE.FAT&amp;display_string=Audit&amp;VAR:KEY=PARKJSTSXU&amp;VAR:QUERY=RkZfRUJJVERBX09QRVIoUVRSLDQvMS8yMDA5LDYvMzAvMjAwOSwsLFVTRCk=&amp;WINDOW=FIRST_POPUP&amp;HEIGH","T=450&amp;WIDTH=450&amp;START_MAXIMIZED=FALSE&amp;VAR:CALENDAR=US&amp;VAR:SYMBOL=PLD&amp;VAR:INDEX=0"}</definedName>
    <definedName name="_276__FDSAUDITLINK__" hidden="1">{"fdsup://directions/FAT Viewer?action=UPDATE&amp;creator=factset&amp;DYN_ARGS=TRUE&amp;DOC_NAME=FAT:FQL_AUDITING_CLIENT_TEMPLATE.FAT&amp;display_string=Audit&amp;VAR:KEY=BAJUVGJMJW&amp;VAR:QUERY=RkZfRUJJVERBX09QRVIoUVRSLDQvMS8yMDEwLDYvMzAvMjAxMCwsLFVTRCk=&amp;WINDOW=FIRST_POPUP&amp;HEIGH","T=450&amp;WIDTH=450&amp;START_MAXIMIZED=FALSE&amp;VAR:CALENDAR=US&amp;VAR:SYMBOL=PLD&amp;VAR:INDEX=0"}</definedName>
    <definedName name="_277__FDSAUDITLINK__" hidden="1">{"fdsup://directions/FAT Viewer?action=UPDATE&amp;creator=factset&amp;DYN_ARGS=TRUE&amp;DOC_NAME=FAT:FQL_AUDITING_CLIENT_TEMPLATE.FAT&amp;display_string=Audit&amp;VAR:KEY=XYZEJUBYNC&amp;VAR:QUERY=RkZfRUJJVERBX09QRVIoUVRSLDQvMS8yMDA5LDYvMzAvMjAwOSwsLFVTRCk=&amp;WINDOW=FIRST_POPUP&amp;HEIGH","T=450&amp;WIDTH=450&amp;START_MAXIMIZED=FALSE&amp;VAR:CALENDAR=US&amp;VAR:SYMBOL=PKI&amp;VAR:INDEX=0"}</definedName>
    <definedName name="_278__FDSAUDITLINK__" hidden="1">{"fdsup://directions/FAT Viewer?action=UPDATE&amp;creator=factset&amp;DYN_ARGS=TRUE&amp;DOC_NAME=FAT:FQL_AUDITING_CLIENT_TEMPLATE.FAT&amp;display_string=Audit&amp;VAR:KEY=LYLWXYVKDA&amp;VAR:QUERY=RkZfRUJJVERBX09QRVIoUVRSLDQvMS8yMDEwLDYvMzAvMjAxMCwsLFVTRCk=&amp;WINDOW=FIRST_POPUP&amp;HEIGH","T=450&amp;WIDTH=450&amp;START_MAXIMIZED=FALSE&amp;VAR:CALENDAR=US&amp;VAR:SYMBOL=PKI&amp;VAR:INDEX=0"}</definedName>
    <definedName name="_279__FDSAUDITLINK__" hidden="1">{"fdsup://directions/FAT Viewer?action=UPDATE&amp;creator=factset&amp;DYN_ARGS=TRUE&amp;DOC_NAME=FAT:FQL_AUDITING_CLIENT_TEMPLATE.FAT&amp;display_string=Audit&amp;VAR:KEY=XAHKDIVKTU&amp;VAR:QUERY=RkZfRUJJVERBX09QRVIoUVRSLDQvMS8yMDA5LDYvMzAvMjAwOSwsLFVTRCk=&amp;WINDOW=FIRST_POPUP&amp;HEIGH","T=450&amp;WIDTH=450&amp;START_MAXIMIZED=FALSE&amp;VAR:CALENDAR=US&amp;VAR:SYMBOL=PHM&amp;VAR:INDEX=0"}</definedName>
    <definedName name="_28__123Graph_FQRE_S_BY_CO.">#REF!</definedName>
    <definedName name="_28__FDSAUDITLINK__" hidden="1">{"fdsup://directions/FAT Viewer?action=UPDATE&amp;creator=factset&amp;DYN_ARGS=TRUE&amp;DOC_NAME=FAT:FQL_AUDITING_CLIENT_TEMPLATE.FAT&amp;display_string=Audit&amp;VAR:KEY=BSRYVUFULE&amp;VAR:QUERY=RkZfRUJJVERBX09QRVIoUVRSLDQvMS8yMDEwLDYvMzAvMjAxMCwsLFVTRCk=&amp;WINDOW=FIRST_POPUP&amp;HEIGH","T=450&amp;WIDTH=450&amp;START_MAXIMIZED=FALSE&amp;VAR:CALENDAR=US&amp;VAR:SYMBOL=WY&amp;VAR:INDEX=0"}</definedName>
    <definedName name="_280__FDSAUDITLINK__" hidden="1">{"fdsup://directions/FAT Viewer?action=UPDATE&amp;creator=factset&amp;DYN_ARGS=TRUE&amp;DOC_NAME=FAT:FQL_AUDITING_CLIENT_TEMPLATE.FAT&amp;display_string=Audit&amp;VAR:KEY=FOJMDEZSJS&amp;VAR:QUERY=RkZfRUJJVERBX09QRVIoUVRSLDQvMS8yMDEwLDYvMzAvMjAxMCwsLFVTRCk=&amp;WINDOW=FIRST_POPUP&amp;HEIGH","T=450&amp;WIDTH=450&amp;START_MAXIMIZED=FALSE&amp;VAR:CALENDAR=US&amp;VAR:SYMBOL=PHM&amp;VAR:INDEX=0"}</definedName>
    <definedName name="_281__FDSAUDITLINK__" hidden="1">{"fdsup://directions/FAT Viewer?action=UPDATE&amp;creator=factset&amp;DYN_ARGS=TRUE&amp;DOC_NAME=FAT:FQL_AUDITING_CLIENT_TEMPLATE.FAT&amp;display_string=Audit&amp;VAR:KEY=TGFAZITENS&amp;VAR:QUERY=RkZfRUJJVERBX09QRVIoUVRSLDQvMS8yMDA5LDYvMzAvMjAwOSwsLFVTRCk=&amp;WINDOW=FIRST_POPUP&amp;HEIGH","T=450&amp;WIDTH=450&amp;START_MAXIMIZED=FALSE&amp;VAR:CALENDAR=US&amp;VAR:SYMBOL=PH&amp;VAR:INDEX=0"}</definedName>
    <definedName name="_282__FDSAUDITLINK__" hidden="1">{"fdsup://directions/FAT Viewer?action=UPDATE&amp;creator=factset&amp;DYN_ARGS=TRUE&amp;DOC_NAME=FAT:FQL_AUDITING_CLIENT_TEMPLATE.FAT&amp;display_string=Audit&amp;VAR:KEY=DYTOPYTWPU&amp;VAR:QUERY=RkZfRUJJVERBX09QRVIoUVRSLDQvMS8yMDEwLDYvMzAvMjAxMCwsLFVTRCk=&amp;WINDOW=FIRST_POPUP&amp;HEIGH","T=450&amp;WIDTH=450&amp;START_MAXIMIZED=FALSE&amp;VAR:CALENDAR=US&amp;VAR:SYMBOL=PH&amp;VAR:INDEX=0"}</definedName>
    <definedName name="_283__FDSAUDITLINK__" hidden="1">{"fdsup://directions/FAT Viewer?action=UPDATE&amp;creator=factset&amp;DYN_ARGS=TRUE&amp;DOC_NAME=FAT:FQL_AUDITING_CLIENT_TEMPLATE.FAT&amp;display_string=Audit&amp;VAR:KEY=HMBAZUPMDQ&amp;VAR:QUERY=RkZfRUJJVERBX09QRVIoUVRSLDQvMS8yMDA5LDYvMzAvMjAwOSwsLFVTRCk=&amp;WINDOW=FIRST_POPUP&amp;HEIGH","T=450&amp;WIDTH=450&amp;START_MAXIMIZED=FALSE&amp;VAR:CALENDAR=US&amp;VAR:SYMBOL=PGR&amp;VAR:INDEX=0"}</definedName>
    <definedName name="_284__FDSAUDITLINK__" hidden="1">{"fdsup://directions/FAT Viewer?action=UPDATE&amp;creator=factset&amp;DYN_ARGS=TRUE&amp;DOC_NAME=FAT:FQL_AUDITING_CLIENT_TEMPLATE.FAT&amp;display_string=Audit&amp;VAR:KEY=PEFENQRQFS&amp;VAR:QUERY=RkZfRUJJVERBX09QRVIoUVRSLDQvMS8yMDEwLDYvMzAvMjAxMCwsLFVTRCk=&amp;WINDOW=FIRST_POPUP&amp;HEIGH","T=450&amp;WIDTH=450&amp;START_MAXIMIZED=FALSE&amp;VAR:CALENDAR=US&amp;VAR:SYMBOL=PGR&amp;VAR:INDEX=0"}</definedName>
    <definedName name="_285__FDSAUDITLINK__" hidden="1">{"fdsup://directions/FAT Viewer?action=UPDATE&amp;creator=factset&amp;DYN_ARGS=TRUE&amp;DOC_NAME=FAT:FQL_AUDITING_CLIENT_TEMPLATE.FAT&amp;display_string=Audit&amp;VAR:KEY=XETQPWTUHY&amp;VAR:QUERY=RkZfRUJJVERBX09QRVIoUVRSLDQvMS8yMDA5LDYvMzAvMjAwOSwsLFVTRCk=&amp;WINDOW=FIRST_POPUP&amp;HEIGH","T=450&amp;WIDTH=450&amp;START_MAXIMIZED=FALSE&amp;VAR:CALENDAR=US&amp;VAR:SYMBOL=PGN&amp;VAR:INDEX=0"}</definedName>
    <definedName name="_286__FDSAUDITLINK__" hidden="1">{"fdsup://directions/FAT Viewer?action=UPDATE&amp;creator=factset&amp;DYN_ARGS=TRUE&amp;DOC_NAME=FAT:FQL_AUDITING_CLIENT_TEMPLATE.FAT&amp;display_string=Audit&amp;VAR:KEY=PEVIZKFSNY&amp;VAR:QUERY=RkZfRUJJVERBX09QRVIoUVRSLDQvMS8yMDEwLDYvMzAvMjAxMCwsLFVTRCk=&amp;WINDOW=FIRST_POPUP&amp;HEIGH","T=450&amp;WIDTH=450&amp;START_MAXIMIZED=FALSE&amp;VAR:CALENDAR=US&amp;VAR:SYMBOL=PGN&amp;VAR:INDEX=0"}</definedName>
    <definedName name="_287__FDSAUDITLINK__" hidden="1">{"fdsup://directions/FAT Viewer?action=UPDATE&amp;creator=factset&amp;DYN_ARGS=TRUE&amp;DOC_NAME=FAT:FQL_AUDITING_CLIENT_TEMPLATE.FAT&amp;display_string=Audit&amp;VAR:KEY=DWRMHWXAHE&amp;VAR:QUERY=RkZfRUJJVERBX09QRVIoUVRSLDQvMS8yMDA5LDYvMzAvMjAwOSwsLFVTRCk=&amp;WINDOW=FIRST_POPUP&amp;HEIGH","T=450&amp;WIDTH=450&amp;START_MAXIMIZED=FALSE&amp;VAR:CALENDAR=US&amp;VAR:SYMBOL=PG&amp;VAR:INDEX=0"}</definedName>
    <definedName name="_288__FDSAUDITLINK__" hidden="1">{"fdsup://directions/FAT Viewer?action=UPDATE&amp;creator=factset&amp;DYN_ARGS=TRUE&amp;DOC_NAME=FAT:FQL_AUDITING_CLIENT_TEMPLATE.FAT&amp;display_string=Audit&amp;VAR:KEY=JODGVIPKVO&amp;VAR:QUERY=RkZfRUJJVERBX09QRVIoUVRSLDQvMS8yMDEwLDYvMzAvMjAxMCwsLFVTRCk=&amp;WINDOW=FIRST_POPUP&amp;HEIGH","T=450&amp;WIDTH=450&amp;START_MAXIMIZED=FALSE&amp;VAR:CALENDAR=US&amp;VAR:SYMBOL=PG&amp;VAR:INDEX=0"}</definedName>
    <definedName name="_289__FDSAUDITLINK__" hidden="1">{"fdsup://directions/FAT Viewer?action=UPDATE&amp;creator=factset&amp;DYN_ARGS=TRUE&amp;DOC_NAME=FAT:FQL_AUDITING_CLIENT_TEMPLATE.FAT&amp;display_string=Audit&amp;VAR:KEY=NEBETGDIDU&amp;VAR:QUERY=RkZfRUJJVERBX09QRVIoUVRSLDQvMS8yMDA5LDYvMzAvMjAwOSwsLFVTRCk=&amp;WINDOW=FIRST_POPUP&amp;HEIGH","T=450&amp;WIDTH=450&amp;START_MAXIMIZED=FALSE&amp;VAR:CALENDAR=US&amp;VAR:SYMBOL=PFG&amp;VAR:INDEX=0"}</definedName>
    <definedName name="_29__123Graph_FSUPPLIES_BY_B_U">#REF!</definedName>
    <definedName name="_29__FDSAUDITLINK__" hidden="1">{"fdsup://directions/FAT Viewer?action=UPDATE&amp;creator=factset&amp;DYN_ARGS=TRUE&amp;DOC_NAME=FAT:FQL_AUDITING_CLIENT_TEMPLATE.FAT&amp;display_string=Audit&amp;VAR:KEY=DCNQRIBQVA&amp;VAR:QUERY=RkZfRUJJVERBX09QRVIoUVRSLDQvMS8yMDA5LDYvMzAvMjAwOSwsLFVTRCk=&amp;WINDOW=FIRST_POPUP&amp;HEIGH","T=450&amp;WIDTH=450&amp;START_MAXIMIZED=FALSE&amp;VAR:CALENDAR=US&amp;VAR:SYMBOL=WU&amp;VAR:INDEX=0"}</definedName>
    <definedName name="_290__FDSAUDITLINK__" hidden="1">{"fdsup://directions/FAT Viewer?action=UPDATE&amp;creator=factset&amp;DYN_ARGS=TRUE&amp;DOC_NAME=FAT:FQL_AUDITING_CLIENT_TEMPLATE.FAT&amp;display_string=Audit&amp;VAR:KEY=NGRYPUTOBQ&amp;VAR:QUERY=RkZfRUJJVERBX09QRVIoUVRSLDQvMS8yMDEwLDYvMzAvMjAxMCwsLFVTRCk=&amp;WINDOW=FIRST_POPUP&amp;HEIGH","T=450&amp;WIDTH=450&amp;START_MAXIMIZED=FALSE&amp;VAR:CALENDAR=US&amp;VAR:SYMBOL=PFG&amp;VAR:INDEX=0"}</definedName>
    <definedName name="_291__FDSAUDITLINK__" hidden="1">{"fdsup://directions/FAT Viewer?action=UPDATE&amp;creator=factset&amp;DYN_ARGS=TRUE&amp;DOC_NAME=FAT:FQL_AUDITING_CLIENT_TEMPLATE.FAT&amp;display_string=Audit&amp;VAR:KEY=BSFAHGFIRY&amp;VAR:QUERY=RkZfRUJJVERBX09QRVIoUVRSLDQvMS8yMDA5LDYvMzAvMjAwOSwsLFVTRCk=&amp;WINDOW=FIRST_POPUP&amp;HEIGH","T=450&amp;WIDTH=450&amp;START_MAXIMIZED=FALSE&amp;VAR:CALENDAR=US&amp;VAR:SYMBOL=PFE&amp;VAR:INDEX=0"}</definedName>
    <definedName name="_292__FDSAUDITLINK__" hidden="1">{"fdsup://directions/FAT Viewer?action=UPDATE&amp;creator=factset&amp;DYN_ARGS=TRUE&amp;DOC_NAME=FAT:FQL_AUDITING_CLIENT_TEMPLATE.FAT&amp;display_string=Audit&amp;VAR:KEY=POBCNQTWZY&amp;VAR:QUERY=RkZfRUJJVERBX09QRVIoUVRSLDQvMS8yMDEwLDYvMzAvMjAxMCwsLFVTRCk=&amp;WINDOW=FIRST_POPUP&amp;HEIGH","T=450&amp;WIDTH=450&amp;START_MAXIMIZED=FALSE&amp;VAR:CALENDAR=US&amp;VAR:SYMBOL=PFE&amp;VAR:INDEX=0"}</definedName>
    <definedName name="_293__FDSAUDITLINK__" hidden="1">{"fdsup://directions/FAT Viewer?action=UPDATE&amp;creator=factset&amp;DYN_ARGS=TRUE&amp;DOC_NAME=FAT:FQL_AUDITING_CLIENT_TEMPLATE.FAT&amp;display_string=Audit&amp;VAR:KEY=NULCVCZARE&amp;VAR:QUERY=RkZfRUJJVERBX09QRVIoUVRSLDQvMS8yMDA5LDYvMzAvMjAwOSwsLFVTRCk=&amp;WINDOW=FIRST_POPUP&amp;HEIGH","T=450&amp;WIDTH=450&amp;START_MAXIMIZED=FALSE&amp;VAR:CALENDAR=US&amp;VAR:SYMBOL=PEP&amp;VAR:INDEX=0"}</definedName>
    <definedName name="_294__FDSAUDITLINK__" hidden="1">{"fdsup://directions/FAT Viewer?action=UPDATE&amp;creator=factset&amp;DYN_ARGS=TRUE&amp;DOC_NAME=FAT:FQL_AUDITING_CLIENT_TEMPLATE.FAT&amp;display_string=Audit&amp;VAR:KEY=TMFMTWTQVK&amp;VAR:QUERY=RkZfRUJJVERBX09QRVIoUVRSLDQvMS8yMDEwLDYvMzAvMjAxMCwsLFVTRCk=&amp;WINDOW=FIRST_POPUP&amp;HEIGH","T=450&amp;WIDTH=450&amp;START_MAXIMIZED=FALSE&amp;VAR:CALENDAR=US&amp;VAR:SYMBOL=PEP&amp;VAR:INDEX=0"}</definedName>
    <definedName name="_295__FDSAUDITLINK__" hidden="1">{"fdsup://directions/FAT Viewer?action=UPDATE&amp;creator=factset&amp;DYN_ARGS=TRUE&amp;DOC_NAME=FAT:FQL_AUDITING_CLIENT_TEMPLATE.FAT&amp;display_string=Audit&amp;VAR:KEY=XQRWLUDEXY&amp;VAR:QUERY=RkZfRUJJVERBX09QRVIoUVRSLDQvMS8yMDA5LDYvMzAvMjAwOSwsLFVTRCk=&amp;WINDOW=FIRST_POPUP&amp;HEIGH","T=450&amp;WIDTH=450&amp;START_MAXIMIZED=FALSE&amp;VAR:CALENDAR=US&amp;VAR:SYMBOL=PEG&amp;VAR:INDEX=0"}</definedName>
    <definedName name="_296__FDSAUDITLINK__" hidden="1">{"fdsup://directions/FAT Viewer?action=UPDATE&amp;creator=factset&amp;DYN_ARGS=TRUE&amp;DOC_NAME=FAT:FQL_AUDITING_CLIENT_TEMPLATE.FAT&amp;display_string=Audit&amp;VAR:KEY=PWTOVKNAJI&amp;VAR:QUERY=RkZfRUJJVERBX09QRVIoUVRSLDQvMS8yMDEwLDYvMzAvMjAxMCwsLFVTRCk=&amp;WINDOW=FIRST_POPUP&amp;HEIGH","T=450&amp;WIDTH=450&amp;START_MAXIMIZED=FALSE&amp;VAR:CALENDAR=US&amp;VAR:SYMBOL=PEG&amp;VAR:INDEX=0"}</definedName>
    <definedName name="_297__FDSAUDITLINK__" hidden="1">{"fdsup://directions/FAT Viewer?action=UPDATE&amp;creator=factset&amp;DYN_ARGS=TRUE&amp;DOC_NAME=FAT:FQL_AUDITING_CLIENT_TEMPLATE.FAT&amp;display_string=Audit&amp;VAR:KEY=ZEPINYDGHM&amp;VAR:QUERY=RkZfRUJJVERBX09QRVIoUVRSLDQvMS8yMDA5LDYvMzAvMjAwOSwsLFVTRCk=&amp;WINDOW=FIRST_POPUP&amp;HEIGH","T=450&amp;WIDTH=450&amp;START_MAXIMIZED=FALSE&amp;VAR:CALENDAR=US&amp;VAR:SYMBOL=PDCO&amp;VAR:INDEX=0"}</definedName>
    <definedName name="_298__FDSAUDITLINK__" hidden="1">{"fdsup://directions/FAT Viewer?action=UPDATE&amp;creator=factset&amp;DYN_ARGS=TRUE&amp;DOC_NAME=FAT:FQL_AUDITING_CLIENT_TEMPLATE.FAT&amp;display_string=Audit&amp;VAR:KEY=XYREDWRILC&amp;VAR:QUERY=RkZfRUJJVERBX09QRVIoUVRSLDQvMS8yMDEwLDYvMzAvMjAxMCwsLFVTRCk=&amp;WINDOW=FIRST_POPUP&amp;HEIGH","T=450&amp;WIDTH=450&amp;START_MAXIMIZED=FALSE&amp;VAR:CALENDAR=US&amp;VAR:SYMBOL=PDCO&amp;VAR:INDEX=0"}</definedName>
    <definedName name="_299__FDSAUDITLINK__" hidden="1">{"fdsup://directions/FAT Viewer?action=UPDATE&amp;creator=factset&amp;DYN_ARGS=TRUE&amp;DOC_NAME=FAT:FQL_AUDITING_CLIENT_TEMPLATE.FAT&amp;display_string=Audit&amp;VAR:KEY=LCHYZKHYFI&amp;VAR:QUERY=RkZfRUJJVERBX09QRVIoUVRSLDQvMS8yMDA5LDYvMzAvMjAwOSwsLFVTRCk=&amp;WINDOW=FIRST_POPUP&amp;HEIGH","T=450&amp;WIDTH=450&amp;START_MAXIMIZED=FALSE&amp;VAR:CALENDAR=US&amp;VAR:SYMBOL=PCS&amp;VAR:INDEX=0"}</definedName>
    <definedName name="_2ƒ0Swvu.Sommai">#REF!</definedName>
    <definedName name="_3__123Graph_AQRE_S_BY_CO.">#REF!</definedName>
    <definedName name="_3__123Graph_CQRE_S_BY_TYPE">#REF!</definedName>
    <definedName name="_3__FDSAUDITLINK__" hidden="1">{"fdsup://directions/FAT Viewer?action=UPDATE&amp;creator=factset&amp;DYN_ARGS=TRUE&amp;DOC_NAME=FAT:FQL_AUDITING_CLIENT_TEMPLATE.FAT&amp;display_string=Audit&amp;VAR:KEY=IHGPQDMVAJ&amp;VAR:QUERY=RkZfRU5UUlBSX1ZBTF9EQUlMWSgxODQp&amp;WINDOW=FIRST_POPUP&amp;HEIGHT=450&amp;WIDTH=450&amp;START_MAXIMI","ZED=FALSE&amp;VAR:CALENDAR=FIVEDAY&amp;VAR:SYMBOL=CTCT&amp;VAR:INDEX=0"}</definedName>
    <definedName name="_3_0__123Grap">#REF!</definedName>
    <definedName name="_30__123Graph_BQRE_S_BY_TYPE">#REF!</definedName>
    <definedName name="_30__123Graph_FWAGES_BY_B_U">#REF!</definedName>
    <definedName name="_30__FDSAUDITLINK__" hidden="1">{"fdsup://directions/FAT Viewer?action=UPDATE&amp;creator=factset&amp;DYN_ARGS=TRUE&amp;DOC_NAME=FAT:FQL_AUDITING_CLIENT_TEMPLATE.FAT&amp;display_string=Audit&amp;VAR:KEY=NGFSFWPSPE&amp;VAR:QUERY=RkZfRUJJVERBX09QRVIoUVRSLDQvMS8yMDEwLDYvMzAvMjAxMCwsLFVTRCk=&amp;WINDOW=FIRST_POPUP&amp;HEIGH","T=450&amp;WIDTH=450&amp;START_MAXIMIZED=FALSE&amp;VAR:CALENDAR=US&amp;VAR:SYMBOL=WU&amp;VAR:INDEX=0"}</definedName>
    <definedName name="_300__FDSAUDITLINK__" hidden="1">{"fdsup://directions/FAT Viewer?action=UPDATE&amp;creator=factset&amp;DYN_ARGS=TRUE&amp;DOC_NAME=FAT:FQL_AUDITING_CLIENT_TEMPLATE.FAT&amp;display_string=Audit&amp;VAR:KEY=DCLKJWNGHS&amp;VAR:QUERY=RkZfRUJJVERBX09QRVIoUVRSLDQvMS8yMDEwLDYvMzAvMjAxMCwsLFVTRCk=&amp;WINDOW=FIRST_POPUP&amp;HEIGH","T=450&amp;WIDTH=450&amp;START_MAXIMIZED=FALSE&amp;VAR:CALENDAR=US&amp;VAR:SYMBOL=PCS&amp;VAR:INDEX=0"}</definedName>
    <definedName name="_301__FDSAUDITLINK__" hidden="1">{"fdsup://directions/FAT Viewer?action=UPDATE&amp;creator=factset&amp;DYN_ARGS=TRUE&amp;DOC_NAME=FAT:FQL_AUDITING_CLIENT_TEMPLATE.FAT&amp;display_string=Audit&amp;VAR:KEY=PMHMTSNQLA&amp;VAR:QUERY=RkZfRUJJVERBX09QRVIoUVRSLDQvMS8yMDA5LDYvMzAvMjAwOSwsLFVTRCk=&amp;WINDOW=FIRST_POPUP&amp;HEIGH","T=450&amp;WIDTH=450&amp;START_MAXIMIZED=FALSE&amp;VAR:CALENDAR=US&amp;VAR:SYMBOL=PCP&amp;VAR:INDEX=0"}</definedName>
    <definedName name="_302__FDSAUDITLINK__" hidden="1">{"fdsup://directions/FAT Viewer?action=UPDATE&amp;creator=factset&amp;DYN_ARGS=TRUE&amp;DOC_NAME=FAT:FQL_AUDITING_CLIENT_TEMPLATE.FAT&amp;display_string=Audit&amp;VAR:KEY=ZULCVUZIFI&amp;VAR:QUERY=RkZfRUJJVERBX09QRVIoUVRSLDQvMS8yMDEwLDYvMzAvMjAxMCwsLFVTRCk=&amp;WINDOW=FIRST_POPUP&amp;HEIGH","T=450&amp;WIDTH=450&amp;START_MAXIMIZED=FALSE&amp;VAR:CALENDAR=US&amp;VAR:SYMBOL=PCP&amp;VAR:INDEX=0"}</definedName>
    <definedName name="_303__FDSAUDITLINK__" hidden="1">{"fdsup://directions/FAT Viewer?action=UPDATE&amp;creator=factset&amp;DYN_ARGS=TRUE&amp;DOC_NAME=FAT:FQL_AUDITING_CLIENT_TEMPLATE.FAT&amp;display_string=Audit&amp;VAR:KEY=XWBYZKTETO&amp;VAR:QUERY=RkZfRUJJVERBX09QRVIoUVRSLDQvMS8yMDA5LDYvMzAvMjAwOSwsLFVTRCk=&amp;WINDOW=FIRST_POPUP&amp;HEIGH","T=450&amp;WIDTH=450&amp;START_MAXIMIZED=FALSE&amp;VAR:CALENDAR=US&amp;VAR:SYMBOL=PCLN&amp;VAR:INDEX=0"}</definedName>
    <definedName name="_304__FDSAUDITLINK__" hidden="1">{"fdsup://directions/FAT Viewer?action=UPDATE&amp;creator=factset&amp;DYN_ARGS=TRUE&amp;DOC_NAME=FAT:FQL_AUDITING_CLIENT_TEMPLATE.FAT&amp;display_string=Audit&amp;VAR:KEY=PIZIFYTWLW&amp;VAR:QUERY=RkZfRUJJVERBX09QRVIoUVRSLDQvMS8yMDEwLDYvMzAvMjAxMCwsLFVTRCk=&amp;WINDOW=FIRST_POPUP&amp;HEIGH","T=450&amp;WIDTH=450&amp;START_MAXIMIZED=FALSE&amp;VAR:CALENDAR=US&amp;VAR:SYMBOL=PCLN&amp;VAR:INDEX=0"}</definedName>
    <definedName name="_305__FDSAUDITLINK__" hidden="1">{"fdsup://directions/FAT Viewer?action=UPDATE&amp;creator=factset&amp;DYN_ARGS=TRUE&amp;DOC_NAME=FAT:FQL_AUDITING_CLIENT_TEMPLATE.FAT&amp;display_string=Audit&amp;VAR:KEY=BEVKRWBYXU&amp;VAR:QUERY=RkZfRUJJVERBX09QRVIoUVRSLDQvMS8yMDA5LDYvMzAvMjAwOSwsLFVTRCk=&amp;WINDOW=FIRST_POPUP&amp;HEIGH","T=450&amp;WIDTH=450&amp;START_MAXIMIZED=FALSE&amp;VAR:CALENDAR=US&amp;VAR:SYMBOL=PCL&amp;VAR:INDEX=0"}</definedName>
    <definedName name="_306__FDSAUDITLINK__" hidden="1">{"fdsup://directions/FAT Viewer?action=UPDATE&amp;creator=factset&amp;DYN_ARGS=TRUE&amp;DOC_NAME=FAT:FQL_AUDITING_CLIENT_TEMPLATE.FAT&amp;display_string=Audit&amp;VAR:KEY=VGZIXMTWHG&amp;VAR:QUERY=RkZfRUJJVERBX09QRVIoUVRSLDQvMS8yMDEwLDYvMzAvMjAxMCwsLFVTRCk=&amp;WINDOW=FIRST_POPUP&amp;HEIGH","T=450&amp;WIDTH=450&amp;START_MAXIMIZED=FALSE&amp;VAR:CALENDAR=US&amp;VAR:SYMBOL=PCL&amp;VAR:INDEX=0"}</definedName>
    <definedName name="_307__FDSAUDITLINK__" hidden="1">{"fdsup://directions/FAT Viewer?action=UPDATE&amp;creator=factset&amp;DYN_ARGS=TRUE&amp;DOC_NAME=FAT:FQL_AUDITING_CLIENT_TEMPLATE.FAT&amp;display_string=Audit&amp;VAR:KEY=DCTGTCDCLS&amp;VAR:QUERY=RkZfRUJJVERBX09QRVIoUVRSLDQvMS8yMDA5LDYvMzAvMjAwOSwsLFVTRCk=&amp;WINDOW=FIRST_POPUP&amp;HEIGH","T=450&amp;WIDTH=450&amp;START_MAXIMIZED=FALSE&amp;VAR:CALENDAR=US&amp;VAR:SYMBOL=PCG&amp;VAR:INDEX=0"}</definedName>
    <definedName name="_308__FDSAUDITLINK__" hidden="1">{"fdsup://directions/FAT Viewer?action=UPDATE&amp;creator=factset&amp;DYN_ARGS=TRUE&amp;DOC_NAME=FAT:FQL_AUDITING_CLIENT_TEMPLATE.FAT&amp;display_string=Audit&amp;VAR:KEY=FUHQPGFSFE&amp;VAR:QUERY=RkZfRUJJVERBX09QRVIoUVRSLDQvMS8yMDEwLDYvMzAvMjAxMCwsLFVTRCk=&amp;WINDOW=FIRST_POPUP&amp;HEIGH","T=450&amp;WIDTH=450&amp;START_MAXIMIZED=FALSE&amp;VAR:CALENDAR=US&amp;VAR:SYMBOL=PCG&amp;VAR:INDEX=0"}</definedName>
    <definedName name="_309__FDSAUDITLINK__" hidden="1">{"fdsup://directions/FAT Viewer?action=UPDATE&amp;creator=factset&amp;DYN_ARGS=TRUE&amp;DOC_NAME=FAT:FQL_AUDITING_CLIENT_TEMPLATE.FAT&amp;display_string=Audit&amp;VAR:KEY=VGJMLUZCNS&amp;VAR:QUERY=RkZfRUJJVERBX09QRVIoUVRSLDQvMS8yMDA5LDYvMzAvMjAwOSwsLFVTRCk=&amp;WINDOW=FIRST_POPUP&amp;HEIGH","T=450&amp;WIDTH=450&amp;START_MAXIMIZED=FALSE&amp;VAR:CALENDAR=US&amp;VAR:SYMBOL=PCAR&amp;VAR:INDEX=0"}</definedName>
    <definedName name="_31__123Graph_BSENS_COMPARISON">#REF!</definedName>
    <definedName name="_31__123Graph_XCONTRACT_BY_B_U">#REF!</definedName>
    <definedName name="_31__FDSAUDITLINK__" hidden="1">{"fdsup://directions/FAT Viewer?action=UPDATE&amp;creator=factset&amp;DYN_ARGS=TRUE&amp;DOC_NAME=FAT:FQL_AUDITING_CLIENT_TEMPLATE.FAT&amp;display_string=Audit&amp;VAR:KEY=XKJKRQPWBI&amp;VAR:QUERY=RkZfRUJJVERBX09QRVIoUVRSLDQvMS8yMDA5LDYvMzAvMjAwOSwsLFVTRCk=&amp;WINDOW=FIRST_POPUP&amp;HEIGH","T=450&amp;WIDTH=450&amp;START_MAXIMIZED=FALSE&amp;VAR:CALENDAR=US&amp;VAR:SYMBOL=WPO&amp;VAR:INDEX=0"}</definedName>
    <definedName name="_310__FDSAUDITLINK__" hidden="1">{"fdsup://directions/FAT Viewer?action=UPDATE&amp;creator=factset&amp;DYN_ARGS=TRUE&amp;DOC_NAME=FAT:FQL_AUDITING_CLIENT_TEMPLATE.FAT&amp;display_string=Audit&amp;VAR:KEY=NWBEVKJSZQ&amp;VAR:QUERY=RkZfRUJJVERBX09QRVIoUVRSLDQvMS8yMDEwLDYvMzAvMjAxMCwsLFVTRCk=&amp;WINDOW=FIRST_POPUP&amp;HEIGH","T=450&amp;WIDTH=450&amp;START_MAXIMIZED=FALSE&amp;VAR:CALENDAR=US&amp;VAR:SYMBOL=PCAR&amp;VAR:INDEX=0"}</definedName>
    <definedName name="_311__FDSAUDITLINK__" hidden="1">{"fdsup://directions/FAT Viewer?action=UPDATE&amp;creator=factset&amp;DYN_ARGS=TRUE&amp;DOC_NAME=FAT:FQL_AUDITING_CLIENT_TEMPLATE.FAT&amp;display_string=Audit&amp;VAR:KEY=PCZERAHULW&amp;VAR:QUERY=RkZfRUJJVERBX09QRVIoUVRSLDQvMS8yMDA5LDYvMzAvMjAwOSwsLFVTRCk=&amp;WINDOW=FIRST_POPUP&amp;HEIGH","T=450&amp;WIDTH=450&amp;START_MAXIMIZED=FALSE&amp;VAR:CALENDAR=US&amp;VAR:SYMBOL=PBI&amp;VAR:INDEX=0"}</definedName>
    <definedName name="_312__FDSAUDITLINK__" hidden="1">{"fdsup://directions/FAT Viewer?action=UPDATE&amp;creator=factset&amp;DYN_ARGS=TRUE&amp;DOC_NAME=FAT:FQL_AUDITING_CLIENT_TEMPLATE.FAT&amp;display_string=Audit&amp;VAR:KEY=HCPQBUXOLU&amp;VAR:QUERY=RkZfRUJJVERBX09QRVIoUVRSLDQvMS8yMDEwLDYvMzAvMjAxMCwsLFVTRCk=&amp;WINDOW=FIRST_POPUP&amp;HEIGH","T=450&amp;WIDTH=450&amp;START_MAXIMIZED=FALSE&amp;VAR:CALENDAR=US&amp;VAR:SYMBOL=PBI&amp;VAR:INDEX=0"}</definedName>
    <definedName name="_313__FDSAUDITLINK__" hidden="1">{"fdsup://directions/FAT Viewer?action=UPDATE&amp;creator=factset&amp;DYN_ARGS=TRUE&amp;DOC_NAME=FAT:FQL_AUDITING_CLIENT_TEMPLATE.FAT&amp;display_string=Audit&amp;VAR:KEY=RWFCHCNGHO&amp;VAR:QUERY=RkZfRUJJVERBX09QRVIoUVRSLDQvMS8yMDA5LDYvMzAvMjAwOSwsLFVTRCk=&amp;WINDOW=FIRST_POPUP&amp;HEIGH","T=450&amp;WIDTH=450&amp;START_MAXIMIZED=FALSE&amp;VAR:CALENDAR=US&amp;VAR:SYMBOL=PBCT&amp;VAR:INDEX=0"}</definedName>
    <definedName name="_314__FDSAUDITLINK__" hidden="1">{"fdsup://directions/FAT Viewer?action=UPDATE&amp;creator=factset&amp;DYN_ARGS=TRUE&amp;DOC_NAME=FAT:FQL_AUDITING_CLIENT_TEMPLATE.FAT&amp;display_string=Audit&amp;VAR:KEY=RCVQBOPCTE&amp;VAR:QUERY=RkZfRUJJVERBX09QRVIoUVRSLDQvMS8yMDEwLDYvMzAvMjAxMCwsLFVTRCk=&amp;WINDOW=FIRST_POPUP&amp;HEIGH","T=450&amp;WIDTH=450&amp;START_MAXIMIZED=FALSE&amp;VAR:CALENDAR=US&amp;VAR:SYMBOL=PBCT&amp;VAR:INDEX=0"}</definedName>
    <definedName name="_315__FDSAUDITLINK__" hidden="1">{"fdsup://directions/FAT Viewer?action=UPDATE&amp;creator=factset&amp;DYN_ARGS=TRUE&amp;DOC_NAME=FAT:FQL_AUDITING_CLIENT_TEMPLATE.FAT&amp;display_string=Audit&amp;VAR:KEY=XAZGFSXQTS&amp;VAR:QUERY=RkZfRUJJVERBX09QRVIoUVRSLDQvMS8yMDA5LDYvMzAvMjAwOSwsLFVTRCk=&amp;WINDOW=FIRST_POPUP&amp;HEIGH","T=450&amp;WIDTH=450&amp;START_MAXIMIZED=FALSE&amp;VAR:CALENDAR=US&amp;VAR:SYMBOL=PAYX&amp;VAR:INDEX=0"}</definedName>
    <definedName name="_316__FDSAUDITLINK__" hidden="1">{"fdsup://directions/FAT Viewer?action=UPDATE&amp;creator=factset&amp;DYN_ARGS=TRUE&amp;DOC_NAME=FAT:FQL_AUDITING_CLIENT_TEMPLATE.FAT&amp;display_string=Audit&amp;VAR:KEY=RULERYXSNO&amp;VAR:QUERY=RkZfRUJJVERBX09QRVIoUVRSLDQvMS8yMDEwLDYvMzAvMjAxMCwsLFVTRCk=&amp;WINDOW=FIRST_POPUP&amp;HEIGH","T=450&amp;WIDTH=450&amp;START_MAXIMIZED=FALSE&amp;VAR:CALENDAR=US&amp;VAR:SYMBOL=PAYX&amp;VAR:INDEX=0"}</definedName>
    <definedName name="_317__FDSAUDITLINK__" hidden="1">{"fdsup://directions/FAT Viewer?action=UPDATE&amp;creator=factset&amp;DYN_ARGS=TRUE&amp;DOC_NAME=FAT:FQL_AUDITING_CLIENT_TEMPLATE.FAT&amp;display_string=Audit&amp;VAR:KEY=ZWBCHMVCZQ&amp;VAR:QUERY=RkZfRUJJVERBX09QRVIoUVRSLDQvMS8yMDA5LDYvMzAvMjAwOSwsLFVTRCk=&amp;WINDOW=FIRST_POPUP&amp;HEIGH","T=450&amp;WIDTH=450&amp;START_MAXIMIZED=FALSE&amp;VAR:CALENDAR=US&amp;VAR:SYMBOL=OXY&amp;VAR:INDEX=0"}</definedName>
    <definedName name="_318__FDSAUDITLINK__" hidden="1">{"fdsup://directions/FAT Viewer?action=UPDATE&amp;creator=factset&amp;DYN_ARGS=TRUE&amp;DOC_NAME=FAT:FQL_AUDITING_CLIENT_TEMPLATE.FAT&amp;display_string=Audit&amp;VAR:KEY=JGBWJIFINS&amp;VAR:QUERY=RkZfRUJJVERBX09QRVIoUVRSLDQvMS8yMDEwLDYvMzAvMjAxMCwsLFVTRCk=&amp;WINDOW=FIRST_POPUP&amp;HEIGH","T=450&amp;WIDTH=450&amp;START_MAXIMIZED=FALSE&amp;VAR:CALENDAR=US&amp;VAR:SYMBOL=OXY&amp;VAR:INDEX=0"}</definedName>
    <definedName name="_319__FDSAUDITLINK__" hidden="1">{"fdsup://directions/FAT Viewer?action=UPDATE&amp;creator=factset&amp;DYN_ARGS=TRUE&amp;DOC_NAME=FAT:FQL_AUDITING_CLIENT_TEMPLATE.FAT&amp;display_string=Audit&amp;VAR:KEY=HYTQLUXIBI&amp;VAR:QUERY=RkZfRUJJVERBX09QRVIoUVRSLDQvMS8yMDA5LDYvMzAvMjAwOSwsLFVTRCk=&amp;WINDOW=FIRST_POPUP&amp;HEIGH","T=450&amp;WIDTH=450&amp;START_MAXIMIZED=FALSE&amp;VAR:CALENDAR=US&amp;VAR:SYMBOL=ORLY&amp;VAR:INDEX=0"}</definedName>
    <definedName name="_32__123Graph_BSUPPLIES_BY_B_U">#REF!</definedName>
    <definedName name="_32__123Graph_XQRE_S_BY_CO.">#REF!</definedName>
    <definedName name="_32__FDSAUDITLINK__" hidden="1">{"fdsup://directions/FAT Viewer?action=UPDATE&amp;creator=factset&amp;DYN_ARGS=TRUE&amp;DOC_NAME=FAT:FQL_AUDITING_CLIENT_TEMPLATE.FAT&amp;display_string=Audit&amp;VAR:KEY=NGXYJENWJQ&amp;VAR:QUERY=RkZfRUJJVERBX09QRVIoUVRSLDQvMS8yMDEwLDYvMzAvMjAxMCwsLFVTRCk=&amp;WINDOW=FIRST_POPUP&amp;HEIGH","T=450&amp;WIDTH=450&amp;START_MAXIMIZED=FALSE&amp;VAR:CALENDAR=US&amp;VAR:SYMBOL=WPO&amp;VAR:INDEX=0"}</definedName>
    <definedName name="_320__FDSAUDITLINK__" hidden="1">{"fdsup://directions/FAT Viewer?action=UPDATE&amp;creator=factset&amp;DYN_ARGS=TRUE&amp;DOC_NAME=FAT:FQL_AUDITING_CLIENT_TEMPLATE.FAT&amp;display_string=Audit&amp;VAR:KEY=JGHWTANWLS&amp;VAR:QUERY=RkZfRUJJVERBX09QRVIoUVRSLDQvMS8yMDEwLDYvMzAvMjAxMCwsLFVTRCk=&amp;WINDOW=FIRST_POPUP&amp;HEIGH","T=450&amp;WIDTH=450&amp;START_MAXIMIZED=FALSE&amp;VAR:CALENDAR=US&amp;VAR:SYMBOL=ORLY&amp;VAR:INDEX=0"}</definedName>
    <definedName name="_321__FDSAUDITLINK__" hidden="1">{"fdsup://directions/FAT Viewer?action=UPDATE&amp;creator=factset&amp;DYN_ARGS=TRUE&amp;DOC_NAME=FAT:FQL_AUDITING_CLIENT_TEMPLATE.FAT&amp;display_string=Audit&amp;VAR:KEY=BAPMTETODM&amp;VAR:QUERY=RkZfRUJJVERBX09QRVIoUVRSLDQvMS8yMDA5LDYvMzAvMjAwOSwsLFVTRCk=&amp;WINDOW=FIRST_POPUP&amp;HEIGH","T=450&amp;WIDTH=450&amp;START_MAXIMIZED=FALSE&amp;VAR:CALENDAR=US&amp;VAR:SYMBOL=ORCL&amp;VAR:INDEX=0"}</definedName>
    <definedName name="_322__FDSAUDITLINK__" hidden="1">{"fdsup://directions/FAT Viewer?action=UPDATE&amp;creator=factset&amp;DYN_ARGS=TRUE&amp;DOC_NAME=FAT:FQL_AUDITING_CLIENT_TEMPLATE.FAT&amp;display_string=Audit&amp;VAR:KEY=HAZMVMRWBE&amp;VAR:QUERY=RkZfRUJJVERBX09QRVIoUVRSLDQvMS8yMDEwLDYvMzAvMjAxMCwsLFVTRCk=&amp;WINDOW=FIRST_POPUP&amp;HEIGH","T=450&amp;WIDTH=450&amp;START_MAXIMIZED=FALSE&amp;VAR:CALENDAR=US&amp;VAR:SYMBOL=ORCL&amp;VAR:INDEX=0"}</definedName>
    <definedName name="_323__FDSAUDITLINK__" hidden="1">{"fdsup://directions/FAT Viewer?action=UPDATE&amp;creator=factset&amp;DYN_ARGS=TRUE&amp;DOC_NAME=FAT:FQL_AUDITING_CLIENT_TEMPLATE.FAT&amp;display_string=Audit&amp;VAR:KEY=HGLYXYZEJY&amp;VAR:QUERY=RkZfRUJJVERBX09QRVIoUVRSLDQvMS8yMDA5LDYvMzAvMjAwOSwsLFVTRCk=&amp;WINDOW=FIRST_POPUP&amp;HEIGH","T=450&amp;WIDTH=450&amp;START_MAXIMIZED=FALSE&amp;VAR:CALENDAR=US&amp;VAR:SYMBOL=OMC&amp;VAR:INDEX=0"}</definedName>
    <definedName name="_324__FDSAUDITLINK__" hidden="1">{"fdsup://directions/FAT Viewer?action=UPDATE&amp;creator=factset&amp;DYN_ARGS=TRUE&amp;DOC_NAME=FAT:FQL_AUDITING_CLIENT_TEMPLATE.FAT&amp;display_string=Audit&amp;VAR:KEY=BCFETKRMBY&amp;VAR:QUERY=RkZfRUJJVERBX09QRVIoUVRSLDQvMS8yMDEwLDYvMzAvMjAxMCwsLFVTRCk=&amp;WINDOW=FIRST_POPUP&amp;HEIGH","T=450&amp;WIDTH=450&amp;START_MAXIMIZED=FALSE&amp;VAR:CALENDAR=US&amp;VAR:SYMBOL=OMC&amp;VAR:INDEX=0"}</definedName>
    <definedName name="_325__FDSAUDITLINK__" hidden="1">{"fdsup://directions/FAT Viewer?action=UPDATE&amp;creator=factset&amp;DYN_ARGS=TRUE&amp;DOC_NAME=FAT:FQL_AUDITING_CLIENT_TEMPLATE.FAT&amp;display_string=Audit&amp;VAR:KEY=JCTYTSZKXM&amp;VAR:QUERY=RkZfRUJJVERBX09QRVIoUVRSLDQvMS8yMDA5LDYvMzAvMjAwOSwsLFVTRCk=&amp;WINDOW=FIRST_POPUP&amp;HEIGH","T=450&amp;WIDTH=450&amp;START_MAXIMIZED=FALSE&amp;VAR:CALENDAR=US&amp;VAR:SYMBOL=OKE&amp;VAR:INDEX=0"}</definedName>
    <definedName name="_326__FDSAUDITLINK__" hidden="1">{"fdsup://directions/FAT Viewer?action=UPDATE&amp;creator=factset&amp;DYN_ARGS=TRUE&amp;DOC_NAME=FAT:FQL_AUDITING_CLIENT_TEMPLATE.FAT&amp;display_string=Audit&amp;VAR:KEY=JEBMXMRGDO&amp;VAR:QUERY=RkZfRUJJVERBX09QRVIoUVRSLDQvMS8yMDEwLDYvMzAvMjAxMCwsLFVTRCk=&amp;WINDOW=FIRST_POPUP&amp;HEIGH","T=450&amp;WIDTH=450&amp;START_MAXIMIZED=FALSE&amp;VAR:CALENDAR=US&amp;VAR:SYMBOL=OKE&amp;VAR:INDEX=0"}</definedName>
    <definedName name="_327__FDSAUDITLINK__" hidden="1">{"fdsup://directions/FAT Viewer?action=UPDATE&amp;creator=factset&amp;DYN_ARGS=TRUE&amp;DOC_NAME=FAT:FQL_AUDITING_CLIENT_TEMPLATE.FAT&amp;display_string=Audit&amp;VAR:KEY=XOXCBONIXG&amp;VAR:QUERY=RkZfRUJJVERBX09QRVIoUVRSLDQvMS8yMDA5LDYvMzAvMjAwOSwsLFVTRCk=&amp;WINDOW=FIRST_POPUP&amp;HEIGH","T=450&amp;WIDTH=450&amp;START_MAXIMIZED=FALSE&amp;VAR:CALENDAR=US&amp;VAR:SYMBOL=OI&amp;VAR:INDEX=0"}</definedName>
    <definedName name="_328__FDSAUDITLINK__" hidden="1">{"fdsup://directions/FAT Viewer?action=UPDATE&amp;creator=factset&amp;DYN_ARGS=TRUE&amp;DOC_NAME=FAT:FQL_AUDITING_CLIENT_TEMPLATE.FAT&amp;display_string=Audit&amp;VAR:KEY=RSHKLQJMZC&amp;VAR:QUERY=RkZfRUJJVERBX09QRVIoUVRSLDQvMS8yMDEwLDYvMzAvMjAxMCwsLFVTRCk=&amp;WINDOW=FIRST_POPUP&amp;HEIGH","T=450&amp;WIDTH=450&amp;START_MAXIMIZED=FALSE&amp;VAR:CALENDAR=US&amp;VAR:SYMBOL=OI&amp;VAR:INDEX=0"}</definedName>
    <definedName name="_329__FDSAUDITLINK__" hidden="1">{"fdsup://directions/FAT Viewer?action=UPDATE&amp;creator=factset&amp;DYN_ARGS=TRUE&amp;DOC_NAME=FAT:FQL_AUDITING_CLIENT_TEMPLATE.FAT&amp;display_string=Audit&amp;VAR:KEY=FYBAZOZEDY&amp;VAR:QUERY=RkZfRUJJVERBX09QRVIoUVRSLDQvMS8yMDA5LDYvMzAvMjAwOSwsLFVTRCk=&amp;WINDOW=FIRST_POPUP&amp;HEIGH","T=450&amp;WIDTH=450&amp;START_MAXIMIZED=FALSE&amp;VAR:CALENDAR=US&amp;VAR:SYMBOL=ODP&amp;VAR:INDEX=0"}</definedName>
    <definedName name="_33__123Graph_BTAX_CREDIT">#REF!</definedName>
    <definedName name="_33__123Graph_XQRE_S_BY_TYPE">#REF!</definedName>
    <definedName name="_33__FDSAUDITLINK__" hidden="1">{"fdsup://directions/FAT Viewer?action=UPDATE&amp;creator=factset&amp;DYN_ARGS=TRUE&amp;DOC_NAME=FAT:FQL_AUDITING_CLIENT_TEMPLATE.FAT&amp;display_string=Audit&amp;VAR:KEY=RQHWRKNARI&amp;VAR:QUERY=RkZfRUJJVERBX09QRVIoUVRSLDQvMS8yMDA5LDYvMzAvMjAwOSwsLFVTRCk=&amp;WINDOW=FIRST_POPUP&amp;HEIGH","T=450&amp;WIDTH=450&amp;START_MAXIMIZED=FALSE&amp;VAR:CALENDAR=US&amp;VAR:SYMBOL=WPI&amp;VAR:INDEX=0"}</definedName>
    <definedName name="_330__FDSAUDITLINK__" hidden="1">{"fdsup://directions/FAT Viewer?action=UPDATE&amp;creator=factset&amp;DYN_ARGS=TRUE&amp;DOC_NAME=FAT:FQL_AUDITING_CLIENT_TEMPLATE.FAT&amp;display_string=Audit&amp;VAR:KEY=XIVENWLEVM&amp;VAR:QUERY=RkZfRUJJVERBX09QRVIoUVRSLDQvMS8yMDEwLDYvMzAvMjAxMCwsLFVTRCk=&amp;WINDOW=FIRST_POPUP&amp;HEIGH","T=450&amp;WIDTH=450&amp;START_MAXIMIZED=FALSE&amp;VAR:CALENDAR=US&amp;VAR:SYMBOL=ODP&amp;VAR:INDEX=0"}</definedName>
    <definedName name="_331__FDSAUDITLINK__" hidden="1">{"fdsup://directions/FAT Viewer?action=UPDATE&amp;creator=factset&amp;DYN_ARGS=TRUE&amp;DOC_NAME=FAT:FQL_AUDITING_CLIENT_TEMPLATE.FAT&amp;display_string=Audit&amp;VAR:KEY=VUDQRWHGPQ&amp;VAR:QUERY=RkZfRUJJVERBX09QRVIoUVRSLDQvMS8yMDA5LDYvMzAvMjAwOSwsLFVTRCk=&amp;WINDOW=FIRST_POPUP&amp;HEIGH","T=450&amp;WIDTH=450&amp;START_MAXIMIZED=FALSE&amp;VAR:CALENDAR=US&amp;VAR:SYMBOL=NYX&amp;VAR:INDEX=0"}</definedName>
    <definedName name="_332__FDSAUDITLINK__" hidden="1">{"fdsup://directions/FAT Viewer?action=UPDATE&amp;creator=factset&amp;DYN_ARGS=TRUE&amp;DOC_NAME=FAT:FQL_AUDITING_CLIENT_TEMPLATE.FAT&amp;display_string=Audit&amp;VAR:KEY=HOHWTYFKFC&amp;VAR:QUERY=RkZfRUJJVERBX09QRVIoUVRSLDQvMS8yMDEwLDYvMzAvMjAxMCwsLFVTRCk=&amp;WINDOW=FIRST_POPUP&amp;HEIGH","T=450&amp;WIDTH=450&amp;START_MAXIMIZED=FALSE&amp;VAR:CALENDAR=US&amp;VAR:SYMBOL=NYX&amp;VAR:INDEX=0"}</definedName>
    <definedName name="_333__FDSAUDITLINK__" hidden="1">{"fdsup://directions/FAT Viewer?action=UPDATE&amp;creator=factset&amp;DYN_ARGS=TRUE&amp;DOC_NAME=FAT:FQL_AUDITING_CLIENT_TEMPLATE.FAT&amp;display_string=Audit&amp;VAR:KEY=FKTSHCZSDA&amp;VAR:QUERY=RkZfRUJJVERBX09QRVIoUVRSLDQvMS8yMDA5LDYvMzAvMjAwOSwsLFVTRCk=&amp;WINDOW=FIRST_POPUP&amp;HEIGH","T=450&amp;WIDTH=450&amp;START_MAXIMIZED=FALSE&amp;VAR:CALENDAR=US&amp;VAR:SYMBOL=NYT&amp;VAR:INDEX=0"}</definedName>
    <definedName name="_334__FDSAUDITLINK__" hidden="1">{"fdsup://directions/FAT Viewer?action=UPDATE&amp;creator=factset&amp;DYN_ARGS=TRUE&amp;DOC_NAME=FAT:FQL_AUDITING_CLIENT_TEMPLATE.FAT&amp;display_string=Audit&amp;VAR:KEY=VENEREDAFU&amp;VAR:QUERY=RkZfRUJJVERBX09QRVIoUVRSLDQvMS8yMDEwLDYvMzAvMjAxMCwsLFVTRCk=&amp;WINDOW=FIRST_POPUP&amp;HEIGH","T=450&amp;WIDTH=450&amp;START_MAXIMIZED=FALSE&amp;VAR:CALENDAR=US&amp;VAR:SYMBOL=NYT&amp;VAR:INDEX=0"}</definedName>
    <definedName name="_335__FDSAUDITLINK__" hidden="1">{"fdsup://directions/FAT Viewer?action=UPDATE&amp;creator=factset&amp;DYN_ARGS=TRUE&amp;DOC_NAME=FAT:FQL_AUDITING_CLIENT_TEMPLATE.FAT&amp;display_string=Audit&amp;VAR:KEY=RCVSBCPSPO&amp;VAR:QUERY=RkZfRUJJVERBX09QRVIoUVRSLDQvMS8yMDA5LDYvMzAvMjAwOSwsLFVTRCk=&amp;WINDOW=FIRST_POPUP&amp;HEIGH","T=450&amp;WIDTH=450&amp;START_MAXIMIZED=FALSE&amp;VAR:CALENDAR=US&amp;VAR:SYMBOL=NWSA&amp;VAR:INDEX=0"}</definedName>
    <definedName name="_336__FDSAUDITLINK__" hidden="1">{"fdsup://directions/FAT Viewer?action=UPDATE&amp;creator=factset&amp;DYN_ARGS=TRUE&amp;DOC_NAME=FAT:FQL_AUDITING_CLIENT_TEMPLATE.FAT&amp;display_string=Audit&amp;VAR:KEY=PGRIBWZYXA&amp;VAR:QUERY=RkZfRUJJVERBX09QRVIoUVRSLDQvMS8yMDEwLDYvMzAvMjAxMCwsLFVTRCk=&amp;WINDOW=FIRST_POPUP&amp;HEIGH","T=450&amp;WIDTH=450&amp;START_MAXIMIZED=FALSE&amp;VAR:CALENDAR=US&amp;VAR:SYMBOL=NWSA&amp;VAR:INDEX=0"}</definedName>
    <definedName name="_337__FDSAUDITLINK__" hidden="1">{"fdsup://directions/FAT Viewer?action=UPDATE&amp;creator=factset&amp;DYN_ARGS=TRUE&amp;DOC_NAME=FAT:FQL_AUDITING_CLIENT_TEMPLATE.FAT&amp;display_string=Audit&amp;VAR:KEY=HAPIXEBEDA&amp;VAR:QUERY=RkZfRUJJVERBX09QRVIoUVRSLDQvMS8yMDA5LDYvMzAvMjAwOSwsLFVTRCk=&amp;WINDOW=FIRST_POPUP&amp;HEIGH","T=450&amp;WIDTH=450&amp;START_MAXIMIZED=FALSE&amp;VAR:CALENDAR=US&amp;VAR:SYMBOL=NWL&amp;VAR:INDEX=0"}</definedName>
    <definedName name="_338__FDSAUDITLINK__" hidden="1">{"fdsup://directions/FAT Viewer?action=UPDATE&amp;creator=factset&amp;DYN_ARGS=TRUE&amp;DOC_NAME=FAT:FQL_AUDITING_CLIENT_TEMPLATE.FAT&amp;display_string=Audit&amp;VAR:KEY=FQFCFMZSLK&amp;VAR:QUERY=RkZfRUJJVERBX09QRVIoUVRSLDQvMS8yMDEwLDYvMzAvMjAxMCwsLFVTRCk=&amp;WINDOW=FIRST_POPUP&amp;HEIGH","T=450&amp;WIDTH=450&amp;START_MAXIMIZED=FALSE&amp;VAR:CALENDAR=US&amp;VAR:SYMBOL=NWL&amp;VAR:INDEX=0"}</definedName>
    <definedName name="_339__FDSAUDITLINK__" hidden="1">{"fdsup://directions/FAT Viewer?action=UPDATE&amp;creator=factset&amp;DYN_ARGS=TRUE&amp;DOC_NAME=FAT:FQL_AUDITING_CLIENT_TEMPLATE.FAT&amp;display_string=Audit&amp;VAR:KEY=PKZGFIZYPQ&amp;VAR:QUERY=RkZfRUJJVERBX09QRVIoUVRSLDQvMS8yMDA5LDYvMzAvMjAwOSwsLFVTRCk=&amp;WINDOW=FIRST_POPUP&amp;HEIGH","T=450&amp;WIDTH=450&amp;START_MAXIMIZED=FALSE&amp;VAR:CALENDAR=US&amp;VAR:SYMBOL=NVLS&amp;VAR:INDEX=0"}</definedName>
    <definedName name="_34__123Graph_ACONTRACT_BY_B_U">#REF!</definedName>
    <definedName name="_34__123Graph_BWAGES_BY_B_U">#REF!</definedName>
    <definedName name="_34__123Graph_XSUPPLIES_BY_B_U">#REF!</definedName>
    <definedName name="_34__FDSAUDITLINK__" hidden="1">{"fdsup://directions/FAT Viewer?action=UPDATE&amp;creator=factset&amp;DYN_ARGS=TRUE&amp;DOC_NAME=FAT:FQL_AUDITING_CLIENT_TEMPLATE.FAT&amp;display_string=Audit&amp;VAR:KEY=RCVOLMREZG&amp;VAR:QUERY=RkZfRUJJVERBX09QRVIoUVRSLDQvMS8yMDEwLDYvMzAvMjAxMCwsLFVTRCk=&amp;WINDOW=FIRST_POPUP&amp;HEIGH","T=450&amp;WIDTH=450&amp;START_MAXIMIZED=FALSE&amp;VAR:CALENDAR=US&amp;VAR:SYMBOL=WPI&amp;VAR:INDEX=0"}</definedName>
    <definedName name="_340__FDSAUDITLINK__" hidden="1">{"fdsup://directions/FAT Viewer?action=UPDATE&amp;creator=factset&amp;DYN_ARGS=TRUE&amp;DOC_NAME=FAT:FQL_AUDITING_CLIENT_TEMPLATE.FAT&amp;display_string=Audit&amp;VAR:KEY=VQPCVUZOBK&amp;VAR:QUERY=RkZfRUJJVERBX09QRVIoUVRSLDQvMS8yMDEwLDYvMzAvMjAxMCwsLFVTRCk=&amp;WINDOW=FIRST_POPUP&amp;HEIGH","T=450&amp;WIDTH=450&amp;START_MAXIMIZED=FALSE&amp;VAR:CALENDAR=US&amp;VAR:SYMBOL=NVLS&amp;VAR:INDEX=0"}</definedName>
    <definedName name="_341__FDSAUDITLINK__" hidden="1">{"fdsup://directions/FAT Viewer?action=UPDATE&amp;creator=factset&amp;DYN_ARGS=TRUE&amp;DOC_NAME=FAT:FQL_AUDITING_CLIENT_TEMPLATE.FAT&amp;display_string=Audit&amp;VAR:KEY=ZUVKFWNSBG&amp;VAR:QUERY=RkZfRUJJVERBX09QRVIoUVRSLDQvMS8yMDA5LDYvMzAvMjAwOSwsLFVTRCk=&amp;WINDOW=FIRST_POPUP&amp;HEIGH","T=450&amp;WIDTH=450&amp;START_MAXIMIZED=FALSE&amp;VAR:CALENDAR=US&amp;VAR:SYMBOL=NVDA&amp;VAR:INDEX=0"}</definedName>
    <definedName name="_342__FDSAUDITLINK__" hidden="1">{"fdsup://directions/FAT Viewer?action=UPDATE&amp;creator=factset&amp;DYN_ARGS=TRUE&amp;DOC_NAME=FAT:FQL_AUDITING_CLIENT_TEMPLATE.FAT&amp;display_string=Audit&amp;VAR:KEY=TMJWJSZIJG&amp;VAR:QUERY=RkZfRUJJVERBX09QRVIoUVRSLDQvMS8yMDEwLDYvMzAvMjAxMCwsLFVTRCk=&amp;WINDOW=FIRST_POPUP&amp;HEIGH","T=450&amp;WIDTH=450&amp;START_MAXIMIZED=FALSE&amp;VAR:CALENDAR=US&amp;VAR:SYMBOL=NVDA&amp;VAR:INDEX=0"}</definedName>
    <definedName name="_343__FDSAUDITLINK__" hidden="1">{"fdsup://directions/FAT Viewer?action=UPDATE&amp;creator=factset&amp;DYN_ARGS=TRUE&amp;DOC_NAME=FAT:FQL_AUDITING_CLIENT_TEMPLATE.FAT&amp;display_string=Audit&amp;VAR:KEY=LYRAXODETO&amp;VAR:QUERY=RkZfRUJJVERBX09QRVIoUVRSLDQvMS8yMDA5LDYvMzAvMjAwOSwsLFVTRCk=&amp;WINDOW=FIRST_POPUP&amp;HEIGH","T=450&amp;WIDTH=450&amp;START_MAXIMIZED=FALSE&amp;VAR:CALENDAR=US&amp;VAR:SYMBOL=NUE&amp;VAR:INDEX=0"}</definedName>
    <definedName name="_344__FDSAUDITLINK__" hidden="1">{"fdsup://directions/FAT Viewer?action=UPDATE&amp;creator=factset&amp;DYN_ARGS=TRUE&amp;DOC_NAME=FAT:FQL_AUDITING_CLIENT_TEMPLATE.FAT&amp;display_string=Audit&amp;VAR:KEY=DANWNMZSRG&amp;VAR:QUERY=RkZfRUJJVERBX09QRVIoUVRSLDQvMS8yMDEwLDYvMzAvMjAxMCwsLFVTRCk=&amp;WINDOW=FIRST_POPUP&amp;HEIGH","T=450&amp;WIDTH=450&amp;START_MAXIMIZED=FALSE&amp;VAR:CALENDAR=US&amp;VAR:SYMBOL=NUE&amp;VAR:INDEX=0"}</definedName>
    <definedName name="_345__FDSAUDITLINK__" hidden="1">{"fdsup://directions/FAT Viewer?action=UPDATE&amp;creator=factset&amp;DYN_ARGS=TRUE&amp;DOC_NAME=FAT:FQL_AUDITING_CLIENT_TEMPLATE.FAT&amp;display_string=Audit&amp;VAR:KEY=PQFANUJORE&amp;VAR:QUERY=RkZfRUJJVERBX09QRVIoUVRSLDQvMS8yMDA5LDYvMzAvMjAwOSwsLFVTRCk=&amp;WINDOW=FIRST_POPUP&amp;HEIGH","T=450&amp;WIDTH=450&amp;START_MAXIMIZED=FALSE&amp;VAR:CALENDAR=US&amp;VAR:SYMBOL=NU&amp;VAR:INDEX=0"}</definedName>
    <definedName name="_346__FDSAUDITLINK__" hidden="1">{"fdsup://directions/FAT Viewer?action=UPDATE&amp;creator=factset&amp;DYN_ARGS=TRUE&amp;DOC_NAME=FAT:FQL_AUDITING_CLIENT_TEMPLATE.FAT&amp;display_string=Audit&amp;VAR:KEY=BUDYBEDCHS&amp;VAR:QUERY=RkZfRUJJVERBX09QRVIoUVRSLDQvMS8yMDEwLDYvMzAvMjAxMCwsLFVTRCk=&amp;WINDOW=FIRST_POPUP&amp;HEIGH","T=450&amp;WIDTH=450&amp;START_MAXIMIZED=FALSE&amp;VAR:CALENDAR=US&amp;VAR:SYMBOL=NU&amp;VAR:INDEX=0"}</definedName>
    <definedName name="_347__FDSAUDITLINK__" hidden="1">{"fdsup://directions/FAT Viewer?action=UPDATE&amp;creator=factset&amp;DYN_ARGS=TRUE&amp;DOC_NAME=FAT:FQL_AUDITING_CLIENT_TEMPLATE.FAT&amp;display_string=Audit&amp;VAR:KEY=JCHCLIJWFA&amp;VAR:QUERY=RkZfRUJJVERBX09QRVIoUVRSLDQvMS8yMDA5LDYvMzAvMjAwOSwsLFVTRCk=&amp;WINDOW=FIRST_POPUP&amp;HEIGH","T=450&amp;WIDTH=450&amp;START_MAXIMIZED=FALSE&amp;VAR:CALENDAR=US&amp;VAR:SYMBOL=NTRS&amp;VAR:INDEX=0"}</definedName>
    <definedName name="_348__FDSAUDITLINK__" hidden="1">{"fdsup://directions/FAT Viewer?action=UPDATE&amp;creator=factset&amp;DYN_ARGS=TRUE&amp;DOC_NAME=FAT:FQL_AUDITING_CLIENT_TEMPLATE.FAT&amp;display_string=Audit&amp;VAR:KEY=JKJUXARUDQ&amp;VAR:QUERY=RkZfRUJJVERBX09QRVIoUVRSLDQvMS8yMDEwLDYvMzAvMjAxMCwsLFVTRCk=&amp;WINDOW=FIRST_POPUP&amp;HEIGH","T=450&amp;WIDTH=450&amp;START_MAXIMIZED=FALSE&amp;VAR:CALENDAR=US&amp;VAR:SYMBOL=NTRS&amp;VAR:INDEX=0"}</definedName>
    <definedName name="_349__FDSAUDITLINK__" hidden="1">{"fdsup://directions/FAT Viewer?action=UPDATE&amp;creator=factset&amp;DYN_ARGS=TRUE&amp;DOC_NAME=FAT:FQL_AUDITING_CLIENT_TEMPLATE.FAT&amp;display_string=Audit&amp;VAR:KEY=VUXYNORSBW&amp;VAR:QUERY=RkZfRUJJVERBX09QRVIoUVRSLDQvMS8yMDA5LDYvMzAvMjAwOSwsLFVTRCk=&amp;WINDOW=FIRST_POPUP&amp;HEIGH","T=450&amp;WIDTH=450&amp;START_MAXIMIZED=FALSE&amp;VAR:CALENDAR=US&amp;VAR:SYMBOL=NTAP&amp;VAR:INDEX=0"}</definedName>
    <definedName name="_35__123Graph_AQRE_S_BY_CO.">#REF!</definedName>
    <definedName name="_35__123Graph_CCONTRACT_BY_B_U">#REF!</definedName>
    <definedName name="_35__123Graph_XTAX_CREDIT">#REF!</definedName>
    <definedName name="_35__FDSAUDITLINK__" hidden="1">{"fdsup://directions/FAT Viewer?action=UPDATE&amp;creator=factset&amp;DYN_ARGS=TRUE&amp;DOC_NAME=FAT:FQL_AUDITING_CLIENT_TEMPLATE.FAT&amp;display_string=Audit&amp;VAR:KEY=FCPQJYFCLY&amp;VAR:QUERY=RkZfRUJJVERBX09QRVIoUVRSLDQvMS8yMDA5LDYvMzAvMjAwOSwsLFVTRCk=&amp;WINDOW=FIRST_POPUP&amp;HEIGH","T=450&amp;WIDTH=450&amp;START_MAXIMIZED=FALSE&amp;VAR:CALENDAR=US&amp;VAR:SYMBOL=WMT&amp;VAR:INDEX=0"}</definedName>
    <definedName name="_350__FDSAUDITLINK__" hidden="1">{"fdsup://directions/FAT Viewer?action=UPDATE&amp;creator=factset&amp;DYN_ARGS=TRUE&amp;DOC_NAME=FAT:FQL_AUDITING_CLIENT_TEMPLATE.FAT&amp;display_string=Audit&amp;VAR:KEY=LIFKJKHCFW&amp;VAR:QUERY=RkZfRUJJVERBX09QRVIoUVRSLDQvMS8yMDEwLDYvMzAvMjAxMCwsLFVTRCk=&amp;WINDOW=FIRST_POPUP&amp;HEIGH","T=450&amp;WIDTH=450&amp;START_MAXIMIZED=FALSE&amp;VAR:CALENDAR=US&amp;VAR:SYMBOL=NTAP&amp;VAR:INDEX=0"}</definedName>
    <definedName name="_351__FDSAUDITLINK__" hidden="1">{"fdsup://directions/FAT Viewer?action=UPDATE&amp;creator=factset&amp;DYN_ARGS=TRUE&amp;DOC_NAME=FAT:FQL_AUDITING_CLIENT_TEMPLATE.FAT&amp;display_string=Audit&amp;VAR:KEY=DITWNIFUXE&amp;VAR:QUERY=RkZfRUJJVERBX09QRVIoUVRSLDQvMS8yMDA5LDYvMzAvMjAwOSwsLFVTRCk=&amp;WINDOW=FIRST_POPUP&amp;HEIGH","T=450&amp;WIDTH=450&amp;START_MAXIMIZED=FALSE&amp;VAR:CALENDAR=US&amp;VAR:SYMBOL=NSM&amp;VAR:INDEX=0"}</definedName>
    <definedName name="_352__FDSAUDITLINK__" hidden="1">{"fdsup://directions/FAT Viewer?action=UPDATE&amp;creator=factset&amp;DYN_ARGS=TRUE&amp;DOC_NAME=FAT:FQL_AUDITING_CLIENT_TEMPLATE.FAT&amp;display_string=Audit&amp;VAR:KEY=VUVOXGFSNQ&amp;VAR:QUERY=RkZfRUJJVERBX09QRVIoUVRSLDQvMS8yMDEwLDYvMzAvMjAxMCwsLFVTRCk=&amp;WINDOW=FIRST_POPUP&amp;HEIGH","T=450&amp;WIDTH=450&amp;START_MAXIMIZED=FALSE&amp;VAR:CALENDAR=US&amp;VAR:SYMBOL=NSM&amp;VAR:INDEX=0"}</definedName>
    <definedName name="_353__FDSAUDITLINK__" hidden="1">{"fdsup://directions/FAT Viewer?action=UPDATE&amp;creator=factset&amp;DYN_ARGS=TRUE&amp;DOC_NAME=FAT:FQL_AUDITING_CLIENT_TEMPLATE.FAT&amp;display_string=Audit&amp;VAR:KEY=RCTUTARCLE&amp;VAR:QUERY=RkZfRUJJVERBX09QRVIoUVRSLDQvMS8yMDA5LDYvMzAvMjAwOSwsLFVTRCk=&amp;WINDOW=FIRST_POPUP&amp;HEIGH","T=450&amp;WIDTH=450&amp;START_MAXIMIZED=FALSE&amp;VAR:CALENDAR=US&amp;VAR:SYMBOL=NSC&amp;VAR:INDEX=0"}</definedName>
    <definedName name="_354__FDSAUDITLINK__" hidden="1">{"fdsup://directions/FAT Viewer?action=UPDATE&amp;creator=factset&amp;DYN_ARGS=TRUE&amp;DOC_NAME=FAT:FQL_AUDITING_CLIENT_TEMPLATE.FAT&amp;display_string=Audit&amp;VAR:KEY=FEXOPSHGLG&amp;VAR:QUERY=RkZfRUJJVERBX09QRVIoUVRSLDQvMS8yMDEwLDYvMzAvMjAxMCwsLFVTRCk=&amp;WINDOW=FIRST_POPUP&amp;HEIGH","T=450&amp;WIDTH=450&amp;START_MAXIMIZED=FALSE&amp;VAR:CALENDAR=US&amp;VAR:SYMBOL=NSC&amp;VAR:INDEX=0"}</definedName>
    <definedName name="_355__FDSAUDITLINK__" hidden="1">{"fdsup://directions/FAT Viewer?action=UPDATE&amp;creator=factset&amp;DYN_ARGS=TRUE&amp;DOC_NAME=FAT:FQL_AUDITING_CLIENT_TEMPLATE.FAT&amp;display_string=Audit&amp;VAR:KEY=DQVMRUPYBM&amp;VAR:QUERY=RkZfRUJJVERBX09QRVIoUVRSLDQvMS8yMDA5LDYvMzAvMjAwOSwsLFVTRCk=&amp;WINDOW=FIRST_POPUP&amp;HEIGH","T=450&amp;WIDTH=450&amp;START_MAXIMIZED=FALSE&amp;VAR:CALENDAR=US&amp;VAR:SYMBOL=NRG&amp;VAR:INDEX=0"}</definedName>
    <definedName name="_356__FDSAUDITLINK__" hidden="1">{"fdsup://directions/FAT Viewer?action=UPDATE&amp;creator=factset&amp;DYN_ARGS=TRUE&amp;DOC_NAME=FAT:FQL_AUDITING_CLIENT_TEMPLATE.FAT&amp;display_string=Audit&amp;VAR:KEY=TGPETIRKLE&amp;VAR:QUERY=RkZfRUJJVERBX09QRVIoUVRSLDQvMS8yMDEwLDYvMzAvMjAxMCwsLFVTRCk=&amp;WINDOW=FIRST_POPUP&amp;HEIGH","T=450&amp;WIDTH=450&amp;START_MAXIMIZED=FALSE&amp;VAR:CALENDAR=US&amp;VAR:SYMBOL=NRG&amp;VAR:INDEX=0"}</definedName>
    <definedName name="_357__FDSAUDITLINK__" hidden="1">{"fdsup://directions/FAT Viewer?action=UPDATE&amp;creator=factset&amp;DYN_ARGS=TRUE&amp;DOC_NAME=FAT:FQL_AUDITING_CLIENT_TEMPLATE.FAT&amp;display_string=Audit&amp;VAR:KEY=XEZCZGPQPO&amp;VAR:QUERY=RkZfRUJJVERBX09QRVIoUVRSLDQvMS8yMDA5LDYvMzAvMjAwOSwsLFVTRCk=&amp;WINDOW=FIRST_POPUP&amp;HEIGH","T=450&amp;WIDTH=450&amp;START_MAXIMIZED=FALSE&amp;VAR:CALENDAR=US&amp;VAR:SYMBOL=NOVL&amp;VAR:INDEX=0"}</definedName>
    <definedName name="_358__FDSAUDITLINK__" hidden="1">{"fdsup://directions/FAT Viewer?action=UPDATE&amp;creator=factset&amp;DYN_ARGS=TRUE&amp;DOC_NAME=FAT:FQL_AUDITING_CLIENT_TEMPLATE.FAT&amp;display_string=Audit&amp;VAR:KEY=LGXYFMXINW&amp;VAR:QUERY=RkZfRUJJVERBX09QRVIoUVRSLDQvMS8yMDEwLDYvMzAvMjAxMCwsLFVTRCk=&amp;WINDOW=FIRST_POPUP&amp;HEIGH","T=450&amp;WIDTH=450&amp;START_MAXIMIZED=FALSE&amp;VAR:CALENDAR=US&amp;VAR:SYMBOL=NOVL&amp;VAR:INDEX=0"}</definedName>
    <definedName name="_359__FDSAUDITLINK__" hidden="1">{"fdsup://directions/FAT Viewer?action=UPDATE&amp;creator=factset&amp;DYN_ARGS=TRUE&amp;DOC_NAME=FAT:FQL_AUDITING_CLIENT_TEMPLATE.FAT&amp;display_string=Audit&amp;VAR:KEY=ZIHEFKJWHI&amp;VAR:QUERY=RkZfRUJJVERBX09QRVIoUVRSLDQvMS8yMDA5LDYvMzAvMjAwOSwsLFVTRCk=&amp;WINDOW=FIRST_POPUP&amp;HEIGH","T=450&amp;WIDTH=450&amp;START_MAXIMIZED=FALSE&amp;VAR:CALENDAR=US&amp;VAR:SYMBOL=NOV&amp;VAR:INDEX=0"}</definedName>
    <definedName name="_36__123Graph_ASENS_COMPARISON">#REF!</definedName>
    <definedName name="_36__123Graph_CQRE_S_BY_CO.">#REF!</definedName>
    <definedName name="_36__FDSAUDITLINK__" hidden="1">{"fdsup://directions/FAT Viewer?action=UPDATE&amp;creator=factset&amp;DYN_ARGS=TRUE&amp;DOC_NAME=FAT:FQL_AUDITING_CLIENT_TEMPLATE.FAT&amp;display_string=Audit&amp;VAR:KEY=BOJCNYTAVG&amp;VAR:QUERY=RkZfRUJJVERBX09QRVIoUVRSLDQvMS8yMDEwLDYvMzAvMjAxMCwsLFVTRCk=&amp;WINDOW=FIRST_POPUP&amp;HEIGH","T=450&amp;WIDTH=450&amp;START_MAXIMIZED=FALSE&amp;VAR:CALENDAR=US&amp;VAR:SYMBOL=WMT&amp;VAR:INDEX=0"}</definedName>
    <definedName name="_360__FDSAUDITLINK__" hidden="1">{"fdsup://directions/FAT Viewer?action=UPDATE&amp;creator=factset&amp;DYN_ARGS=TRUE&amp;DOC_NAME=FAT:FQL_AUDITING_CLIENT_TEMPLATE.FAT&amp;display_string=Audit&amp;VAR:KEY=LUFQDERKZU&amp;VAR:QUERY=RkZfRUJJVERBX09QRVIoUVRSLDQvMS8yMDEwLDYvMzAvMjAxMCwsLFVTRCk=&amp;WINDOW=FIRST_POPUP&amp;HEIGH","T=450&amp;WIDTH=450&amp;START_MAXIMIZED=FALSE&amp;VAR:CALENDAR=US&amp;VAR:SYMBOL=NOV&amp;VAR:INDEX=0"}</definedName>
    <definedName name="_361__FDSAUDITLINK__" hidden="1">{"fdsup://directions/FAT Viewer?action=UPDATE&amp;creator=factset&amp;DYN_ARGS=TRUE&amp;DOC_NAME=FAT:FQL_AUDITING_CLIENT_TEMPLATE.FAT&amp;display_string=Audit&amp;VAR:KEY=XMVCLKBYHE&amp;VAR:QUERY=RkZfRUJJVERBX09QRVIoUVRSLDQvMS8yMDA5LDYvMzAvMjAwOSwsLFVTRCk=&amp;WINDOW=FIRST_POPUP&amp;HEIGH","T=450&amp;WIDTH=450&amp;START_MAXIMIZED=FALSE&amp;VAR:CALENDAR=US&amp;VAR:SYMBOL=NOC&amp;VAR:INDEX=0"}</definedName>
    <definedName name="_362__FDSAUDITLINK__" hidden="1">{"fdsup://directions/FAT Viewer?action=UPDATE&amp;creator=factset&amp;DYN_ARGS=TRUE&amp;DOC_NAME=FAT:FQL_AUDITING_CLIENT_TEMPLATE.FAT&amp;display_string=Audit&amp;VAR:KEY=RWZYBQDWTW&amp;VAR:QUERY=RkZfRUJJVERBX09QRVIoUVRSLDQvMS8yMDEwLDYvMzAvMjAxMCwsLFVTRCk=&amp;WINDOW=FIRST_POPUP&amp;HEIGH","T=450&amp;WIDTH=450&amp;START_MAXIMIZED=FALSE&amp;VAR:CALENDAR=US&amp;VAR:SYMBOL=NOC&amp;VAR:INDEX=0"}</definedName>
    <definedName name="_363__FDSAUDITLINK__" hidden="1">{"fdsup://directions/FAT Viewer?action=UPDATE&amp;creator=factset&amp;DYN_ARGS=TRUE&amp;DOC_NAME=FAT:FQL_AUDITING_CLIENT_TEMPLATE.FAT&amp;display_string=Audit&amp;VAR:KEY=JQPUFGBOBS&amp;VAR:QUERY=RkZfRUJJVERBX09QRVIoUVRSLDQvMS8yMDA5LDYvMzAvMjAwOSwsLFVTRCk=&amp;WINDOW=FIRST_POPUP&amp;HEIGH","T=450&amp;WIDTH=450&amp;START_MAXIMIZED=FALSE&amp;VAR:CALENDAR=US&amp;VAR:SYMBOL=NKE&amp;VAR:INDEX=0"}</definedName>
    <definedName name="_364__FDSAUDITLINK__" hidden="1">{"fdsup://directions/FAT Viewer?action=UPDATE&amp;creator=factset&amp;DYN_ARGS=TRUE&amp;DOC_NAME=FAT:FQL_AUDITING_CLIENT_TEMPLATE.FAT&amp;display_string=Audit&amp;VAR:KEY=XAJGNUHGXK&amp;VAR:QUERY=RkZfRUJJVERBX09QRVIoUVRSLDQvMS8yMDEwLDYvMzAvMjAxMCwsLFVTRCk=&amp;WINDOW=FIRST_POPUP&amp;HEIGH","T=450&amp;WIDTH=450&amp;START_MAXIMIZED=FALSE&amp;VAR:CALENDAR=US&amp;VAR:SYMBOL=NKE&amp;VAR:INDEX=0"}</definedName>
    <definedName name="_365__FDSAUDITLINK__" hidden="1">{"fdsup://directions/FAT Viewer?action=UPDATE&amp;creator=factset&amp;DYN_ARGS=TRUE&amp;DOC_NAME=FAT:FQL_AUDITING_CLIENT_TEMPLATE.FAT&amp;display_string=Audit&amp;VAR:KEY=TANMTWJYPM&amp;VAR:QUERY=RkZfRUJJVERBX09QRVIoUVRSLDQvMS8yMDA5LDYvMzAvMjAwOSwsLFVTRCk=&amp;WINDOW=FIRST_POPUP&amp;HEIGH","T=450&amp;WIDTH=450&amp;START_MAXIMIZED=FALSE&amp;VAR:CALENDAR=US&amp;VAR:SYMBOL=NI&amp;VAR:INDEX=0"}</definedName>
    <definedName name="_366__FDSAUDITLINK__" hidden="1">{"fdsup://directions/FAT Viewer?action=UPDATE&amp;creator=factset&amp;DYN_ARGS=TRUE&amp;DOC_NAME=FAT:FQL_AUDITING_CLIENT_TEMPLATE.FAT&amp;display_string=Audit&amp;VAR:KEY=LSPEVULWPE&amp;VAR:QUERY=RkZfRUJJVERBX09QRVIoUVRSLDQvMS8yMDEwLDYvMzAvMjAxMCwsLFVTRCk=&amp;WINDOW=FIRST_POPUP&amp;HEIGH","T=450&amp;WIDTH=450&amp;START_MAXIMIZED=FALSE&amp;VAR:CALENDAR=US&amp;VAR:SYMBOL=NI&amp;VAR:INDEX=0"}</definedName>
    <definedName name="_367__FDSAUDITLINK__" hidden="1">{"fdsup://directions/FAT Viewer?action=UPDATE&amp;creator=factset&amp;DYN_ARGS=TRUE&amp;DOC_NAME=FAT:FQL_AUDITING_CLIENT_TEMPLATE.FAT&amp;display_string=Audit&amp;VAR:KEY=VSTSVQBABE&amp;VAR:QUERY=RkZfRUJJVERBX09QRVIoUVRSLDQvMS8yMDA5LDYvMzAvMjAwOSwsLFVTRCk=&amp;WINDOW=FIRST_POPUP&amp;HEIGH","T=450&amp;WIDTH=450&amp;START_MAXIMIZED=FALSE&amp;VAR:CALENDAR=US&amp;VAR:SYMBOL=NEM&amp;VAR:INDEX=0"}</definedName>
    <definedName name="_368__FDSAUDITLINK__" hidden="1">{"fdsup://directions/FAT Viewer?action=UPDATE&amp;creator=factset&amp;DYN_ARGS=TRUE&amp;DOC_NAME=FAT:FQL_AUDITING_CLIENT_TEMPLATE.FAT&amp;display_string=Audit&amp;VAR:KEY=BGZSBAFQLA&amp;VAR:QUERY=RkZfRUJJVERBX09QRVIoUVRSLDQvMS8yMDEwLDYvMzAvMjAxMCwsLFVTRCk=&amp;WINDOW=FIRST_POPUP&amp;HEIGH","T=450&amp;WIDTH=450&amp;START_MAXIMIZED=FALSE&amp;VAR:CALENDAR=US&amp;VAR:SYMBOL=NEM&amp;VAR:INDEX=0"}</definedName>
    <definedName name="_369__FDSAUDITLINK__" hidden="1">{"fdsup://directions/FAT Viewer?action=UPDATE&amp;creator=factset&amp;DYN_ARGS=TRUE&amp;DOC_NAME=FAT:FQL_AUDITING_CLIENT_TEMPLATE.FAT&amp;display_string=Audit&amp;VAR:KEY=NMLCXUPSBE&amp;VAR:QUERY=RkZfRUJJVERBX09QRVIoUVRSLDQvMS8yMDA5LDYvMzAvMjAwOSwsLFVTRCk=&amp;WINDOW=FIRST_POPUP&amp;HEIGH","T=450&amp;WIDTH=450&amp;START_MAXIMIZED=FALSE&amp;VAR:CALENDAR=US&amp;VAR:SYMBOL=NEE&amp;VAR:INDEX=0"}</definedName>
    <definedName name="_37__123Graph_ASUPPLIES_BY_B_U">#REF!</definedName>
    <definedName name="_37__FDSAUDITLINK__" hidden="1">{"fdsup://directions/FAT Viewer?action=UPDATE&amp;creator=factset&amp;DYN_ARGS=TRUE&amp;DOC_NAME=FAT:FQL_AUDITING_CLIENT_TEMPLATE.FAT&amp;display_string=Audit&amp;VAR:KEY=PYXAPUPIBA&amp;VAR:QUERY=RkZfRUJJVERBX09QRVIoUVRSLDQvMS8yMDA5LDYvMzAvMjAwOSwsLFVTRCk=&amp;WINDOW=FIRST_POPUP&amp;HEIGH","T=450&amp;WIDTH=450&amp;START_MAXIMIZED=FALSE&amp;VAR:CALENDAR=US&amp;VAR:SYMBOL=WMB&amp;VAR:INDEX=0"}</definedName>
    <definedName name="_370__FDSAUDITLINK__" hidden="1">{"fdsup://directions/FAT Viewer?action=UPDATE&amp;creator=factset&amp;DYN_ARGS=TRUE&amp;DOC_NAME=FAT:FQL_AUDITING_CLIENT_TEMPLATE.FAT&amp;display_string=Audit&amp;VAR:KEY=ZELQXERSHG&amp;VAR:QUERY=RkZfRUJJVERBX09QRVIoUVRSLDQvMS8yMDEwLDYvMzAvMjAxMCwsLFVTRCk=&amp;WINDOW=FIRST_POPUP&amp;HEIGH","T=450&amp;WIDTH=450&amp;START_MAXIMIZED=FALSE&amp;VAR:CALENDAR=US&amp;VAR:SYMBOL=NEE&amp;VAR:INDEX=0"}</definedName>
    <definedName name="_371__FDSAUDITLINK__" hidden="1">{"fdsup://directions/FAT Viewer?action=UPDATE&amp;creator=factset&amp;DYN_ARGS=TRUE&amp;DOC_NAME=FAT:FQL_AUDITING_CLIENT_TEMPLATE.FAT&amp;display_string=Audit&amp;VAR:KEY=RCXINUNAPO&amp;VAR:QUERY=RkZfRUJJVERBX09QRVIoUVRSLDQvMS8yMDA5LDYvMzAvMjAwOSwsLFVTRCk=&amp;WINDOW=FIRST_POPUP&amp;HEIGH","T=450&amp;WIDTH=450&amp;START_MAXIMIZED=FALSE&amp;VAR:CALENDAR=US&amp;VAR:SYMBOL=NDAQ&amp;VAR:INDEX=0"}</definedName>
    <definedName name="_372__FDSAUDITLINK__" hidden="1">{"fdsup://directions/FAT Viewer?action=UPDATE&amp;creator=factset&amp;DYN_ARGS=TRUE&amp;DOC_NAME=FAT:FQL_AUDITING_CLIENT_TEMPLATE.FAT&amp;display_string=Audit&amp;VAR:KEY=RQLUJCFIVY&amp;VAR:QUERY=RkZfRUJJVERBX09QRVIoUVRSLDQvMS8yMDEwLDYvMzAvMjAxMCwsLFVTRCk=&amp;WINDOW=FIRST_POPUP&amp;HEIGH","T=450&amp;WIDTH=450&amp;START_MAXIMIZED=FALSE&amp;VAR:CALENDAR=US&amp;VAR:SYMBOL=NDAQ&amp;VAR:INDEX=0"}</definedName>
    <definedName name="_373__FDSAUDITLINK__" hidden="1">{"fdsup://directions/FAT Viewer?action=UPDATE&amp;creator=factset&amp;DYN_ARGS=TRUE&amp;DOC_NAME=FAT:FQL_AUDITING_CLIENT_TEMPLATE.FAT&amp;display_string=Audit&amp;VAR:KEY=RMJKJSVMHI&amp;VAR:QUERY=RkZfRUJJVERBX09QRVIoUVRSLDQvMS8yMDA5LDYvMzAvMjAwOSwsLFVTRCk=&amp;WINDOW=FIRST_POPUP&amp;HEIGH","T=450&amp;WIDTH=450&amp;START_MAXIMIZED=FALSE&amp;VAR:CALENDAR=US&amp;VAR:SYMBOL=NBR&amp;VAR:INDEX=0"}</definedName>
    <definedName name="_374__FDSAUDITLINK__" hidden="1">{"fdsup://directions/FAT Viewer?action=UPDATE&amp;creator=factset&amp;DYN_ARGS=TRUE&amp;DOC_NAME=FAT:FQL_AUDITING_CLIENT_TEMPLATE.FAT&amp;display_string=Audit&amp;VAR:KEY=FCLABWPITW&amp;VAR:QUERY=RkZfRUJJVERBX09QRVIoUVRSLDQvMS8yMDEwLDYvMzAvMjAxMCwsLFVTRCk=&amp;WINDOW=FIRST_POPUP&amp;HEIGH","T=450&amp;WIDTH=450&amp;START_MAXIMIZED=FALSE&amp;VAR:CALENDAR=US&amp;VAR:SYMBOL=NBR&amp;VAR:INDEX=0"}</definedName>
    <definedName name="_375__FDSAUDITLINK__" hidden="1">{"fdsup://directions/FAT Viewer?action=UPDATE&amp;creator=factset&amp;DYN_ARGS=TRUE&amp;DOC_NAME=FAT:FQL_AUDITING_CLIENT_TEMPLATE.FAT&amp;display_string=Audit&amp;VAR:KEY=VSFIFCVARY&amp;VAR:QUERY=RkZfRUJJVERBX09QRVIoUVRSLDQvMS8yMDA5LDYvMzAvMjAwOSwsLFVTRCk=&amp;WINDOW=FIRST_POPUP&amp;HEIGH","T=450&amp;WIDTH=450&amp;START_MAXIMIZED=FALSE&amp;VAR:CALENDAR=US&amp;VAR:SYMBOL=NBL&amp;VAR:INDEX=0"}</definedName>
    <definedName name="_376__FDSAUDITLINK__" hidden="1">{"fdsup://directions/FAT Viewer?action=UPDATE&amp;creator=factset&amp;DYN_ARGS=TRUE&amp;DOC_NAME=FAT:FQL_AUDITING_CLIENT_TEMPLATE.FAT&amp;display_string=Audit&amp;VAR:KEY=XUVSDSJKBA&amp;VAR:QUERY=RkZfRUJJVERBX09QRVIoUVRSLDQvMS8yMDEwLDYvMzAvMjAxMCwsLFVTRCk=&amp;WINDOW=FIRST_POPUP&amp;HEIGH","T=450&amp;WIDTH=450&amp;START_MAXIMIZED=FALSE&amp;VAR:CALENDAR=US&amp;VAR:SYMBOL=NBL&amp;VAR:INDEX=0"}</definedName>
    <definedName name="_377__FDSAUDITLINK__" hidden="1">{"fdsup://directions/FAT Viewer?action=UPDATE&amp;creator=factset&amp;DYN_ARGS=TRUE&amp;DOC_NAME=FAT:FQL_AUDITING_CLIENT_TEMPLATE.FAT&amp;display_string=Audit&amp;VAR:KEY=PMFOHWVINI&amp;VAR:QUERY=RkZfRUJJVERBX09QRVIoUVRSLDQvMS8yMDA5LDYvMzAvMjAwOSwsLFVTRCk=&amp;WINDOW=FIRST_POPUP&amp;HEIGH","T=450&amp;WIDTH=450&amp;START_MAXIMIZED=FALSE&amp;VAR:CALENDAR=US&amp;VAR:SYMBOL=MYL&amp;VAR:INDEX=0"}</definedName>
    <definedName name="_378__FDSAUDITLINK__" hidden="1">{"fdsup://directions/FAT Viewer?action=UPDATE&amp;creator=factset&amp;DYN_ARGS=TRUE&amp;DOC_NAME=FAT:FQL_AUDITING_CLIENT_TEMPLATE.FAT&amp;display_string=Audit&amp;VAR:KEY=NCLGHEFYVY&amp;VAR:QUERY=RkZfRUJJVERBX09QRVIoUVRSLDQvMS8yMDEwLDYvMzAvMjAxMCwsLFVTRCk=&amp;WINDOW=FIRST_POPUP&amp;HEIGH","T=450&amp;WIDTH=450&amp;START_MAXIMIZED=FALSE&amp;VAR:CALENDAR=US&amp;VAR:SYMBOL=MYL&amp;VAR:INDEX=0"}</definedName>
    <definedName name="_379__FDSAUDITLINK__" hidden="1">{"fdsup://directions/FAT Viewer?action=UPDATE&amp;creator=factset&amp;DYN_ARGS=TRUE&amp;DOC_NAME=FAT:FQL_AUDITING_CLIENT_TEMPLATE.FAT&amp;display_string=Audit&amp;VAR:KEY=RWXGVAPUHO&amp;VAR:QUERY=RkZfRUJJVERBX09QRVIoUVRSLDQvMS8yMDA5LDYvMzAvMjAwOSwsLFVTRCk=&amp;WINDOW=FIRST_POPUP&amp;HEIGH","T=450&amp;WIDTH=450&amp;START_MAXIMIZED=FALSE&amp;VAR:CALENDAR=US&amp;VAR:SYMBOL=MWW&amp;VAR:INDEX=0"}</definedName>
    <definedName name="_38__123Graph_ATAX_CREDIT">#REF!</definedName>
    <definedName name="_38__FDSAUDITLINK__" hidden="1">{"fdsup://directions/FAT Viewer?action=UPDATE&amp;creator=factset&amp;DYN_ARGS=TRUE&amp;DOC_NAME=FAT:FQL_AUDITING_CLIENT_TEMPLATE.FAT&amp;display_string=Audit&amp;VAR:KEY=NMPQLSBSZE&amp;VAR:QUERY=RkZfRUJJVERBX09QRVIoUVRSLDQvMS8yMDEwLDYvMzAvMjAxMCwsLFVTRCk=&amp;WINDOW=FIRST_POPUP&amp;HEIGH","T=450&amp;WIDTH=450&amp;START_MAXIMIZED=FALSE&amp;VAR:CALENDAR=US&amp;VAR:SYMBOL=WMB&amp;VAR:INDEX=0"}</definedName>
    <definedName name="_380__FDSAUDITLINK__" hidden="1">{"fdsup://directions/FAT Viewer?action=UPDATE&amp;creator=factset&amp;DYN_ARGS=TRUE&amp;DOC_NAME=FAT:FQL_AUDITING_CLIENT_TEMPLATE.FAT&amp;display_string=Audit&amp;VAR:KEY=TAJOFYXCLG&amp;VAR:QUERY=RkZfRUJJVERBX09QRVIoUVRSLDQvMS8yMDEwLDYvMzAvMjAxMCwsLFVTRCk=&amp;WINDOW=FIRST_POPUP&amp;HEIGH","T=450&amp;WIDTH=450&amp;START_MAXIMIZED=FALSE&amp;VAR:CALENDAR=US&amp;VAR:SYMBOL=MWW&amp;VAR:INDEX=0"}</definedName>
    <definedName name="_381__FDSAUDITLINK__" hidden="1">{"fdsup://directions/FAT Viewer?action=UPDATE&amp;creator=factset&amp;DYN_ARGS=TRUE&amp;DOC_NAME=FAT:FQL_AUDITING_CLIENT_TEMPLATE.FAT&amp;display_string=Audit&amp;VAR:KEY=DSNKNUXEVK&amp;VAR:QUERY=RkZfRUJJVERBX09QRVIoUVRSLDQvMS8yMDA5LDYvMzAvMjAwOSwsLFVTRCk=&amp;WINDOW=FIRST_POPUP&amp;HEIGH","T=450&amp;WIDTH=450&amp;START_MAXIMIZED=FALSE&amp;VAR:CALENDAR=US&amp;VAR:SYMBOL=MWV&amp;VAR:INDEX=0"}</definedName>
    <definedName name="_382__FDSAUDITLINK__" hidden="1">{"fdsup://directions/FAT Viewer?action=UPDATE&amp;creator=factset&amp;DYN_ARGS=TRUE&amp;DOC_NAME=FAT:FQL_AUDITING_CLIENT_TEMPLATE.FAT&amp;display_string=Audit&amp;VAR:KEY=FQVSVSVALK&amp;VAR:QUERY=RkZfRUJJVERBX09QRVIoUVRSLDQvMS8yMDEwLDYvMzAvMjAxMCwsLFVTRCk=&amp;WINDOW=FIRST_POPUP&amp;HEIGH","T=450&amp;WIDTH=450&amp;START_MAXIMIZED=FALSE&amp;VAR:CALENDAR=US&amp;VAR:SYMBOL=MWV&amp;VAR:INDEX=0"}</definedName>
    <definedName name="_383__FDSAUDITLINK__" hidden="1">{"fdsup://directions/FAT Viewer?action=UPDATE&amp;creator=factset&amp;DYN_ARGS=TRUE&amp;DOC_NAME=FAT:FQL_AUDITING_CLIENT_TEMPLATE.FAT&amp;display_string=Audit&amp;VAR:KEY=NCPMJUTIFO&amp;VAR:QUERY=RkZfRUJJVERBX09QRVIoUVRSLDQvMS8yMDA5LDYvMzAvMjAwOSwsLFVTRCk=&amp;WINDOW=FIRST_POPUP&amp;HEIGH","T=450&amp;WIDTH=450&amp;START_MAXIMIZED=FALSE&amp;VAR:CALENDAR=US&amp;VAR:SYMBOL=MUR&amp;VAR:INDEX=0"}</definedName>
    <definedName name="_384__FDSAUDITLINK__" hidden="1">{"fdsup://directions/FAT Viewer?action=UPDATE&amp;creator=factset&amp;DYN_ARGS=TRUE&amp;DOC_NAME=FAT:FQL_AUDITING_CLIENT_TEMPLATE.FAT&amp;display_string=Audit&amp;VAR:KEY=ZQRQNKPCNI&amp;VAR:QUERY=RkZfRUJJVERBX09QRVIoUVRSLDQvMS8yMDEwLDYvMzAvMjAxMCwsLFVTRCk=&amp;WINDOW=FIRST_POPUP&amp;HEIGH","T=450&amp;WIDTH=450&amp;START_MAXIMIZED=FALSE&amp;VAR:CALENDAR=US&amp;VAR:SYMBOL=MUR&amp;VAR:INDEX=0"}</definedName>
    <definedName name="_385__FDSAUDITLINK__" hidden="1">{"fdsup://directions/FAT Viewer?action=UPDATE&amp;creator=factset&amp;DYN_ARGS=TRUE&amp;DOC_NAME=FAT:FQL_AUDITING_CLIENT_TEMPLATE.FAT&amp;display_string=Audit&amp;VAR:KEY=PCVSTKRYDO&amp;VAR:QUERY=RkZfRUJJVERBX09QRVIoUVRSLDQvMS8yMDA5LDYvMzAvMjAwOSwsLFVTRCk=&amp;WINDOW=FIRST_POPUP&amp;HEIGH","T=450&amp;WIDTH=450&amp;START_MAXIMIZED=FALSE&amp;VAR:CALENDAR=US&amp;VAR:SYMBOL=MU&amp;VAR:INDEX=0"}</definedName>
    <definedName name="_386__FDSAUDITLINK__" hidden="1">{"fdsup://directions/FAT Viewer?action=UPDATE&amp;creator=factset&amp;DYN_ARGS=TRUE&amp;DOC_NAME=FAT:FQL_AUDITING_CLIENT_TEMPLATE.FAT&amp;display_string=Audit&amp;VAR:KEY=DKRWZSTSDC&amp;VAR:QUERY=RkZfRUJJVERBX09QRVIoUVRSLDQvMS8yMDEwLDYvMzAvMjAxMCwsLFVTRCk=&amp;WINDOW=FIRST_POPUP&amp;HEIGH","T=450&amp;WIDTH=450&amp;START_MAXIMIZED=FALSE&amp;VAR:CALENDAR=US&amp;VAR:SYMBOL=MU&amp;VAR:INDEX=0"}</definedName>
    <definedName name="_387__FDSAUDITLINK__" hidden="1">{"fdsup://directions/FAT Viewer?action=UPDATE&amp;creator=factset&amp;DYN_ARGS=TRUE&amp;DOC_NAME=FAT:FQL_AUDITING_CLIENT_TEMPLATE.FAT&amp;display_string=Audit&amp;VAR:KEY=XUTIHYFEVM&amp;VAR:QUERY=RkZfRUJJVERBX09QRVIoUVRSLDQvMS8yMDA5LDYvMzAvMjAwOSwsLFVTRCk=&amp;WINDOW=FIRST_POPUP&amp;HEIGH","T=450&amp;WIDTH=450&amp;START_MAXIMIZED=FALSE&amp;VAR:CALENDAR=US&amp;VAR:SYMBOL=MTB&amp;VAR:INDEX=0"}</definedName>
    <definedName name="_388__FDSAUDITLINK__" hidden="1">{"fdsup://directions/FAT Viewer?action=UPDATE&amp;creator=factset&amp;DYN_ARGS=TRUE&amp;DOC_NAME=FAT:FQL_AUDITING_CLIENT_TEMPLATE.FAT&amp;display_string=Audit&amp;VAR:KEY=DAZQTIZSTW&amp;VAR:QUERY=RkZfRUJJVERBX09QRVIoUVRSLDQvMS8yMDEwLDYvMzAvMjAxMCwsLFVTRCk=&amp;WINDOW=FIRST_POPUP&amp;HEIGH","T=450&amp;WIDTH=450&amp;START_MAXIMIZED=FALSE&amp;VAR:CALENDAR=US&amp;VAR:SYMBOL=MTB&amp;VAR:INDEX=0"}</definedName>
    <definedName name="_389__FDSAUDITLINK__" hidden="1">{"fdsup://directions/FAT Viewer?action=UPDATE&amp;creator=factset&amp;DYN_ARGS=TRUE&amp;DOC_NAME=FAT:FQL_AUDITING_CLIENT_TEMPLATE.FAT&amp;display_string=Audit&amp;VAR:KEY=DQRUFCPGJA&amp;VAR:QUERY=RkZfRUJJVERBX09QRVIoUVRSLDQvMS8yMDA5LDYvMzAvMjAwOSwsLFVTRCk=&amp;WINDOW=FIRST_POPUP&amp;HEIGH","T=450&amp;WIDTH=450&amp;START_MAXIMIZED=FALSE&amp;VAR:CALENDAR=US&amp;VAR:SYMBOL=MSFT&amp;VAR:INDEX=0"}</definedName>
    <definedName name="_39__123Graph_AWAGES_BY_B_U">#REF!</definedName>
    <definedName name="_39__FDSAUDITLINK__" hidden="1">{"fdsup://directions/FAT Viewer?action=UPDATE&amp;creator=factset&amp;DYN_ARGS=TRUE&amp;DOC_NAME=FAT:FQL_AUDITING_CLIENT_TEMPLATE.FAT&amp;display_string=Audit&amp;VAR:KEY=JQBIXELEBI&amp;VAR:QUERY=RkZfRUJJVERBX09QRVIoUVRSLDQvMS8yMDA5LDYvMzAvMjAwOSwsLFVTRCk=&amp;WINDOW=FIRST_POPUP&amp;HEIGH","T=450&amp;WIDTH=450&amp;START_MAXIMIZED=FALSE&amp;VAR:CALENDAR=US&amp;VAR:SYMBOL=WM&amp;VAR:INDEX=0"}</definedName>
    <definedName name="_390__FDSAUDITLINK__" hidden="1">{"fdsup://directions/FAT Viewer?action=UPDATE&amp;creator=factset&amp;DYN_ARGS=TRUE&amp;DOC_NAME=FAT:FQL_AUDITING_CLIENT_TEMPLATE.FAT&amp;display_string=Audit&amp;VAR:KEY=XAPOZSLSBY&amp;VAR:QUERY=RkZfRUJJVERBX09QRVIoUVRSLDQvMS8yMDEwLDYvMzAvMjAxMCwsLFVTRCk=&amp;WINDOW=FIRST_POPUP&amp;HEIGH","T=450&amp;WIDTH=450&amp;START_MAXIMIZED=FALSE&amp;VAR:CALENDAR=US&amp;VAR:SYMBOL=MSFT&amp;VAR:INDEX=0"}</definedName>
    <definedName name="_391__FDSAUDITLINK__" hidden="1">{"fdsup://directions/FAT Viewer?action=UPDATE&amp;creator=factset&amp;DYN_ARGS=TRUE&amp;DOC_NAME=FAT:FQL_AUDITING_CLIENT_TEMPLATE.FAT&amp;display_string=Audit&amp;VAR:KEY=HYLEHGZQXW&amp;VAR:QUERY=RkZfRUJJVERBX09QRVIoUVRSLDQvMS8yMDA5LDYvMzAvMjAwOSwsLFVTRCk=&amp;WINDOW=FIRST_POPUP&amp;HEIGH","T=450&amp;WIDTH=450&amp;START_MAXIMIZED=FALSE&amp;VAR:CALENDAR=US&amp;VAR:SYMBOL=MS&amp;VAR:INDEX=0"}</definedName>
    <definedName name="_392__FDSAUDITLINK__" hidden="1">{"fdsup://directions/FAT Viewer?action=UPDATE&amp;creator=factset&amp;DYN_ARGS=TRUE&amp;DOC_NAME=FAT:FQL_AUDITING_CLIENT_TEMPLATE.FAT&amp;display_string=Audit&amp;VAR:KEY=NGXONKPWLC&amp;VAR:QUERY=RkZfRUJJVERBX09QRVIoUVRSLDQvMS8yMDEwLDYvMzAvMjAxMCwsLFVTRCk=&amp;WINDOW=FIRST_POPUP&amp;HEIGH","T=450&amp;WIDTH=450&amp;START_MAXIMIZED=FALSE&amp;VAR:CALENDAR=US&amp;VAR:SYMBOL=MS&amp;VAR:INDEX=0"}</definedName>
    <definedName name="_393__FDSAUDITLINK__" hidden="1">{"fdsup://directions/FAT Viewer?action=UPDATE&amp;creator=factset&amp;DYN_ARGS=TRUE&amp;DOC_NAME=FAT:FQL_AUDITING_CLIENT_TEMPLATE.FAT&amp;display_string=Audit&amp;VAR:KEY=PGRYHQHQFO&amp;VAR:QUERY=RkZfRUJJVERBX09QRVIoUVRSLDQvMS8yMDA5LDYvMzAvMjAwOSwsLFVTRCk=&amp;WINDOW=FIRST_POPUP&amp;HEIGH","T=450&amp;WIDTH=450&amp;START_MAXIMIZED=FALSE&amp;VAR:CALENDAR=US&amp;VAR:SYMBOL=MRO&amp;VAR:INDEX=0"}</definedName>
    <definedName name="_394__FDSAUDITLINK__" hidden="1">{"fdsup://directions/FAT Viewer?action=UPDATE&amp;creator=factset&amp;DYN_ARGS=TRUE&amp;DOC_NAME=FAT:FQL_AUDITING_CLIENT_TEMPLATE.FAT&amp;display_string=Audit&amp;VAR:KEY=HINYFKLGJK&amp;VAR:QUERY=RkZfRUJJVERBX09QRVIoUVRSLDQvMS8yMDEwLDYvMzAvMjAxMCwsLFVTRCk=&amp;WINDOW=FIRST_POPUP&amp;HEIGH","T=450&amp;WIDTH=450&amp;START_MAXIMIZED=FALSE&amp;VAR:CALENDAR=US&amp;VAR:SYMBOL=MRO&amp;VAR:INDEX=0"}</definedName>
    <definedName name="_395__FDSAUDITLINK__" hidden="1">{"fdsup://directions/FAT Viewer?action=UPDATE&amp;creator=factset&amp;DYN_ARGS=TRUE&amp;DOC_NAME=FAT:FQL_AUDITING_CLIENT_TEMPLATE.FAT&amp;display_string=Audit&amp;VAR:KEY=XKLWNQBGBI&amp;VAR:QUERY=RkZfRUJJVERBX09QRVIoUVRSLDQvMS8yMDA5LDYvMzAvMjAwOSwsLFVTRCk=&amp;WINDOW=FIRST_POPUP&amp;HEIGH","T=450&amp;WIDTH=450&amp;START_MAXIMIZED=FALSE&amp;VAR:CALENDAR=US&amp;VAR:SYMBOL=MRK&amp;VAR:INDEX=0"}</definedName>
    <definedName name="_396__FDSAUDITLINK__" hidden="1">{"fdsup://directions/FAT Viewer?action=UPDATE&amp;creator=factset&amp;DYN_ARGS=TRUE&amp;DOC_NAME=FAT:FQL_AUDITING_CLIENT_TEMPLATE.FAT&amp;display_string=Audit&amp;VAR:KEY=XKTUNGJSLU&amp;VAR:QUERY=RkZfRUJJVERBX09QRVIoUVRSLDQvMS8yMDEwLDYvMzAvMjAxMCwsLFVTRCk=&amp;WINDOW=FIRST_POPUP&amp;HEIGH","T=450&amp;WIDTH=450&amp;START_MAXIMIZED=FALSE&amp;VAR:CALENDAR=US&amp;VAR:SYMBOL=MRK&amp;VAR:INDEX=0"}</definedName>
    <definedName name="_397__FDSAUDITLINK__" hidden="1">{"fdsup://directions/FAT Viewer?action=UPDATE&amp;creator=factset&amp;DYN_ARGS=TRUE&amp;DOC_NAME=FAT:FQL_AUDITING_CLIENT_TEMPLATE.FAT&amp;display_string=Audit&amp;VAR:KEY=NYTUDGXUBU&amp;VAR:QUERY=RkZfRUJJVERBX09QRVIoUVRSLDQvMS8yMDA5LDYvMzAvMjAwOSwsLFVTRCk=&amp;WINDOW=FIRST_POPUP&amp;HEIGH","T=450&amp;WIDTH=450&amp;START_MAXIMIZED=FALSE&amp;VAR:CALENDAR=US&amp;VAR:SYMBOL=MOT&amp;VAR:INDEX=0"}</definedName>
    <definedName name="_398__FDSAUDITLINK__" hidden="1">{"fdsup://directions/FAT Viewer?action=UPDATE&amp;creator=factset&amp;DYN_ARGS=TRUE&amp;DOC_NAME=FAT:FQL_AUDITING_CLIENT_TEMPLATE.FAT&amp;display_string=Audit&amp;VAR:KEY=DQXOXKBSXE&amp;VAR:QUERY=RkZfRUJJVERBX09QRVIoUVRSLDQvMS8yMDEwLDYvMzAvMjAxMCwsLFVTRCk=&amp;WINDOW=FIRST_POPUP&amp;HEIGH","T=450&amp;WIDTH=450&amp;START_MAXIMIZED=FALSE&amp;VAR:CALENDAR=US&amp;VAR:SYMBOL=MOT&amp;VAR:INDEX=0"}</definedName>
    <definedName name="_399__FDSAUDITLINK__" hidden="1">{"fdsup://directions/FAT Viewer?action=UPDATE&amp;creator=factset&amp;DYN_ARGS=TRUE&amp;DOC_NAME=FAT:FQL_AUDITING_CLIENT_TEMPLATE.FAT&amp;display_string=Audit&amp;VAR:KEY=XMRAVYVWFE&amp;VAR:QUERY=RkZfRUJJVERBX09QRVIoUVRSLDQvMS8yMDA5LDYvMzAvMjAwOSwsLFVTRCk=&amp;WINDOW=FIRST_POPUP&amp;HEIGH","T=450&amp;WIDTH=450&amp;START_MAXIMIZED=FALSE&amp;VAR:CALENDAR=US&amp;VAR:SYMBOL=MON&amp;VAR:INDEX=0"}</definedName>
    <definedName name="_3MatInverse">#REF!</definedName>
    <definedName name="_3p0Rwvu.Sommai">#REF!</definedName>
    <definedName name="_4__FDSAUDITLINK__" hidden="1">{"fdsup://directions/FAT Viewer?action=UPDATE&amp;creator=factset&amp;DYN_ARGS=TRUE&amp;DOC_NAME=FAT:FQL_AUDITING_CLIENT_TEMPLATE.FAT&amp;display_string=Audit&amp;VAR:KEY=ABWPGPULUR&amp;VAR:QUERY=RkZfRU5UUlBSX1ZBTF9EQUlMWSg0LzExLzIwMTEp&amp;WINDOW=FIRST_POPUP&amp;HEIGHT=450&amp;WIDTH=450&amp;STAR","T_MAXIMIZED=FALSE&amp;VAR:CALENDAR=FIVEDAY&amp;VAR:SYMBOL=CNQR&amp;VAR:INDEX=0"}</definedName>
    <definedName name="_4_0_0_MatInverse">#REF!</definedName>
    <definedName name="_40__123Graph_BCONTRACT_BY_B_U">#REF!</definedName>
    <definedName name="_40__FDSAUDITLINK__" hidden="1">{"fdsup://directions/FAT Viewer?action=UPDATE&amp;creator=factset&amp;DYN_ARGS=TRUE&amp;DOC_NAME=FAT:FQL_AUDITING_CLIENT_TEMPLATE.FAT&amp;display_string=Audit&amp;VAR:KEY=XOBOXIJSPS&amp;VAR:QUERY=RkZfRUJJVERBX09QRVIoUVRSLDQvMS8yMDEwLDYvMzAvMjAxMCwsLFVTRCk=&amp;WINDOW=FIRST_POPUP&amp;HEIGH","T=450&amp;WIDTH=450&amp;START_MAXIMIZED=FALSE&amp;VAR:CALENDAR=US&amp;VAR:SYMBOL=WM&amp;VAR:INDEX=0"}</definedName>
    <definedName name="_400__FDSAUDITLINK__" hidden="1">{"fdsup://directions/FAT Viewer?action=UPDATE&amp;creator=factset&amp;DYN_ARGS=TRUE&amp;DOC_NAME=FAT:FQL_AUDITING_CLIENT_TEMPLATE.FAT&amp;display_string=Audit&amp;VAR:KEY=ZQTOFSXSHK&amp;VAR:QUERY=RkZfRUJJVERBX09QRVIoUVRSLDQvMS8yMDEwLDYvMzAvMjAxMCwsLFVTRCk=&amp;WINDOW=FIRST_POPUP&amp;HEIGH","T=450&amp;WIDTH=450&amp;START_MAXIMIZED=FALSE&amp;VAR:CALENDAR=US&amp;VAR:SYMBOL=MON&amp;VAR:INDEX=0"}</definedName>
    <definedName name="_401__FDSAUDITLINK__" hidden="1">{"fdsup://directions/FAT Viewer?action=UPDATE&amp;creator=factset&amp;DYN_ARGS=TRUE&amp;DOC_NAME=FAT:FQL_AUDITING_CLIENT_TEMPLATE.FAT&amp;display_string=Audit&amp;VAR:KEY=VCNENWFMJO&amp;VAR:QUERY=RkZfRUJJVERBX09QRVIoUVRSLDQvMS8yMDA5LDYvMzAvMjAwOSwsLFVTRCk=&amp;WINDOW=FIRST_POPUP&amp;HEIGH","T=450&amp;WIDTH=450&amp;START_MAXIMIZED=FALSE&amp;VAR:CALENDAR=US&amp;VAR:SYMBOL=MOLX&amp;VAR:INDEX=0"}</definedName>
    <definedName name="_402__FDSAUDITLINK__" hidden="1">{"fdsup://directions/FAT Viewer?action=UPDATE&amp;creator=factset&amp;DYN_ARGS=TRUE&amp;DOC_NAME=FAT:FQL_AUDITING_CLIENT_TEMPLATE.FAT&amp;display_string=Audit&amp;VAR:KEY=NQPQVUBMJU&amp;VAR:QUERY=RkZfRUJJVERBX09QRVIoUVRSLDQvMS8yMDEwLDYvMzAvMjAxMCwsLFVTRCk=&amp;WINDOW=FIRST_POPUP&amp;HEIGH","T=450&amp;WIDTH=450&amp;START_MAXIMIZED=FALSE&amp;VAR:CALENDAR=US&amp;VAR:SYMBOL=MOLX&amp;VAR:INDEX=0"}</definedName>
    <definedName name="_403__FDSAUDITLINK__" hidden="1">{"fdsup://directions/FAT Viewer?action=UPDATE&amp;creator=factset&amp;DYN_ARGS=TRUE&amp;DOC_NAME=FAT:FQL_AUDITING_CLIENT_TEMPLATE.FAT&amp;display_string=Audit&amp;VAR:KEY=LUNSXMPQHC&amp;VAR:QUERY=RkZfRUJJVERBX09QRVIoUVRSLDQvMS8yMDA5LDYvMzAvMjAwOSwsLFVTRCk=&amp;WINDOW=FIRST_POPUP&amp;HEIGH","T=450&amp;WIDTH=450&amp;START_MAXIMIZED=FALSE&amp;VAR:CALENDAR=US&amp;VAR:SYMBOL=MO&amp;VAR:INDEX=0"}</definedName>
    <definedName name="_404__FDSAUDITLINK__" hidden="1">{"fdsup://directions/FAT Viewer?action=UPDATE&amp;creator=factset&amp;DYN_ARGS=TRUE&amp;DOC_NAME=FAT:FQL_AUDITING_CLIENT_TEMPLATE.FAT&amp;display_string=Audit&amp;VAR:KEY=DKFYDOBWZW&amp;VAR:QUERY=RkZfRUJJVERBX09QRVIoUVRSLDQvMS8yMDEwLDYvMzAvMjAxMCwsLFVTRCk=&amp;WINDOW=FIRST_POPUP&amp;HEIGH","T=450&amp;WIDTH=450&amp;START_MAXIMIZED=FALSE&amp;VAR:CALENDAR=US&amp;VAR:SYMBOL=MO&amp;VAR:INDEX=0"}</definedName>
    <definedName name="_405__FDSAUDITLINK__" hidden="1">{"fdsup://directions/FAT Viewer?action=UPDATE&amp;creator=factset&amp;DYN_ARGS=TRUE&amp;DOC_NAME=FAT:FQL_AUDITING_CLIENT_TEMPLATE.FAT&amp;display_string=Audit&amp;VAR:KEY=NUHCHITSNK&amp;VAR:QUERY=RkZfRUJJVERBX09QRVIoUVRSLDQvMS8yMDA5LDYvMzAvMjAwOSwsLFVTRCk=&amp;WINDOW=FIRST_POPUP&amp;HEIGH","T=450&amp;WIDTH=450&amp;START_MAXIMIZED=FALSE&amp;VAR:CALENDAR=US&amp;VAR:SYMBOL=MMM&amp;VAR:INDEX=0"}</definedName>
    <definedName name="_406__FDSAUDITLINK__" hidden="1">{"fdsup://directions/FAT Viewer?action=UPDATE&amp;creator=factset&amp;DYN_ARGS=TRUE&amp;DOC_NAME=FAT:FQL_AUDITING_CLIENT_TEMPLATE.FAT&amp;display_string=Audit&amp;VAR:KEY=NAXWTMDKTA&amp;VAR:QUERY=RkZfRUJJVERBX09QRVIoUVRSLDQvMS8yMDEwLDYvMzAvMjAxMCwsLFVTRCk=&amp;WINDOW=FIRST_POPUP&amp;HEIGH","T=450&amp;WIDTH=450&amp;START_MAXIMIZED=FALSE&amp;VAR:CALENDAR=US&amp;VAR:SYMBOL=MMM&amp;VAR:INDEX=0"}</definedName>
    <definedName name="_407__FDSAUDITLINK__" hidden="1">{"fdsup://directions/FAT Viewer?action=UPDATE&amp;creator=factset&amp;DYN_ARGS=TRUE&amp;DOC_NAME=FAT:FQL_AUDITING_CLIENT_TEMPLATE.FAT&amp;display_string=Audit&amp;VAR:KEY=NYRWLQLWTM&amp;VAR:QUERY=RkZfRUJJVERBX09QRVIoUVRSLDQvMS8yMDA5LDYvMzAvMjAwOSwsLFVTRCk=&amp;WINDOW=FIRST_POPUP&amp;HEIGH","T=450&amp;WIDTH=450&amp;START_MAXIMIZED=FALSE&amp;VAR:CALENDAR=US&amp;VAR:SYMBOL=MMC&amp;VAR:INDEX=0"}</definedName>
    <definedName name="_408__FDSAUDITLINK__" hidden="1">{"fdsup://directions/FAT Viewer?action=UPDATE&amp;creator=factset&amp;DYN_ARGS=TRUE&amp;DOC_NAME=FAT:FQL_AUDITING_CLIENT_TEMPLATE.FAT&amp;display_string=Audit&amp;VAR:KEY=VKPGJOXOHS&amp;VAR:QUERY=RkZfRUJJVERBX09QRVIoUVRSLDQvMS8yMDEwLDYvMzAvMjAxMCwsLFVTRCk=&amp;WINDOW=FIRST_POPUP&amp;HEIGH","T=450&amp;WIDTH=450&amp;START_MAXIMIZED=FALSE&amp;VAR:CALENDAR=US&amp;VAR:SYMBOL=MMC&amp;VAR:INDEX=0"}</definedName>
    <definedName name="_409__FDSAUDITLINK__" hidden="1">{"fdsup://directions/FAT Viewer?action=UPDATE&amp;creator=factset&amp;DYN_ARGS=TRUE&amp;DOC_NAME=FAT:FQL_AUDITING_CLIENT_TEMPLATE.FAT&amp;display_string=Audit&amp;VAR:KEY=BSRAPIRITG&amp;VAR:QUERY=RkZfRUJJVERBX09QRVIoUVRSLDQvMS8yMDA5LDYvMzAvMjAwOSwsLFVTRCk=&amp;WINDOW=FIRST_POPUP&amp;HEIGH","T=450&amp;WIDTH=450&amp;START_MAXIMIZED=FALSE&amp;VAR:CALENDAR=US&amp;VAR:SYMBOL=MKC&amp;VAR:INDEX=0"}</definedName>
    <definedName name="_41__123Graph_BQRE_S_BY_CO.">#REF!</definedName>
    <definedName name="_41__FDSAUDITLINK__" hidden="1">{"fdsup://directions/FAT Viewer?action=UPDATE&amp;creator=factset&amp;DYN_ARGS=TRUE&amp;DOC_NAME=FAT:FQL_AUDITING_CLIENT_TEMPLATE.FAT&amp;display_string=Audit&amp;VAR:KEY=JWLGFODIDK&amp;VAR:QUERY=RkZfRUJJVERBX09QRVIoUVRSLDQvMS8yMDA5LDYvMzAvMjAwOSwsLFVTRCk=&amp;WINDOW=FIRST_POPUP&amp;HEIGH","T=450&amp;WIDTH=450&amp;START_MAXIMIZED=FALSE&amp;VAR:CALENDAR=US&amp;VAR:SYMBOL=WLP&amp;VAR:INDEX=0"}</definedName>
    <definedName name="_410__FDSAUDITLINK__" hidden="1">{"fdsup://directions/FAT Viewer?action=UPDATE&amp;creator=factset&amp;DYN_ARGS=TRUE&amp;DOC_NAME=FAT:FQL_AUDITING_CLIENT_TEMPLATE.FAT&amp;display_string=Audit&amp;VAR:KEY=XMBAVQFEFS&amp;VAR:QUERY=RkZfRUJJVERBX09QRVIoUVRSLDQvMS8yMDEwLDYvMzAvMjAxMCwsLFVTRCk=&amp;WINDOW=FIRST_POPUP&amp;HEIGH","T=450&amp;WIDTH=450&amp;START_MAXIMIZED=FALSE&amp;VAR:CALENDAR=US&amp;VAR:SYMBOL=MKC&amp;VAR:INDEX=0"}</definedName>
    <definedName name="_411__FDSAUDITLINK__" hidden="1">{"fdsup://directions/FAT Viewer?action=UPDATE&amp;creator=factset&amp;DYN_ARGS=TRUE&amp;DOC_NAME=FAT:FQL_AUDITING_CLIENT_TEMPLATE.FAT&amp;display_string=Audit&amp;VAR:KEY=LSDWZOVSDU&amp;VAR:QUERY=RkZfRUJJVERBX09QRVIoUVRSLDQvMS8yMDA5LDYvMzAvMjAwOSwsLFVTRCk=&amp;WINDOW=FIRST_POPUP&amp;HEIGH","T=450&amp;WIDTH=450&amp;START_MAXIMIZED=FALSE&amp;VAR:CALENDAR=US&amp;VAR:SYMBOL=MJN&amp;VAR:INDEX=0"}</definedName>
    <definedName name="_412__FDSAUDITLINK__" hidden="1">{"fdsup://directions/FAT Viewer?action=UPDATE&amp;creator=factset&amp;DYN_ARGS=TRUE&amp;DOC_NAME=FAT:FQL_AUDITING_CLIENT_TEMPLATE.FAT&amp;display_string=Audit&amp;VAR:KEY=LCHKBYDIDI&amp;VAR:QUERY=RkZfRUJJVERBX09QRVIoUVRSLDQvMS8yMDEwLDYvMzAvMjAxMCwsLFVTRCk=&amp;WINDOW=FIRST_POPUP&amp;HEIGH","T=450&amp;WIDTH=450&amp;START_MAXIMIZED=FALSE&amp;VAR:CALENDAR=US&amp;VAR:SYMBOL=MJN&amp;VAR:INDEX=0"}</definedName>
    <definedName name="_413__FDSAUDITLINK__" hidden="1">{"fdsup://directions/FAT Viewer?action=UPDATE&amp;creator=factset&amp;DYN_ARGS=TRUE&amp;DOC_NAME=FAT:FQL_AUDITING_CLIENT_TEMPLATE.FAT&amp;display_string=Audit&amp;VAR:KEY=XANEZANUBI&amp;VAR:QUERY=RkZfRUJJVERBX09QRVIoUVRSLDQvMS8yMDA5LDYvMzAvMjAwOSwsLFVTRCk=&amp;WINDOW=FIRST_POPUP&amp;HEIGH","T=450&amp;WIDTH=450&amp;START_MAXIMIZED=FALSE&amp;VAR:CALENDAR=US&amp;VAR:SYMBOL=MI&amp;VAR:INDEX=0"}</definedName>
    <definedName name="_414__FDSAUDITLINK__" hidden="1">{"fdsup://directions/FAT Viewer?action=UPDATE&amp;creator=factset&amp;DYN_ARGS=TRUE&amp;DOC_NAME=FAT:FQL_AUDITING_CLIENT_TEMPLATE.FAT&amp;display_string=Audit&amp;VAR:KEY=TGTADQBMHO&amp;VAR:QUERY=RkZfRUJJVERBX09QRVIoUVRSLDQvMS8yMDEwLDYvMzAvMjAxMCwsLFVTRCk=&amp;WINDOW=FIRST_POPUP&amp;HEIGH","T=450&amp;WIDTH=450&amp;START_MAXIMIZED=FALSE&amp;VAR:CALENDAR=US&amp;VAR:SYMBOL=MI&amp;VAR:INDEX=0"}</definedName>
    <definedName name="_415__FDSAUDITLINK__" hidden="1">{"fdsup://directions/FAT Viewer?action=UPDATE&amp;creator=factset&amp;DYN_ARGS=TRUE&amp;DOC_NAME=FAT:FQL_AUDITING_CLIENT_TEMPLATE.FAT&amp;display_string=Audit&amp;VAR:KEY=NSZAHSBUXY&amp;VAR:QUERY=RkZfRUJJVERBX09QRVIoUVRSLDQvMS8yMDA5LDYvMzAvMjAwOSwsLFVTRCk=&amp;WINDOW=FIRST_POPUP&amp;HEIGH","T=450&amp;WIDTH=450&amp;START_MAXIMIZED=FALSE&amp;VAR:CALENDAR=US&amp;VAR:SYMBOL=MHS&amp;VAR:INDEX=0"}</definedName>
    <definedName name="_416__FDSAUDITLINK__" hidden="1">{"fdsup://directions/FAT Viewer?action=UPDATE&amp;creator=factset&amp;DYN_ARGS=TRUE&amp;DOC_NAME=FAT:FQL_AUDITING_CLIENT_TEMPLATE.FAT&amp;display_string=Audit&amp;VAR:KEY=VSLEFMPUPY&amp;VAR:QUERY=RkZfRUJJVERBX09QRVIoUVRSLDQvMS8yMDEwLDYvMzAvMjAxMCwsLFVTRCk=&amp;WINDOW=FIRST_POPUP&amp;HEIGH","T=450&amp;WIDTH=450&amp;START_MAXIMIZED=FALSE&amp;VAR:CALENDAR=US&amp;VAR:SYMBOL=MHS&amp;VAR:INDEX=0"}</definedName>
    <definedName name="_417__FDSAUDITLINK__" hidden="1">{"fdsup://directions/FAT Viewer?action=UPDATE&amp;creator=factset&amp;DYN_ARGS=TRUE&amp;DOC_NAME=FAT:FQL_AUDITING_CLIENT_TEMPLATE.FAT&amp;display_string=Audit&amp;VAR:KEY=RGXIFCBSRQ&amp;VAR:QUERY=RkZfRUJJVERBX09QRVIoUVRSLDQvMS8yMDA5LDYvMzAvMjAwOSwsLFVTRCk=&amp;WINDOW=FIRST_POPUP&amp;HEIGH","T=450&amp;WIDTH=450&amp;START_MAXIMIZED=FALSE&amp;VAR:CALENDAR=US&amp;VAR:SYMBOL=MHP&amp;VAR:INDEX=0"}</definedName>
    <definedName name="_418__FDSAUDITLINK__" hidden="1">{"fdsup://directions/FAT Viewer?action=UPDATE&amp;creator=factset&amp;DYN_ARGS=TRUE&amp;DOC_NAME=FAT:FQL_AUDITING_CLIENT_TEMPLATE.FAT&amp;display_string=Audit&amp;VAR:KEY=DCXMLMVOLO&amp;VAR:QUERY=RkZfRUJJVERBX09QRVIoUVRSLDQvMS8yMDEwLDYvMzAvMjAxMCwsLFVTRCk=&amp;WINDOW=FIRST_POPUP&amp;HEIGH","T=450&amp;WIDTH=450&amp;START_MAXIMIZED=FALSE&amp;VAR:CALENDAR=US&amp;VAR:SYMBOL=MHP&amp;VAR:INDEX=0"}</definedName>
    <definedName name="_419__FDSAUDITLINK__" hidden="1">{"fdsup://directions/FAT Viewer?action=UPDATE&amp;creator=factset&amp;DYN_ARGS=TRUE&amp;DOC_NAME=FAT:FQL_AUDITING_CLIENT_TEMPLATE.FAT&amp;display_string=Audit&amp;VAR:KEY=REXMRALYJE&amp;VAR:QUERY=RkZfRUJJVERBX09QRVIoUVRSLDQvMS8yMDA5LDYvMzAvMjAwOSwsLFVTRCk=&amp;WINDOW=FIRST_POPUP&amp;HEIGH","T=450&amp;WIDTH=450&amp;START_MAXIMIZED=FALSE&amp;VAR:CALENDAR=US&amp;VAR:SYMBOL=MFE&amp;VAR:INDEX=0"}</definedName>
    <definedName name="_42__123Graph_BSENS_COMPARISON">#REF!</definedName>
    <definedName name="_42__FDSAUDITLINK__" hidden="1">{"fdsup://directions/FAT Viewer?action=UPDATE&amp;creator=factset&amp;DYN_ARGS=TRUE&amp;DOC_NAME=FAT:FQL_AUDITING_CLIENT_TEMPLATE.FAT&amp;display_string=Audit&amp;VAR:KEY=ZMPSVGPOTE&amp;VAR:QUERY=RkZfRUJJVERBX09QRVIoUVRSLDQvMS8yMDEwLDYvMzAvMjAxMCwsLFVTRCk=&amp;WINDOW=FIRST_POPUP&amp;HEIGH","T=450&amp;WIDTH=450&amp;START_MAXIMIZED=FALSE&amp;VAR:CALENDAR=US&amp;VAR:SYMBOL=WLP&amp;VAR:INDEX=0"}</definedName>
    <definedName name="_420__FDSAUDITLINK__" hidden="1">{"fdsup://directions/FAT Viewer?action=UPDATE&amp;creator=factset&amp;DYN_ARGS=TRUE&amp;DOC_NAME=FAT:FQL_AUDITING_CLIENT_TEMPLATE.FAT&amp;display_string=Audit&amp;VAR:KEY=JQPKTOLCFS&amp;VAR:QUERY=RkZfRUJJVERBX09QRVIoUVRSLDQvMS8yMDEwLDYvMzAvMjAxMCwsLFVTRCk=&amp;WINDOW=FIRST_POPUP&amp;HEIGH","T=450&amp;WIDTH=450&amp;START_MAXIMIZED=FALSE&amp;VAR:CALENDAR=US&amp;VAR:SYMBOL=MFE&amp;VAR:INDEX=0"}</definedName>
    <definedName name="_421__FDSAUDITLINK__" hidden="1">{"fdsup://directions/FAT Viewer?action=UPDATE&amp;creator=factset&amp;DYN_ARGS=TRUE&amp;DOC_NAME=FAT:FQL_AUDITING_CLIENT_TEMPLATE.FAT&amp;display_string=Audit&amp;VAR:KEY=LSZKJERINY&amp;VAR:QUERY=RkZfRUJJVERBX09QRVIoUVRSLDQvMS8yMDA5LDYvMzAvMjAwOSwsLFVTRCk=&amp;WINDOW=FIRST_POPUP&amp;HEIGH","T=450&amp;WIDTH=450&amp;START_MAXIMIZED=FALSE&amp;VAR:CALENDAR=US&amp;VAR:SYMBOL=MET&amp;VAR:INDEX=0"}</definedName>
    <definedName name="_422__FDSAUDITLINK__" hidden="1">{"fdsup://directions/FAT Viewer?action=UPDATE&amp;creator=factset&amp;DYN_ARGS=TRUE&amp;DOC_NAME=FAT:FQL_AUDITING_CLIENT_TEMPLATE.FAT&amp;display_string=Audit&amp;VAR:KEY=DKPIVKTSFC&amp;VAR:QUERY=RkZfRUJJVERBX09QRVIoUVRSLDQvMS8yMDEwLDYvMzAvMjAxMCwsLFVTRCk=&amp;WINDOW=FIRST_POPUP&amp;HEIGH","T=450&amp;WIDTH=450&amp;START_MAXIMIZED=FALSE&amp;VAR:CALENDAR=US&amp;VAR:SYMBOL=MET&amp;VAR:INDEX=0"}</definedName>
    <definedName name="_423__FDSAUDITLINK__" hidden="1">{"fdsup://directions/FAT Viewer?action=UPDATE&amp;creator=factset&amp;DYN_ARGS=TRUE&amp;DOC_NAME=FAT:FQL_AUDITING_CLIENT_TEMPLATE.FAT&amp;display_string=Audit&amp;VAR:KEY=LQFOXUBEZE&amp;VAR:QUERY=RkZfRUJJVERBX09QRVIoUVRSLDQvMS8yMDA5LDYvMzAvMjAwOSwsLFVTRCk=&amp;WINDOW=FIRST_POPUP&amp;HEIGH","T=450&amp;WIDTH=450&amp;START_MAXIMIZED=FALSE&amp;VAR:CALENDAR=US&amp;VAR:SYMBOL=MEE&amp;VAR:INDEX=0"}</definedName>
    <definedName name="_424__FDSAUDITLINK__" hidden="1">{"fdsup://directions/FAT Viewer?action=UPDATE&amp;creator=factset&amp;DYN_ARGS=TRUE&amp;DOC_NAME=FAT:FQL_AUDITING_CLIENT_TEMPLATE.FAT&amp;display_string=Audit&amp;VAR:KEY=DAHCTYRKNI&amp;VAR:QUERY=RkZfRUJJVERBX09QRVIoUVRSLDQvMS8yMDEwLDYvMzAvMjAxMCwsLFVTRCk=&amp;WINDOW=FIRST_POPUP&amp;HEIGH","T=450&amp;WIDTH=450&amp;START_MAXIMIZED=FALSE&amp;VAR:CALENDAR=US&amp;VAR:SYMBOL=MEE&amp;VAR:INDEX=0"}</definedName>
    <definedName name="_425__FDSAUDITLINK__" hidden="1">{"fdsup://directions/FAT Viewer?action=UPDATE&amp;creator=factset&amp;DYN_ARGS=TRUE&amp;DOC_NAME=FAT:FQL_AUDITING_CLIENT_TEMPLATE.FAT&amp;display_string=Audit&amp;VAR:KEY=NKVQFENSTE&amp;VAR:QUERY=RkZfRUJJVERBX09QRVIoUVRSLDQvMS8yMDA5LDYvMzAvMjAwOSwsLFVTRCk=&amp;WINDOW=FIRST_POPUP&amp;HEIGH","T=450&amp;WIDTH=450&amp;START_MAXIMIZED=FALSE&amp;VAR:CALENDAR=US&amp;VAR:SYMBOL=MDT&amp;VAR:INDEX=0"}</definedName>
    <definedName name="_426__FDSAUDITLINK__" hidden="1">{"fdsup://directions/FAT Viewer?action=UPDATE&amp;creator=factset&amp;DYN_ARGS=TRUE&amp;DOC_NAME=FAT:FQL_AUDITING_CLIENT_TEMPLATE.FAT&amp;display_string=Audit&amp;VAR:KEY=FWPIVWJOLU&amp;VAR:QUERY=RkZfRUJJVERBX09QRVIoUVRSLDQvMS8yMDEwLDYvMzAvMjAxMCwsLFVTRCk=&amp;WINDOW=FIRST_POPUP&amp;HEIGH","T=450&amp;WIDTH=450&amp;START_MAXIMIZED=FALSE&amp;VAR:CALENDAR=US&amp;VAR:SYMBOL=MDT&amp;VAR:INDEX=0"}</definedName>
    <definedName name="_427__FDSAUDITLINK__" hidden="1">{"fdsup://directions/FAT Viewer?action=UPDATE&amp;creator=factset&amp;DYN_ARGS=TRUE&amp;DOC_NAME=FAT:FQL_AUDITING_CLIENT_TEMPLATE.FAT&amp;display_string=Audit&amp;VAR:KEY=PKPYZOHGLS&amp;VAR:QUERY=RkZfRUJJVERBX09QRVIoUVRSLDQvMS8yMDA5LDYvMzAvMjAwOSwsLFVTRCk=&amp;WINDOW=FIRST_POPUP&amp;HEIGH","T=450&amp;WIDTH=450&amp;START_MAXIMIZED=FALSE&amp;VAR:CALENDAR=US&amp;VAR:SYMBOL=MDP&amp;VAR:INDEX=0"}</definedName>
    <definedName name="_428__FDSAUDITLINK__" hidden="1">{"fdsup://directions/FAT Viewer?action=UPDATE&amp;creator=factset&amp;DYN_ARGS=TRUE&amp;DOC_NAME=FAT:FQL_AUDITING_CLIENT_TEMPLATE.FAT&amp;display_string=Audit&amp;VAR:KEY=RSBGVIRGLW&amp;VAR:QUERY=RkZfRUJJVERBX09QRVIoUVRSLDQvMS8yMDEwLDYvMzAvMjAxMCwsLFVTRCk=&amp;WINDOW=FIRST_POPUP&amp;HEIGH","T=450&amp;WIDTH=450&amp;START_MAXIMIZED=FALSE&amp;VAR:CALENDAR=US&amp;VAR:SYMBOL=MDP&amp;VAR:INDEX=0"}</definedName>
    <definedName name="_429__FDSAUDITLINK__" hidden="1">{"fdsup://directions/FAT Viewer?action=UPDATE&amp;creator=factset&amp;DYN_ARGS=TRUE&amp;DOC_NAME=FAT:FQL_AUDITING_CLIENT_TEMPLATE.FAT&amp;display_string=Audit&amp;VAR:KEY=LCXAZWNAZC&amp;VAR:QUERY=RkZfRUJJVERBX09QRVIoUVRSLDQvMS8yMDA5LDYvMzAvMjAwOSwsLFVTRCk=&amp;WINDOW=FIRST_POPUP&amp;HEIGH","T=450&amp;WIDTH=450&amp;START_MAXIMIZED=FALSE&amp;VAR:CALENDAR=US&amp;VAR:SYMBOL=MCO&amp;VAR:INDEX=0"}</definedName>
    <definedName name="_43__123Graph_BSUPPLIES_BY_B_U">#REF!</definedName>
    <definedName name="_43__FDSAUDITLINK__" hidden="1">{"fdsup://directions/FAT Viewer?action=UPDATE&amp;creator=factset&amp;DYN_ARGS=TRUE&amp;DOC_NAME=FAT:FQL_AUDITING_CLIENT_TEMPLATE.FAT&amp;display_string=Audit&amp;VAR:KEY=VCXYZANGDM&amp;VAR:QUERY=RkZfRUJJVERBX09QRVIoUVRSLDQvMS8yMDA5LDYvMzAvMjAwOSwsLFVTRCk=&amp;WINDOW=FIRST_POPUP&amp;HEIGH","T=450&amp;WIDTH=450&amp;START_MAXIMIZED=FALSE&amp;VAR:CALENDAR=US&amp;VAR:SYMBOL=WIN&amp;VAR:INDEX=0"}</definedName>
    <definedName name="_430__FDSAUDITLINK__" hidden="1">{"fdsup://directions/FAT Viewer?action=UPDATE&amp;creator=factset&amp;DYN_ARGS=TRUE&amp;DOC_NAME=FAT:FQL_AUDITING_CLIENT_TEMPLATE.FAT&amp;display_string=Audit&amp;VAR:KEY=RODMBCZOXU&amp;VAR:QUERY=RkZfRUJJVERBX09QRVIoUVRSLDQvMS8yMDEwLDYvMzAvMjAxMCwsLFVTRCk=&amp;WINDOW=FIRST_POPUP&amp;HEIGH","T=450&amp;WIDTH=450&amp;START_MAXIMIZED=FALSE&amp;VAR:CALENDAR=US&amp;VAR:SYMBOL=MCO&amp;VAR:INDEX=0"}</definedName>
    <definedName name="_431__FDSAUDITLINK__" hidden="1">{"fdsup://directions/FAT Viewer?action=UPDATE&amp;creator=factset&amp;DYN_ARGS=TRUE&amp;DOC_NAME=FAT:FQL_AUDITING_CLIENT_TEMPLATE.FAT&amp;display_string=Audit&amp;VAR:KEY=TQZWDKBQXS&amp;VAR:QUERY=RkZfRUJJVERBX09QRVIoUVRSLDQvMS8yMDA5LDYvMzAvMjAwOSwsLFVTRCk=&amp;WINDOW=FIRST_POPUP&amp;HEIGH","T=450&amp;WIDTH=450&amp;START_MAXIMIZED=FALSE&amp;VAR:CALENDAR=US&amp;VAR:SYMBOL=MCK&amp;VAR:INDEX=0"}</definedName>
    <definedName name="_432__FDSAUDITLINK__" hidden="1">{"fdsup://directions/FAT Viewer?action=UPDATE&amp;creator=factset&amp;DYN_ARGS=TRUE&amp;DOC_NAME=FAT:FQL_AUDITING_CLIENT_TEMPLATE.FAT&amp;display_string=Audit&amp;VAR:KEY=ZAJOVMZSDG&amp;VAR:QUERY=RkZfRUJJVERBX09QRVIoUVRSLDQvMS8yMDEwLDYvMzAvMjAxMCwsLFVTRCk=&amp;WINDOW=FIRST_POPUP&amp;HEIGH","T=450&amp;WIDTH=450&amp;START_MAXIMIZED=FALSE&amp;VAR:CALENDAR=US&amp;VAR:SYMBOL=MCK&amp;VAR:INDEX=0"}</definedName>
    <definedName name="_433__FDSAUDITLINK__" hidden="1">{"fdsup://directions/FAT Viewer?action=UPDATE&amp;creator=factset&amp;DYN_ARGS=TRUE&amp;DOC_NAME=FAT:FQL_AUDITING_CLIENT_TEMPLATE.FAT&amp;display_string=Audit&amp;VAR:KEY=VSPITCVUJA&amp;VAR:QUERY=RkZfRUJJVERBX09QRVIoUVRSLDQvMS8yMDA5LDYvMzAvMjAwOSwsLFVTRCk=&amp;WINDOW=FIRST_POPUP&amp;HEIGH","T=450&amp;WIDTH=450&amp;START_MAXIMIZED=FALSE&amp;VAR:CALENDAR=US&amp;VAR:SYMBOL=MCHP&amp;VAR:INDEX=0"}</definedName>
    <definedName name="_434__FDSAUDITLINK__" hidden="1">{"fdsup://directions/FAT Viewer?action=UPDATE&amp;creator=factset&amp;DYN_ARGS=TRUE&amp;DOC_NAME=FAT:FQL_AUDITING_CLIENT_TEMPLATE.FAT&amp;display_string=Audit&amp;VAR:KEY=VCDUFULCVS&amp;VAR:QUERY=RkZfRUJJVERBX09QRVIoUVRSLDQvMS8yMDEwLDYvMzAvMjAxMCwsLFVTRCk=&amp;WINDOW=FIRST_POPUP&amp;HEIGH","T=450&amp;WIDTH=450&amp;START_MAXIMIZED=FALSE&amp;VAR:CALENDAR=US&amp;VAR:SYMBOL=MCHP&amp;VAR:INDEX=0"}</definedName>
    <definedName name="_435__FDSAUDITLINK__" hidden="1">{"fdsup://directions/FAT Viewer?action=UPDATE&amp;creator=factset&amp;DYN_ARGS=TRUE&amp;DOC_NAME=FAT:FQL_AUDITING_CLIENT_TEMPLATE.FAT&amp;display_string=Audit&amp;VAR:KEY=RWJIDSRQDK&amp;VAR:QUERY=RkZfRUJJVERBX09QRVIoUVRSLDQvMS8yMDA5LDYvMzAvMjAwOSwsLFVTRCk=&amp;WINDOW=FIRST_POPUP&amp;HEIGH","T=450&amp;WIDTH=450&amp;START_MAXIMIZED=FALSE&amp;VAR:CALENDAR=US&amp;VAR:SYMBOL=MCD&amp;VAR:INDEX=0"}</definedName>
    <definedName name="_436__FDSAUDITLINK__" hidden="1">{"fdsup://directions/FAT Viewer?action=UPDATE&amp;creator=factset&amp;DYN_ARGS=TRUE&amp;DOC_NAME=FAT:FQL_AUDITING_CLIENT_TEMPLATE.FAT&amp;display_string=Audit&amp;VAR:KEY=ZCZEVIZQLU&amp;VAR:QUERY=RkZfRUJJVERBX09QRVIoUVRSLDQvMS8yMDEwLDYvMzAvMjAxMCwsLFVTRCk=&amp;WINDOW=FIRST_POPUP&amp;HEIGH","T=450&amp;WIDTH=450&amp;START_MAXIMIZED=FALSE&amp;VAR:CALENDAR=US&amp;VAR:SYMBOL=MCD&amp;VAR:INDEX=0"}</definedName>
    <definedName name="_437__FDSAUDITLINK__" hidden="1">{"fdsup://directions/FAT Viewer?action=UPDATE&amp;creator=factset&amp;DYN_ARGS=TRUE&amp;DOC_NAME=FAT:FQL_AUDITING_CLIENT_TEMPLATE.FAT&amp;display_string=Audit&amp;VAR:KEY=VONYXKJERI&amp;VAR:QUERY=RkZfRUJJVERBX09QRVIoUVRSLDQvMS8yMDA5LDYvMzAvMjAwOSwsLFVTRCk=&amp;WINDOW=FIRST_POPUP&amp;HEIGH","T=450&amp;WIDTH=450&amp;START_MAXIMIZED=FALSE&amp;VAR:CALENDAR=US&amp;VAR:SYMBOL=MAT&amp;VAR:INDEX=0"}</definedName>
    <definedName name="_438__FDSAUDITLINK__" hidden="1">{"fdsup://directions/FAT Viewer?action=UPDATE&amp;creator=factset&amp;DYN_ARGS=TRUE&amp;DOC_NAME=FAT:FQL_AUDITING_CLIENT_TEMPLATE.FAT&amp;display_string=Audit&amp;VAR:KEY=VSXIZMROVQ&amp;VAR:QUERY=RkZfRUJJVERBX09QRVIoUVRSLDQvMS8yMDEwLDYvMzAvMjAxMCwsLFVTRCk=&amp;WINDOW=FIRST_POPUP&amp;HEIGH","T=450&amp;WIDTH=450&amp;START_MAXIMIZED=FALSE&amp;VAR:CALENDAR=US&amp;VAR:SYMBOL=MAT&amp;VAR:INDEX=0"}</definedName>
    <definedName name="_439__FDSAUDITLINK__" hidden="1">{"fdsup://directions/FAT Viewer?action=UPDATE&amp;creator=factset&amp;DYN_ARGS=TRUE&amp;DOC_NAME=FAT:FQL_AUDITING_CLIENT_TEMPLATE.FAT&amp;display_string=Audit&amp;VAR:KEY=XWXYFKPCBG&amp;VAR:QUERY=RkZfRUJJVERBX09QRVIoUVRSLDQvMS8yMDA5LDYvMzAvMjAwOSwsLFVTRCk=&amp;WINDOW=FIRST_POPUP&amp;HEIGH","T=450&amp;WIDTH=450&amp;START_MAXIMIZED=FALSE&amp;VAR:CALENDAR=US&amp;VAR:SYMBOL=MAS&amp;VAR:INDEX=0"}</definedName>
    <definedName name="_44__123Graph_BTAX_CREDIT">#REF!</definedName>
    <definedName name="_44__FDSAUDITLINK__" hidden="1">{"fdsup://directions/FAT Viewer?action=UPDATE&amp;creator=factset&amp;DYN_ARGS=TRUE&amp;DOC_NAME=FAT:FQL_AUDITING_CLIENT_TEMPLATE.FAT&amp;display_string=Audit&amp;VAR:KEY=NIVAPCZMDU&amp;VAR:QUERY=RkZfRUJJVERBX09QRVIoUVRSLDQvMS8yMDEwLDYvMzAvMjAxMCwsLFVTRCk=&amp;WINDOW=FIRST_POPUP&amp;HEIGH","T=450&amp;WIDTH=450&amp;START_MAXIMIZED=FALSE&amp;VAR:CALENDAR=US&amp;VAR:SYMBOL=WIN&amp;VAR:INDEX=0"}</definedName>
    <definedName name="_440__FDSAUDITLINK__" hidden="1">{"fdsup://directions/FAT Viewer?action=UPDATE&amp;creator=factset&amp;DYN_ARGS=TRUE&amp;DOC_NAME=FAT:FQL_AUDITING_CLIENT_TEMPLATE.FAT&amp;display_string=Audit&amp;VAR:KEY=BORCXKZINE&amp;VAR:QUERY=RkZfRUJJVERBX09QRVIoUVRSLDQvMS8yMDEwLDYvMzAvMjAxMCwsLFVTRCk=&amp;WINDOW=FIRST_POPUP&amp;HEIGH","T=450&amp;WIDTH=450&amp;START_MAXIMIZED=FALSE&amp;VAR:CALENDAR=US&amp;VAR:SYMBOL=MAS&amp;VAR:INDEX=0"}</definedName>
    <definedName name="_441__FDSAUDITLINK__" hidden="1">{"fdsup://directions/FAT Viewer?action=UPDATE&amp;creator=factset&amp;DYN_ARGS=TRUE&amp;DOC_NAME=FAT:FQL_AUDITING_CLIENT_TEMPLATE.FAT&amp;display_string=Audit&amp;VAR:KEY=XETCZUHSDQ&amp;VAR:QUERY=RkZfRUJJVERBX09QRVIoUVRSLDQvMS8yMDA5LDYvMzAvMjAwOSwsLFVTRCk=&amp;WINDOW=FIRST_POPUP&amp;HEIGH","T=450&amp;WIDTH=450&amp;START_MAXIMIZED=FALSE&amp;VAR:CALENDAR=US&amp;VAR:SYMBOL=MAR&amp;VAR:INDEX=0"}</definedName>
    <definedName name="_442__FDSAUDITLINK__" hidden="1">{"fdsup://directions/FAT Viewer?action=UPDATE&amp;creator=factset&amp;DYN_ARGS=TRUE&amp;DOC_NAME=FAT:FQL_AUDITING_CLIENT_TEMPLATE.FAT&amp;display_string=Audit&amp;VAR:KEY=LYRWJWZSZO&amp;VAR:QUERY=RkZfRUJJVERBX09QRVIoUVRSLDQvMS8yMDEwLDYvMzAvMjAxMCwsLFVTRCk=&amp;WINDOW=FIRST_POPUP&amp;HEIGH","T=450&amp;WIDTH=450&amp;START_MAXIMIZED=FALSE&amp;VAR:CALENDAR=US&amp;VAR:SYMBOL=MAR&amp;VAR:INDEX=0"}</definedName>
    <definedName name="_443__FDSAUDITLINK__" hidden="1">{"fdsup://directions/FAT Viewer?action=UPDATE&amp;creator=factset&amp;DYN_ARGS=TRUE&amp;DOC_NAME=FAT:FQL_AUDITING_CLIENT_TEMPLATE.FAT&amp;display_string=Audit&amp;VAR:KEY=PWZQZCXENU&amp;VAR:QUERY=RkZfRUJJVERBX09QRVIoUVRSLDQvMS8yMDA5LDYvMzAvMjAwOSwsLFVTRCk=&amp;WINDOW=FIRST_POPUP&amp;HEIGH","T=450&amp;WIDTH=450&amp;START_MAXIMIZED=FALSE&amp;VAR:CALENDAR=US&amp;VAR:SYMBOL=MA&amp;VAR:INDEX=0"}</definedName>
    <definedName name="_444__FDSAUDITLINK__" hidden="1">{"fdsup://directions/FAT Viewer?action=UPDATE&amp;creator=factset&amp;DYN_ARGS=TRUE&amp;DOC_NAME=FAT:FQL_AUDITING_CLIENT_TEMPLATE.FAT&amp;display_string=Audit&amp;VAR:KEY=RQPWNAHSRG&amp;VAR:QUERY=RkZfRUJJVERBX09QRVIoUVRSLDQvMS8yMDEwLDYvMzAvMjAxMCwsLFVTRCk=&amp;WINDOW=FIRST_POPUP&amp;HEIGH","T=450&amp;WIDTH=450&amp;START_MAXIMIZED=FALSE&amp;VAR:CALENDAR=US&amp;VAR:SYMBOL=MA&amp;VAR:INDEX=0"}</definedName>
    <definedName name="_445__FDSAUDITLINK__" hidden="1">{"fdsup://directions/FAT Viewer?action=UPDATE&amp;creator=factset&amp;DYN_ARGS=TRUE&amp;DOC_NAME=FAT:FQL_AUDITING_CLIENT_TEMPLATE.FAT&amp;display_string=Audit&amp;VAR:KEY=VKHIDSFCDM&amp;VAR:QUERY=RkZfRUJJVERBX09QRVIoUVRSLDQvMS8yMDA5LDYvMzAvMjAwOSwsLFVTRCk=&amp;WINDOW=FIRST_POPUP&amp;HEIGH","T=450&amp;WIDTH=450&amp;START_MAXIMIZED=FALSE&amp;VAR:CALENDAR=US&amp;VAR:SYMBOL=M&amp;VAR:INDEX=0"}</definedName>
    <definedName name="_446__FDSAUDITLINK__" hidden="1">{"fdsup://directions/FAT Viewer?action=UPDATE&amp;creator=factset&amp;DYN_ARGS=TRUE&amp;DOC_NAME=FAT:FQL_AUDITING_CLIENT_TEMPLATE.FAT&amp;display_string=Audit&amp;VAR:KEY=NOPCZALOJI&amp;VAR:QUERY=RkZfRUJJVERBX09QRVIoUVRSLDQvMS8yMDEwLDYvMzAvMjAxMCwsLFVTRCk=&amp;WINDOW=FIRST_POPUP&amp;HEIGH","T=450&amp;WIDTH=450&amp;START_MAXIMIZED=FALSE&amp;VAR:CALENDAR=US&amp;VAR:SYMBOL=M&amp;VAR:INDEX=0"}</definedName>
    <definedName name="_447__FDSAUDITLINK__" hidden="1">{"fdsup://directions/FAT Viewer?action=UPDATE&amp;creator=factset&amp;DYN_ARGS=TRUE&amp;DOC_NAME=FAT:FQL_AUDITING_CLIENT_TEMPLATE.FAT&amp;display_string=Audit&amp;VAR:KEY=XAZQDMXENG&amp;VAR:QUERY=RkZfRUJJVERBX09QRVIoUVRSLDQvMS8yMDA5LDYvMzAvMjAwOSwsLFVTRCk=&amp;WINDOW=FIRST_POPUP&amp;HEIGH","T=450&amp;WIDTH=450&amp;START_MAXIMIZED=FALSE&amp;VAR:CALENDAR=US&amp;VAR:SYMBOL=LXK&amp;VAR:INDEX=0"}</definedName>
    <definedName name="_448__FDSAUDITLINK__" hidden="1">{"fdsup://directions/FAT Viewer?action=UPDATE&amp;creator=factset&amp;DYN_ARGS=TRUE&amp;DOC_NAME=FAT:FQL_AUDITING_CLIENT_TEMPLATE.FAT&amp;display_string=Audit&amp;VAR:KEY=PKHMFUBWDK&amp;VAR:QUERY=RkZfRUJJVERBX09QRVIoUVRSLDQvMS8yMDEwLDYvMzAvMjAxMCwsLFVTRCk=&amp;WINDOW=FIRST_POPUP&amp;HEIGH","T=450&amp;WIDTH=450&amp;START_MAXIMIZED=FALSE&amp;VAR:CALENDAR=US&amp;VAR:SYMBOL=LXK&amp;VAR:INDEX=0"}</definedName>
    <definedName name="_449__FDSAUDITLINK__" hidden="1">{"fdsup://directions/FAT Viewer?action=UPDATE&amp;creator=factset&amp;DYN_ARGS=TRUE&amp;DOC_NAME=FAT:FQL_AUDITING_CLIENT_TEMPLATE.FAT&amp;display_string=Audit&amp;VAR:KEY=JEFIZQPMDE&amp;VAR:QUERY=RkZfRUJJVERBX09QRVIoUVRSLDQvMS8yMDA5LDYvMzAvMjAwOSwsLFVTRCk=&amp;WINDOW=FIRST_POPUP&amp;HEIGH","T=450&amp;WIDTH=450&amp;START_MAXIMIZED=FALSE&amp;VAR:CALENDAR=US&amp;VAR:SYMBOL=LUV&amp;VAR:INDEX=0"}</definedName>
    <definedName name="_45__123Graph_BWAGES_BY_B_U">#REF!</definedName>
    <definedName name="_45__FDSAUDITLINK__" hidden="1">{"fdsup://directions/FAT Viewer?action=UPDATE&amp;creator=factset&amp;DYN_ARGS=TRUE&amp;DOC_NAME=FAT:FQL_AUDITING_CLIENT_TEMPLATE.FAT&amp;display_string=Audit&amp;VAR:KEY=FGFWLOHGZQ&amp;VAR:QUERY=RkZfRUJJVERBX09QRVIoUVRSLDQvMS8yMDA5LDYvMzAvMjAwOSwsLFVTRCk=&amp;WINDOW=FIRST_POPUP&amp;HEIGH","T=450&amp;WIDTH=450&amp;START_MAXIMIZED=FALSE&amp;VAR:CALENDAR=US&amp;VAR:SYMBOL=WHR&amp;VAR:INDEX=0"}</definedName>
    <definedName name="_450__FDSAUDITLINK__" hidden="1">{"fdsup://directions/FAT Viewer?action=UPDATE&amp;creator=factset&amp;DYN_ARGS=TRUE&amp;DOC_NAME=FAT:FQL_AUDITING_CLIENT_TEMPLATE.FAT&amp;display_string=Audit&amp;VAR:KEY=VGTCDGTSFY&amp;VAR:QUERY=RkZfRUJJVERBX09QRVIoUVRSLDQvMS8yMDEwLDYvMzAvMjAxMCwsLFVTRCk=&amp;WINDOW=FIRST_POPUP&amp;HEIGH","T=450&amp;WIDTH=450&amp;START_MAXIMIZED=FALSE&amp;VAR:CALENDAR=US&amp;VAR:SYMBOL=LUV&amp;VAR:INDEX=0"}</definedName>
    <definedName name="_451__FDSAUDITLINK__" hidden="1">{"fdsup://directions/FAT Viewer?action=UPDATE&amp;creator=factset&amp;DYN_ARGS=TRUE&amp;DOC_NAME=FAT:FQL_AUDITING_CLIENT_TEMPLATE.FAT&amp;display_string=Audit&amp;VAR:KEY=RSPQHCJURO&amp;VAR:QUERY=RkZfRUJJVERBX09QRVIoUVRSLDQvMS8yMDA5LDYvMzAvMjAwOSwsLFVTRCk=&amp;WINDOW=FIRST_POPUP&amp;HEIGH","T=450&amp;WIDTH=450&amp;START_MAXIMIZED=FALSE&amp;VAR:CALENDAR=US&amp;VAR:SYMBOL=LUK&amp;VAR:INDEX=0"}</definedName>
    <definedName name="_452__FDSAUDITLINK__" hidden="1">{"fdsup://directions/FAT Viewer?action=UPDATE&amp;creator=factset&amp;DYN_ARGS=TRUE&amp;DOC_NAME=FAT:FQL_AUDITING_CLIENT_TEMPLATE.FAT&amp;display_string=Audit&amp;VAR:KEY=VAJWZALQNC&amp;VAR:QUERY=RkZfRUJJVERBX09QRVIoUVRSLDQvMS8yMDEwLDYvMzAvMjAxMCwsLFVTRCk=&amp;WINDOW=FIRST_POPUP&amp;HEIGH","T=450&amp;WIDTH=450&amp;START_MAXIMIZED=FALSE&amp;VAR:CALENDAR=US&amp;VAR:SYMBOL=LUK&amp;VAR:INDEX=0"}</definedName>
    <definedName name="_453__FDSAUDITLINK__" hidden="1">{"fdsup://directions/FAT Viewer?action=UPDATE&amp;creator=factset&amp;DYN_ARGS=TRUE&amp;DOC_NAME=FAT:FQL_AUDITING_CLIENT_TEMPLATE.FAT&amp;display_string=Audit&amp;VAR:KEY=ZYPCFUNIRW&amp;VAR:QUERY=RkZfRUJJVERBX09QRVIoUVRSLDQvMS8yMDA5LDYvMzAvMjAwOSwsLFVTRCk=&amp;WINDOW=FIRST_POPUP&amp;HEIGH","T=450&amp;WIDTH=450&amp;START_MAXIMIZED=FALSE&amp;VAR:CALENDAR=US&amp;VAR:SYMBOL=LTD&amp;VAR:INDEX=0"}</definedName>
    <definedName name="_454__FDSAUDITLINK__" hidden="1">{"fdsup://directions/FAT Viewer?action=UPDATE&amp;creator=factset&amp;DYN_ARGS=TRUE&amp;DOC_NAME=FAT:FQL_AUDITING_CLIENT_TEMPLATE.FAT&amp;display_string=Audit&amp;VAR:KEY=XQTAZKREBE&amp;VAR:QUERY=RkZfRUJJVERBX09QRVIoUVRSLDQvMS8yMDEwLDYvMzAvMjAxMCwsLFVTRCk=&amp;WINDOW=FIRST_POPUP&amp;HEIGH","T=450&amp;WIDTH=450&amp;START_MAXIMIZED=FALSE&amp;VAR:CALENDAR=US&amp;VAR:SYMBOL=LTD&amp;VAR:INDEX=0"}</definedName>
    <definedName name="_455__FDSAUDITLINK__" hidden="1">{"fdsup://directions/FAT Viewer?action=UPDATE&amp;creator=factset&amp;DYN_ARGS=TRUE&amp;DOC_NAME=FAT:FQL_AUDITING_CLIENT_TEMPLATE.FAT&amp;display_string=Audit&amp;VAR:KEY=PIDKFABMJA&amp;VAR:QUERY=RkZfRUJJVERBX09QRVIoUVRSLDQvMS8yMDA5LDYvMzAvMjAwOSwsLFVTRCk=&amp;WINDOW=FIRST_POPUP&amp;HEIGH","T=450&amp;WIDTH=450&amp;START_MAXIMIZED=FALSE&amp;VAR:CALENDAR=US&amp;VAR:SYMBOL=LSI&amp;VAR:INDEX=0"}</definedName>
    <definedName name="_456__FDSAUDITLINK__" hidden="1">{"fdsup://directions/FAT Viewer?action=UPDATE&amp;creator=factset&amp;DYN_ARGS=TRUE&amp;DOC_NAME=FAT:FQL_AUDITING_CLIENT_TEMPLATE.FAT&amp;display_string=Audit&amp;VAR:KEY=ZGVOFCVCHE&amp;VAR:QUERY=RkZfRUJJVERBX09QRVIoUVRSLDQvMS8yMDEwLDYvMzAvMjAxMCwsLFVTRCk=&amp;WINDOW=FIRST_POPUP&amp;HEIGH","T=450&amp;WIDTH=450&amp;START_MAXIMIZED=FALSE&amp;VAR:CALENDAR=US&amp;VAR:SYMBOL=LSI&amp;VAR:INDEX=0"}</definedName>
    <definedName name="_457__FDSAUDITLINK__" hidden="1">{"fdsup://directions/FAT Viewer?action=UPDATE&amp;creator=factset&amp;DYN_ARGS=TRUE&amp;DOC_NAME=FAT:FQL_AUDITING_CLIENT_TEMPLATE.FAT&amp;display_string=Audit&amp;VAR:KEY=JMXILAFAVQ&amp;VAR:QUERY=RkZfRUJJVERBX09QRVIoUVRSLDQvMS8yMDA5LDYvMzAvMjAwOSwsLFVTRCk=&amp;WINDOW=FIRST_POPUP&amp;HEIGH","T=450&amp;WIDTH=450&amp;START_MAXIMIZED=FALSE&amp;VAR:CALENDAR=US&amp;VAR:SYMBOL=LO&amp;VAR:INDEX=0"}</definedName>
    <definedName name="_458__FDSAUDITLINK__" hidden="1">{"fdsup://directions/FAT Viewer?action=UPDATE&amp;creator=factset&amp;DYN_ARGS=TRUE&amp;DOC_NAME=FAT:FQL_AUDITING_CLIENT_TEMPLATE.FAT&amp;display_string=Audit&amp;VAR:KEY=BUNAFWZWXW&amp;VAR:QUERY=RkZfRUJJVERBX09QRVIoUVRSLDQvMS8yMDEwLDYvMzAvMjAxMCwsLFVTRCk=&amp;WINDOW=FIRST_POPUP&amp;HEIGH","T=450&amp;WIDTH=450&amp;START_MAXIMIZED=FALSE&amp;VAR:CALENDAR=US&amp;VAR:SYMBOL=LO&amp;VAR:INDEX=0"}</definedName>
    <definedName name="_459__FDSAUDITLINK__" hidden="1">{"fdsup://directions/FAT Viewer?action=UPDATE&amp;creator=factset&amp;DYN_ARGS=TRUE&amp;DOC_NAME=FAT:FQL_AUDITING_CLIENT_TEMPLATE.FAT&amp;display_string=Audit&amp;VAR:KEY=XAZEFENELQ&amp;VAR:QUERY=RkZfRUJJVERBX09QRVIoUVRSLDQvMS8yMDA5LDYvMzAvMjAwOSwsLFVTRCk=&amp;WINDOW=FIRST_POPUP&amp;HEIGH","T=450&amp;WIDTH=450&amp;START_MAXIMIZED=FALSE&amp;VAR:CALENDAR=US&amp;VAR:SYMBOL=LNC&amp;VAR:INDEX=0"}</definedName>
    <definedName name="_46__123Graph_CCONTRACT_BY_B_U">#REF!</definedName>
    <definedName name="_46__FDSAUDITLINK__" hidden="1">{"fdsup://directions/FAT Viewer?action=UPDATE&amp;creator=factset&amp;DYN_ARGS=TRUE&amp;DOC_NAME=FAT:FQL_AUDITING_CLIENT_TEMPLATE.FAT&amp;display_string=Audit&amp;VAR:KEY=TCNUZWVGNW&amp;VAR:QUERY=RkZfRUJJVERBX09QRVIoUVRSLDQvMS8yMDEwLDYvMzAvMjAxMCwsLFVTRCk=&amp;WINDOW=FIRST_POPUP&amp;HEIGH","T=450&amp;WIDTH=450&amp;START_MAXIMIZED=FALSE&amp;VAR:CALENDAR=US&amp;VAR:SYMBOL=WHR&amp;VAR:INDEX=0"}</definedName>
    <definedName name="_460__FDSAUDITLINK__" hidden="1">{"fdsup://directions/FAT Viewer?action=UPDATE&amp;creator=factset&amp;DYN_ARGS=TRUE&amp;DOC_NAME=FAT:FQL_AUDITING_CLIENT_TEMPLATE.FAT&amp;display_string=Audit&amp;VAR:KEY=FSPEVMJIFU&amp;VAR:QUERY=RkZfRUJJVERBX09QRVIoUVRSLDQvMS8yMDEwLDYvMzAvMjAxMCwsLFVTRCk=&amp;WINDOW=FIRST_POPUP&amp;HEIGH","T=450&amp;WIDTH=450&amp;START_MAXIMIZED=FALSE&amp;VAR:CALENDAR=US&amp;VAR:SYMBOL=LNC&amp;VAR:INDEX=0"}</definedName>
    <definedName name="_461__FDSAUDITLINK__" hidden="1">{"fdsup://directions/FAT Viewer?action=UPDATE&amp;creator=factset&amp;DYN_ARGS=TRUE&amp;DOC_NAME=FAT:FQL_AUDITING_CLIENT_TEMPLATE.FAT&amp;display_string=Audit&amp;VAR:KEY=ZWNEJALIDK&amp;VAR:QUERY=RkZfRUJJVERBX09QRVIoUVRSLDQvMS8yMDA5LDYvMzAvMjAwOSwsLFVTRCk=&amp;WINDOW=FIRST_POPUP&amp;HEIGH","T=450&amp;WIDTH=450&amp;START_MAXIMIZED=FALSE&amp;VAR:CALENDAR=US&amp;VAR:SYMBOL=LMT&amp;VAR:INDEX=0"}</definedName>
    <definedName name="_462__FDSAUDITLINK__" hidden="1">{"fdsup://directions/FAT Viewer?action=UPDATE&amp;creator=factset&amp;DYN_ARGS=TRUE&amp;DOC_NAME=FAT:FQL_AUDITING_CLIENT_TEMPLATE.FAT&amp;display_string=Audit&amp;VAR:KEY=FMNAXOTOJG&amp;VAR:QUERY=RkZfRUJJVERBX09QRVIoUVRSLDQvMS8yMDEwLDYvMzAvMjAxMCwsLFVTRCk=&amp;WINDOW=FIRST_POPUP&amp;HEIGH","T=450&amp;WIDTH=450&amp;START_MAXIMIZED=FALSE&amp;VAR:CALENDAR=US&amp;VAR:SYMBOL=LMT&amp;VAR:INDEX=0"}</definedName>
    <definedName name="_463__FDSAUDITLINK__" hidden="1">{"fdsup://directions/FAT Viewer?action=UPDATE&amp;creator=factset&amp;DYN_ARGS=TRUE&amp;DOC_NAME=FAT:FQL_AUDITING_CLIENT_TEMPLATE.FAT&amp;display_string=Audit&amp;VAR:KEY=PUTYJODKVC&amp;VAR:QUERY=RkZfRUJJVERBX09QRVIoUVRSLDQvMS8yMDA5LDYvMzAvMjAwOSwsLFVTRCk=&amp;WINDOW=FIRST_POPUP&amp;HEIGH","T=450&amp;WIDTH=450&amp;START_MAXIMIZED=FALSE&amp;VAR:CALENDAR=US&amp;VAR:SYMBOL=LM&amp;VAR:INDEX=0"}</definedName>
    <definedName name="_464__FDSAUDITLINK__" hidden="1">{"fdsup://directions/FAT Viewer?action=UPDATE&amp;creator=factset&amp;DYN_ARGS=TRUE&amp;DOC_NAME=FAT:FQL_AUDITING_CLIENT_TEMPLATE.FAT&amp;display_string=Audit&amp;VAR:KEY=JGZQVGXIHA&amp;VAR:QUERY=RkZfRUJJVERBX09QRVIoUVRSLDQvMS8yMDEwLDYvMzAvMjAxMCwsLFVTRCk=&amp;WINDOW=FIRST_POPUP&amp;HEIGH","T=450&amp;WIDTH=450&amp;START_MAXIMIZED=FALSE&amp;VAR:CALENDAR=US&amp;VAR:SYMBOL=LM&amp;VAR:INDEX=0"}</definedName>
    <definedName name="_465__FDSAUDITLINK__" hidden="1">{"fdsup://directions/FAT Viewer?action=UPDATE&amp;creator=factset&amp;DYN_ARGS=TRUE&amp;DOC_NAME=FAT:FQL_AUDITING_CLIENT_TEMPLATE.FAT&amp;display_string=Audit&amp;VAR:KEY=NUJMLIPIXC&amp;VAR:QUERY=RkZfRUJJVERBX09QRVIoUVRSLDQvMS8yMDA5LDYvMzAvMjAwOSwsLFVTRCk=&amp;WINDOW=FIRST_POPUP&amp;HEIGH","T=450&amp;WIDTH=450&amp;START_MAXIMIZED=FALSE&amp;VAR:CALENDAR=US&amp;VAR:SYMBOL=LLY&amp;VAR:INDEX=0"}</definedName>
    <definedName name="_466__FDSAUDITLINK__" hidden="1">{"fdsup://directions/FAT Viewer?action=UPDATE&amp;creator=factset&amp;DYN_ARGS=TRUE&amp;DOC_NAME=FAT:FQL_AUDITING_CLIENT_TEMPLATE.FAT&amp;display_string=Audit&amp;VAR:KEY=JEFOPAHIRO&amp;VAR:QUERY=RkZfRUJJVERBX09QRVIoUVRSLDQvMS8yMDEwLDYvMzAvMjAxMCwsLFVTRCk=&amp;WINDOW=FIRST_POPUP&amp;HEIGH","T=450&amp;WIDTH=450&amp;START_MAXIMIZED=FALSE&amp;VAR:CALENDAR=US&amp;VAR:SYMBOL=LLY&amp;VAR:INDEX=0"}</definedName>
    <definedName name="_467__FDSAUDITLINK__" hidden="1">{"fdsup://directions/FAT Viewer?action=UPDATE&amp;creator=factset&amp;DYN_ARGS=TRUE&amp;DOC_NAME=FAT:FQL_AUDITING_CLIENT_TEMPLATE.FAT&amp;display_string=Audit&amp;VAR:KEY=LCHQNALEHI&amp;VAR:QUERY=RkZfRUJJVERBX09QRVIoUVRSLDQvMS8yMDA5LDYvMzAvMjAwOSwsLFVTRCk=&amp;WINDOW=FIRST_POPUP&amp;HEIGH","T=450&amp;WIDTH=450&amp;START_MAXIMIZED=FALSE&amp;VAR:CALENDAR=US&amp;VAR:SYMBOL=LLTC&amp;VAR:INDEX=0"}</definedName>
    <definedName name="_468__FDSAUDITLINK__" hidden="1">{"fdsup://directions/FAT Viewer?action=UPDATE&amp;creator=factset&amp;DYN_ARGS=TRUE&amp;DOC_NAME=FAT:FQL_AUDITING_CLIENT_TEMPLATE.FAT&amp;display_string=Audit&amp;VAR:KEY=REXQTMXIPI&amp;VAR:QUERY=RkZfRUJJVERBX09QRVIoUVRSLDQvMS8yMDEwLDYvMzAvMjAxMCwsLFVTRCk=&amp;WINDOW=FIRST_POPUP&amp;HEIGH","T=450&amp;WIDTH=450&amp;START_MAXIMIZED=FALSE&amp;VAR:CALENDAR=US&amp;VAR:SYMBOL=LLTC&amp;VAR:INDEX=0"}</definedName>
    <definedName name="_469__FDSAUDITLINK__" hidden="1">{"fdsup://directions/FAT Viewer?action=UPDATE&amp;creator=factset&amp;DYN_ARGS=TRUE&amp;DOC_NAME=FAT:FQL_AUDITING_CLIENT_TEMPLATE.FAT&amp;display_string=Audit&amp;VAR:KEY=XWZGHGHKBU&amp;VAR:QUERY=RkZfRUJJVERBX09QRVIoUVRSLDQvMS8yMDA5LDYvMzAvMjAwOSwsLFVTRCk=&amp;WINDOW=FIRST_POPUP&amp;HEIGH","T=450&amp;WIDTH=450&amp;START_MAXIMIZED=FALSE&amp;VAR:CALENDAR=US&amp;VAR:SYMBOL=LLL&amp;VAR:INDEX=0"}</definedName>
    <definedName name="_47__123Graph_CQRE_S_BY_CO.">#REF!</definedName>
    <definedName name="_47__123Graph_CQRE_S_BY_TYPE">#REF!</definedName>
    <definedName name="_47__FDSAUDITLINK__" hidden="1">{"fdsup://directions/FAT Viewer?action=UPDATE&amp;creator=factset&amp;DYN_ARGS=TRUE&amp;DOC_NAME=FAT:FQL_AUDITING_CLIENT_TEMPLATE.FAT&amp;display_string=Audit&amp;VAR:KEY=ZCNQNYFONA&amp;VAR:QUERY=RkZfRUJJVERBX09QRVIoUVRSLDQvMS8yMDA5LDYvMzAvMjAwOSwsLFVTRCk=&amp;WINDOW=FIRST_POPUP&amp;HEIGH","T=450&amp;WIDTH=450&amp;START_MAXIMIZED=FALSE&amp;VAR:CALENDAR=US&amp;VAR:SYMBOL=WFR&amp;VAR:INDEX=0"}</definedName>
    <definedName name="_470__FDSAUDITLINK__" hidden="1">{"fdsup://directions/FAT Viewer?action=UPDATE&amp;creator=factset&amp;DYN_ARGS=TRUE&amp;DOC_NAME=FAT:FQL_AUDITING_CLIENT_TEMPLATE.FAT&amp;display_string=Audit&amp;VAR:KEY=XCDIDGFOJY&amp;VAR:QUERY=RkZfRUJJVERBX09QRVIoUVRSLDQvMS8yMDEwLDYvMzAvMjAxMCwsLFVTRCk=&amp;WINDOW=FIRST_POPUP&amp;HEIGH","T=450&amp;WIDTH=450&amp;START_MAXIMIZED=FALSE&amp;VAR:CALENDAR=US&amp;VAR:SYMBOL=LLL&amp;VAR:INDEX=0"}</definedName>
    <definedName name="_471__FDSAUDITLINK__" hidden="1">{"fdsup://directions/FAT Viewer?action=UPDATE&amp;creator=factset&amp;DYN_ARGS=TRUE&amp;DOC_NAME=FAT:FQL_AUDITING_CLIENT_TEMPLATE.FAT&amp;display_string=Audit&amp;VAR:KEY=PCZALGPETY&amp;VAR:QUERY=RkZfRUJJVERBX09QRVIoUVRSLDQvMS8yMDA5LDYvMzAvMjAwOSwsLFVTRCk=&amp;WINDOW=FIRST_POPUP&amp;HEIGH","T=450&amp;WIDTH=450&amp;START_MAXIMIZED=FALSE&amp;VAR:CALENDAR=US&amp;VAR:SYMBOL=LIFE&amp;VAR:INDEX=0"}</definedName>
    <definedName name="_472__FDSAUDITLINK__" hidden="1">{"fdsup://directions/FAT Viewer?action=UPDATE&amp;creator=factset&amp;DYN_ARGS=TRUE&amp;DOC_NAME=FAT:FQL_AUDITING_CLIENT_TEMPLATE.FAT&amp;display_string=Audit&amp;VAR:KEY=BAREDAZEFI&amp;VAR:QUERY=RkZfRUJJVERBX09QRVIoUVRSLDQvMS8yMDEwLDYvMzAvMjAxMCwsLFVTRCk=&amp;WINDOW=FIRST_POPUP&amp;HEIGH","T=450&amp;WIDTH=450&amp;START_MAXIMIZED=FALSE&amp;VAR:CALENDAR=US&amp;VAR:SYMBOL=LIFE&amp;VAR:INDEX=0"}</definedName>
    <definedName name="_473__FDSAUDITLINK__" hidden="1">{"fdsup://directions/FAT Viewer?action=UPDATE&amp;creator=factset&amp;DYN_ARGS=TRUE&amp;DOC_NAME=FAT:FQL_AUDITING_CLIENT_TEMPLATE.FAT&amp;display_string=Audit&amp;VAR:KEY=TSTYLOZORY&amp;VAR:QUERY=RkZfRUJJVERBX09QRVIoUVRSLDQvMS8yMDA5LDYvMzAvMjAwOSwsLFVTRCk=&amp;WINDOW=FIRST_POPUP&amp;HEIGH","T=450&amp;WIDTH=450&amp;START_MAXIMIZED=FALSE&amp;VAR:CALENDAR=US&amp;VAR:SYMBOL=LH&amp;VAR:INDEX=0"}</definedName>
    <definedName name="_474__FDSAUDITLINK__" hidden="1">{"fdsup://directions/FAT Viewer?action=UPDATE&amp;creator=factset&amp;DYN_ARGS=TRUE&amp;DOC_NAME=FAT:FQL_AUDITING_CLIENT_TEMPLATE.FAT&amp;display_string=Audit&amp;VAR:KEY=BABABSVAVY&amp;VAR:QUERY=RkZfRUJJVERBX09QRVIoUVRSLDQvMS8yMDEwLDYvMzAvMjAxMCwsLFVTRCk=&amp;WINDOW=FIRST_POPUP&amp;HEIGH","T=450&amp;WIDTH=450&amp;START_MAXIMIZED=FALSE&amp;VAR:CALENDAR=US&amp;VAR:SYMBOL=LH&amp;VAR:INDEX=0"}</definedName>
    <definedName name="_475__FDSAUDITLINK__" hidden="1">{"fdsup://directions/FAT Viewer?action=UPDATE&amp;creator=factset&amp;DYN_ARGS=TRUE&amp;DOC_NAME=FAT:FQL_AUDITING_CLIENT_TEMPLATE.FAT&amp;display_string=Audit&amp;VAR:KEY=BELSVYZIXA&amp;VAR:QUERY=RkZfRUJJVERBX09QRVIoUVRSLDQvMS8yMDA5LDYvMzAvMjAwOSwsLFVTRCk=&amp;WINDOW=FIRST_POPUP&amp;HEIGH","T=450&amp;WIDTH=450&amp;START_MAXIMIZED=FALSE&amp;VAR:CALENDAR=US&amp;VAR:SYMBOL=LEN&amp;VAR:INDEX=0"}</definedName>
    <definedName name="_476__FDSAUDITLINK__" hidden="1">{"fdsup://directions/FAT Viewer?action=UPDATE&amp;creator=factset&amp;DYN_ARGS=TRUE&amp;DOC_NAME=FAT:FQL_AUDITING_CLIENT_TEMPLATE.FAT&amp;display_string=Audit&amp;VAR:KEY=NOHAVGBMZA&amp;VAR:QUERY=RkZfRUJJVERBX09QRVIoUVRSLDQvMS8yMDEwLDYvMzAvMjAxMCwsLFVTRCk=&amp;WINDOW=FIRST_POPUP&amp;HEIGH","T=450&amp;WIDTH=450&amp;START_MAXIMIZED=FALSE&amp;VAR:CALENDAR=US&amp;VAR:SYMBOL=LEN&amp;VAR:INDEX=0"}</definedName>
    <definedName name="_477__FDSAUDITLINK__" hidden="1">{"fdsup://directions/FAT Viewer?action=UPDATE&amp;creator=factset&amp;DYN_ARGS=TRUE&amp;DOC_NAME=FAT:FQL_AUDITING_CLIENT_TEMPLATE.FAT&amp;display_string=Audit&amp;VAR:KEY=XSDAFQVEVW&amp;VAR:QUERY=RkZfRUJJVERBX09QRVIoUVRSLDQvMS8yMDA5LDYvMzAvMjAwOSwsLFVTRCk=&amp;WINDOW=FIRST_POPUP&amp;HEIGH","T=450&amp;WIDTH=450&amp;START_MAXIMIZED=FALSE&amp;VAR:CALENDAR=US&amp;VAR:SYMBOL=LEG&amp;VAR:INDEX=0"}</definedName>
    <definedName name="_478__FDSAUDITLINK__" hidden="1">{"fdsup://directions/FAT Viewer?action=UPDATE&amp;creator=factset&amp;DYN_ARGS=TRUE&amp;DOC_NAME=FAT:FQL_AUDITING_CLIENT_TEMPLATE.FAT&amp;display_string=Audit&amp;VAR:KEY=DOTQFEZAFC&amp;VAR:QUERY=RkZfRUJJVERBX09QRVIoUVRSLDQvMS8yMDEwLDYvMzAvMjAxMCwsLFVTRCk=&amp;WINDOW=FIRST_POPUP&amp;HEIGH","T=450&amp;WIDTH=450&amp;START_MAXIMIZED=FALSE&amp;VAR:CALENDAR=US&amp;VAR:SYMBOL=LEG&amp;VAR:INDEX=0"}</definedName>
    <definedName name="_479__FDSAUDITLINK__" hidden="1">{"fdsup://directions/FAT Viewer?action=UPDATE&amp;creator=factset&amp;DYN_ARGS=TRUE&amp;DOC_NAME=FAT:FQL_AUDITING_CLIENT_TEMPLATE.FAT&amp;display_string=Audit&amp;VAR:KEY=HEXULUPUXG&amp;VAR:QUERY=RkZfRUJJVERBX09QRVIoUVRSLDQvMS8yMDA5LDYvMzAvMjAwOSwsLFVTRCk=&amp;WINDOW=FIRST_POPUP&amp;HEIGH","T=450&amp;WIDTH=450&amp;START_MAXIMIZED=FALSE&amp;VAR:CALENDAR=US&amp;VAR:SYMBOL=L&amp;VAR:INDEX=0"}</definedName>
    <definedName name="_47J_0_K">#REF!</definedName>
    <definedName name="_48__123Graph_CSENS_COMPARISON">#REF!</definedName>
    <definedName name="_48__FDSAUDITLINK__" hidden="1">{"fdsup://directions/FAT Viewer?action=UPDATE&amp;creator=factset&amp;DYN_ARGS=TRUE&amp;DOC_NAME=FAT:FQL_AUDITING_CLIENT_TEMPLATE.FAT&amp;display_string=Audit&amp;VAR:KEY=TOHCPYDMNG&amp;VAR:QUERY=RkZfRUJJVERBX09QRVIoUVRSLDQvMS8yMDEwLDYvMzAvMjAxMCwsLFVTRCk=&amp;WINDOW=FIRST_POPUP&amp;HEIGH","T=450&amp;WIDTH=450&amp;START_MAXIMIZED=FALSE&amp;VAR:CALENDAR=US&amp;VAR:SYMBOL=WFR&amp;VAR:INDEX=0"}</definedName>
    <definedName name="_480__FDSAUDITLINK__" hidden="1">{"fdsup://directions/FAT Viewer?action=UPDATE&amp;creator=factset&amp;DYN_ARGS=TRUE&amp;DOC_NAME=FAT:FQL_AUDITING_CLIENT_TEMPLATE.FAT&amp;display_string=Audit&amp;VAR:KEY=PCXWLYJOXC&amp;VAR:QUERY=RkZfRUJJVERBX09QRVIoUVRSLDQvMS8yMDEwLDYvMzAvMjAxMCwsLFVTRCk=&amp;WINDOW=FIRST_POPUP&amp;HEIGH","T=450&amp;WIDTH=450&amp;START_MAXIMIZED=FALSE&amp;VAR:CALENDAR=US&amp;VAR:SYMBOL=L&amp;VAR:INDEX=0"}</definedName>
    <definedName name="_481__FDSAUDITLINK__" hidden="1">{"fdsup://directions/FAT Viewer?action=UPDATE&amp;creator=factset&amp;DYN_ARGS=TRUE&amp;DOC_NAME=FAT:FQL_AUDITING_CLIENT_TEMPLATE.FAT&amp;display_string=Audit&amp;VAR:KEY=ZUPUFWPULW&amp;VAR:QUERY=RkZfRUJJVERBX09QRVIoUVRSLDQvMS8yMDA5LDYvMzAvMjAwOSwsLFVTRCk=&amp;WINDOW=FIRST_POPUP&amp;HEIGH","T=450&amp;WIDTH=450&amp;START_MAXIMIZED=FALSE&amp;VAR:CALENDAR=US&amp;VAR:SYMBOL=KSS&amp;VAR:INDEX=0"}</definedName>
    <definedName name="_482__FDSAUDITLINK__" hidden="1">{"fdsup://directions/FAT Viewer?action=UPDATE&amp;creator=factset&amp;DYN_ARGS=TRUE&amp;DOC_NAME=FAT:FQL_AUDITING_CLIENT_TEMPLATE.FAT&amp;display_string=Audit&amp;VAR:KEY=PKJWJWVYXU&amp;VAR:QUERY=RkZfRUJJVERBX09QRVIoUVRSLDQvMS8yMDEwLDYvMzAvMjAxMCwsLFVTRCk=&amp;WINDOW=FIRST_POPUP&amp;HEIGH","T=450&amp;WIDTH=450&amp;START_MAXIMIZED=FALSE&amp;VAR:CALENDAR=US&amp;VAR:SYMBOL=KSS&amp;VAR:INDEX=0"}</definedName>
    <definedName name="_483__FDSAUDITLINK__" hidden="1">{"fdsup://directions/FAT Viewer?action=UPDATE&amp;creator=factset&amp;DYN_ARGS=TRUE&amp;DOC_NAME=FAT:FQL_AUDITING_CLIENT_TEMPLATE.FAT&amp;display_string=Audit&amp;VAR:KEY=FONKTUVGZW&amp;VAR:QUERY=RkZfRUJJVERBX09QRVIoUVRSLDQvMS8yMDA5LDYvMzAvMjAwOSwsLFVTRCk=&amp;WINDOW=FIRST_POPUP&amp;HEIGH","T=450&amp;WIDTH=450&amp;START_MAXIMIZED=FALSE&amp;VAR:CALENDAR=US&amp;VAR:SYMBOL=KR&amp;VAR:INDEX=0"}</definedName>
    <definedName name="_484__FDSAUDITLINK__" hidden="1">{"fdsup://directions/FAT Viewer?action=UPDATE&amp;creator=factset&amp;DYN_ARGS=TRUE&amp;DOC_NAME=FAT:FQL_AUDITING_CLIENT_TEMPLATE.FAT&amp;display_string=Audit&amp;VAR:KEY=POFODWVIFG&amp;VAR:QUERY=RkZfRUJJVERBX09QRVIoUVRSLDQvMS8yMDEwLDYvMzAvMjAxMCwsLFVTRCk=&amp;WINDOW=FIRST_POPUP&amp;HEIGH","T=450&amp;WIDTH=450&amp;START_MAXIMIZED=FALSE&amp;VAR:CALENDAR=US&amp;VAR:SYMBOL=KR&amp;VAR:INDEX=0"}</definedName>
    <definedName name="_485__FDSAUDITLINK__" hidden="1">{"fdsup://directions/FAT Viewer?action=UPDATE&amp;creator=factset&amp;DYN_ARGS=TRUE&amp;DOC_NAME=FAT:FQL_AUDITING_CLIENT_TEMPLATE.FAT&amp;display_string=Audit&amp;VAR:KEY=FIBGZOPCHU&amp;VAR:QUERY=RkZfRUJJVERBX09QRVIoUVRSLDQvMS8yMDA5LDYvMzAvMjAwOSwsLFVTRCk=&amp;WINDOW=FIRST_POPUP&amp;HEIGH","T=450&amp;WIDTH=450&amp;START_MAXIMIZED=FALSE&amp;VAR:CALENDAR=US&amp;VAR:SYMBOL=KO&amp;VAR:INDEX=0"}</definedName>
    <definedName name="_486__FDSAUDITLINK__" hidden="1">{"fdsup://directions/FAT Viewer?action=UPDATE&amp;creator=factset&amp;DYN_ARGS=TRUE&amp;DOC_NAME=FAT:FQL_AUDITING_CLIENT_TEMPLATE.FAT&amp;display_string=Audit&amp;VAR:KEY=JULSDOTKBU&amp;VAR:QUERY=RkZfRUJJVERBX09QRVIoUVRSLDQvMS8yMDEwLDYvMzAvMjAxMCwsLFVTRCk=&amp;WINDOW=FIRST_POPUP&amp;HEIGH","T=450&amp;WIDTH=450&amp;START_MAXIMIZED=FALSE&amp;VAR:CALENDAR=US&amp;VAR:SYMBOL=KO&amp;VAR:INDEX=0"}</definedName>
    <definedName name="_487__FDSAUDITLINK__" hidden="1">{"fdsup://directions/FAT Viewer?action=UPDATE&amp;creator=factset&amp;DYN_ARGS=TRUE&amp;DOC_NAME=FAT:FQL_AUDITING_CLIENT_TEMPLATE.FAT&amp;display_string=Audit&amp;VAR:KEY=LMBABUVERQ&amp;VAR:QUERY=RkZfRUJJVERBX09QRVIoUVRSLDQvMS8yMDA5LDYvMzAvMjAwOSwsLFVTRCk=&amp;WINDOW=FIRST_POPUP&amp;HEIGH","T=450&amp;WIDTH=450&amp;START_MAXIMIZED=FALSE&amp;VAR:CALENDAR=US&amp;VAR:SYMBOL=KMX&amp;VAR:INDEX=0"}</definedName>
    <definedName name="_488__FDSAUDITLINK__" hidden="1">{"fdsup://directions/FAT Viewer?action=UPDATE&amp;creator=factset&amp;DYN_ARGS=TRUE&amp;DOC_NAME=FAT:FQL_AUDITING_CLIENT_TEMPLATE.FAT&amp;display_string=Audit&amp;VAR:KEY=ZAVQRGHMJK&amp;VAR:QUERY=RkZfRUJJVERBX09QRVIoUVRSLDQvMS8yMDEwLDYvMzAvMjAxMCwsLFVTRCk=&amp;WINDOW=FIRST_POPUP&amp;HEIGH","T=450&amp;WIDTH=450&amp;START_MAXIMIZED=FALSE&amp;VAR:CALENDAR=US&amp;VAR:SYMBOL=KMX&amp;VAR:INDEX=0"}</definedName>
    <definedName name="_489__FDSAUDITLINK__" hidden="1">{"fdsup://directions/FAT Viewer?action=UPDATE&amp;creator=factset&amp;DYN_ARGS=TRUE&amp;DOC_NAME=FAT:FQL_AUDITING_CLIENT_TEMPLATE.FAT&amp;display_string=Audit&amp;VAR:KEY=LWLCHMXOFI&amp;VAR:QUERY=RkZfRUJJVERBX09QRVIoUVRSLDQvMS8yMDA5LDYvMzAvMjAwOSwsLFVTRCk=&amp;WINDOW=FIRST_POPUP&amp;HEIGH","T=450&amp;WIDTH=450&amp;START_MAXIMIZED=FALSE&amp;VAR:CALENDAR=US&amp;VAR:SYMBOL=KMB&amp;VAR:INDEX=0"}</definedName>
    <definedName name="_48M_0_S">#REF!</definedName>
    <definedName name="_49__123Graph_CSUPPLIES_BY_B_U">#REF!</definedName>
    <definedName name="_49__FDSAUDITLINK__" hidden="1">{"fdsup://directions/FAT Viewer?action=UPDATE&amp;creator=factset&amp;DYN_ARGS=TRUE&amp;DOC_NAME=FAT:FQL_AUDITING_CLIENT_TEMPLATE.FAT&amp;display_string=Audit&amp;VAR:KEY=NOLKBKHYNA&amp;VAR:QUERY=RkZfRUJJVERBX09QRVIoUVRSLDQvMS8yMDA5LDYvMzAvMjAwOSwsLFVTRCk=&amp;WINDOW=FIRST_POPUP&amp;HEIGH","T=450&amp;WIDTH=450&amp;START_MAXIMIZED=FALSE&amp;VAR:CALENDAR=US&amp;VAR:SYMBOL=WFMI&amp;VAR:INDEX=0"}</definedName>
    <definedName name="_490__FDSAUDITLINK__" hidden="1">{"fdsup://directions/FAT Viewer?action=UPDATE&amp;creator=factset&amp;DYN_ARGS=TRUE&amp;DOC_NAME=FAT:FQL_AUDITING_CLIENT_TEMPLATE.FAT&amp;display_string=Audit&amp;VAR:KEY=NURSBYNCPI&amp;VAR:QUERY=RkZfRUJJVERBX09QRVIoUVRSLDQvMS8yMDEwLDYvMzAvMjAxMCwsLFVTRCk=&amp;WINDOW=FIRST_POPUP&amp;HEIGH","T=450&amp;WIDTH=450&amp;START_MAXIMIZED=FALSE&amp;VAR:CALENDAR=US&amp;VAR:SYMBOL=KMB&amp;VAR:INDEX=0"}</definedName>
    <definedName name="_491__FDSAUDITLINK__" hidden="1">{"fdsup://directions/FAT Viewer?action=UPDATE&amp;creator=factset&amp;DYN_ARGS=TRUE&amp;DOC_NAME=FAT:FQL_AUDITING_CLIENT_TEMPLATE.FAT&amp;display_string=Audit&amp;VAR:KEY=VSJOHSTEZO&amp;VAR:QUERY=RkZfRUJJVERBX09QRVIoUVRSLDQvMS8yMDA5LDYvMzAvMjAwOSwsLFVTRCk=&amp;WINDOW=FIRST_POPUP&amp;HEIGH","T=450&amp;WIDTH=450&amp;START_MAXIMIZED=FALSE&amp;VAR:CALENDAR=US&amp;VAR:SYMBOL=KLAC&amp;VAR:INDEX=0"}</definedName>
    <definedName name="_492__FDSAUDITLINK__" hidden="1">{"fdsup://directions/FAT Viewer?action=UPDATE&amp;creator=factset&amp;DYN_ARGS=TRUE&amp;DOC_NAME=FAT:FQL_AUDITING_CLIENT_TEMPLATE.FAT&amp;display_string=Audit&amp;VAR:KEY=NUXWFWBCPE&amp;VAR:QUERY=RkZfRUJJVERBX09QRVIoUVRSLDQvMS8yMDEwLDYvMzAvMjAxMCwsLFVTRCk=&amp;WINDOW=FIRST_POPUP&amp;HEIGH","T=450&amp;WIDTH=450&amp;START_MAXIMIZED=FALSE&amp;VAR:CALENDAR=US&amp;VAR:SYMBOL=KLAC&amp;VAR:INDEX=0"}</definedName>
    <definedName name="_493__FDSAUDITLINK__" hidden="1">{"fdsup://directions/FAT Viewer?action=UPDATE&amp;creator=factset&amp;DYN_ARGS=TRUE&amp;DOC_NAME=FAT:FQL_AUDITING_CLIENT_TEMPLATE.FAT&amp;display_string=Audit&amp;VAR:KEY=NKPMNIDEPM&amp;VAR:QUERY=RkZfRUJJVERBX09QRVIoUVRSLDQvMS8yMDA5LDYvMzAvMjAwOSwsLFVTRCk=&amp;WINDOW=FIRST_POPUP&amp;HEIGH","T=450&amp;WIDTH=450&amp;START_MAXIMIZED=FALSE&amp;VAR:CALENDAR=US&amp;VAR:SYMBOL=KIM&amp;VAR:INDEX=0"}</definedName>
    <definedName name="_494__FDSAUDITLINK__" hidden="1">{"fdsup://directions/FAT Viewer?action=UPDATE&amp;creator=factset&amp;DYN_ARGS=TRUE&amp;DOC_NAME=FAT:FQL_AUDITING_CLIENT_TEMPLATE.FAT&amp;display_string=Audit&amp;VAR:KEY=FUROVKHORI&amp;VAR:QUERY=RkZfRUJJVERBX09QRVIoUVRSLDQvMS8yMDEwLDYvMzAvMjAxMCwsLFVTRCk=&amp;WINDOW=FIRST_POPUP&amp;HEIGH","T=450&amp;WIDTH=450&amp;START_MAXIMIZED=FALSE&amp;VAR:CALENDAR=US&amp;VAR:SYMBOL=KIM&amp;VAR:INDEX=0"}</definedName>
    <definedName name="_495__FDSAUDITLINK__" hidden="1">{"fdsup://directions/FAT Viewer?action=UPDATE&amp;creator=factset&amp;DYN_ARGS=TRUE&amp;DOC_NAME=FAT:FQL_AUDITING_CLIENT_TEMPLATE.FAT&amp;display_string=Audit&amp;VAR:KEY=PIRYLCZSZQ&amp;VAR:QUERY=RkZfRUJJVERBX09QRVIoUVRSLDQvMS8yMDA5LDYvMzAvMjAwOSwsLFVTRCk=&amp;WINDOW=FIRST_POPUP&amp;HEIGH","T=450&amp;WIDTH=450&amp;START_MAXIMIZED=FALSE&amp;VAR:CALENDAR=US&amp;VAR:SYMBOL=KG&amp;VAR:INDEX=0"}</definedName>
    <definedName name="_496__FDSAUDITLINK__" hidden="1">{"fdsup://directions/FAT Viewer?action=UPDATE&amp;creator=factset&amp;DYN_ARGS=TRUE&amp;DOC_NAME=FAT:FQL_AUDITING_CLIENT_TEMPLATE.FAT&amp;display_string=Audit&amp;VAR:KEY=XCLCVYZGXI&amp;VAR:QUERY=RkZfRUJJVERBX09QRVIoUVRSLDQvMS8yMDEwLDYvMzAvMjAxMCwsLFVTRCk=&amp;WINDOW=FIRST_POPUP&amp;HEIGH","T=450&amp;WIDTH=450&amp;START_MAXIMIZED=FALSE&amp;VAR:CALENDAR=US&amp;VAR:SYMBOL=KG&amp;VAR:INDEX=0"}</definedName>
    <definedName name="_497__FDSAUDITLINK__" hidden="1">{"fdsup://directions/FAT Viewer?action=UPDATE&amp;creator=factset&amp;DYN_ARGS=TRUE&amp;DOC_NAME=FAT:FQL_AUDITING_CLIENT_TEMPLATE.FAT&amp;display_string=Audit&amp;VAR:KEY=PUDAPUTOZG&amp;VAR:QUERY=RkZfRUJJVERBX09QRVIoUVRSLDQvMS8yMDA5LDYvMzAvMjAwOSwsLFVTRCk=&amp;WINDOW=FIRST_POPUP&amp;HEIGH","T=450&amp;WIDTH=450&amp;START_MAXIMIZED=FALSE&amp;VAR:CALENDAR=US&amp;VAR:SYMBOL=KFT&amp;VAR:INDEX=0"}</definedName>
    <definedName name="_498__FDSAUDITLINK__" hidden="1">{"fdsup://directions/FAT Viewer?action=UPDATE&amp;creator=factset&amp;DYN_ARGS=TRUE&amp;DOC_NAME=FAT:FQL_AUDITING_CLIENT_TEMPLATE.FAT&amp;display_string=Audit&amp;VAR:KEY=DWXUBOLMRY&amp;VAR:QUERY=RkZfRUJJVERBX09QRVIoUVRSLDQvMS8yMDEwLDYvMzAvMjAxMCwsLFVTRCk=&amp;WINDOW=FIRST_POPUP&amp;HEIGH","T=450&amp;WIDTH=450&amp;START_MAXIMIZED=FALSE&amp;VAR:CALENDAR=US&amp;VAR:SYMBOL=KFT&amp;VAR:INDEX=0"}</definedName>
    <definedName name="_499__FDSAUDITLINK__" hidden="1">{"fdsup://directions/FAT Viewer?action=UPDATE&amp;creator=factset&amp;DYN_ARGS=TRUE&amp;DOC_NAME=FAT:FQL_AUDITING_CLIENT_TEMPLATE.FAT&amp;display_string=Audit&amp;VAR:KEY=NINOXUDMHG&amp;VAR:QUERY=RkZfRUJJVERBX09QRVIoUVRSLDQvMS8yMDA5LDYvMzAvMjAwOSwsLFVTRCk=&amp;WINDOW=FIRST_POPUP&amp;HEIGH","T=450&amp;WIDTH=450&amp;START_MAXIMIZED=FALSE&amp;VAR:CALENDAR=US&amp;VAR:SYMBOL=KEY&amp;VAR:INDEX=0"}</definedName>
    <definedName name="_5__123Graph_ACHART_3">#REF!</definedName>
    <definedName name="_5__FDSAUDITLINK__" hidden="1">{"fdsup://directions/FAT Viewer?action=UPDATE&amp;creator=factset&amp;DYN_ARGS=TRUE&amp;DOC_NAME=FAT:FQL_AUDITING_CLIENT_TEMPLATE.FAT&amp;display_string=Audit&amp;VAR:KEY=QPGZMDIDQT&amp;VAR:QUERY=RkZfRU5UUlBSX1ZBTF9EQUlMWSg0LzExLzIwMTEp&amp;WINDOW=FIRST_POPUP&amp;HEIGHT=450&amp;WIDTH=450&amp;STAR","T_MAXIMIZED=FALSE&amp;VAR:CALENDAR=FIVEDAY&amp;VAR:SYMBOL=CTCT&amp;VAR:INDEX=0"}</definedName>
    <definedName name="_50__123Graph_CWAGES_BY_B_U">#REF!</definedName>
    <definedName name="_50__FDSAUDITLINK__" hidden="1">{"fdsup://directions/FAT Viewer?action=UPDATE&amp;creator=factset&amp;DYN_ARGS=TRUE&amp;DOC_NAME=FAT:FQL_AUDITING_CLIENT_TEMPLATE.FAT&amp;display_string=Audit&amp;VAR:KEY=LGDEHCPKNK&amp;VAR:QUERY=RkZfRUJJVERBX09QRVIoUVRSLDQvMS8yMDEwLDYvMzAvMjAxMCwsLFVTRCk=&amp;WINDOW=FIRST_POPUP&amp;HEIGH","T=450&amp;WIDTH=450&amp;START_MAXIMIZED=FALSE&amp;VAR:CALENDAR=US&amp;VAR:SYMBOL=WFMI&amp;VAR:INDEX=0"}</definedName>
    <definedName name="_500__FDSAUDITLINK__" hidden="1">{"fdsup://directions/FAT Viewer?action=UPDATE&amp;creator=factset&amp;DYN_ARGS=TRUE&amp;DOC_NAME=FAT:FQL_AUDITING_CLIENT_TEMPLATE.FAT&amp;display_string=Audit&amp;VAR:KEY=FADWLKBWPA&amp;VAR:QUERY=RkZfRUJJVERBX09QRVIoUVRSLDQvMS8yMDEwLDYvMzAvMjAxMCwsLFVTRCk=&amp;WINDOW=FIRST_POPUP&amp;HEIGH","T=450&amp;WIDTH=450&amp;START_MAXIMIZED=FALSE&amp;VAR:CALENDAR=US&amp;VAR:SYMBOL=KEY&amp;VAR:INDEX=0"}</definedName>
    <definedName name="_501__FDSAUDITLINK__" hidden="1">{"fdsup://directions/FAT Viewer?action=UPDATE&amp;creator=factset&amp;DYN_ARGS=TRUE&amp;DOC_NAME=FAT:FQL_AUDITING_CLIENT_TEMPLATE.FAT&amp;display_string=Audit&amp;VAR:KEY=TIRCFOBCXE&amp;VAR:QUERY=RkZfRUJJVERBX09QRVIoUVRSLDQvMS8yMDA5LDYvMzAvMjAwOSwsLFVTRCk=&amp;WINDOW=FIRST_POPUP&amp;HEIGH","T=450&amp;WIDTH=450&amp;START_MAXIMIZED=FALSE&amp;VAR:CALENDAR=US&amp;VAR:SYMBOL=K&amp;VAR:INDEX=0"}</definedName>
    <definedName name="_502__FDSAUDITLINK__" hidden="1">{"fdsup://directions/FAT Viewer?action=UPDATE&amp;creator=factset&amp;DYN_ARGS=TRUE&amp;DOC_NAME=FAT:FQL_AUDITING_CLIENT_TEMPLATE.FAT&amp;display_string=Audit&amp;VAR:KEY=LSTMVSZMBY&amp;VAR:QUERY=RkZfRUJJVERBX09QRVIoUVRSLDQvMS8yMDEwLDYvMzAvMjAxMCwsLFVTRCk=&amp;WINDOW=FIRST_POPUP&amp;HEIGH","T=450&amp;WIDTH=450&amp;START_MAXIMIZED=FALSE&amp;VAR:CALENDAR=US&amp;VAR:SYMBOL=K&amp;VAR:INDEX=0"}</definedName>
    <definedName name="_503__FDSAUDITLINK__" hidden="1">{"fdsup://directions/FAT Viewer?action=UPDATE&amp;creator=factset&amp;DYN_ARGS=TRUE&amp;DOC_NAME=FAT:FQL_AUDITING_CLIENT_TEMPLATE.FAT&amp;display_string=Audit&amp;VAR:KEY=DKLQPGBAHU&amp;VAR:QUERY=RkZfRUJJVERBX09QRVIoUVRSLDQvMS8yMDA5LDYvMzAvMjAwOSwsLFVTRCk=&amp;WINDOW=FIRST_POPUP&amp;HEIGH","T=450&amp;WIDTH=450&amp;START_MAXIMIZED=FALSE&amp;VAR:CALENDAR=US&amp;VAR:SYMBOL=JWN&amp;VAR:INDEX=0"}</definedName>
    <definedName name="_504__FDSAUDITLINK__" hidden="1">{"fdsup://directions/FAT Viewer?action=UPDATE&amp;creator=factset&amp;DYN_ARGS=TRUE&amp;DOC_NAME=FAT:FQL_AUDITING_CLIENT_TEMPLATE.FAT&amp;display_string=Audit&amp;VAR:KEY=XQVSPMBOFM&amp;VAR:QUERY=RkZfRUJJVERBX09QRVIoUVRSLDQvMS8yMDEwLDYvMzAvMjAxMCwsLFVTRCk=&amp;WINDOW=FIRST_POPUP&amp;HEIGH","T=450&amp;WIDTH=450&amp;START_MAXIMIZED=FALSE&amp;VAR:CALENDAR=US&amp;VAR:SYMBOL=JWN&amp;VAR:INDEX=0"}</definedName>
    <definedName name="_5040_West_Park_Boulevard">#REF!</definedName>
    <definedName name="_505__FDSAUDITLINK__" hidden="1">{"fdsup://directions/FAT Viewer?action=UPDATE&amp;creator=factset&amp;DYN_ARGS=TRUE&amp;DOC_NAME=FAT:FQL_AUDITING_CLIENT_TEMPLATE.FAT&amp;display_string=Audit&amp;VAR:KEY=XILIPAVIJG&amp;VAR:QUERY=RkZfRUJJVERBX09QRVIoUVRSLDQvMS8yMDA5LDYvMzAvMjAwOSwsLFVTRCk=&amp;WINDOW=FIRST_POPUP&amp;HEIGH","T=450&amp;WIDTH=450&amp;START_MAXIMIZED=FALSE&amp;VAR:CALENDAR=US&amp;VAR:SYMBOL=JPM&amp;VAR:INDEX=0"}</definedName>
    <definedName name="_506__FDSAUDITLINK__" hidden="1">{"fdsup://directions/FAT Viewer?action=UPDATE&amp;creator=factset&amp;DYN_ARGS=TRUE&amp;DOC_NAME=FAT:FQL_AUDITING_CLIENT_TEMPLATE.FAT&amp;display_string=Audit&amp;VAR:KEY=TIDINWTKZU&amp;VAR:QUERY=RkZfRUJJVERBX09QRVIoUVRSLDQvMS8yMDEwLDYvMzAvMjAxMCwsLFVTRCk=&amp;WINDOW=FIRST_POPUP&amp;HEIGH","T=450&amp;WIDTH=450&amp;START_MAXIMIZED=FALSE&amp;VAR:CALENDAR=US&amp;VAR:SYMBOL=JPM&amp;VAR:INDEX=0"}</definedName>
    <definedName name="_507__FDSAUDITLINK__" hidden="1">{"fdsup://directions/FAT Viewer?action=UPDATE&amp;creator=factset&amp;DYN_ARGS=TRUE&amp;DOC_NAME=FAT:FQL_AUDITING_CLIENT_TEMPLATE.FAT&amp;display_string=Audit&amp;VAR:KEY=FAHKBCNCPQ&amp;VAR:QUERY=RkZfRUJJVERBX09QRVIoUVRSLDQvMS8yMDA5LDYvMzAvMjAwOSwsLFVTRCk=&amp;WINDOW=FIRST_POPUP&amp;HEIGH","T=450&amp;WIDTH=450&amp;START_MAXIMIZED=FALSE&amp;VAR:CALENDAR=US&amp;VAR:SYMBOL=JNS&amp;VAR:INDEX=0"}</definedName>
    <definedName name="_508__FDSAUDITLINK__" hidden="1">{"fdsup://directions/FAT Viewer?action=UPDATE&amp;creator=factset&amp;DYN_ARGS=TRUE&amp;DOC_NAME=FAT:FQL_AUDITING_CLIENT_TEMPLATE.FAT&amp;display_string=Audit&amp;VAR:KEY=FOHSNILKVO&amp;VAR:QUERY=RkZfRUJJVERBX09QRVIoUVRSLDQvMS8yMDEwLDYvMzAvMjAxMCwsLFVTRCk=&amp;WINDOW=FIRST_POPUP&amp;HEIGH","T=450&amp;WIDTH=450&amp;START_MAXIMIZED=FALSE&amp;VAR:CALENDAR=US&amp;VAR:SYMBOL=JNS&amp;VAR:INDEX=0"}</definedName>
    <definedName name="_509__FDSAUDITLINK__" hidden="1">{"fdsup://directions/FAT Viewer?action=UPDATE&amp;creator=factset&amp;DYN_ARGS=TRUE&amp;DOC_NAME=FAT:FQL_AUDITING_CLIENT_TEMPLATE.FAT&amp;display_string=Audit&amp;VAR:KEY=HQNKJMRWFU&amp;VAR:QUERY=RkZfRUJJVERBX09QRVIoUVRSLDQvMS8yMDA5LDYvMzAvMjAwOSwsLFVTRCk=&amp;WINDOW=FIRST_POPUP&amp;HEIGH","T=450&amp;WIDTH=450&amp;START_MAXIMIZED=FALSE&amp;VAR:CALENDAR=US&amp;VAR:SYMBOL=JNPR&amp;VAR:INDEX=0"}</definedName>
    <definedName name="_51__123Graph_DCONTRACT_BY_B_U">#REF!</definedName>
    <definedName name="_51__FDSAUDITLINK__" hidden="1">{"fdsup://directions/FAT Viewer?action=UPDATE&amp;creator=factset&amp;DYN_ARGS=TRUE&amp;DOC_NAME=FAT:FQL_AUDITING_CLIENT_TEMPLATE.FAT&amp;display_string=Audit&amp;VAR:KEY=JYZAXGLINI&amp;VAR:QUERY=RkZfRUJJVERBX09QRVIoUVRSLDQvMS8yMDA5LDYvMzAvMjAwOSwsLFVTRCk=&amp;WINDOW=FIRST_POPUP&amp;HEIGH","T=450&amp;WIDTH=450&amp;START_MAXIMIZED=FALSE&amp;VAR:CALENDAR=US&amp;VAR:SYMBOL=WFC&amp;VAR:INDEX=0"}</definedName>
    <definedName name="_510__FDSAUDITLINK__" hidden="1">{"fdsup://directions/FAT Viewer?action=UPDATE&amp;creator=factset&amp;DYN_ARGS=TRUE&amp;DOC_NAME=FAT:FQL_AUDITING_CLIENT_TEMPLATE.FAT&amp;display_string=Audit&amp;VAR:KEY=VSTCJAFKJU&amp;VAR:QUERY=RkZfRUJJVERBX09QRVIoUVRSLDQvMS8yMDEwLDYvMzAvMjAxMCwsLFVTRCk=&amp;WINDOW=FIRST_POPUP&amp;HEIGH","T=450&amp;WIDTH=450&amp;START_MAXIMIZED=FALSE&amp;VAR:CALENDAR=US&amp;VAR:SYMBOL=JNPR&amp;VAR:INDEX=0"}</definedName>
    <definedName name="_511__FDSAUDITLINK__" hidden="1">{"fdsup://directions/FAT Viewer?action=UPDATE&amp;creator=factset&amp;DYN_ARGS=TRUE&amp;DOC_NAME=FAT:FQL_AUDITING_CLIENT_TEMPLATE.FAT&amp;display_string=Audit&amp;VAR:KEY=VWFKNCTUDO&amp;VAR:QUERY=RkZfRUJJVERBX09QRVIoUVRSLDQvMS8yMDA5LDYvMzAvMjAwOSwsLFVTRCk=&amp;WINDOW=FIRST_POPUP&amp;HEIGH","T=450&amp;WIDTH=450&amp;START_MAXIMIZED=FALSE&amp;VAR:CALENDAR=US&amp;VAR:SYMBOL=JNJ&amp;VAR:INDEX=0"}</definedName>
    <definedName name="_512__FDSAUDITLINK__" hidden="1">{"fdsup://directions/FAT Viewer?action=UPDATE&amp;creator=factset&amp;DYN_ARGS=TRUE&amp;DOC_NAME=FAT:FQL_AUDITING_CLIENT_TEMPLATE.FAT&amp;display_string=Audit&amp;VAR:KEY=XQLOLUXYHG&amp;VAR:QUERY=RkZfRUJJVERBX09QRVIoUVRSLDQvMS8yMDEwLDYvMzAvMjAxMCwsLFVTRCk=&amp;WINDOW=FIRST_POPUP&amp;HEIGH","T=450&amp;WIDTH=450&amp;START_MAXIMIZED=FALSE&amp;VAR:CALENDAR=US&amp;VAR:SYMBOL=JNJ&amp;VAR:INDEX=0"}</definedName>
    <definedName name="_513__FDSAUDITLINK__" hidden="1">{"fdsup://directions/FAT Viewer?action=UPDATE&amp;creator=factset&amp;DYN_ARGS=TRUE&amp;DOC_NAME=FAT:FQL_AUDITING_CLIENT_TEMPLATE.FAT&amp;display_string=Audit&amp;VAR:KEY=VKFOXOHMTA&amp;VAR:QUERY=RkZfRUJJVERBX09QRVIoUVRSLDQvMS8yMDA5LDYvMzAvMjAwOSwsLFVTRCk=&amp;WINDOW=FIRST_POPUP&amp;HEIGH","T=450&amp;WIDTH=450&amp;START_MAXIMIZED=FALSE&amp;VAR:CALENDAR=US&amp;VAR:SYMBOL=JEC&amp;VAR:INDEX=0"}</definedName>
    <definedName name="_514__FDSAUDITLINK__" hidden="1">{"fdsup://directions/FAT Viewer?action=UPDATE&amp;creator=factset&amp;DYN_ARGS=TRUE&amp;DOC_NAME=FAT:FQL_AUDITING_CLIENT_TEMPLATE.FAT&amp;display_string=Audit&amp;VAR:KEY=FSLWJAZCDA&amp;VAR:QUERY=RkZfRUJJVERBX09QRVIoUVRSLDQvMS8yMDEwLDYvMzAvMjAxMCwsLFVTRCk=&amp;WINDOW=FIRST_POPUP&amp;HEIGH","T=450&amp;WIDTH=450&amp;START_MAXIMIZED=FALSE&amp;VAR:CALENDAR=US&amp;VAR:SYMBOL=JEC&amp;VAR:INDEX=0"}</definedName>
    <definedName name="_515__FDSAUDITLINK__" hidden="1">{"fdsup://directions/FAT Viewer?action=UPDATE&amp;creator=factset&amp;DYN_ARGS=TRUE&amp;DOC_NAME=FAT:FQL_AUDITING_CLIENT_TEMPLATE.FAT&amp;display_string=Audit&amp;VAR:KEY=DCNKROLSFO&amp;VAR:QUERY=RkZfRUJJVERBX09QRVIoUVRSLDQvMS8yMDA5LDYvMzAvMjAwOSwsLFVTRCk=&amp;WINDOW=FIRST_POPUP&amp;HEIGH","T=450&amp;WIDTH=450&amp;START_MAXIMIZED=FALSE&amp;VAR:CALENDAR=US&amp;VAR:SYMBOL=JDSU&amp;VAR:INDEX=0"}</definedName>
    <definedName name="_516__FDSAUDITLINK__" hidden="1">{"fdsup://directions/FAT Viewer?action=UPDATE&amp;creator=factset&amp;DYN_ARGS=TRUE&amp;DOC_NAME=FAT:FQL_AUDITING_CLIENT_TEMPLATE.FAT&amp;display_string=Audit&amp;VAR:KEY=DKBQPSZCRE&amp;VAR:QUERY=RkZfRUJJVERBX09QRVIoUVRSLDQvMS8yMDEwLDYvMzAvMjAxMCwsLFVTRCk=&amp;WINDOW=FIRST_POPUP&amp;HEIGH","T=450&amp;WIDTH=450&amp;START_MAXIMIZED=FALSE&amp;VAR:CALENDAR=US&amp;VAR:SYMBOL=JDSU&amp;VAR:INDEX=0"}</definedName>
    <definedName name="_517__FDSAUDITLINK__" hidden="1">{"fdsup://directions/FAT Viewer?action=UPDATE&amp;creator=factset&amp;DYN_ARGS=TRUE&amp;DOC_NAME=FAT:FQL_AUDITING_CLIENT_TEMPLATE.FAT&amp;display_string=Audit&amp;VAR:KEY=NMNCHMBAPE&amp;VAR:QUERY=RkZfRUJJVERBX09QRVIoUVRSLDQvMS8yMDA5LDYvMzAvMjAwOSwsLFVTRCk=&amp;WINDOW=FIRST_POPUP&amp;HEIGH","T=450&amp;WIDTH=450&amp;START_MAXIMIZED=FALSE&amp;VAR:CALENDAR=US&amp;VAR:SYMBOL=JCP&amp;VAR:INDEX=0"}</definedName>
    <definedName name="_518__FDSAUDITLINK__" hidden="1">{"fdsup://directions/FAT Viewer?action=UPDATE&amp;creator=factset&amp;DYN_ARGS=TRUE&amp;DOC_NAME=FAT:FQL_AUDITING_CLIENT_TEMPLATE.FAT&amp;display_string=Audit&amp;VAR:KEY=XWNWXSJMTA&amp;VAR:QUERY=RkZfRUJJVERBX09QRVIoUVRSLDQvMS8yMDEwLDYvMzAvMjAxMCwsLFVTRCk=&amp;WINDOW=FIRST_POPUP&amp;HEIGH","T=450&amp;WIDTH=450&amp;START_MAXIMIZED=FALSE&amp;VAR:CALENDAR=US&amp;VAR:SYMBOL=JCP&amp;VAR:INDEX=0"}</definedName>
    <definedName name="_519__FDSAUDITLINK__" hidden="1">{"fdsup://directions/FAT Viewer?action=UPDATE&amp;creator=factset&amp;DYN_ARGS=TRUE&amp;DOC_NAME=FAT:FQL_AUDITING_CLIENT_TEMPLATE.FAT&amp;display_string=Audit&amp;VAR:KEY=HEFCBWRCHA&amp;VAR:QUERY=RkZfRUJJVERBX09QRVIoUVRSLDQvMS8yMDA5LDYvMzAvMjAwOSwsLFVTRCk=&amp;WINDOW=FIRST_POPUP&amp;HEIGH","T=450&amp;WIDTH=450&amp;START_MAXIMIZED=FALSE&amp;VAR:CALENDAR=US&amp;VAR:SYMBOL=JCI&amp;VAR:INDEX=0"}</definedName>
    <definedName name="_52__123Graph_DQRE_S_BY_CO.">#REF!</definedName>
    <definedName name="_52__FDSAUDITLINK__" hidden="1">{"fdsup://directions/FAT Viewer?action=UPDATE&amp;creator=factset&amp;DYN_ARGS=TRUE&amp;DOC_NAME=FAT:FQL_AUDITING_CLIENT_TEMPLATE.FAT&amp;display_string=Audit&amp;VAR:KEY=FMHKHOLCDQ&amp;VAR:QUERY=RkZfRUJJVERBX09QRVIoUVRSLDQvMS8yMDEwLDYvMzAvMjAxMCwsLFVTRCk=&amp;WINDOW=FIRST_POPUP&amp;HEIGH","T=450&amp;WIDTH=450&amp;START_MAXIMIZED=FALSE&amp;VAR:CALENDAR=US&amp;VAR:SYMBOL=WFC&amp;VAR:INDEX=0"}</definedName>
    <definedName name="_520__FDSAUDITLINK__" hidden="1">{"fdsup://directions/FAT Viewer?action=UPDATE&amp;creator=factset&amp;DYN_ARGS=TRUE&amp;DOC_NAME=FAT:FQL_AUDITING_CLIENT_TEMPLATE.FAT&amp;display_string=Audit&amp;VAR:KEY=JMNEDCDCHM&amp;VAR:QUERY=RkZfRUJJVERBX09QRVIoUVRSLDQvMS8yMDEwLDYvMzAvMjAxMCwsLFVTRCk=&amp;WINDOW=FIRST_POPUP&amp;HEIGH","T=450&amp;WIDTH=450&amp;START_MAXIMIZED=FALSE&amp;VAR:CALENDAR=US&amp;VAR:SYMBOL=JCI&amp;VAR:INDEX=0"}</definedName>
    <definedName name="_521__FDSAUDITLINK__" hidden="1">{"fdsup://directions/FAT Viewer?action=UPDATE&amp;creator=factset&amp;DYN_ARGS=TRUE&amp;DOC_NAME=FAT:FQL_AUDITING_CLIENT_TEMPLATE.FAT&amp;display_string=Audit&amp;VAR:KEY=PKVSLYTGXK&amp;VAR:QUERY=RkZfRUJJVERBX09QRVIoUVRSLDQvMS8yMDA5LDYvMzAvMjAwOSwsLFVTRCk=&amp;WINDOW=FIRST_POPUP&amp;HEIGH","T=450&amp;WIDTH=450&amp;START_MAXIMIZED=FALSE&amp;VAR:CALENDAR=US&amp;VAR:SYMBOL=JBL&amp;VAR:INDEX=0"}</definedName>
    <definedName name="_522__FDSAUDITLINK__" hidden="1">{"fdsup://directions/FAT Viewer?action=UPDATE&amp;creator=factset&amp;DYN_ARGS=TRUE&amp;DOC_NAME=FAT:FQL_AUDITING_CLIENT_TEMPLATE.FAT&amp;display_string=Audit&amp;VAR:KEY=XMRQXGZYLO&amp;VAR:QUERY=RkZfRUJJVERBX09QRVIoUVRSLDQvMS8yMDEwLDYvMzAvMjAxMCwsLFVTRCk=&amp;WINDOW=FIRST_POPUP&amp;HEIGH","T=450&amp;WIDTH=450&amp;START_MAXIMIZED=FALSE&amp;VAR:CALENDAR=US&amp;VAR:SYMBOL=JBL&amp;VAR:INDEX=0"}</definedName>
    <definedName name="_523__FDSAUDITLINK__" hidden="1">{"fdsup://directions/FAT Viewer?action=UPDATE&amp;creator=factset&amp;DYN_ARGS=TRUE&amp;DOC_NAME=FAT:FQL_AUDITING_CLIENT_TEMPLATE.FAT&amp;display_string=Audit&amp;VAR:KEY=NUDGFSNGTE&amp;VAR:QUERY=RkZfRUJJVERBX09QRVIoUVRSLDQvMS8yMDA5LDYvMzAvMjAwOSwsLFVTRCk=&amp;WINDOW=FIRST_POPUP&amp;HEIGH","T=450&amp;WIDTH=450&amp;START_MAXIMIZED=FALSE&amp;VAR:CALENDAR=US&amp;VAR:SYMBOL=IVZ&amp;VAR:INDEX=0"}</definedName>
    <definedName name="_524__FDSAUDITLINK__" hidden="1">{"fdsup://directions/FAT Viewer?action=UPDATE&amp;creator=factset&amp;DYN_ARGS=TRUE&amp;DOC_NAME=FAT:FQL_AUDITING_CLIENT_TEMPLATE.FAT&amp;display_string=Audit&amp;VAR:KEY=VAHUXSNOPQ&amp;VAR:QUERY=RkZfRUJJVERBX09QRVIoUVRSLDQvMS8yMDEwLDYvMzAvMjAxMCwsLFVTRCk=&amp;WINDOW=FIRST_POPUP&amp;HEIGH","T=450&amp;WIDTH=450&amp;START_MAXIMIZED=FALSE&amp;VAR:CALENDAR=US&amp;VAR:SYMBOL=IVZ&amp;VAR:INDEX=0"}</definedName>
    <definedName name="_525__FDSAUDITLINK__" hidden="1">{"fdsup://directions/FAT Viewer?action=UPDATE&amp;creator=factset&amp;DYN_ARGS=TRUE&amp;DOC_NAME=FAT:FQL_AUDITING_CLIENT_TEMPLATE.FAT&amp;display_string=Audit&amp;VAR:KEY=TCBMDEVALO&amp;VAR:QUERY=RkZfRUJJVERBX09QRVIoUVRSLDQvMS8yMDA5LDYvMzAvMjAwOSwsLFVTRCk=&amp;WINDOW=FIRST_POPUP&amp;HEIGH","T=450&amp;WIDTH=450&amp;START_MAXIMIZED=FALSE&amp;VAR:CALENDAR=US&amp;VAR:SYMBOL=ITW&amp;VAR:INDEX=0"}</definedName>
    <definedName name="_526__FDSAUDITLINK__" hidden="1">{"fdsup://directions/FAT Viewer?action=UPDATE&amp;creator=factset&amp;DYN_ARGS=TRUE&amp;DOC_NAME=FAT:FQL_AUDITING_CLIENT_TEMPLATE.FAT&amp;display_string=Audit&amp;VAR:KEY=ZYPINEXUJE&amp;VAR:QUERY=RkZfRUJJVERBX09QRVIoUVRSLDQvMS8yMDEwLDYvMzAvMjAxMCwsLFVTRCk=&amp;WINDOW=FIRST_POPUP&amp;HEIGH","T=450&amp;WIDTH=450&amp;START_MAXIMIZED=FALSE&amp;VAR:CALENDAR=US&amp;VAR:SYMBOL=ITW&amp;VAR:INDEX=0"}</definedName>
    <definedName name="_527__FDSAUDITLINK__" hidden="1">{"fdsup://directions/FAT Viewer?action=UPDATE&amp;creator=factset&amp;DYN_ARGS=TRUE&amp;DOC_NAME=FAT:FQL_AUDITING_CLIENT_TEMPLATE.FAT&amp;display_string=Audit&amp;VAR:KEY=XUPQRSZOPY&amp;VAR:QUERY=RkZfRUJJVERBX09QRVIoUVRSLDQvMS8yMDA5LDYvMzAvMjAwOSwsLFVTRCk=&amp;WINDOW=FIRST_POPUP&amp;HEIGH","T=450&amp;WIDTH=450&amp;START_MAXIMIZED=FALSE&amp;VAR:CALENDAR=US&amp;VAR:SYMBOL=ITT&amp;VAR:INDEX=0"}</definedName>
    <definedName name="_528__FDSAUDITLINK__" hidden="1">{"fdsup://directions/FAT Viewer?action=UPDATE&amp;creator=factset&amp;DYN_ARGS=TRUE&amp;DOC_NAME=FAT:FQL_AUDITING_CLIENT_TEMPLATE.FAT&amp;display_string=Audit&amp;VAR:KEY=BINOFSROFO&amp;VAR:QUERY=RkZfRUJJVERBX09QRVIoUVRSLDQvMS8yMDEwLDYvMzAvMjAxMCwsLFVTRCk=&amp;WINDOW=FIRST_POPUP&amp;HEIGH","T=450&amp;WIDTH=450&amp;START_MAXIMIZED=FALSE&amp;VAR:CALENDAR=US&amp;VAR:SYMBOL=ITT&amp;VAR:INDEX=0"}</definedName>
    <definedName name="_529__FDSAUDITLINK__" hidden="1">{"fdsup://directions/FAT Viewer?action=UPDATE&amp;creator=factset&amp;DYN_ARGS=TRUE&amp;DOC_NAME=FAT:FQL_AUDITING_CLIENT_TEMPLATE.FAT&amp;display_string=Audit&amp;VAR:KEY=BORIVAXODO&amp;VAR:QUERY=RkZfRUJJVERBX09QRVIoUVRSLDQvMS8yMDA5LDYvMzAvMjAwOSwsLFVTRCk=&amp;WINDOW=FIRST_POPUP&amp;HEIGH","T=450&amp;WIDTH=450&amp;START_MAXIMIZED=FALSE&amp;VAR:CALENDAR=US&amp;VAR:SYMBOL=ISRG&amp;VAR:INDEX=0"}</definedName>
    <definedName name="_53__123Graph_DSUPPLIES_BY_B_U">#REF!</definedName>
    <definedName name="_53__FDSAUDITLINK__" hidden="1">{"fdsup://directions/FAT Viewer?action=UPDATE&amp;creator=factset&amp;DYN_ARGS=TRUE&amp;DOC_NAME=FAT:FQL_AUDITING_CLIENT_TEMPLATE.FAT&amp;display_string=Audit&amp;VAR:KEY=XWJMTWHOVY&amp;VAR:QUERY=RkZfRUJJVERBX09QRVIoUVRSLDQvMS8yMDA5LDYvMzAvMjAwOSwsLFVTRCk=&amp;WINDOW=FIRST_POPUP&amp;HEIGH","T=450&amp;WIDTH=450&amp;START_MAXIMIZED=FALSE&amp;VAR:CALENDAR=US&amp;VAR:SYMBOL=WEC&amp;VAR:INDEX=0"}</definedName>
    <definedName name="_530__FDSAUDITLINK__" hidden="1">{"fdsup://directions/FAT Viewer?action=UPDATE&amp;creator=factset&amp;DYN_ARGS=TRUE&amp;DOC_NAME=FAT:FQL_AUDITING_CLIENT_TEMPLATE.FAT&amp;display_string=Audit&amp;VAR:KEY=NQRAFQNUXU&amp;VAR:QUERY=RkZfRUJJVERBX09QRVIoUVRSLDQvMS8yMDEwLDYvMzAvMjAxMCwsLFVTRCk=&amp;WINDOW=FIRST_POPUP&amp;HEIGH","T=450&amp;WIDTH=450&amp;START_MAXIMIZED=FALSE&amp;VAR:CALENDAR=US&amp;VAR:SYMBOL=ISRG&amp;VAR:INDEX=0"}</definedName>
    <definedName name="_531__FDSAUDITLINK__" hidden="1">{"fdsup://directions/FAT Viewer?action=UPDATE&amp;creator=factset&amp;DYN_ARGS=TRUE&amp;DOC_NAME=FAT:FQL_AUDITING_CLIENT_TEMPLATE.FAT&amp;display_string=Audit&amp;VAR:KEY=XSRONUHKBM&amp;VAR:QUERY=RkZfRUJJVERBX09QRVIoUVRSLDQvMS8yMDA5LDYvMzAvMjAwOSwsLFVTRCk=&amp;WINDOW=FIRST_POPUP&amp;HEIGH","T=450&amp;WIDTH=450&amp;START_MAXIMIZED=FALSE&amp;VAR:CALENDAR=US&amp;VAR:SYMBOL=IRM&amp;VAR:INDEX=0"}</definedName>
    <definedName name="_532__FDSAUDITLINK__" hidden="1">{"fdsup://directions/FAT Viewer?action=UPDATE&amp;creator=factset&amp;DYN_ARGS=TRUE&amp;DOC_NAME=FAT:FQL_AUDITING_CLIENT_TEMPLATE.FAT&amp;display_string=Audit&amp;VAR:KEY=BKFEBWVSLG&amp;VAR:QUERY=RkZfRUJJVERBX09QRVIoUVRSLDQvMS8yMDEwLDYvMzAvMjAxMCwsLFVTRCk=&amp;WINDOW=FIRST_POPUP&amp;HEIGH","T=450&amp;WIDTH=450&amp;START_MAXIMIZED=FALSE&amp;VAR:CALENDAR=US&amp;VAR:SYMBOL=IRM&amp;VAR:INDEX=0"}</definedName>
    <definedName name="_533__FDSAUDITLINK__" hidden="1">{"fdsup://directions/FAT Viewer?action=UPDATE&amp;creator=factset&amp;DYN_ARGS=TRUE&amp;DOC_NAME=FAT:FQL_AUDITING_CLIENT_TEMPLATE.FAT&amp;display_string=Audit&amp;VAR:KEY=JQDGXAZWBW&amp;VAR:QUERY=RkZfRUJJVERBX09QRVIoUVRSLDQvMS8yMDA5LDYvMzAvMjAwOSwsLFVTRCk=&amp;WINDOW=FIRST_POPUP&amp;HEIGH","T=450&amp;WIDTH=450&amp;START_MAXIMIZED=FALSE&amp;VAR:CALENDAR=US&amp;VAR:SYMBOL=IPG&amp;VAR:INDEX=0"}</definedName>
    <definedName name="_534__FDSAUDITLINK__" hidden="1">{"fdsup://directions/FAT Viewer?action=UPDATE&amp;creator=factset&amp;DYN_ARGS=TRUE&amp;DOC_NAME=FAT:FQL_AUDITING_CLIENT_TEMPLATE.FAT&amp;display_string=Audit&amp;VAR:KEY=BGRQFSDADO&amp;VAR:QUERY=RkZfRUJJVERBX09QRVIoUVRSLDQvMS8yMDEwLDYvMzAvMjAxMCwsLFVTRCk=&amp;WINDOW=FIRST_POPUP&amp;HEIGH","T=450&amp;WIDTH=450&amp;START_MAXIMIZED=FALSE&amp;VAR:CALENDAR=US&amp;VAR:SYMBOL=IPG&amp;VAR:INDEX=0"}</definedName>
    <definedName name="_535__FDSAUDITLINK__" hidden="1">{"fdsup://directions/FAT Viewer?action=UPDATE&amp;creator=factset&amp;DYN_ARGS=TRUE&amp;DOC_NAME=FAT:FQL_AUDITING_CLIENT_TEMPLATE.FAT&amp;display_string=Audit&amp;VAR:KEY=VKRAJWNWTM&amp;VAR:QUERY=RkZfRUJJVERBX09QRVIoUVRSLDQvMS8yMDA5LDYvMzAvMjAwOSwsLFVTRCk=&amp;WINDOW=FIRST_POPUP&amp;HEIGH","T=450&amp;WIDTH=450&amp;START_MAXIMIZED=FALSE&amp;VAR:CALENDAR=US&amp;VAR:SYMBOL=IP&amp;VAR:INDEX=0"}</definedName>
    <definedName name="_536__FDSAUDITLINK__" hidden="1">{"fdsup://directions/FAT Viewer?action=UPDATE&amp;creator=factset&amp;DYN_ARGS=TRUE&amp;DOC_NAME=FAT:FQL_AUDITING_CLIENT_TEMPLATE.FAT&amp;display_string=Audit&amp;VAR:KEY=XILUBEPIDY&amp;VAR:QUERY=RkZfRUJJVERBX09QRVIoUVRSLDQvMS8yMDEwLDYvMzAvMjAxMCwsLFVTRCk=&amp;WINDOW=FIRST_POPUP&amp;HEIGH","T=450&amp;WIDTH=450&amp;START_MAXIMIZED=FALSE&amp;VAR:CALENDAR=US&amp;VAR:SYMBOL=IP&amp;VAR:INDEX=0"}</definedName>
    <definedName name="_537__FDSAUDITLINK__" hidden="1">{"fdsup://directions/FAT Viewer?action=UPDATE&amp;creator=factset&amp;DYN_ARGS=TRUE&amp;DOC_NAME=FAT:FQL_AUDITING_CLIENT_TEMPLATE.FAT&amp;display_string=Audit&amp;VAR:KEY=RIJCBKTWRG&amp;VAR:QUERY=RkZfRUJJVERBX09QRVIoUVRSLDQvMS8yMDA5LDYvMzAvMjAwOSwsLFVTRCk=&amp;WINDOW=FIRST_POPUP&amp;HEIGH","T=450&amp;WIDTH=450&amp;START_MAXIMIZED=FALSE&amp;VAR:CALENDAR=US&amp;VAR:SYMBOL=INTU&amp;VAR:INDEX=0"}</definedName>
    <definedName name="_538__FDSAUDITLINK__" hidden="1">{"fdsup://directions/FAT Viewer?action=UPDATE&amp;creator=factset&amp;DYN_ARGS=TRUE&amp;DOC_NAME=FAT:FQL_AUDITING_CLIENT_TEMPLATE.FAT&amp;display_string=Audit&amp;VAR:KEY=LYRUPYPSXS&amp;VAR:QUERY=RkZfRUJJVERBX09QRVIoUVRSLDQvMS8yMDEwLDYvMzAvMjAxMCwsLFVTRCk=&amp;WINDOW=FIRST_POPUP&amp;HEIGH","T=450&amp;WIDTH=450&amp;START_MAXIMIZED=FALSE&amp;VAR:CALENDAR=US&amp;VAR:SYMBOL=INTU&amp;VAR:INDEX=0"}</definedName>
    <definedName name="_539__FDSAUDITLINK__" hidden="1">{"fdsup://directions/FAT Viewer?action=UPDATE&amp;creator=factset&amp;DYN_ARGS=TRUE&amp;DOC_NAME=FAT:FQL_AUDITING_CLIENT_TEMPLATE.FAT&amp;display_string=Audit&amp;VAR:KEY=JGPETETOBM&amp;VAR:QUERY=RkZfRUJJVERBX09QRVIoUVRSLDQvMS8yMDA5LDYvMzAvMjAwOSwsLFVTRCk=&amp;WINDOW=FIRST_POPUP&amp;HEIGH","T=450&amp;WIDTH=450&amp;START_MAXIMIZED=FALSE&amp;VAR:CALENDAR=US&amp;VAR:SYMBOL=INTC&amp;VAR:INDEX=0"}</definedName>
    <definedName name="_54__123Graph_DWAGES_BY_B_U">#REF!</definedName>
    <definedName name="_54__FDSAUDITLINK__" hidden="1">{"fdsup://directions/FAT Viewer?action=UPDATE&amp;creator=factset&amp;DYN_ARGS=TRUE&amp;DOC_NAME=FAT:FQL_AUDITING_CLIENT_TEMPLATE.FAT&amp;display_string=Audit&amp;VAR:KEY=HOVIFYTEJU&amp;VAR:QUERY=RkZfRUJJVERBX09QRVIoUVRSLDQvMS8yMDEwLDYvMzAvMjAxMCwsLFVTRCk=&amp;WINDOW=FIRST_POPUP&amp;HEIGH","T=450&amp;WIDTH=450&amp;START_MAXIMIZED=FALSE&amp;VAR:CALENDAR=US&amp;VAR:SYMBOL=WEC&amp;VAR:INDEX=0"}</definedName>
    <definedName name="_540__FDSAUDITLINK__" hidden="1">{"fdsup://directions/FAT Viewer?action=UPDATE&amp;creator=factset&amp;DYN_ARGS=TRUE&amp;DOC_NAME=FAT:FQL_AUDITING_CLIENT_TEMPLATE.FAT&amp;display_string=Audit&amp;VAR:KEY=PQPGHQVSXG&amp;VAR:QUERY=RkZfRUJJVERBX09QRVIoUVRSLDQvMS8yMDEwLDYvMzAvMjAxMCwsLFVTRCk=&amp;WINDOW=FIRST_POPUP&amp;HEIGH","T=450&amp;WIDTH=450&amp;START_MAXIMIZED=FALSE&amp;VAR:CALENDAR=US&amp;VAR:SYMBOL=INTC&amp;VAR:INDEX=0"}</definedName>
    <definedName name="_541__FDSAUDITLINK__" hidden="1">{"fdsup://directions/FAT Viewer?action=UPDATE&amp;creator=factset&amp;DYN_ARGS=TRUE&amp;DOC_NAME=FAT:FQL_AUDITING_CLIENT_TEMPLATE.FAT&amp;display_string=Audit&amp;VAR:KEY=FIVGVSZUTK&amp;VAR:QUERY=RkZfRUJJVERBX09QRVIoUVRSLDQvMS8yMDA5LDYvMzAvMjAwOSwsLFVTRCk=&amp;WINDOW=FIRST_POPUP&amp;HEIGH","T=450&amp;WIDTH=450&amp;START_MAXIMIZED=FALSE&amp;VAR:CALENDAR=US&amp;VAR:SYMBOL=IGT&amp;VAR:INDEX=0"}</definedName>
    <definedName name="_542__FDSAUDITLINK__" hidden="1">{"fdsup://directions/FAT Viewer?action=UPDATE&amp;creator=factset&amp;DYN_ARGS=TRUE&amp;DOC_NAME=FAT:FQL_AUDITING_CLIENT_TEMPLATE.FAT&amp;display_string=Audit&amp;VAR:KEY=LQBSHETUPW&amp;VAR:QUERY=RkZfRUJJVERBX09QRVIoUVRSLDQvMS8yMDEwLDYvMzAvMjAxMCwsLFVTRCk=&amp;WINDOW=FIRST_POPUP&amp;HEIGH","T=450&amp;WIDTH=450&amp;START_MAXIMIZED=FALSE&amp;VAR:CALENDAR=US&amp;VAR:SYMBOL=IGT&amp;VAR:INDEX=0"}</definedName>
    <definedName name="_543__FDSAUDITLINK__" hidden="1">{"fdsup://directions/FAT Viewer?action=UPDATE&amp;creator=factset&amp;DYN_ARGS=TRUE&amp;DOC_NAME=FAT:FQL_AUDITING_CLIENT_TEMPLATE.FAT&amp;display_string=Audit&amp;VAR:KEY=XODGTMJCFE&amp;VAR:QUERY=RkZfRUJJVERBX09QRVIoUVRSLDQvMS8yMDA5LDYvMzAvMjAwOSwsLFVTRCk=&amp;WINDOW=FIRST_POPUP&amp;HEIGH","T=450&amp;WIDTH=450&amp;START_MAXIMIZED=FALSE&amp;VAR:CALENDAR=US&amp;VAR:SYMBOL=IFF&amp;VAR:INDEX=0"}</definedName>
    <definedName name="_544__FDSAUDITLINK__" hidden="1">{"fdsup://directions/FAT Viewer?action=UPDATE&amp;creator=factset&amp;DYN_ARGS=TRUE&amp;DOC_NAME=FAT:FQL_AUDITING_CLIENT_TEMPLATE.FAT&amp;display_string=Audit&amp;VAR:KEY=ZCDIRSDITG&amp;VAR:QUERY=RkZfRUJJVERBX09QRVIoUVRSLDQvMS8yMDEwLDYvMzAvMjAxMCwsLFVTRCk=&amp;WINDOW=FIRST_POPUP&amp;HEIGH","T=450&amp;WIDTH=450&amp;START_MAXIMIZED=FALSE&amp;VAR:CALENDAR=US&amp;VAR:SYMBOL=IFF&amp;VAR:INDEX=0"}</definedName>
    <definedName name="_545__FDSAUDITLINK__" hidden="1">{"fdsup://directions/FAT Viewer?action=UPDATE&amp;creator=factset&amp;DYN_ARGS=TRUE&amp;DOC_NAME=FAT:FQL_AUDITING_CLIENT_TEMPLATE.FAT&amp;display_string=Audit&amp;VAR:KEY=HWBALQBYFI&amp;VAR:QUERY=RkZfRUJJVERBX09QRVIoUVRSLDQvMS8yMDA5LDYvMzAvMjAwOSwsLFVTRCk=&amp;WINDOW=FIRST_POPUP&amp;HEIGH","T=450&amp;WIDTH=450&amp;START_MAXIMIZED=FALSE&amp;VAR:CALENDAR=US&amp;VAR:SYMBOL=ICE&amp;VAR:INDEX=0"}</definedName>
    <definedName name="_546__FDSAUDITLINK__" hidden="1">{"fdsup://directions/FAT Viewer?action=UPDATE&amp;creator=factset&amp;DYN_ARGS=TRUE&amp;DOC_NAME=FAT:FQL_AUDITING_CLIENT_TEMPLATE.FAT&amp;display_string=Audit&amp;VAR:KEY=PGVSRUTSHQ&amp;VAR:QUERY=RkZfRUJJVERBX09QRVIoUVRSLDQvMS8yMDEwLDYvMzAvMjAxMCwsLFVTRCk=&amp;WINDOW=FIRST_POPUP&amp;HEIGH","T=450&amp;WIDTH=450&amp;START_MAXIMIZED=FALSE&amp;VAR:CALENDAR=US&amp;VAR:SYMBOL=ICE&amp;VAR:INDEX=0"}</definedName>
    <definedName name="_547__FDSAUDITLINK__" hidden="1">{"fdsup://directions/FAT Viewer?action=UPDATE&amp;creator=factset&amp;DYN_ARGS=TRUE&amp;DOC_NAME=FAT:FQL_AUDITING_CLIENT_TEMPLATE.FAT&amp;display_string=Audit&amp;VAR:KEY=FUNSZYVSPA&amp;VAR:QUERY=RkZfRUJJVERBX09QRVIoUVRSLDQvMS8yMDA5LDYvMzAvMjAwOSwsLFVTRCk=&amp;WINDOW=FIRST_POPUP&amp;HEIGH","T=450&amp;WIDTH=450&amp;START_MAXIMIZED=FALSE&amp;VAR:CALENDAR=US&amp;VAR:SYMBOL=IBM&amp;VAR:INDEX=0"}</definedName>
    <definedName name="_548__FDSAUDITLINK__" hidden="1">{"fdsup://directions/FAT Viewer?action=UPDATE&amp;creator=factset&amp;DYN_ARGS=TRUE&amp;DOC_NAME=FAT:FQL_AUDITING_CLIENT_TEMPLATE.FAT&amp;display_string=Audit&amp;VAR:KEY=VCNKXCPUZC&amp;VAR:QUERY=RkZfRUJJVERBX09QRVIoUVRSLDQvMS8yMDEwLDYvMzAvMjAxMCwsLFVTRCk=&amp;WINDOW=FIRST_POPUP&amp;HEIGH","T=450&amp;WIDTH=450&amp;START_MAXIMIZED=FALSE&amp;VAR:CALENDAR=US&amp;VAR:SYMBOL=IBM&amp;VAR:INDEX=0"}</definedName>
    <definedName name="_549__FDSAUDITLINK__" hidden="1">{"fdsup://directions/FAT Viewer?action=UPDATE&amp;creator=factset&amp;DYN_ARGS=TRUE&amp;DOC_NAME=FAT:FQL_AUDITING_CLIENT_TEMPLATE.FAT&amp;display_string=Audit&amp;VAR:KEY=ZGLMZIJSPM&amp;VAR:QUERY=RkZfRUJJVERBX09QRVIoUVRSLDQvMS8yMDA5LDYvMzAvMjAwOSwsLFVTRCk=&amp;WINDOW=FIRST_POPUP&amp;HEIGH","T=450&amp;WIDTH=450&amp;START_MAXIMIZED=FALSE&amp;VAR:CALENDAR=US&amp;VAR:SYMBOL=HUM&amp;VAR:INDEX=0"}</definedName>
    <definedName name="_55__123Graph_ECONTRACT_BY_B_U">#REF!</definedName>
    <definedName name="_55__FDSAUDITLINK__" hidden="1">{"fdsup://directions/FAT Viewer?action=UPDATE&amp;creator=factset&amp;DYN_ARGS=TRUE&amp;DOC_NAME=FAT:FQL_AUDITING_CLIENT_TEMPLATE.FAT&amp;display_string=Audit&amp;VAR:KEY=VGRGTIFCHE&amp;VAR:QUERY=RkZfRUJJVERBX09QRVIoUVRSLDQvMS8yMDA5LDYvMzAvMjAwOSwsLFVTRCk=&amp;WINDOW=FIRST_POPUP&amp;HEIGH","T=450&amp;WIDTH=450&amp;START_MAXIMIZED=FALSE&amp;VAR:CALENDAR=US&amp;VAR:SYMBOL=WDC&amp;VAR:INDEX=0"}</definedName>
    <definedName name="_550__FDSAUDITLINK__" hidden="1">{"fdsup://directions/FAT Viewer?action=UPDATE&amp;creator=factset&amp;DYN_ARGS=TRUE&amp;DOC_NAME=FAT:FQL_AUDITING_CLIENT_TEMPLATE.FAT&amp;display_string=Audit&amp;VAR:KEY=VIDYREHUTY&amp;VAR:QUERY=RkZfRUJJVERBX09QRVIoUVRSLDQvMS8yMDEwLDYvMzAvMjAxMCwsLFVTRCk=&amp;WINDOW=FIRST_POPUP&amp;HEIGH","T=450&amp;WIDTH=450&amp;START_MAXIMIZED=FALSE&amp;VAR:CALENDAR=US&amp;VAR:SYMBOL=HUM&amp;VAR:INDEX=0"}</definedName>
    <definedName name="_551__FDSAUDITLINK__" hidden="1">{"fdsup://directions/FAT Viewer?action=UPDATE&amp;creator=factset&amp;DYN_ARGS=TRUE&amp;DOC_NAME=FAT:FQL_AUDITING_CLIENT_TEMPLATE.FAT&amp;display_string=Audit&amp;VAR:KEY=DMZCJKBGBS&amp;VAR:QUERY=RkZfRUJJVERBX09QRVIoUVRSLDQvMS8yMDA5LDYvMzAvMjAwOSwsLFVTRCk=&amp;WINDOW=FIRST_POPUP&amp;HEIGH","T=450&amp;WIDTH=450&amp;START_MAXIMIZED=FALSE&amp;VAR:CALENDAR=US&amp;VAR:SYMBOL=HSY&amp;VAR:INDEX=0"}</definedName>
    <definedName name="_552__FDSAUDITLINK__" hidden="1">{"fdsup://directions/FAT Viewer?action=UPDATE&amp;creator=factset&amp;DYN_ARGS=TRUE&amp;DOC_NAME=FAT:FQL_AUDITING_CLIENT_TEMPLATE.FAT&amp;display_string=Audit&amp;VAR:KEY=JEXGTMBUPE&amp;VAR:QUERY=RkZfRUJJVERBX09QRVIoUVRSLDQvMS8yMDEwLDYvMzAvMjAxMCwsLFVTRCk=&amp;WINDOW=FIRST_POPUP&amp;HEIGH","T=450&amp;WIDTH=450&amp;START_MAXIMIZED=FALSE&amp;VAR:CALENDAR=US&amp;VAR:SYMBOL=HSY&amp;VAR:INDEX=0"}</definedName>
    <definedName name="_553__FDSAUDITLINK__" hidden="1">{"fdsup://directions/FAT Viewer?action=UPDATE&amp;creator=factset&amp;DYN_ARGS=TRUE&amp;DOC_NAME=FAT:FQL_AUDITING_CLIENT_TEMPLATE.FAT&amp;display_string=Audit&amp;VAR:KEY=DKFCFYVABG&amp;VAR:QUERY=RkZfRUJJVERBX09QRVIoUVRSLDQvMS8yMDA5LDYvMzAvMjAwOSwsLFVTRCk=&amp;WINDOW=FIRST_POPUP&amp;HEIGH","T=450&amp;WIDTH=450&amp;START_MAXIMIZED=FALSE&amp;VAR:CALENDAR=US&amp;VAR:SYMBOL=HST&amp;VAR:INDEX=0"}</definedName>
    <definedName name="_554__FDSAUDITLINK__" hidden="1">{"fdsup://directions/FAT Viewer?action=UPDATE&amp;creator=factset&amp;DYN_ARGS=TRUE&amp;DOC_NAME=FAT:FQL_AUDITING_CLIENT_TEMPLATE.FAT&amp;display_string=Audit&amp;VAR:KEY=PADODARSBA&amp;VAR:QUERY=RkZfRUJJVERBX09QRVIoUVRSLDQvMS8yMDEwLDYvMzAvMjAxMCwsLFVTRCk=&amp;WINDOW=FIRST_POPUP&amp;HEIGH","T=450&amp;WIDTH=450&amp;START_MAXIMIZED=FALSE&amp;VAR:CALENDAR=US&amp;VAR:SYMBOL=HST&amp;VAR:INDEX=0"}</definedName>
    <definedName name="_555__FDSAUDITLINK__" hidden="1">{"fdsup://directions/FAT Viewer?action=UPDATE&amp;creator=factset&amp;DYN_ARGS=TRUE&amp;DOC_NAME=FAT:FQL_AUDITING_CLIENT_TEMPLATE.FAT&amp;display_string=Audit&amp;VAR:KEY=XCTONARMHK&amp;VAR:QUERY=RkZfRUJJVERBX09QRVIoUVRSLDQvMS8yMDA5LDYvMzAvMjAwOSwsLFVTRCk=&amp;WINDOW=FIRST_POPUP&amp;HEIGH","T=450&amp;WIDTH=450&amp;START_MAXIMIZED=FALSE&amp;VAR:CALENDAR=US&amp;VAR:SYMBOL=HSP&amp;VAR:INDEX=0"}</definedName>
    <definedName name="_556__FDSAUDITLINK__" hidden="1">{"fdsup://directions/FAT Viewer?action=UPDATE&amp;creator=factset&amp;DYN_ARGS=TRUE&amp;DOC_NAME=FAT:FQL_AUDITING_CLIENT_TEMPLATE.FAT&amp;display_string=Audit&amp;VAR:KEY=XAPEZIJWBG&amp;VAR:QUERY=RkZfRUJJVERBX09QRVIoUVRSLDQvMS8yMDEwLDYvMzAvMjAxMCwsLFVTRCk=&amp;WINDOW=FIRST_POPUP&amp;HEIGH","T=450&amp;WIDTH=450&amp;START_MAXIMIZED=FALSE&amp;VAR:CALENDAR=US&amp;VAR:SYMBOL=HSP&amp;VAR:INDEX=0"}</definedName>
    <definedName name="_557__FDSAUDITLINK__" hidden="1">{"fdsup://directions/FAT Viewer?action=UPDATE&amp;creator=factset&amp;DYN_ARGS=TRUE&amp;DOC_NAME=FAT:FQL_AUDITING_CLIENT_TEMPLATE.FAT&amp;display_string=Audit&amp;VAR:KEY=VAFULARKLW&amp;VAR:QUERY=RkZfRUJJVERBX09QRVIoUVRSLDQvMS8yMDA5LDYvMzAvMjAwOSwsLFVTRCk=&amp;WINDOW=FIRST_POPUP&amp;HEIGH","T=450&amp;WIDTH=450&amp;START_MAXIMIZED=FALSE&amp;VAR:CALENDAR=US&amp;VAR:SYMBOL=HRS&amp;VAR:INDEX=0"}</definedName>
    <definedName name="_558__FDSAUDITLINK__" hidden="1">{"fdsup://directions/FAT Viewer?action=UPDATE&amp;creator=factset&amp;DYN_ARGS=TRUE&amp;DOC_NAME=FAT:FQL_AUDITING_CLIENT_TEMPLATE.FAT&amp;display_string=Audit&amp;VAR:KEY=FSNENOPOHY&amp;VAR:QUERY=RkZfRUJJVERBX09QRVIoUVRSLDQvMS8yMDEwLDYvMzAvMjAxMCwsLFVTRCk=&amp;WINDOW=FIRST_POPUP&amp;HEIGH","T=450&amp;WIDTH=450&amp;START_MAXIMIZED=FALSE&amp;VAR:CALENDAR=US&amp;VAR:SYMBOL=HRS&amp;VAR:INDEX=0"}</definedName>
    <definedName name="_559__FDSAUDITLINK__" hidden="1">{"fdsup://directions/FAT Viewer?action=UPDATE&amp;creator=factset&amp;DYN_ARGS=TRUE&amp;DOC_NAME=FAT:FQL_AUDITING_CLIENT_TEMPLATE.FAT&amp;display_string=Audit&amp;VAR:KEY=FCFAHCDIZA&amp;VAR:QUERY=RkZfRUJJVERBX09QRVIoUVRSLDQvMS8yMDA5LDYvMzAvMjAwOSwsLFVTRCk=&amp;WINDOW=FIRST_POPUP&amp;HEIGH","T=450&amp;WIDTH=450&amp;START_MAXIMIZED=FALSE&amp;VAR:CALENDAR=US&amp;VAR:SYMBOL=HRL&amp;VAR:INDEX=0"}</definedName>
    <definedName name="_56__123Graph_EQRE_S_BY_CO.">#REF!</definedName>
    <definedName name="_56__FDSAUDITLINK__" hidden="1">{"fdsup://directions/FAT Viewer?action=UPDATE&amp;creator=factset&amp;DYN_ARGS=TRUE&amp;DOC_NAME=FAT:FQL_AUDITING_CLIENT_TEMPLATE.FAT&amp;display_string=Audit&amp;VAR:KEY=ZYPSNMTSNM&amp;VAR:QUERY=RkZfRUJJVERBX09QRVIoUVRSLDQvMS8yMDEwLDYvMzAvMjAxMCwsLFVTRCk=&amp;WINDOW=FIRST_POPUP&amp;HEIGH","T=450&amp;WIDTH=450&amp;START_MAXIMIZED=FALSE&amp;VAR:CALENDAR=US&amp;VAR:SYMBOL=WDC&amp;VAR:INDEX=0"}</definedName>
    <definedName name="_560__FDSAUDITLINK__" hidden="1">{"fdsup://directions/FAT Viewer?action=UPDATE&amp;creator=factset&amp;DYN_ARGS=TRUE&amp;DOC_NAME=FAT:FQL_AUDITING_CLIENT_TEMPLATE.FAT&amp;display_string=Audit&amp;VAR:KEY=PARYBILGJK&amp;VAR:QUERY=RkZfRUJJVERBX09QRVIoUVRSLDQvMS8yMDEwLDYvMzAvMjAxMCwsLFVTRCk=&amp;WINDOW=FIRST_POPUP&amp;HEIGH","T=450&amp;WIDTH=450&amp;START_MAXIMIZED=FALSE&amp;VAR:CALENDAR=US&amp;VAR:SYMBOL=HRL&amp;VAR:INDEX=0"}</definedName>
    <definedName name="_561__FDSAUDITLINK__" hidden="1">{"fdsup://directions/FAT Viewer?action=UPDATE&amp;creator=factset&amp;DYN_ARGS=TRUE&amp;DOC_NAME=FAT:FQL_AUDITING_CLIENT_TEMPLATE.FAT&amp;display_string=Audit&amp;VAR:KEY=NENEZGNEVY&amp;VAR:QUERY=RkZfRUJJVERBX09QRVIoUVRSLDQvMS8yMDA5LDYvMzAvMjAwOSwsLFVTRCk=&amp;WINDOW=FIRST_POPUP&amp;HEIGH","T=450&amp;WIDTH=450&amp;START_MAXIMIZED=FALSE&amp;VAR:CALENDAR=US&amp;VAR:SYMBOL=HRB&amp;VAR:INDEX=0"}</definedName>
    <definedName name="_562__FDSAUDITLINK__" hidden="1">{"fdsup://directions/FAT Viewer?action=UPDATE&amp;creator=factset&amp;DYN_ARGS=TRUE&amp;DOC_NAME=FAT:FQL_AUDITING_CLIENT_TEMPLATE.FAT&amp;display_string=Audit&amp;VAR:KEY=JSJWTEFSHQ&amp;VAR:QUERY=RkZfRUJJVERBX09QRVIoUVRSLDQvMS8yMDEwLDYvMzAvMjAxMCwsLFVTRCk=&amp;WINDOW=FIRST_POPUP&amp;HEIGH","T=450&amp;WIDTH=450&amp;START_MAXIMIZED=FALSE&amp;VAR:CALENDAR=US&amp;VAR:SYMBOL=HRB&amp;VAR:INDEX=0"}</definedName>
    <definedName name="_563__FDSAUDITLINK__" hidden="1">{"fdsup://directions/FAT Viewer?action=UPDATE&amp;creator=factset&amp;DYN_ARGS=TRUE&amp;DOC_NAME=FAT:FQL_AUDITING_CLIENT_TEMPLATE.FAT&amp;display_string=Audit&amp;VAR:KEY=TCNWFQXQRU&amp;VAR:QUERY=RkZfRUJJVERBX09QRVIoUVRSLDQvMS8yMDA5LDYvMzAvMjAwOSwsLFVTRCk=&amp;WINDOW=FIRST_POPUP&amp;HEIGH","T=450&amp;WIDTH=450&amp;START_MAXIMIZED=FALSE&amp;VAR:CALENDAR=US&amp;VAR:SYMBOL=HPQ&amp;VAR:INDEX=0"}</definedName>
    <definedName name="_564__FDSAUDITLINK__" hidden="1">{"fdsup://directions/FAT Viewer?action=UPDATE&amp;creator=factset&amp;DYN_ARGS=TRUE&amp;DOC_NAME=FAT:FQL_AUDITING_CLIENT_TEMPLATE.FAT&amp;display_string=Audit&amp;VAR:KEY=HSBMZYLYNY&amp;VAR:QUERY=RkZfRUJJVERBX09QRVIoUVRSLDQvMS8yMDEwLDYvMzAvMjAxMCwsLFVTRCk=&amp;WINDOW=FIRST_POPUP&amp;HEIGH","T=450&amp;WIDTH=450&amp;START_MAXIMIZED=FALSE&amp;VAR:CALENDAR=US&amp;VAR:SYMBOL=HPQ&amp;VAR:INDEX=0"}</definedName>
    <definedName name="_565__FDSAUDITLINK__" hidden="1">{"fdsup://directions/FAT Viewer?action=UPDATE&amp;creator=factset&amp;DYN_ARGS=TRUE&amp;DOC_NAME=FAT:FQL_AUDITING_CLIENT_TEMPLATE.FAT&amp;display_string=Audit&amp;VAR:KEY=BYDCVARYNA&amp;VAR:QUERY=RkZfRUJJVERBX09QRVIoUVRSLDQvMS8yMDA5LDYvMzAvMjAwOSwsLFVTRCk=&amp;WINDOW=FIRST_POPUP&amp;HEIGH","T=450&amp;WIDTH=450&amp;START_MAXIMIZED=FALSE&amp;VAR:CALENDAR=US&amp;VAR:SYMBOL=HP&amp;VAR:INDEX=0"}</definedName>
    <definedName name="_566__FDSAUDITLINK__" hidden="1">{"fdsup://directions/FAT Viewer?action=UPDATE&amp;creator=factset&amp;DYN_ARGS=TRUE&amp;DOC_NAME=FAT:FQL_AUDITING_CLIENT_TEMPLATE.FAT&amp;display_string=Audit&amp;VAR:KEY=TKPKFSVKTY&amp;VAR:QUERY=RkZfRUJJVERBX09QRVIoUVRSLDQvMS8yMDEwLDYvMzAvMjAxMCwsLFVTRCk=&amp;WINDOW=FIRST_POPUP&amp;HEIGH","T=450&amp;WIDTH=450&amp;START_MAXIMIZED=FALSE&amp;VAR:CALENDAR=US&amp;VAR:SYMBOL=HP&amp;VAR:INDEX=0"}</definedName>
    <definedName name="_567__FDSAUDITLINK__" hidden="1">{"fdsup://directions/FAT Viewer?action=UPDATE&amp;creator=factset&amp;DYN_ARGS=TRUE&amp;DOC_NAME=FAT:FQL_AUDITING_CLIENT_TEMPLATE.FAT&amp;display_string=Audit&amp;VAR:KEY=TYRCLQJYVU&amp;VAR:QUERY=RkZfRUJJVERBX09QRVIoUVRSLDQvMS8yMDA5LDYvMzAvMjAwOSwsLFVTRCk=&amp;WINDOW=FIRST_POPUP&amp;HEIGH","T=450&amp;WIDTH=450&amp;START_MAXIMIZED=FALSE&amp;VAR:CALENDAR=US&amp;VAR:SYMBOL=HOT&amp;VAR:INDEX=0"}</definedName>
    <definedName name="_568__FDSAUDITLINK__" hidden="1">{"fdsup://directions/FAT Viewer?action=UPDATE&amp;creator=factset&amp;DYN_ARGS=TRUE&amp;DOC_NAME=FAT:FQL_AUDITING_CLIENT_TEMPLATE.FAT&amp;display_string=Audit&amp;VAR:KEY=JCHGDOLOLC&amp;VAR:QUERY=RkZfRUJJVERBX09QRVIoUVRSLDQvMS8yMDEwLDYvMzAvMjAxMCwsLFVTRCk=&amp;WINDOW=FIRST_POPUP&amp;HEIGH","T=450&amp;WIDTH=450&amp;START_MAXIMIZED=FALSE&amp;VAR:CALENDAR=US&amp;VAR:SYMBOL=HOT&amp;VAR:INDEX=0"}</definedName>
    <definedName name="_569__FDSAUDITLINK__" hidden="1">{"fdsup://directions/FAT Viewer?action=UPDATE&amp;creator=factset&amp;DYN_ARGS=TRUE&amp;DOC_NAME=FAT:FQL_AUDITING_CLIENT_TEMPLATE.FAT&amp;display_string=Audit&amp;VAR:KEY=ZSLYXWJSLW&amp;VAR:QUERY=RkZfRUJJVERBX09QRVIoUVRSLDQvMS8yMDA5LDYvMzAvMjAwOSwsLFVTRCk=&amp;WINDOW=FIRST_POPUP&amp;HEIGH","T=450&amp;WIDTH=450&amp;START_MAXIMIZED=FALSE&amp;VAR:CALENDAR=US&amp;VAR:SYMBOL=HON&amp;VAR:INDEX=0"}</definedName>
    <definedName name="_57__123Graph_ESUPPLIES_BY_B_U">#REF!</definedName>
    <definedName name="_57__FDSAUDITLINK__" hidden="1">{"fdsup://directions/FAT Viewer?action=UPDATE&amp;creator=factset&amp;DYN_ARGS=TRUE&amp;DOC_NAME=FAT:FQL_AUDITING_CLIENT_TEMPLATE.FAT&amp;display_string=Audit&amp;VAR:KEY=HETSREHMLY&amp;VAR:QUERY=RkZfRUJJVERBX09QRVIoUVRSLDQvMS8yMDA5LDYvMzAvMjAwOSwsLFVTRCk=&amp;WINDOW=FIRST_POPUP&amp;HEIGH","T=450&amp;WIDTH=450&amp;START_MAXIMIZED=FALSE&amp;VAR:CALENDAR=US&amp;VAR:SYMBOL=WAT&amp;VAR:INDEX=0"}</definedName>
    <definedName name="_570__FDSAUDITLINK__" hidden="1">{"fdsup://directions/FAT Viewer?action=UPDATE&amp;creator=factset&amp;DYN_ARGS=TRUE&amp;DOC_NAME=FAT:FQL_AUDITING_CLIENT_TEMPLATE.FAT&amp;display_string=Audit&amp;VAR:KEY=FWDYFWFCZC&amp;VAR:QUERY=RkZfRUJJVERBX09QRVIoUVRSLDQvMS8yMDEwLDYvMzAvMjAxMCwsLFVTRCk=&amp;WINDOW=FIRST_POPUP&amp;HEIGH","T=450&amp;WIDTH=450&amp;START_MAXIMIZED=FALSE&amp;VAR:CALENDAR=US&amp;VAR:SYMBOL=HON&amp;VAR:INDEX=0"}</definedName>
    <definedName name="_571__FDSAUDITLINK__" hidden="1">{"fdsup://directions/FAT Viewer?action=UPDATE&amp;creator=factset&amp;DYN_ARGS=TRUE&amp;DOC_NAME=FAT:FQL_AUDITING_CLIENT_TEMPLATE.FAT&amp;display_string=Audit&amp;VAR:KEY=HOPCBUJIPI&amp;VAR:QUERY=RkZfRUJJVERBX09QRVIoUVRSLDQvMS8yMDA5LDYvMzAvMjAwOSwsLFVTRCk=&amp;WINDOW=FIRST_POPUP&amp;HEIGH","T=450&amp;WIDTH=450&amp;START_MAXIMIZED=FALSE&amp;VAR:CALENDAR=US&amp;VAR:SYMBOL=HOG&amp;VAR:INDEX=0"}</definedName>
    <definedName name="_572__FDSAUDITLINK__" hidden="1">{"fdsup://directions/FAT Viewer?action=UPDATE&amp;creator=factset&amp;DYN_ARGS=TRUE&amp;DOC_NAME=FAT:FQL_AUDITING_CLIENT_TEMPLATE.FAT&amp;display_string=Audit&amp;VAR:KEY=DCRMZYPIBY&amp;VAR:QUERY=RkZfRUJJVERBX09QRVIoUVRSLDQvMS8yMDEwLDYvMzAvMjAxMCwsLFVTRCk=&amp;WINDOW=FIRST_POPUP&amp;HEIGH","T=450&amp;WIDTH=450&amp;START_MAXIMIZED=FALSE&amp;VAR:CALENDAR=US&amp;VAR:SYMBOL=HOG&amp;VAR:INDEX=0"}</definedName>
    <definedName name="_573__FDSAUDITLINK__" hidden="1">{"fdsup://directions/FAT Viewer?action=UPDATE&amp;creator=factset&amp;DYN_ARGS=TRUE&amp;DOC_NAME=FAT:FQL_AUDITING_CLIENT_TEMPLATE.FAT&amp;display_string=Audit&amp;VAR:KEY=NSBYNMNGTO&amp;VAR:QUERY=RkZfRUJJVERBX09QRVIoUVRSLDQvMS8yMDA5LDYvMzAvMjAwOSwsLFVTRCk=&amp;WINDOW=FIRST_POPUP&amp;HEIGH","T=450&amp;WIDTH=450&amp;START_MAXIMIZED=FALSE&amp;VAR:CALENDAR=US&amp;VAR:SYMBOL=HNZ&amp;VAR:INDEX=0"}</definedName>
    <definedName name="_574__FDSAUDITLINK__" hidden="1">{"fdsup://directions/FAT Viewer?action=UPDATE&amp;creator=factset&amp;DYN_ARGS=TRUE&amp;DOC_NAME=FAT:FQL_AUDITING_CLIENT_TEMPLATE.FAT&amp;display_string=Audit&amp;VAR:KEY=HWRAFCHEJE&amp;VAR:QUERY=RkZfRUJJVERBX09QRVIoUVRSLDQvMS8yMDEwLDYvMzAvMjAxMCwsLFVTRCk=&amp;WINDOW=FIRST_POPUP&amp;HEIGH","T=450&amp;WIDTH=450&amp;START_MAXIMIZED=FALSE&amp;VAR:CALENDAR=US&amp;VAR:SYMBOL=HNZ&amp;VAR:INDEX=0"}</definedName>
    <definedName name="_575__FDSAUDITLINK__" hidden="1">{"fdsup://directions/FAT Viewer?action=UPDATE&amp;creator=factset&amp;DYN_ARGS=TRUE&amp;DOC_NAME=FAT:FQL_AUDITING_CLIENT_TEMPLATE.FAT&amp;display_string=Audit&amp;VAR:KEY=RWFYXIDUFS&amp;VAR:QUERY=RkZfRUJJVERBX09QRVIoUVRSLDQvMS8yMDA5LDYvMzAvMjAwOSwsLFVTRCk=&amp;WINDOW=FIRST_POPUP&amp;HEIGH","T=450&amp;WIDTH=450&amp;START_MAXIMIZED=FALSE&amp;VAR:CALENDAR=US&amp;VAR:SYMBOL=HIG&amp;VAR:INDEX=0"}</definedName>
    <definedName name="_576__FDSAUDITLINK__" hidden="1">{"fdsup://directions/FAT Viewer?action=UPDATE&amp;creator=factset&amp;DYN_ARGS=TRUE&amp;DOC_NAME=FAT:FQL_AUDITING_CLIENT_TEMPLATE.FAT&amp;display_string=Audit&amp;VAR:KEY=PMDSDAFOFK&amp;VAR:QUERY=RkZfRUJJVERBX09QRVIoUVRSLDQvMS8yMDEwLDYvMzAvMjAxMCwsLFVTRCk=&amp;WINDOW=FIRST_POPUP&amp;HEIGH","T=450&amp;WIDTH=450&amp;START_MAXIMIZED=FALSE&amp;VAR:CALENDAR=US&amp;VAR:SYMBOL=HIG&amp;VAR:INDEX=0"}</definedName>
    <definedName name="_577__FDSAUDITLINK__" hidden="1">{"fdsup://directions/FAT Viewer?action=UPDATE&amp;creator=factset&amp;DYN_ARGS=TRUE&amp;DOC_NAME=FAT:FQL_AUDITING_CLIENT_TEMPLATE.FAT&amp;display_string=Audit&amp;VAR:KEY=REPUFIZUVU&amp;VAR:QUERY=RkZfRUJJVERBX09QRVIoUVRSLDQvMS8yMDA5LDYvMzAvMjAwOSwsLFVTRCk=&amp;WINDOW=FIRST_POPUP&amp;HEIGH","T=450&amp;WIDTH=450&amp;START_MAXIMIZED=FALSE&amp;VAR:CALENDAR=US&amp;VAR:SYMBOL=HES&amp;VAR:INDEX=0"}</definedName>
    <definedName name="_578__FDSAUDITLINK__" hidden="1">{"fdsup://directions/FAT Viewer?action=UPDATE&amp;creator=factset&amp;DYN_ARGS=TRUE&amp;DOC_NAME=FAT:FQL_AUDITING_CLIENT_TEMPLATE.FAT&amp;display_string=Audit&amp;VAR:KEY=LYFUTWLWFU&amp;VAR:QUERY=RkZfRUJJVERBX09QRVIoUVRSLDQvMS8yMDEwLDYvMzAvMjAxMCwsLFVTRCk=&amp;WINDOW=FIRST_POPUP&amp;HEIGH","T=450&amp;WIDTH=450&amp;START_MAXIMIZED=FALSE&amp;VAR:CALENDAR=US&amp;VAR:SYMBOL=HES&amp;VAR:INDEX=0"}</definedName>
    <definedName name="_579__FDSAUDITLINK__" hidden="1">{"fdsup://directions/FAT Viewer?action=UPDATE&amp;creator=factset&amp;DYN_ARGS=TRUE&amp;DOC_NAME=FAT:FQL_AUDITING_CLIENT_TEMPLATE.FAT&amp;display_string=Audit&amp;VAR:KEY=NEHGJIZURU&amp;VAR:QUERY=RkZfRUJJVERBX09QRVIoUVRSLDQvMS8yMDA5LDYvMzAvMjAwOSwsLFVTRCk=&amp;WINDOW=FIRST_POPUP&amp;HEIGH","T=450&amp;WIDTH=450&amp;START_MAXIMIZED=FALSE&amp;VAR:CALENDAR=US&amp;VAR:SYMBOL=HD&amp;VAR:INDEX=0"}</definedName>
    <definedName name="_58__123Graph_EWAGES_BY_B_U">#REF!</definedName>
    <definedName name="_58__FDSAUDITLINK__" hidden="1">{"fdsup://directions/FAT Viewer?action=UPDATE&amp;creator=factset&amp;DYN_ARGS=TRUE&amp;DOC_NAME=FAT:FQL_AUDITING_CLIENT_TEMPLATE.FAT&amp;display_string=Audit&amp;VAR:KEY=FUVCZOLSFI&amp;VAR:QUERY=RkZfRUJJVERBX09QRVIoUVRSLDQvMS8yMDEwLDYvMzAvMjAxMCwsLFVTRCk=&amp;WINDOW=FIRST_POPUP&amp;HEIGH","T=450&amp;WIDTH=450&amp;START_MAXIMIZED=FALSE&amp;VAR:CALENDAR=US&amp;VAR:SYMBOL=WAT&amp;VAR:INDEX=0"}</definedName>
    <definedName name="_580__FDSAUDITLINK__" hidden="1">{"fdsup://directions/FAT Viewer?action=UPDATE&amp;creator=factset&amp;DYN_ARGS=TRUE&amp;DOC_NAME=FAT:FQL_AUDITING_CLIENT_TEMPLATE.FAT&amp;display_string=Audit&amp;VAR:KEY=NWNKLWTEFY&amp;VAR:QUERY=RkZfRUJJVERBX09QRVIoUVRSLDQvMS8yMDEwLDYvMzAvMjAxMCwsLFVTRCk=&amp;WINDOW=FIRST_POPUP&amp;HEIGH","T=450&amp;WIDTH=450&amp;START_MAXIMIZED=FALSE&amp;VAR:CALENDAR=US&amp;VAR:SYMBOL=HD&amp;VAR:INDEX=0"}</definedName>
    <definedName name="_581__FDSAUDITLINK__" hidden="1">{"fdsup://directions/FAT Viewer?action=UPDATE&amp;creator=factset&amp;DYN_ARGS=TRUE&amp;DOC_NAME=FAT:FQL_AUDITING_CLIENT_TEMPLATE.FAT&amp;display_string=Audit&amp;VAR:KEY=VIJKDGPEZQ&amp;VAR:QUERY=RkZfRUJJVERBX09QRVIoUVRSLDQvMS8yMDA5LDYvMzAvMjAwOSwsLFVTRCk=&amp;WINDOW=FIRST_POPUP&amp;HEIGH","T=450&amp;WIDTH=450&amp;START_MAXIMIZED=FALSE&amp;VAR:CALENDAR=US&amp;VAR:SYMBOL=HCP&amp;VAR:INDEX=0"}</definedName>
    <definedName name="_582__FDSAUDITLINK__" hidden="1">{"fdsup://directions/FAT Viewer?action=UPDATE&amp;creator=factset&amp;DYN_ARGS=TRUE&amp;DOC_NAME=FAT:FQL_AUDITING_CLIENT_TEMPLATE.FAT&amp;display_string=Audit&amp;VAR:KEY=XKREZGNMZI&amp;VAR:QUERY=RkZfRUJJVERBX09QRVIoUVRSLDQvMS8yMDEwLDYvMzAvMjAxMCwsLFVTRCk=&amp;WINDOW=FIRST_POPUP&amp;HEIGH","T=450&amp;WIDTH=450&amp;START_MAXIMIZED=FALSE&amp;VAR:CALENDAR=US&amp;VAR:SYMBOL=HCP&amp;VAR:INDEX=0"}</definedName>
    <definedName name="_583__FDSAUDITLINK__" hidden="1">{"fdsup://directions/FAT Viewer?action=UPDATE&amp;creator=factset&amp;DYN_ARGS=TRUE&amp;DOC_NAME=FAT:FQL_AUDITING_CLIENT_TEMPLATE.FAT&amp;display_string=Audit&amp;VAR:KEY=RADIDSBOHE&amp;VAR:QUERY=RkZfRUJJVERBX09QRVIoUVRSLDQvMS8yMDA5LDYvMzAvMjAwOSwsLFVTRCk=&amp;WINDOW=FIRST_POPUP&amp;HEIGH","T=450&amp;WIDTH=450&amp;START_MAXIMIZED=FALSE&amp;VAR:CALENDAR=US&amp;VAR:SYMBOL=HCN&amp;VAR:INDEX=0"}</definedName>
    <definedName name="_584__FDSAUDITLINK__" hidden="1">{"fdsup://directions/FAT Viewer?action=UPDATE&amp;creator=factset&amp;DYN_ARGS=TRUE&amp;DOC_NAME=FAT:FQL_AUDITING_CLIENT_TEMPLATE.FAT&amp;display_string=Audit&amp;VAR:KEY=XSNKTSXEPQ&amp;VAR:QUERY=RkZfRUJJVERBX09QRVIoUVRSLDQvMS8yMDEwLDYvMzAvMjAxMCwsLFVTRCk=&amp;WINDOW=FIRST_POPUP&amp;HEIGH","T=450&amp;WIDTH=450&amp;START_MAXIMIZED=FALSE&amp;VAR:CALENDAR=US&amp;VAR:SYMBOL=HCN&amp;VAR:INDEX=0"}</definedName>
    <definedName name="_585__FDSAUDITLINK__" hidden="1">{"fdsup://directions/FAT Viewer?action=UPDATE&amp;creator=factset&amp;DYN_ARGS=TRUE&amp;DOC_NAME=FAT:FQL_AUDITING_CLIENT_TEMPLATE.FAT&amp;display_string=Audit&amp;VAR:KEY=XOHSNOPGBO&amp;VAR:QUERY=RkZfRUJJVERBX09QRVIoUVRSLDQvMS8yMDA5LDYvMzAvMjAwOSwsLFVTRCk=&amp;WINDOW=FIRST_POPUP&amp;HEIGH","T=450&amp;WIDTH=450&amp;START_MAXIMIZED=FALSE&amp;VAR:CALENDAR=US&amp;VAR:SYMBOL=HCBK&amp;VAR:INDEX=0"}</definedName>
    <definedName name="_586__FDSAUDITLINK__" hidden="1">{"fdsup://directions/FAT Viewer?action=UPDATE&amp;creator=factset&amp;DYN_ARGS=TRUE&amp;DOC_NAME=FAT:FQL_AUDITING_CLIENT_TEMPLATE.FAT&amp;display_string=Audit&amp;VAR:KEY=NEFSLYDQNA&amp;VAR:QUERY=RkZfRUJJVERBX09QRVIoUVRSLDQvMS8yMDEwLDYvMzAvMjAxMCwsLFVTRCk=&amp;WINDOW=FIRST_POPUP&amp;HEIGH","T=450&amp;WIDTH=450&amp;START_MAXIMIZED=FALSE&amp;VAR:CALENDAR=US&amp;VAR:SYMBOL=HCBK&amp;VAR:INDEX=0"}</definedName>
    <definedName name="_587__FDSAUDITLINK__" hidden="1">{"fdsup://directions/FAT Viewer?action=UPDATE&amp;creator=factset&amp;DYN_ARGS=TRUE&amp;DOC_NAME=FAT:FQL_AUDITING_CLIENT_TEMPLATE.FAT&amp;display_string=Audit&amp;VAR:KEY=HIFOBWNEPW&amp;VAR:QUERY=RkZfRUJJVERBX09QRVIoUVRSLDQvMS8yMDA5LDYvMzAvMjAwOSwsLFVTRCk=&amp;WINDOW=FIRST_POPUP&amp;HEIGH","T=450&amp;WIDTH=450&amp;START_MAXIMIZED=FALSE&amp;VAR:CALENDAR=US&amp;VAR:SYMBOL=HBAN&amp;VAR:INDEX=0"}</definedName>
    <definedName name="_588__FDSAUDITLINK__" hidden="1">{"fdsup://directions/FAT Viewer?action=UPDATE&amp;creator=factset&amp;DYN_ARGS=TRUE&amp;DOC_NAME=FAT:FQL_AUDITING_CLIENT_TEMPLATE.FAT&amp;display_string=Audit&amp;VAR:KEY=ZAXIXIBWLS&amp;VAR:QUERY=RkZfRUJJVERBX09QRVIoUVRSLDQvMS8yMDEwLDYvMzAvMjAxMCwsLFVTRCk=&amp;WINDOW=FIRST_POPUP&amp;HEIGH","T=450&amp;WIDTH=450&amp;START_MAXIMIZED=FALSE&amp;VAR:CALENDAR=US&amp;VAR:SYMBOL=HBAN&amp;VAR:INDEX=0"}</definedName>
    <definedName name="_589__FDSAUDITLINK__" hidden="1">{"fdsup://directions/FAT Viewer?action=UPDATE&amp;creator=factset&amp;DYN_ARGS=TRUE&amp;DOC_NAME=FAT:FQL_AUDITING_CLIENT_TEMPLATE.FAT&amp;display_string=Audit&amp;VAR:KEY=BAVEVWJCRA&amp;VAR:QUERY=RkZfRUJJVERBX09QRVIoUVRSLDQvMS8yMDA5LDYvMzAvMjAwOSwsLFVTRCk=&amp;WINDOW=FIRST_POPUP&amp;HEIGH","T=450&amp;WIDTH=450&amp;START_MAXIMIZED=FALSE&amp;VAR:CALENDAR=US&amp;VAR:SYMBOL=HAS&amp;VAR:INDEX=0"}</definedName>
    <definedName name="_59__123Graph_FCONTRACT_BY_B_U">#REF!</definedName>
    <definedName name="_59__FDSAUDITLINK__" hidden="1">{"fdsup://directions/FAT Viewer?action=UPDATE&amp;creator=factset&amp;DYN_ARGS=TRUE&amp;DOC_NAME=FAT:FQL_AUDITING_CLIENT_TEMPLATE.FAT&amp;display_string=Audit&amp;VAR:KEY=BYVSZEXUDA&amp;VAR:QUERY=RkZfRUJJVERBX09QRVIoUVRSLDQvMS8yMDA5LDYvMzAvMjAwOSwsLFVTRCk=&amp;WINDOW=FIRST_POPUP&amp;HEIGH","T=450&amp;WIDTH=450&amp;START_MAXIMIZED=FALSE&amp;VAR:CALENDAR=US&amp;VAR:SYMBOL=WAG&amp;VAR:INDEX=0"}</definedName>
    <definedName name="_590__FDSAUDITLINK__" hidden="1">{"fdsup://directions/FAT Viewer?action=UPDATE&amp;creator=factset&amp;DYN_ARGS=TRUE&amp;DOC_NAME=FAT:FQL_AUDITING_CLIENT_TEMPLATE.FAT&amp;display_string=Audit&amp;VAR:KEY=ZGLEPSPUNC&amp;VAR:QUERY=RkZfRUJJVERBX09QRVIoUVRSLDQvMS8yMDEwLDYvMzAvMjAxMCwsLFVTRCk=&amp;WINDOW=FIRST_POPUP&amp;HEIGH","T=450&amp;WIDTH=450&amp;START_MAXIMIZED=FALSE&amp;VAR:CALENDAR=US&amp;VAR:SYMBOL=HAS&amp;VAR:INDEX=0"}</definedName>
    <definedName name="_591__FDSAUDITLINK__" hidden="1">{"fdsup://directions/FAT Viewer?action=UPDATE&amp;creator=factset&amp;DYN_ARGS=TRUE&amp;DOC_NAME=FAT:FQL_AUDITING_CLIENT_TEMPLATE.FAT&amp;display_string=Audit&amp;VAR:KEY=NSPIVOZUTC&amp;VAR:QUERY=RkZfRUJJVERBX09QRVIoUVRSLDQvMS8yMDA5LDYvMzAvMjAwOSwsLFVTRCk=&amp;WINDOW=FIRST_POPUP&amp;HEIGH","T=450&amp;WIDTH=450&amp;START_MAXIMIZED=FALSE&amp;VAR:CALENDAR=US&amp;VAR:SYMBOL=HAR&amp;VAR:INDEX=0"}</definedName>
    <definedName name="_592__FDSAUDITLINK__" hidden="1">{"fdsup://directions/FAT Viewer?action=UPDATE&amp;creator=factset&amp;DYN_ARGS=TRUE&amp;DOC_NAME=FAT:FQL_AUDITING_CLIENT_TEMPLATE.FAT&amp;display_string=Audit&amp;VAR:KEY=ZWRSHWHCXW&amp;VAR:QUERY=RkZfRUJJVERBX09QRVIoUVRSLDQvMS8yMDEwLDYvMzAvMjAxMCwsLFVTRCk=&amp;WINDOW=FIRST_POPUP&amp;HEIGH","T=450&amp;WIDTH=450&amp;START_MAXIMIZED=FALSE&amp;VAR:CALENDAR=US&amp;VAR:SYMBOL=HAR&amp;VAR:INDEX=0"}</definedName>
    <definedName name="_593__FDSAUDITLINK__" hidden="1">{"fdsup://directions/FAT Viewer?action=UPDATE&amp;creator=factset&amp;DYN_ARGS=TRUE&amp;DOC_NAME=FAT:FQL_AUDITING_CLIENT_TEMPLATE.FAT&amp;display_string=Audit&amp;VAR:KEY=HMRYFOJSVE&amp;VAR:QUERY=RkZfRUJJVERBX09QRVIoUVRSLDQvMS8yMDA5LDYvMzAvMjAwOSwsLFVTRCk=&amp;WINDOW=FIRST_POPUP&amp;HEIGH","T=450&amp;WIDTH=450&amp;START_MAXIMIZED=FALSE&amp;VAR:CALENDAR=US&amp;VAR:SYMBOL=HAL&amp;VAR:INDEX=0"}</definedName>
    <definedName name="_594__FDSAUDITLINK__" hidden="1">{"fdsup://directions/FAT Viewer?action=UPDATE&amp;creator=factset&amp;DYN_ARGS=TRUE&amp;DOC_NAME=FAT:FQL_AUDITING_CLIENT_TEMPLATE.FAT&amp;display_string=Audit&amp;VAR:KEY=XOPKVWPCHQ&amp;VAR:QUERY=RkZfRUJJVERBX09QRVIoUVRSLDQvMS8yMDEwLDYvMzAvMjAxMCwsLFVTRCk=&amp;WINDOW=FIRST_POPUP&amp;HEIGH","T=450&amp;WIDTH=450&amp;START_MAXIMIZED=FALSE&amp;VAR:CALENDAR=US&amp;VAR:SYMBOL=HAL&amp;VAR:INDEX=0"}</definedName>
    <definedName name="_595__FDSAUDITLINK__" hidden="1">{"fdsup://directions/FAT Viewer?action=UPDATE&amp;creator=factset&amp;DYN_ARGS=TRUE&amp;DOC_NAME=FAT:FQL_AUDITING_CLIENT_TEMPLATE.FAT&amp;display_string=Audit&amp;VAR:KEY=VWLIHMXOJM&amp;VAR:QUERY=RkZfRUJJVERBX09QRVIoUVRSLDQvMS8yMDA5LDYvMzAvMjAwOSwsLFVTRCk=&amp;WINDOW=FIRST_POPUP&amp;HEIGH","T=450&amp;WIDTH=450&amp;START_MAXIMIZED=FALSE&amp;VAR:CALENDAR=US&amp;VAR:SYMBOL=GWW&amp;VAR:INDEX=0"}</definedName>
    <definedName name="_596__FDSAUDITLINK__" hidden="1">{"fdsup://directions/FAT Viewer?action=UPDATE&amp;creator=factset&amp;DYN_ARGS=TRUE&amp;DOC_NAME=FAT:FQL_AUDITING_CLIENT_TEMPLATE.FAT&amp;display_string=Audit&amp;VAR:KEY=PCLEHALCPQ&amp;VAR:QUERY=RkZfRUJJVERBX09QRVIoUVRSLDQvMS8yMDEwLDYvMzAvMjAxMCwsLFVTRCk=&amp;WINDOW=FIRST_POPUP&amp;HEIGH","T=450&amp;WIDTH=450&amp;START_MAXIMIZED=FALSE&amp;VAR:CALENDAR=US&amp;VAR:SYMBOL=GWW&amp;VAR:INDEX=0"}</definedName>
    <definedName name="_597__FDSAUDITLINK__" hidden="1">{"fdsup://directions/FAT Viewer?action=UPDATE&amp;creator=factset&amp;DYN_ARGS=TRUE&amp;DOC_NAME=FAT:FQL_AUDITING_CLIENT_TEMPLATE.FAT&amp;display_string=Audit&amp;VAR:KEY=RYXIXKBCXE&amp;VAR:QUERY=RkZfRUJJVERBX09QRVIoUVRSLDQvMS8yMDA5LDYvMzAvMjAwOSwsLFVTRCk=&amp;WINDOW=FIRST_POPUP&amp;HEIGH","T=450&amp;WIDTH=450&amp;START_MAXIMIZED=FALSE&amp;VAR:CALENDAR=US&amp;VAR:SYMBOL=GT&amp;VAR:INDEX=0"}</definedName>
    <definedName name="_598__FDSAUDITLINK__" hidden="1">{"fdsup://directions/FAT Viewer?action=UPDATE&amp;creator=factset&amp;DYN_ARGS=TRUE&amp;DOC_NAME=FAT:FQL_AUDITING_CLIENT_TEMPLATE.FAT&amp;display_string=Audit&amp;VAR:KEY=ZCRWDUXKRM&amp;VAR:QUERY=RkZfRUJJVERBX09QRVIoUVRSLDQvMS8yMDEwLDYvMzAvMjAxMCwsLFVTRCk=&amp;WINDOW=FIRST_POPUP&amp;HEIGH","T=450&amp;WIDTH=450&amp;START_MAXIMIZED=FALSE&amp;VAR:CALENDAR=US&amp;VAR:SYMBOL=GT&amp;VAR:INDEX=0"}</definedName>
    <definedName name="_599__FDSAUDITLINK__" hidden="1">{"fdsup://directions/FAT Viewer?action=UPDATE&amp;creator=factset&amp;DYN_ARGS=TRUE&amp;DOC_NAME=FAT:FQL_AUDITING_CLIENT_TEMPLATE.FAT&amp;display_string=Audit&amp;VAR:KEY=HIZATQLCTY&amp;VAR:QUERY=RkZfRUJJVERBX09QRVIoUVRSLDQvMS8yMDA5LDYvMzAvMjAwOSwsLFVTRCk=&amp;WINDOW=FIRST_POPUP&amp;HEIGH","T=450&amp;WIDTH=450&amp;START_MAXIMIZED=FALSE&amp;VAR:CALENDAR=US&amp;VAR:SYMBOL=GS&amp;VAR:INDEX=0"}</definedName>
    <definedName name="_6__FDSAUDITLINK__" hidden="1">{"fdsup://directions/FAT Viewer?action=UPDATE&amp;creator=factset&amp;DYN_ARGS=TRUE&amp;DOC_NAME=FAT:FQL_AUDITING_CLIENT_TEMPLATE.FAT&amp;display_string=Audit&amp;VAR:KEY=VENGBKJMHO&amp;VAR:QUERY=RkZfRUJJVERBX09QRVIoUVRSLDQvMS8yMDEwLDYvMzAvMjAxMCwsLFVTRCk=&amp;WINDOW=FIRST_POPUP&amp;HEIGH","T=450&amp;WIDTH=450&amp;START_MAXIMIZED=FALSE&amp;VAR:CALENDAR=US&amp;VAR:SYMBOL=YUM&amp;VAR:INDEX=0"}</definedName>
    <definedName name="_60__123Graph_FQRE_S_BY_CO.">#REF!</definedName>
    <definedName name="_60__FDSAUDITLINK__" hidden="1">{"fdsup://directions/FAT Viewer?action=UPDATE&amp;creator=factset&amp;DYN_ARGS=TRUE&amp;DOC_NAME=FAT:FQL_AUDITING_CLIENT_TEMPLATE.FAT&amp;display_string=Audit&amp;VAR:KEY=VUBSXILMJM&amp;VAR:QUERY=RkZfRUJJVERBX09QRVIoUVRSLDQvMS8yMDEwLDYvMzAvMjAxMCwsLFVTRCk=&amp;WINDOW=FIRST_POPUP&amp;HEIGH","T=450&amp;WIDTH=450&amp;START_MAXIMIZED=FALSE&amp;VAR:CALENDAR=US&amp;VAR:SYMBOL=WAG&amp;VAR:INDEX=0"}</definedName>
    <definedName name="_600__FDSAUDITLINK__" hidden="1">{"fdsup://directions/FAT Viewer?action=UPDATE&amp;creator=factset&amp;DYN_ARGS=TRUE&amp;DOC_NAME=FAT:FQL_AUDITING_CLIENT_TEMPLATE.FAT&amp;display_string=Audit&amp;VAR:KEY=ZMPIXSZSBA&amp;VAR:QUERY=RkZfRUJJVERBX09QRVIoUVRSLDQvMS8yMDEwLDYvMzAvMjAxMCwsLFVTRCk=&amp;WINDOW=FIRST_POPUP&amp;HEIGH","T=450&amp;WIDTH=450&amp;START_MAXIMIZED=FALSE&amp;VAR:CALENDAR=US&amp;VAR:SYMBOL=GS&amp;VAR:INDEX=0"}</definedName>
    <definedName name="_601__FDSAUDITLINK__" hidden="1">{"fdsup://directions/FAT Viewer?action=UPDATE&amp;creator=factset&amp;DYN_ARGS=TRUE&amp;DOC_NAME=FAT:FQL_AUDITING_CLIENT_TEMPLATE.FAT&amp;display_string=Audit&amp;VAR:KEY=LABCTEZCXQ&amp;VAR:QUERY=RkZfRUJJVERBX09QRVIoUVRSLDQvMS8yMDA5LDYvMzAvMjAwOSwsLFVTRCk=&amp;WINDOW=FIRST_POPUP&amp;HEIGH","T=450&amp;WIDTH=450&amp;START_MAXIMIZED=FALSE&amp;VAR:CALENDAR=US&amp;VAR:SYMBOL=GR&amp;VAR:INDEX=0"}</definedName>
    <definedName name="_602__FDSAUDITLINK__" hidden="1">{"fdsup://directions/FAT Viewer?action=UPDATE&amp;creator=factset&amp;DYN_ARGS=TRUE&amp;DOC_NAME=FAT:FQL_AUDITING_CLIENT_TEMPLATE.FAT&amp;display_string=Audit&amp;VAR:KEY=ROHWVCFGBW&amp;VAR:QUERY=RkZfRUJJVERBX09QRVIoUVRSLDQvMS8yMDEwLDYvMzAvMjAxMCwsLFVTRCk=&amp;WINDOW=FIRST_POPUP&amp;HEIGH","T=450&amp;WIDTH=450&amp;START_MAXIMIZED=FALSE&amp;VAR:CALENDAR=US&amp;VAR:SYMBOL=GR&amp;VAR:INDEX=0"}</definedName>
    <definedName name="_603__FDSAUDITLINK__" hidden="1">{"fdsup://directions/FAT Viewer?action=UPDATE&amp;creator=factset&amp;DYN_ARGS=TRUE&amp;DOC_NAME=FAT:FQL_AUDITING_CLIENT_TEMPLATE.FAT&amp;display_string=Audit&amp;VAR:KEY=ZIZYRSLQBI&amp;VAR:QUERY=RkZfRUJJVERBX09QRVIoUVRSLDQvMS8yMDA5LDYvMzAvMjAwOSwsLFVTRCk=&amp;WINDOW=FIRST_POPUP&amp;HEIGH","T=450&amp;WIDTH=450&amp;START_MAXIMIZED=FALSE&amp;VAR:CALENDAR=US&amp;VAR:SYMBOL=GPS&amp;VAR:INDEX=0"}</definedName>
    <definedName name="_604__FDSAUDITLINK__" hidden="1">{"fdsup://directions/FAT Viewer?action=UPDATE&amp;creator=factset&amp;DYN_ARGS=TRUE&amp;DOC_NAME=FAT:FQL_AUDITING_CLIENT_TEMPLATE.FAT&amp;display_string=Audit&amp;VAR:KEY=XALOZWXULE&amp;VAR:QUERY=RkZfRUJJVERBX09QRVIoUVRSLDQvMS8yMDEwLDYvMzAvMjAxMCwsLFVTRCk=&amp;WINDOW=FIRST_POPUP&amp;HEIGH","T=450&amp;WIDTH=450&amp;START_MAXIMIZED=FALSE&amp;VAR:CALENDAR=US&amp;VAR:SYMBOL=GPS&amp;VAR:INDEX=0"}</definedName>
    <definedName name="_605__FDSAUDITLINK__" hidden="1">{"fdsup://directions/FAT Viewer?action=UPDATE&amp;creator=factset&amp;DYN_ARGS=TRUE&amp;DOC_NAME=FAT:FQL_AUDITING_CLIENT_TEMPLATE.FAT&amp;display_string=Audit&amp;VAR:KEY=FITYRMXUBU&amp;VAR:QUERY=RkZfRUJJVERBX09QRVIoUVRSLDQvMS8yMDA5LDYvMzAvMjAwOSwsLFVTRCk=&amp;WINDOW=FIRST_POPUP&amp;HEIGH","T=450&amp;WIDTH=450&amp;START_MAXIMIZED=FALSE&amp;VAR:CALENDAR=US&amp;VAR:SYMBOL=GPC&amp;VAR:INDEX=0"}</definedName>
    <definedName name="_606__FDSAUDITLINK__" hidden="1">{"fdsup://directions/FAT Viewer?action=UPDATE&amp;creator=factset&amp;DYN_ARGS=TRUE&amp;DOC_NAME=FAT:FQL_AUDITING_CLIENT_TEMPLATE.FAT&amp;display_string=Audit&amp;VAR:KEY=HEDYVOBIVY&amp;VAR:QUERY=RkZfRUJJVERBX09QRVIoUVRSLDQvMS8yMDEwLDYvMzAvMjAxMCwsLFVTRCk=&amp;WINDOW=FIRST_POPUP&amp;HEIGH","T=450&amp;WIDTH=450&amp;START_MAXIMIZED=FALSE&amp;VAR:CALENDAR=US&amp;VAR:SYMBOL=GPC&amp;VAR:INDEX=0"}</definedName>
    <definedName name="_607__FDSAUDITLINK__" hidden="1">{"fdsup://directions/FAT Viewer?action=UPDATE&amp;creator=factset&amp;DYN_ARGS=TRUE&amp;DOC_NAME=FAT:FQL_AUDITING_CLIENT_TEMPLATE.FAT&amp;display_string=Audit&amp;VAR:KEY=BADQJMNKPK&amp;VAR:QUERY=RkZfRUJJVERBX09QRVIoUVRSLDQvMS8yMDA5LDYvMzAvMjAwOSwsLFVTRCk=&amp;WINDOW=FIRST_POPUP&amp;HEIGH","T=450&amp;WIDTH=450&amp;START_MAXIMIZED=FALSE&amp;VAR:CALENDAR=US&amp;VAR:SYMBOL=GOOG&amp;VAR:INDEX=0"}</definedName>
    <definedName name="_608__FDSAUDITLINK__" hidden="1">{"fdsup://directions/FAT Viewer?action=UPDATE&amp;creator=factset&amp;DYN_ARGS=TRUE&amp;DOC_NAME=FAT:FQL_AUDITING_CLIENT_TEMPLATE.FAT&amp;display_string=Audit&amp;VAR:KEY=VCBAJOZAZO&amp;VAR:QUERY=RkZfRUJJVERBX09QRVIoUVRSLDQvMS8yMDEwLDYvMzAvMjAxMCwsLFVTRCk=&amp;WINDOW=FIRST_POPUP&amp;HEIGH","T=450&amp;WIDTH=450&amp;START_MAXIMIZED=FALSE&amp;VAR:CALENDAR=US&amp;VAR:SYMBOL=GOOG&amp;VAR:INDEX=0"}</definedName>
    <definedName name="_609__FDSAUDITLINK__" hidden="1">{"fdsup://directions/FAT Viewer?action=UPDATE&amp;creator=factset&amp;DYN_ARGS=TRUE&amp;DOC_NAME=FAT:FQL_AUDITING_CLIENT_TEMPLATE.FAT&amp;display_string=Audit&amp;VAR:KEY=ZSNAHGRAHO&amp;VAR:QUERY=RkZfRUJJVERBX09QRVIoUVRSLDQvMS8yMDA5LDYvMzAvMjAwOSwsLFVTRCk=&amp;WINDOW=FIRST_POPUP&amp;HEIGH","T=450&amp;WIDTH=450&amp;START_MAXIMIZED=FALSE&amp;VAR:CALENDAR=US&amp;VAR:SYMBOL=GNW&amp;VAR:INDEX=0"}</definedName>
    <definedName name="_61__123Graph_FSUPPLIES_BY_B_U">#REF!</definedName>
    <definedName name="_61__FDSAUDITLINK__" hidden="1">{"fdsup://directions/FAT Viewer?action=UPDATE&amp;creator=factset&amp;DYN_ARGS=TRUE&amp;DOC_NAME=FAT:FQL_AUDITING_CLIENT_TEMPLATE.FAT&amp;display_string=Audit&amp;VAR:KEY=TWRMDUXGBK&amp;VAR:QUERY=RkZfRUJJVERBX09QRVIoUVRSLDQvMS8yMDA5LDYvMzAvMjAwOSwsLFVTRCk=&amp;WINDOW=FIRST_POPUP&amp;HEIGH","T=450&amp;WIDTH=450&amp;START_MAXIMIZED=FALSE&amp;VAR:CALENDAR=US&amp;VAR:SYMBOL=VZ&amp;VAR:INDEX=0"}</definedName>
    <definedName name="_610__FDSAUDITLINK__" hidden="1">{"fdsup://directions/FAT Viewer?action=UPDATE&amp;creator=factset&amp;DYN_ARGS=TRUE&amp;DOC_NAME=FAT:FQL_AUDITING_CLIENT_TEMPLATE.FAT&amp;display_string=Audit&amp;VAR:KEY=RAZALQXGBK&amp;VAR:QUERY=RkZfRUJJVERBX09QRVIoUVRSLDQvMS8yMDEwLDYvMzAvMjAxMCwsLFVTRCk=&amp;WINDOW=FIRST_POPUP&amp;HEIGH","T=450&amp;WIDTH=450&amp;START_MAXIMIZED=FALSE&amp;VAR:CALENDAR=US&amp;VAR:SYMBOL=GNW&amp;VAR:INDEX=0"}</definedName>
    <definedName name="_611__FDSAUDITLINK__" hidden="1">{"fdsup://directions/FAT Viewer?action=UPDATE&amp;creator=factset&amp;DYN_ARGS=TRUE&amp;DOC_NAME=FAT:FQL_AUDITING_CLIENT_TEMPLATE.FAT&amp;display_string=Audit&amp;VAR:KEY=NMVQVOHYVY&amp;VAR:QUERY=RkZfRUJJVERBX09QRVIoUVRSLDQvMS8yMDA5LDYvMzAvMjAwOSwsLFVTRCk=&amp;WINDOW=FIRST_POPUP&amp;HEIGH","T=450&amp;WIDTH=450&amp;START_MAXIMIZED=FALSE&amp;VAR:CALENDAR=US&amp;VAR:SYMBOL=GME&amp;VAR:INDEX=0"}</definedName>
    <definedName name="_612__FDSAUDITLINK__" hidden="1">{"fdsup://directions/FAT Viewer?action=UPDATE&amp;creator=factset&amp;DYN_ARGS=TRUE&amp;DOC_NAME=FAT:FQL_AUDITING_CLIENT_TEMPLATE.FAT&amp;display_string=Audit&amp;VAR:KEY=TMJSVITSZU&amp;VAR:QUERY=RkZfRUJJVERBX09QRVIoUVRSLDQvMS8yMDEwLDYvMzAvMjAxMCwsLFVTRCk=&amp;WINDOW=FIRST_POPUP&amp;HEIGH","T=450&amp;WIDTH=450&amp;START_MAXIMIZED=FALSE&amp;VAR:CALENDAR=US&amp;VAR:SYMBOL=GME&amp;VAR:INDEX=0"}</definedName>
    <definedName name="_613__FDSAUDITLINK__" hidden="1">{"fdsup://directions/FAT Viewer?action=UPDATE&amp;creator=factset&amp;DYN_ARGS=TRUE&amp;DOC_NAME=FAT:FQL_AUDITING_CLIENT_TEMPLATE.FAT&amp;display_string=Audit&amp;VAR:KEY=PGDKLSTWDU&amp;VAR:QUERY=RkZfRUJJVERBX09QRVIoUVRSLDQvMS8yMDA5LDYvMzAvMjAwOSwsLFVTRCk=&amp;WINDOW=FIRST_POPUP&amp;HEIGH","T=450&amp;WIDTH=450&amp;START_MAXIMIZED=FALSE&amp;VAR:CALENDAR=US&amp;VAR:SYMBOL=GLW&amp;VAR:INDEX=0"}</definedName>
    <definedName name="_614__FDSAUDITLINK__" hidden="1">{"fdsup://directions/FAT Viewer?action=UPDATE&amp;creator=factset&amp;DYN_ARGS=TRUE&amp;DOC_NAME=FAT:FQL_AUDITING_CLIENT_TEMPLATE.FAT&amp;display_string=Audit&amp;VAR:KEY=FYDMXSNYVK&amp;VAR:QUERY=RkZfRUJJVERBX09QRVIoUVRSLDQvMS8yMDEwLDYvMzAvMjAxMCwsLFVTRCk=&amp;WINDOW=FIRST_POPUP&amp;HEIGH","T=450&amp;WIDTH=450&amp;START_MAXIMIZED=FALSE&amp;VAR:CALENDAR=US&amp;VAR:SYMBOL=GLW&amp;VAR:INDEX=0"}</definedName>
    <definedName name="_615__FDSAUDITLINK__" hidden="1">{"fdsup://directions/FAT Viewer?action=UPDATE&amp;creator=factset&amp;DYN_ARGS=TRUE&amp;DOC_NAME=FAT:FQL_AUDITING_CLIENT_TEMPLATE.FAT&amp;display_string=Audit&amp;VAR:KEY=DWZWHMJMZM&amp;VAR:QUERY=RkZfRUJJVERBX09QRVIoUVRSLDQvMS8yMDA5LDYvMzAvMjAwOSwsLFVTRCk=&amp;WINDOW=FIRST_POPUP&amp;HEIGH","T=450&amp;WIDTH=450&amp;START_MAXIMIZED=FALSE&amp;VAR:CALENDAR=US&amp;VAR:SYMBOL=GIS&amp;VAR:INDEX=0"}</definedName>
    <definedName name="_616__FDSAUDITLINK__" hidden="1">{"fdsup://directions/FAT Viewer?action=UPDATE&amp;creator=factset&amp;DYN_ARGS=TRUE&amp;DOC_NAME=FAT:FQL_AUDITING_CLIENT_TEMPLATE.FAT&amp;display_string=Audit&amp;VAR:KEY=RIHOFKROZQ&amp;VAR:QUERY=RkZfRUJJVERBX09QRVIoUVRSLDQvMS8yMDEwLDYvMzAvMjAxMCwsLFVTRCk=&amp;WINDOW=FIRST_POPUP&amp;HEIGH","T=450&amp;WIDTH=450&amp;START_MAXIMIZED=FALSE&amp;VAR:CALENDAR=US&amp;VAR:SYMBOL=GIS&amp;VAR:INDEX=0"}</definedName>
    <definedName name="_617__FDSAUDITLINK__" hidden="1">{"fdsup://directions/FAT Viewer?action=UPDATE&amp;creator=factset&amp;DYN_ARGS=TRUE&amp;DOC_NAME=FAT:FQL_AUDITING_CLIENT_TEMPLATE.FAT&amp;display_string=Audit&amp;VAR:KEY=BGFOTGZAVM&amp;VAR:QUERY=RkZfRUJJVERBX09QRVIoUVRSLDQvMS8yMDA5LDYvMzAvMjAwOSwsLFVTRCk=&amp;WINDOW=FIRST_POPUP&amp;HEIGH","T=450&amp;WIDTH=450&amp;START_MAXIMIZED=FALSE&amp;VAR:CALENDAR=US&amp;VAR:SYMBOL=GILD&amp;VAR:INDEX=0"}</definedName>
    <definedName name="_618__FDSAUDITLINK__" hidden="1">{"fdsup://directions/FAT Viewer?action=UPDATE&amp;creator=factset&amp;DYN_ARGS=TRUE&amp;DOC_NAME=FAT:FQL_AUDITING_CLIENT_TEMPLATE.FAT&amp;display_string=Audit&amp;VAR:KEY=DENYDEVYLE&amp;VAR:QUERY=RkZfRUJJVERBX09QRVIoUVRSLDQvMS8yMDEwLDYvMzAvMjAxMCwsLFVTRCk=&amp;WINDOW=FIRST_POPUP&amp;HEIGH","T=450&amp;WIDTH=450&amp;START_MAXIMIZED=FALSE&amp;VAR:CALENDAR=US&amp;VAR:SYMBOL=GILD&amp;VAR:INDEX=0"}</definedName>
    <definedName name="_619__FDSAUDITLINK__" hidden="1">{"fdsup://directions/FAT Viewer?action=UPDATE&amp;creator=factset&amp;DYN_ARGS=TRUE&amp;DOC_NAME=FAT:FQL_AUDITING_CLIENT_TEMPLATE.FAT&amp;display_string=Audit&amp;VAR:KEY=RIBOHWXGHK&amp;VAR:QUERY=RkZfRUJJVERBX09QRVIoUVRSLDQvMS8yMDA5LDYvMzAvMjAwOSwsLFVTRCk=&amp;WINDOW=FIRST_POPUP&amp;HEIGH","T=450&amp;WIDTH=450&amp;START_MAXIMIZED=FALSE&amp;VAR:CALENDAR=US&amp;VAR:SYMBOL=GENZ&amp;VAR:INDEX=0"}</definedName>
    <definedName name="_62__123Graph_FWAGES_BY_B_U">#REF!</definedName>
    <definedName name="_62__FDSAUDITLINK__" hidden="1">{"fdsup://directions/FAT Viewer?action=UPDATE&amp;creator=factset&amp;DYN_ARGS=TRUE&amp;DOC_NAME=FAT:FQL_AUDITING_CLIENT_TEMPLATE.FAT&amp;display_string=Audit&amp;VAR:KEY=XWXMRCJGTU&amp;VAR:QUERY=RkZfRUJJVERBX09QRVIoUVRSLDQvMS8yMDEwLDYvMzAvMjAxMCwsLFVTRCk=&amp;WINDOW=FIRST_POPUP&amp;HEIGH","T=450&amp;WIDTH=450&amp;START_MAXIMIZED=FALSE&amp;VAR:CALENDAR=US&amp;VAR:SYMBOL=VZ&amp;VAR:INDEX=0"}</definedName>
    <definedName name="_620__FDSAUDITLINK__" hidden="1">{"fdsup://directions/FAT Viewer?action=UPDATE&amp;creator=factset&amp;DYN_ARGS=TRUE&amp;DOC_NAME=FAT:FQL_AUDITING_CLIENT_TEMPLATE.FAT&amp;display_string=Audit&amp;VAR:KEY=TQBGZUJSRC&amp;VAR:QUERY=RkZfRUJJVERBX09QRVIoUVRSLDQvMS8yMDEwLDYvMzAvMjAxMCwsLFVTRCk=&amp;WINDOW=FIRST_POPUP&amp;HEIGH","T=450&amp;WIDTH=450&amp;START_MAXIMIZED=FALSE&amp;VAR:CALENDAR=US&amp;VAR:SYMBOL=GENZ&amp;VAR:INDEX=0"}</definedName>
    <definedName name="_621__FDSAUDITLINK__" hidden="1">{"fdsup://directions/FAT Viewer?action=UPDATE&amp;creator=factset&amp;DYN_ARGS=TRUE&amp;DOC_NAME=FAT:FQL_AUDITING_CLIENT_TEMPLATE.FAT&amp;display_string=Audit&amp;VAR:KEY=NGLCNCBMTG&amp;VAR:QUERY=RkZfRUJJVERBX09QRVIoUVRSLDQvMS8yMDA5LDYvMzAvMjAwOSwsLFVTRCk=&amp;WINDOW=FIRST_POPUP&amp;HEIGH","T=450&amp;WIDTH=450&amp;START_MAXIMIZED=FALSE&amp;VAR:CALENDAR=US&amp;VAR:SYMBOL=GE&amp;VAR:INDEX=0"}</definedName>
    <definedName name="_622__FDSAUDITLINK__" hidden="1">{"fdsup://directions/FAT Viewer?action=UPDATE&amp;creator=factset&amp;DYN_ARGS=TRUE&amp;DOC_NAME=FAT:FQL_AUDITING_CLIENT_TEMPLATE.FAT&amp;display_string=Audit&amp;VAR:KEY=VELCHEZYZU&amp;VAR:QUERY=RkZfRUJJVERBX09QRVIoUVRSLDQvMS8yMDEwLDYvMzAvMjAxMCwsLFVTRCk=&amp;WINDOW=FIRST_POPUP&amp;HEIGH","T=450&amp;WIDTH=450&amp;START_MAXIMIZED=FALSE&amp;VAR:CALENDAR=US&amp;VAR:SYMBOL=GE&amp;VAR:INDEX=0"}</definedName>
    <definedName name="_623__FDSAUDITLINK__" hidden="1">{"fdsup://directions/FAT Viewer?action=UPDATE&amp;creator=factset&amp;DYN_ARGS=TRUE&amp;DOC_NAME=FAT:FQL_AUDITING_CLIENT_TEMPLATE.FAT&amp;display_string=Audit&amp;VAR:KEY=JONMNQLKFG&amp;VAR:QUERY=RkZfRUJJVERBX09QRVIoUVRSLDQvMS8yMDA5LDYvMzAvMjAwOSwsLFVTRCk=&amp;WINDOW=FIRST_POPUP&amp;HEIGH","T=450&amp;WIDTH=450&amp;START_MAXIMIZED=FALSE&amp;VAR:CALENDAR=US&amp;VAR:SYMBOL=GD&amp;VAR:INDEX=0"}</definedName>
    <definedName name="_624__FDSAUDITLINK__" hidden="1">{"fdsup://directions/FAT Viewer?action=UPDATE&amp;creator=factset&amp;DYN_ARGS=TRUE&amp;DOC_NAME=FAT:FQL_AUDITING_CLIENT_TEMPLATE.FAT&amp;display_string=Audit&amp;VAR:KEY=HYZSZUTCDM&amp;VAR:QUERY=RkZfRUJJVERBX09QRVIoUVRSLDQvMS8yMDEwLDYvMzAvMjAxMCwsLFVTRCk=&amp;WINDOW=FIRST_POPUP&amp;HEIGH","T=450&amp;WIDTH=450&amp;START_MAXIMIZED=FALSE&amp;VAR:CALENDAR=US&amp;VAR:SYMBOL=GD&amp;VAR:INDEX=0"}</definedName>
    <definedName name="_625__FDSAUDITLINK__" hidden="1">{"fdsup://directions/FAT Viewer?action=UPDATE&amp;creator=factset&amp;DYN_ARGS=TRUE&amp;DOC_NAME=FAT:FQL_AUDITING_CLIENT_TEMPLATE.FAT&amp;display_string=Audit&amp;VAR:KEY=ZOPKHGXYNI&amp;VAR:QUERY=RkZfRUJJVERBX09QRVIoUVRSLDQvMS8yMDA5LDYvMzAvMjAwOSwsLFVTRCk=&amp;WINDOW=FIRST_POPUP&amp;HEIGH","T=450&amp;WIDTH=450&amp;START_MAXIMIZED=FALSE&amp;VAR:CALENDAR=US&amp;VAR:SYMBOL=GCI&amp;VAR:INDEX=0"}</definedName>
    <definedName name="_626__FDSAUDITLINK__" hidden="1">{"fdsup://directions/FAT Viewer?action=UPDATE&amp;creator=factset&amp;DYN_ARGS=TRUE&amp;DOC_NAME=FAT:FQL_AUDITING_CLIENT_TEMPLATE.FAT&amp;display_string=Audit&amp;VAR:KEY=XIHKZSHGVG&amp;VAR:QUERY=RkZfRUJJVERBX09QRVIoUVRSLDQvMS8yMDEwLDYvMzAvMjAxMCwsLFVTRCk=&amp;WINDOW=FIRST_POPUP&amp;HEIGH","T=450&amp;WIDTH=450&amp;START_MAXIMIZED=FALSE&amp;VAR:CALENDAR=US&amp;VAR:SYMBOL=GCI&amp;VAR:INDEX=0"}</definedName>
    <definedName name="_627__FDSAUDITLINK__" hidden="1">{"fdsup://directions/FAT Viewer?action=UPDATE&amp;creator=factset&amp;DYN_ARGS=TRUE&amp;DOC_NAME=FAT:FQL_AUDITING_CLIENT_TEMPLATE.FAT&amp;display_string=Audit&amp;VAR:KEY=NWJEPWJWHM&amp;VAR:QUERY=RkZfRUJJVERBX09QRVIoUVRSLDQvMS8yMDA5LDYvMzAvMjAwOSwsLFVTRCk=&amp;WINDOW=FIRST_POPUP&amp;HEIGH","T=450&amp;WIDTH=450&amp;START_MAXIMIZED=FALSE&amp;VAR:CALENDAR=US&amp;VAR:SYMBOL=GAS&amp;VAR:INDEX=0"}</definedName>
    <definedName name="_628__FDSAUDITLINK__" hidden="1">{"fdsup://directions/FAT Viewer?action=UPDATE&amp;creator=factset&amp;DYN_ARGS=TRUE&amp;DOC_NAME=FAT:FQL_AUDITING_CLIENT_TEMPLATE.FAT&amp;display_string=Audit&amp;VAR:KEY=DELCHGFIZK&amp;VAR:QUERY=RkZfRUJJVERBX09QRVIoUVRSLDQvMS8yMDEwLDYvMzAvMjAxMCwsLFVTRCk=&amp;WINDOW=FIRST_POPUP&amp;HEIGH","T=450&amp;WIDTH=450&amp;START_MAXIMIZED=FALSE&amp;VAR:CALENDAR=US&amp;VAR:SYMBOL=GAS&amp;VAR:INDEX=0"}</definedName>
    <definedName name="_629__FDSAUDITLINK__" hidden="1">{"fdsup://directions/FAT Viewer?action=UPDATE&amp;creator=factset&amp;DYN_ARGS=TRUE&amp;DOC_NAME=FAT:FQL_AUDITING_CLIENT_TEMPLATE.FAT&amp;display_string=Audit&amp;VAR:KEY=PSBEPOTQFI&amp;VAR:QUERY=RkZfRUJJVERBX09QRVIoUVRSLDQvMS8yMDA5LDYvMzAvMjAwOSwsLFVTRCk=&amp;WINDOW=FIRST_POPUP&amp;HEIGH","T=450&amp;WIDTH=450&amp;START_MAXIMIZED=FALSE&amp;VAR:CALENDAR=US&amp;VAR:SYMBOL=FTR&amp;VAR:INDEX=0"}</definedName>
    <definedName name="_63__123Graph_XCONTRACT_BY_B_U">#REF!</definedName>
    <definedName name="_63__FDSAUDITLINK__" hidden="1">{"fdsup://directions/FAT Viewer?action=UPDATE&amp;creator=factset&amp;DYN_ARGS=TRUE&amp;DOC_NAME=FAT:FQL_AUDITING_CLIENT_TEMPLATE.FAT&amp;display_string=Audit&amp;VAR:KEY=JYTWPOHYXI&amp;VAR:QUERY=RkZfRUJJVERBX09QRVIoUVRSLDQvMS8yMDA5LDYvMzAvMjAwOSwsLFVTRCk=&amp;WINDOW=FIRST_POPUP&amp;HEIGH","T=450&amp;WIDTH=450&amp;START_MAXIMIZED=FALSE&amp;VAR:CALENDAR=US&amp;VAR:SYMBOL=VTR&amp;VAR:INDEX=0"}</definedName>
    <definedName name="_630__FDSAUDITLINK__" hidden="1">{"fdsup://directions/FAT Viewer?action=UPDATE&amp;creator=factset&amp;DYN_ARGS=TRUE&amp;DOC_NAME=FAT:FQL_AUDITING_CLIENT_TEMPLATE.FAT&amp;display_string=Audit&amp;VAR:KEY=PYTORKRKXA&amp;VAR:QUERY=RkZfRUJJVERBX09QRVIoUVRSLDQvMS8yMDEwLDYvMzAvMjAxMCwsLFVTRCk=&amp;WINDOW=FIRST_POPUP&amp;HEIGH","T=450&amp;WIDTH=450&amp;START_MAXIMIZED=FALSE&amp;VAR:CALENDAR=US&amp;VAR:SYMBOL=FTR&amp;VAR:INDEX=0"}</definedName>
    <definedName name="_631__FDSAUDITLINK__" hidden="1">{"fdsup://directions/FAT Viewer?action=UPDATE&amp;creator=factset&amp;DYN_ARGS=TRUE&amp;DOC_NAME=FAT:FQL_AUDITING_CLIENT_TEMPLATE.FAT&amp;display_string=Audit&amp;VAR:KEY=JITQVIHKBS&amp;VAR:QUERY=RkZfRUJJVERBX09QRVIoUVRSLDQvMS8yMDA5LDYvMzAvMjAwOSwsLFVTRCk=&amp;WINDOW=FIRST_POPUP&amp;HEIGH","T=450&amp;WIDTH=450&amp;START_MAXIMIZED=FALSE&amp;VAR:CALENDAR=US&amp;VAR:SYMBOL=FTI&amp;VAR:INDEX=0"}</definedName>
    <definedName name="_632__FDSAUDITLINK__" hidden="1">{"fdsup://directions/FAT Viewer?action=UPDATE&amp;creator=factset&amp;DYN_ARGS=TRUE&amp;DOC_NAME=FAT:FQL_AUDITING_CLIENT_TEMPLATE.FAT&amp;display_string=Audit&amp;VAR:KEY=FKFUBADUNC&amp;VAR:QUERY=RkZfRUJJVERBX09QRVIoUVRSLDQvMS8yMDEwLDYvMzAvMjAxMCwsLFVTRCk=&amp;WINDOW=FIRST_POPUP&amp;HEIGH","T=450&amp;WIDTH=450&amp;START_MAXIMIZED=FALSE&amp;VAR:CALENDAR=US&amp;VAR:SYMBOL=FTI&amp;VAR:INDEX=0"}</definedName>
    <definedName name="_633__FDSAUDITLINK__" hidden="1">{"fdsup://directions/FAT Viewer?action=UPDATE&amp;creator=factset&amp;DYN_ARGS=TRUE&amp;DOC_NAME=FAT:FQL_AUDITING_CLIENT_TEMPLATE.FAT&amp;display_string=Audit&amp;VAR:KEY=BIDGVSHURM&amp;VAR:QUERY=RkZfRUJJVERBX09QRVIoUVRSLDQvMS8yMDA5LDYvMzAvMjAwOSwsLFVTRCk=&amp;WINDOW=FIRST_POPUP&amp;HEIGH","T=450&amp;WIDTH=450&amp;START_MAXIMIZED=FALSE&amp;VAR:CALENDAR=US&amp;VAR:SYMBOL=FSLR&amp;VAR:INDEX=0"}</definedName>
    <definedName name="_634__FDSAUDITLINK__" hidden="1">{"fdsup://directions/FAT Viewer?action=UPDATE&amp;creator=factset&amp;DYN_ARGS=TRUE&amp;DOC_NAME=FAT:FQL_AUDITING_CLIENT_TEMPLATE.FAT&amp;display_string=Audit&amp;VAR:KEY=BYNYJMLOJK&amp;VAR:QUERY=RkZfRUJJVERBX09QRVIoUVRSLDQvMS8yMDEwLDYvMzAvMjAxMCwsLFVTRCk=&amp;WINDOW=FIRST_POPUP&amp;HEIGH","T=450&amp;WIDTH=450&amp;START_MAXIMIZED=FALSE&amp;VAR:CALENDAR=US&amp;VAR:SYMBOL=FSLR&amp;VAR:INDEX=0"}</definedName>
    <definedName name="_635__FDSAUDITLINK__" hidden="1">{"fdsup://directions/FAT Viewer?action=UPDATE&amp;creator=factset&amp;DYN_ARGS=TRUE&amp;DOC_NAME=FAT:FQL_AUDITING_CLIENT_TEMPLATE.FAT&amp;display_string=Audit&amp;VAR:KEY=DGZWXQNETG&amp;VAR:QUERY=RkZfRUJJVERBX09QRVIoUVRSLDQvMS8yMDA5LDYvMzAvMjAwOSwsLFVTRCk=&amp;WINDOW=FIRST_POPUP&amp;HEIGH","T=450&amp;WIDTH=450&amp;START_MAXIMIZED=FALSE&amp;VAR:CALENDAR=US&amp;VAR:SYMBOL=FRX&amp;VAR:INDEX=0"}</definedName>
    <definedName name="_636__FDSAUDITLINK__" hidden="1">{"fdsup://directions/FAT Viewer?action=UPDATE&amp;creator=factset&amp;DYN_ARGS=TRUE&amp;DOC_NAME=FAT:FQL_AUDITING_CLIENT_TEMPLATE.FAT&amp;display_string=Audit&amp;VAR:KEY=JSLGDCHWRQ&amp;VAR:QUERY=RkZfRUJJVERBX09QRVIoUVRSLDQvMS8yMDEwLDYvMzAvMjAxMCwsLFVTRCk=&amp;WINDOW=FIRST_POPUP&amp;HEIGH","T=450&amp;WIDTH=450&amp;START_MAXIMIZED=FALSE&amp;VAR:CALENDAR=US&amp;VAR:SYMBOL=FRX&amp;VAR:INDEX=0"}</definedName>
    <definedName name="_637__FDSAUDITLINK__" hidden="1">{"fdsup://directions/FAT Viewer?action=UPDATE&amp;creator=factset&amp;DYN_ARGS=TRUE&amp;DOC_NAME=FAT:FQL_AUDITING_CLIENT_TEMPLATE.FAT&amp;display_string=Audit&amp;VAR:KEY=FEDMFYXMFW&amp;VAR:QUERY=RkZfRUJJVERBX09QRVIoUVRSLDQvMS8yMDA5LDYvMzAvMjAwOSwsLFVTRCk=&amp;WINDOW=FIRST_POPUP&amp;HEIGH","T=450&amp;WIDTH=450&amp;START_MAXIMIZED=FALSE&amp;VAR:CALENDAR=US&amp;VAR:SYMBOL=FO&amp;VAR:INDEX=0"}</definedName>
    <definedName name="_638__FDSAUDITLINK__" hidden="1">{"fdsup://directions/FAT Viewer?action=UPDATE&amp;creator=factset&amp;DYN_ARGS=TRUE&amp;DOC_NAME=FAT:FQL_AUDITING_CLIENT_TEMPLATE.FAT&amp;display_string=Audit&amp;VAR:KEY=TANWJARMLE&amp;VAR:QUERY=RkZfRUJJVERBX09QRVIoUVRSLDQvMS8yMDEwLDYvMzAvMjAxMCwsLFVTRCk=&amp;WINDOW=FIRST_POPUP&amp;HEIGH","T=450&amp;WIDTH=450&amp;START_MAXIMIZED=FALSE&amp;VAR:CALENDAR=US&amp;VAR:SYMBOL=FO&amp;VAR:INDEX=0"}</definedName>
    <definedName name="_639__FDSAUDITLINK__" hidden="1">{"fdsup://directions/FAT Viewer?action=UPDATE&amp;creator=factset&amp;DYN_ARGS=TRUE&amp;DOC_NAME=FAT:FQL_AUDITING_CLIENT_TEMPLATE.FAT&amp;display_string=Audit&amp;VAR:KEY=JSPWFMDCLU&amp;VAR:QUERY=RkZfRUJJVERBX09QRVIoUVRSLDQvMS8yMDA5LDYvMzAvMjAwOSwsLFVTRCk=&amp;WINDOW=FIRST_POPUP&amp;HEIGH","T=450&amp;WIDTH=450&amp;START_MAXIMIZED=FALSE&amp;VAR:CALENDAR=US&amp;VAR:SYMBOL=FMC&amp;VAR:INDEX=0"}</definedName>
    <definedName name="_64__123Graph_XQRE_S_BY_CO.">#REF!</definedName>
    <definedName name="_64__FDSAUDITLINK__" hidden="1">{"fdsup://directions/FAT Viewer?action=UPDATE&amp;creator=factset&amp;DYN_ARGS=TRUE&amp;DOC_NAME=FAT:FQL_AUDITING_CLIENT_TEMPLATE.FAT&amp;display_string=Audit&amp;VAR:KEY=ZGZWRKBGDO&amp;VAR:QUERY=RkZfRUJJVERBX09QRVIoUVRSLDQvMS8yMDEwLDYvMzAvMjAxMCwsLFVTRCk=&amp;WINDOW=FIRST_POPUP&amp;HEIGH","T=450&amp;WIDTH=450&amp;START_MAXIMIZED=FALSE&amp;VAR:CALENDAR=US&amp;VAR:SYMBOL=VTR&amp;VAR:INDEX=0"}</definedName>
    <definedName name="_640__FDSAUDITLINK__" hidden="1">{"fdsup://directions/FAT Viewer?action=UPDATE&amp;creator=factset&amp;DYN_ARGS=TRUE&amp;DOC_NAME=FAT:FQL_AUDITING_CLIENT_TEMPLATE.FAT&amp;display_string=Audit&amp;VAR:KEY=LUBWJSPQZY&amp;VAR:QUERY=RkZfRUJJVERBX09QRVIoUVRSLDQvMS8yMDEwLDYvMzAvMjAxMCwsLFVTRCk=&amp;WINDOW=FIRST_POPUP&amp;HEIGH","T=450&amp;WIDTH=450&amp;START_MAXIMIZED=FALSE&amp;VAR:CALENDAR=US&amp;VAR:SYMBOL=FMC&amp;VAR:INDEX=0"}</definedName>
    <definedName name="_641__FDSAUDITLINK__" hidden="1">{"fdsup://directions/FAT Viewer?action=UPDATE&amp;creator=factset&amp;DYN_ARGS=TRUE&amp;DOC_NAME=FAT:FQL_AUDITING_CLIENT_TEMPLATE.FAT&amp;display_string=Audit&amp;VAR:KEY=NKBEFQHERQ&amp;VAR:QUERY=RkZfRUJJVERBX09QRVIoUVRSLDQvMS8yMDA5LDYvMzAvMjAwOSwsLFVTRCk=&amp;WINDOW=FIRST_POPUP&amp;HEIGH","T=450&amp;WIDTH=450&amp;START_MAXIMIZED=FALSE&amp;VAR:CALENDAR=US&amp;VAR:SYMBOL=FLS&amp;VAR:INDEX=0"}</definedName>
    <definedName name="_642__FDSAUDITLINK__" hidden="1">{"fdsup://directions/FAT Viewer?action=UPDATE&amp;creator=factset&amp;DYN_ARGS=TRUE&amp;DOC_NAME=FAT:FQL_AUDITING_CLIENT_TEMPLATE.FAT&amp;display_string=Audit&amp;VAR:KEY=TITUDYNYNS&amp;VAR:QUERY=RkZfRUJJVERBX09QRVIoUVRSLDQvMS8yMDEwLDYvMzAvMjAxMCwsLFVTRCk=&amp;WINDOW=FIRST_POPUP&amp;HEIGH","T=450&amp;WIDTH=450&amp;START_MAXIMIZED=FALSE&amp;VAR:CALENDAR=US&amp;VAR:SYMBOL=FLS&amp;VAR:INDEX=0"}</definedName>
    <definedName name="_643__FDSAUDITLINK__" hidden="1">{"fdsup://directions/FAT Viewer?action=UPDATE&amp;creator=factset&amp;DYN_ARGS=TRUE&amp;DOC_NAME=FAT:FQL_AUDITING_CLIENT_TEMPLATE.FAT&amp;display_string=Audit&amp;VAR:KEY=FIXABYVSPC&amp;VAR:QUERY=RkZfRUJJVERBX09QRVIoUVRSLDQvMS8yMDA5LDYvMzAvMjAwOSwsLFVTRCk=&amp;WINDOW=FIRST_POPUP&amp;HEIGH","T=450&amp;WIDTH=450&amp;START_MAXIMIZED=FALSE&amp;VAR:CALENDAR=US&amp;VAR:SYMBOL=FLR&amp;VAR:INDEX=0"}</definedName>
    <definedName name="_644__FDSAUDITLINK__" hidden="1">{"fdsup://directions/FAT Viewer?action=UPDATE&amp;creator=factset&amp;DYN_ARGS=TRUE&amp;DOC_NAME=FAT:FQL_AUDITING_CLIENT_TEMPLATE.FAT&amp;display_string=Audit&amp;VAR:KEY=DKVCHEPCFM&amp;VAR:QUERY=RkZfRUJJVERBX09QRVIoUVRSLDQvMS8yMDEwLDYvMzAvMjAxMCwsLFVTRCk=&amp;WINDOW=FIRST_POPUP&amp;HEIGH","T=450&amp;WIDTH=450&amp;START_MAXIMIZED=FALSE&amp;VAR:CALENDAR=US&amp;VAR:SYMBOL=FLR&amp;VAR:INDEX=0"}</definedName>
    <definedName name="_645__FDSAUDITLINK__" hidden="1">{"fdsup://directions/FAT Viewer?action=UPDATE&amp;creator=factset&amp;DYN_ARGS=TRUE&amp;DOC_NAME=FAT:FQL_AUDITING_CLIENT_TEMPLATE.FAT&amp;display_string=Audit&amp;VAR:KEY=LSHOFWZWTS&amp;VAR:QUERY=RkZfRUJJVERBX09QRVIoUVRSLDQvMS8yMDA5LDYvMzAvMjAwOSwsLFVTRCk=&amp;WINDOW=FIRST_POPUP&amp;HEIGH","T=450&amp;WIDTH=450&amp;START_MAXIMIZED=FALSE&amp;VAR:CALENDAR=US&amp;VAR:SYMBOL=FLIR&amp;VAR:INDEX=0"}</definedName>
    <definedName name="_646__FDSAUDITLINK__" hidden="1">{"fdsup://directions/FAT Viewer?action=UPDATE&amp;creator=factset&amp;DYN_ARGS=TRUE&amp;DOC_NAME=FAT:FQL_AUDITING_CLIENT_TEMPLATE.FAT&amp;display_string=Audit&amp;VAR:KEY=PCVCXSLIDY&amp;VAR:QUERY=RkZfRUJJVERBX09QRVIoUVRSLDQvMS8yMDEwLDYvMzAvMjAxMCwsLFVTRCk=&amp;WINDOW=FIRST_POPUP&amp;HEIGH","T=450&amp;WIDTH=450&amp;START_MAXIMIZED=FALSE&amp;VAR:CALENDAR=US&amp;VAR:SYMBOL=FLIR&amp;VAR:INDEX=0"}</definedName>
    <definedName name="_647__FDSAUDITLINK__" hidden="1">{"fdsup://directions/FAT Viewer?action=UPDATE&amp;creator=factset&amp;DYN_ARGS=TRUE&amp;DOC_NAME=FAT:FQL_AUDITING_CLIENT_TEMPLATE.FAT&amp;display_string=Audit&amp;VAR:KEY=FQHGDCFCJC&amp;VAR:QUERY=RkZfRUJJVERBX09QRVIoUVRSLDQvMS8yMDA5LDYvMzAvMjAwOSwsLFVTRCk=&amp;WINDOW=FIRST_POPUP&amp;HEIGH","T=450&amp;WIDTH=450&amp;START_MAXIMIZED=FALSE&amp;VAR:CALENDAR=US&amp;VAR:SYMBOL=FITB&amp;VAR:INDEX=0"}</definedName>
    <definedName name="_648__FDSAUDITLINK__" hidden="1">{"fdsup://directions/FAT Viewer?action=UPDATE&amp;creator=factset&amp;DYN_ARGS=TRUE&amp;DOC_NAME=FAT:FQL_AUDITING_CLIENT_TEMPLATE.FAT&amp;display_string=Audit&amp;VAR:KEY=TYTKJUBSZG&amp;VAR:QUERY=RkZfRUJJVERBX09QRVIoUVRSLDQvMS8yMDEwLDYvMzAvMjAxMCwsLFVTRCk=&amp;WINDOW=FIRST_POPUP&amp;HEIGH","T=450&amp;WIDTH=450&amp;START_MAXIMIZED=FALSE&amp;VAR:CALENDAR=US&amp;VAR:SYMBOL=FITB&amp;VAR:INDEX=0"}</definedName>
    <definedName name="_649__FDSAUDITLINK__" hidden="1">{"fdsup://directions/FAT Viewer?action=UPDATE&amp;creator=factset&amp;DYN_ARGS=TRUE&amp;DOC_NAME=FAT:FQL_AUDITING_CLIENT_TEMPLATE.FAT&amp;display_string=Audit&amp;VAR:KEY=NGNCTAPQZW&amp;VAR:QUERY=RkZfRUJJVERBX09QRVIoUVRSLDQvMS8yMDA5LDYvMzAvMjAwOSwsLFVTRCk=&amp;WINDOW=FIRST_POPUP&amp;HEIGH","T=450&amp;WIDTH=450&amp;START_MAXIMIZED=FALSE&amp;VAR:CALENDAR=US&amp;VAR:SYMBOL=FISV&amp;VAR:INDEX=0"}</definedName>
    <definedName name="_65__123Graph_XQRE_S_BY_TYPE">#REF!</definedName>
    <definedName name="_65__FDSAUDITLINK__" hidden="1">{"fdsup://directions/FAT Viewer?action=UPDATE&amp;creator=factset&amp;DYN_ARGS=TRUE&amp;DOC_NAME=FAT:FQL_AUDITING_CLIENT_TEMPLATE.FAT&amp;display_string=Audit&amp;VAR:KEY=HWVQTGHUZA&amp;VAR:QUERY=RkZfRUJJVERBX09QRVIoUVRSLDQvMS8yMDA5LDYvMzAvMjAwOSwsLFVTRCk=&amp;WINDOW=FIRST_POPUP&amp;HEIGH","T=450&amp;WIDTH=450&amp;START_MAXIMIZED=FALSE&amp;VAR:CALENDAR=US&amp;VAR:SYMBOL=VRSN&amp;VAR:INDEX=0"}</definedName>
    <definedName name="_650__FDSAUDITLINK__" hidden="1">{"fdsup://directions/FAT Viewer?action=UPDATE&amp;creator=factset&amp;DYN_ARGS=TRUE&amp;DOC_NAME=FAT:FQL_AUDITING_CLIENT_TEMPLATE.FAT&amp;display_string=Audit&amp;VAR:KEY=FQFKVKHWZQ&amp;VAR:QUERY=RkZfRUJJVERBX09QRVIoUVRSLDQvMS8yMDEwLDYvMzAvMjAxMCwsLFVTRCk=&amp;WINDOW=FIRST_POPUP&amp;HEIGH","T=450&amp;WIDTH=450&amp;START_MAXIMIZED=FALSE&amp;VAR:CALENDAR=US&amp;VAR:SYMBOL=FISV&amp;VAR:INDEX=0"}</definedName>
    <definedName name="_651__FDSAUDITLINK__" hidden="1">{"fdsup://directions/FAT Viewer?action=UPDATE&amp;creator=factset&amp;DYN_ARGS=TRUE&amp;DOC_NAME=FAT:FQL_AUDITING_CLIENT_TEMPLATE.FAT&amp;display_string=Audit&amp;VAR:KEY=JSFOJIFELM&amp;VAR:QUERY=RkZfRUJJVERBX09QRVIoUVRSLDQvMS8yMDA5LDYvMzAvMjAwOSwsLFVTRCk=&amp;WINDOW=FIRST_POPUP&amp;HEIGH","T=450&amp;WIDTH=450&amp;START_MAXIMIZED=FALSE&amp;VAR:CALENDAR=US&amp;VAR:SYMBOL=FIS&amp;VAR:INDEX=0"}</definedName>
    <definedName name="_652__FDSAUDITLINK__" hidden="1">{"fdsup://directions/FAT Viewer?action=UPDATE&amp;creator=factset&amp;DYN_ARGS=TRUE&amp;DOC_NAME=FAT:FQL_AUDITING_CLIENT_TEMPLATE.FAT&amp;display_string=Audit&amp;VAR:KEY=NCFMPMPAFA&amp;VAR:QUERY=RkZfRUJJVERBX09QRVIoUVRSLDQvMS8yMDEwLDYvMzAvMjAxMCwsLFVTRCk=&amp;WINDOW=FIRST_POPUP&amp;HEIGH","T=450&amp;WIDTH=450&amp;START_MAXIMIZED=FALSE&amp;VAR:CALENDAR=US&amp;VAR:SYMBOL=FIS&amp;VAR:INDEX=0"}</definedName>
    <definedName name="_653__FDSAUDITLINK__" hidden="1">{"fdsup://directions/FAT Viewer?action=UPDATE&amp;creator=factset&amp;DYN_ARGS=TRUE&amp;DOC_NAME=FAT:FQL_AUDITING_CLIENT_TEMPLATE.FAT&amp;display_string=Audit&amp;VAR:KEY=PORMZSNKXE&amp;VAR:QUERY=RkZfRUJJVERBX09QRVIoUVRSLDQvMS8yMDA5LDYvMzAvMjAwOSwsLFVTRCk=&amp;WINDOW=FIRST_POPUP&amp;HEIGH","T=450&amp;WIDTH=450&amp;START_MAXIMIZED=FALSE&amp;VAR:CALENDAR=US&amp;VAR:SYMBOL=FII&amp;VAR:INDEX=0"}</definedName>
    <definedName name="_654__FDSAUDITLINK__" hidden="1">{"fdsup://directions/FAT Viewer?action=UPDATE&amp;creator=factset&amp;DYN_ARGS=TRUE&amp;DOC_NAME=FAT:FQL_AUDITING_CLIENT_TEMPLATE.FAT&amp;display_string=Audit&amp;VAR:KEY=XSNCNCDYZQ&amp;VAR:QUERY=RkZfRUJJVERBX09QRVIoUVRSLDQvMS8yMDEwLDYvMzAvMjAxMCwsLFVTRCk=&amp;WINDOW=FIRST_POPUP&amp;HEIGH","T=450&amp;WIDTH=450&amp;START_MAXIMIZED=FALSE&amp;VAR:CALENDAR=US&amp;VAR:SYMBOL=FII&amp;VAR:INDEX=0"}</definedName>
    <definedName name="_655__FDSAUDITLINK__" hidden="1">{"fdsup://directions/FAT Viewer?action=UPDATE&amp;creator=factset&amp;DYN_ARGS=TRUE&amp;DOC_NAME=FAT:FQL_AUDITING_CLIENT_TEMPLATE.FAT&amp;display_string=Audit&amp;VAR:KEY=VCDWBMFWFS&amp;VAR:QUERY=RkZfRUJJVERBX09QRVIoUVRSLDQvMS8yMDA5LDYvMzAvMjAwOSwsLFVTRCk=&amp;WINDOW=FIRST_POPUP&amp;HEIGH","T=450&amp;WIDTH=450&amp;START_MAXIMIZED=FALSE&amp;VAR:CALENDAR=US&amp;VAR:SYMBOL=FHN&amp;VAR:INDEX=0"}</definedName>
    <definedName name="_656__FDSAUDITLINK__" hidden="1">{"fdsup://directions/FAT Viewer?action=UPDATE&amp;creator=factset&amp;DYN_ARGS=TRUE&amp;DOC_NAME=FAT:FQL_AUDITING_CLIENT_TEMPLATE.FAT&amp;display_string=Audit&amp;VAR:KEY=TYPKDIVCNK&amp;VAR:QUERY=RkZfRUJJVERBX09QRVIoUVRSLDQvMS8yMDEwLDYvMzAvMjAxMCwsLFVTRCk=&amp;WINDOW=FIRST_POPUP&amp;HEIGH","T=450&amp;WIDTH=450&amp;START_MAXIMIZED=FALSE&amp;VAR:CALENDAR=US&amp;VAR:SYMBOL=FHN&amp;VAR:INDEX=0"}</definedName>
    <definedName name="_657__FDSAUDITLINK__" hidden="1">{"fdsup://directions/FAT Viewer?action=UPDATE&amp;creator=factset&amp;DYN_ARGS=TRUE&amp;DOC_NAME=FAT:FQL_AUDITING_CLIENT_TEMPLATE.FAT&amp;display_string=Audit&amp;VAR:KEY=RALANEZGTY&amp;VAR:QUERY=RkZfRUJJVERBX09QRVIoUVRSLDQvMS8yMDA5LDYvMzAvMjAwOSwsLFVTRCk=&amp;WINDOW=FIRST_POPUP&amp;HEIGH","T=450&amp;WIDTH=450&amp;START_MAXIMIZED=FALSE&amp;VAR:CALENDAR=US&amp;VAR:SYMBOL=FE&amp;VAR:INDEX=0"}</definedName>
    <definedName name="_658__FDSAUDITLINK__" hidden="1">{"fdsup://directions/FAT Viewer?action=UPDATE&amp;creator=factset&amp;DYN_ARGS=TRUE&amp;DOC_NAME=FAT:FQL_AUDITING_CLIENT_TEMPLATE.FAT&amp;display_string=Audit&amp;VAR:KEY=RQBWJGHCLK&amp;VAR:QUERY=RkZfRUJJVERBX09QRVIoUVRSLDQvMS8yMDEwLDYvMzAvMjAxMCwsLFVTRCk=&amp;WINDOW=FIRST_POPUP&amp;HEIGH","T=450&amp;WIDTH=450&amp;START_MAXIMIZED=FALSE&amp;VAR:CALENDAR=US&amp;VAR:SYMBOL=FE&amp;VAR:INDEX=0"}</definedName>
    <definedName name="_659__FDSAUDITLINK__" hidden="1">{"fdsup://directions/FAT Viewer?action=UPDATE&amp;creator=factset&amp;DYN_ARGS=TRUE&amp;DOC_NAME=FAT:FQL_AUDITING_CLIENT_TEMPLATE.FAT&amp;display_string=Audit&amp;VAR:KEY=LONKLYZWTA&amp;VAR:QUERY=RkZfRUJJVERBX09QRVIoUVRSLDQvMS8yMDA5LDYvMzAvMjAwOSwsLFVTRCk=&amp;WINDOW=FIRST_POPUP&amp;HEIGH","T=450&amp;WIDTH=450&amp;START_MAXIMIZED=FALSE&amp;VAR:CALENDAR=US&amp;VAR:SYMBOL=FDX&amp;VAR:INDEX=0"}</definedName>
    <definedName name="_66__123Graph_XSUPPLIES_BY_B_U">#REF!</definedName>
    <definedName name="_66__FDSAUDITLINK__" hidden="1">{"fdsup://directions/FAT Viewer?action=UPDATE&amp;creator=factset&amp;DYN_ARGS=TRUE&amp;DOC_NAME=FAT:FQL_AUDITING_CLIENT_TEMPLATE.FAT&amp;display_string=Audit&amp;VAR:KEY=ZIVETKXMXC&amp;VAR:QUERY=RkZfRUJJVERBX09QRVIoUVRSLDQvMS8yMDEwLDYvMzAvMjAxMCwsLFVTRCk=&amp;WINDOW=FIRST_POPUP&amp;HEIGH","T=450&amp;WIDTH=450&amp;START_MAXIMIZED=FALSE&amp;VAR:CALENDAR=US&amp;VAR:SYMBOL=VRSN&amp;VAR:INDEX=0"}</definedName>
    <definedName name="_660__FDSAUDITLINK__" hidden="1">{"fdsup://directions/FAT Viewer?action=UPDATE&amp;creator=factset&amp;DYN_ARGS=TRUE&amp;DOC_NAME=FAT:FQL_AUDITING_CLIENT_TEMPLATE.FAT&amp;display_string=Audit&amp;VAR:KEY=JWPODCHGNO&amp;VAR:QUERY=RkZfRUJJVERBX09QRVIoUVRSLDQvMS8yMDEwLDYvMzAvMjAxMCwsLFVTRCk=&amp;WINDOW=FIRST_POPUP&amp;HEIGH","T=450&amp;WIDTH=450&amp;START_MAXIMIZED=FALSE&amp;VAR:CALENDAR=US&amp;VAR:SYMBOL=FDX&amp;VAR:INDEX=0"}</definedName>
    <definedName name="_661__FDSAUDITLINK__" hidden="1">{"fdsup://directions/FAT Viewer?action=UPDATE&amp;creator=factset&amp;DYN_ARGS=TRUE&amp;DOC_NAME=FAT:FQL_AUDITING_CLIENT_TEMPLATE.FAT&amp;display_string=Audit&amp;VAR:KEY=TUXMTETGZY&amp;VAR:QUERY=RkZfRUJJVERBX09QRVIoUVRSLDQvMS8yMDA5LDYvMzAvMjAwOSwsLFVTRCk=&amp;WINDOW=FIRST_POPUP&amp;HEIGH","T=450&amp;WIDTH=450&amp;START_MAXIMIZED=FALSE&amp;VAR:CALENDAR=US&amp;VAR:SYMBOL=FDO&amp;VAR:INDEX=0"}</definedName>
    <definedName name="_662__FDSAUDITLINK__" hidden="1">{"fdsup://directions/FAT Viewer?action=UPDATE&amp;creator=factset&amp;DYN_ARGS=TRUE&amp;DOC_NAME=FAT:FQL_AUDITING_CLIENT_TEMPLATE.FAT&amp;display_string=Audit&amp;VAR:KEY=FYVODOXCFG&amp;VAR:QUERY=RkZfRUJJVERBX09QRVIoUVRSLDQvMS8yMDEwLDYvMzAvMjAxMCwsLFVTRCk=&amp;WINDOW=FIRST_POPUP&amp;HEIGH","T=450&amp;WIDTH=450&amp;START_MAXIMIZED=FALSE&amp;VAR:CALENDAR=US&amp;VAR:SYMBOL=FDO&amp;VAR:INDEX=0"}</definedName>
    <definedName name="_663__FDSAUDITLINK__" hidden="1">{"fdsup://directions/FAT Viewer?action=UPDATE&amp;creator=factset&amp;DYN_ARGS=TRUE&amp;DOC_NAME=FAT:FQL_AUDITING_CLIENT_TEMPLATE.FAT&amp;display_string=Audit&amp;VAR:KEY=LINATWRQVK&amp;VAR:QUERY=RkZfRUJJVERBX09QRVIoUVRSLDQvMS8yMDA5LDYvMzAvMjAwOSwsLFVTRCk=&amp;WINDOW=FIRST_POPUP&amp;HEIGH","T=450&amp;WIDTH=450&amp;START_MAXIMIZED=FALSE&amp;VAR:CALENDAR=US&amp;VAR:SYMBOL=FCX&amp;VAR:INDEX=0"}</definedName>
    <definedName name="_664__FDSAUDITLINK__" hidden="1">{"fdsup://directions/FAT Viewer?action=UPDATE&amp;creator=factset&amp;DYN_ARGS=TRUE&amp;DOC_NAME=FAT:FQL_AUDITING_CLIENT_TEMPLATE.FAT&amp;display_string=Audit&amp;VAR:KEY=RKJYRMHITE&amp;VAR:QUERY=RkZfRUJJVERBX09QRVIoUVRSLDQvMS8yMDEwLDYvMzAvMjAxMCwsLFVTRCk=&amp;WINDOW=FIRST_POPUP&amp;HEIGH","T=450&amp;WIDTH=450&amp;START_MAXIMIZED=FALSE&amp;VAR:CALENDAR=US&amp;VAR:SYMBOL=FCX&amp;VAR:INDEX=0"}</definedName>
    <definedName name="_665__FDSAUDITLINK__" hidden="1">{"fdsup://directions/FAT Viewer?action=UPDATE&amp;creator=factset&amp;DYN_ARGS=TRUE&amp;DOC_NAME=FAT:FQL_AUDITING_CLIENT_TEMPLATE.FAT&amp;display_string=Audit&amp;VAR:KEY=JEZQREPWDW&amp;VAR:QUERY=RkZfRUJJVERBX09QRVIoUVRSLDQvMS8yMDA5LDYvMzAvMjAwOSwsLFVTRCk=&amp;WINDOW=FIRST_POPUP&amp;HEIGH","T=450&amp;WIDTH=450&amp;START_MAXIMIZED=FALSE&amp;VAR:CALENDAR=US&amp;VAR:SYMBOL=FAST&amp;VAR:INDEX=0"}</definedName>
    <definedName name="_666__FDSAUDITLINK__" hidden="1">{"fdsup://directions/FAT Viewer?action=UPDATE&amp;creator=factset&amp;DYN_ARGS=TRUE&amp;DOC_NAME=FAT:FQL_AUDITING_CLIENT_TEMPLATE.FAT&amp;display_string=Audit&amp;VAR:KEY=ZOVGNOLQXS&amp;VAR:QUERY=RkZfRUJJVERBX09QRVIoUVRSLDQvMS8yMDEwLDYvMzAvMjAxMCwsLFVTRCk=&amp;WINDOW=FIRST_POPUP&amp;HEIGH","T=450&amp;WIDTH=450&amp;START_MAXIMIZED=FALSE&amp;VAR:CALENDAR=US&amp;VAR:SYMBOL=FAST&amp;VAR:INDEX=0"}</definedName>
    <definedName name="_667__FDSAUDITLINK__" hidden="1">{"fdsup://directions/FAT Viewer?action=UPDATE&amp;creator=factset&amp;DYN_ARGS=TRUE&amp;DOC_NAME=FAT:FQL_AUDITING_CLIENT_TEMPLATE.FAT&amp;display_string=Audit&amp;VAR:KEY=VQJOJKTYNG&amp;VAR:QUERY=RkZfRUJJVERBX09QRVIoUVRSLDQvMS8yMDA5LDYvMzAvMjAwOSwsLFVTRCk=&amp;WINDOW=FIRST_POPUP&amp;HEIGH","T=450&amp;WIDTH=450&amp;START_MAXIMIZED=FALSE&amp;VAR:CALENDAR=US&amp;VAR:SYMBOL=F&amp;VAR:INDEX=0"}</definedName>
    <definedName name="_668__FDSAUDITLINK__" hidden="1">{"fdsup://directions/FAT Viewer?action=UPDATE&amp;creator=factset&amp;DYN_ARGS=TRUE&amp;DOC_NAME=FAT:FQL_AUDITING_CLIENT_TEMPLATE.FAT&amp;display_string=Audit&amp;VAR:KEY=LCRWTGVGZU&amp;VAR:QUERY=RkZfRUJJVERBX09QRVIoUVRSLDQvMS8yMDEwLDYvMzAvMjAxMCwsLFVTRCk=&amp;WINDOW=FIRST_POPUP&amp;HEIGH","T=450&amp;WIDTH=450&amp;START_MAXIMIZED=FALSE&amp;VAR:CALENDAR=US&amp;VAR:SYMBOL=F&amp;VAR:INDEX=0"}</definedName>
    <definedName name="_669__FDSAUDITLINK__" hidden="1">{"fdsup://directions/FAT Viewer?action=UPDATE&amp;creator=factset&amp;DYN_ARGS=TRUE&amp;DOC_NAME=FAT:FQL_AUDITING_CLIENT_TEMPLATE.FAT&amp;display_string=Audit&amp;VAR:KEY=RSPGJOBADK&amp;VAR:QUERY=RkZfRUJJVERBX09QRVIoUVRSLDQvMS8yMDA5LDYvMzAvMjAwOSwsLFVTRCk=&amp;WINDOW=FIRST_POPUP&amp;HEIGH","T=450&amp;WIDTH=450&amp;START_MAXIMIZED=FALSE&amp;VAR:CALENDAR=US&amp;VAR:SYMBOL=EXPE&amp;VAR:INDEX=0"}</definedName>
    <definedName name="_67__123Graph_XTAX_CREDIT">#REF!</definedName>
    <definedName name="_67__FDSAUDITLINK__" hidden="1">{"fdsup://directions/FAT Viewer?action=UPDATE&amp;creator=factset&amp;DYN_ARGS=TRUE&amp;DOC_NAME=FAT:FQL_AUDITING_CLIENT_TEMPLATE.FAT&amp;display_string=Audit&amp;VAR:KEY=RSXOBMFUNK&amp;VAR:QUERY=RkZfRUJJVERBX09QRVIoUVRSLDQvMS8yMDA5LDYvMzAvMjAwOSwsLFVTRCk=&amp;WINDOW=FIRST_POPUP&amp;HEIGH","T=450&amp;WIDTH=450&amp;START_MAXIMIZED=FALSE&amp;VAR:CALENDAR=US&amp;VAR:SYMBOL=VNO&amp;VAR:INDEX=0"}</definedName>
    <definedName name="_670__FDSAUDITLINK__" hidden="1">{"fdsup://directions/FAT Viewer?action=UPDATE&amp;creator=factset&amp;DYN_ARGS=TRUE&amp;DOC_NAME=FAT:FQL_AUDITING_CLIENT_TEMPLATE.FAT&amp;display_string=Audit&amp;VAR:KEY=NGJWJIJEDE&amp;VAR:QUERY=RkZfRUJJVERBX09QRVIoUVRSLDQvMS8yMDEwLDYvMzAvMjAxMCwsLFVTRCk=&amp;WINDOW=FIRST_POPUP&amp;HEIGH","T=450&amp;WIDTH=450&amp;START_MAXIMIZED=FALSE&amp;VAR:CALENDAR=US&amp;VAR:SYMBOL=EXPE&amp;VAR:INDEX=0"}</definedName>
    <definedName name="_671__FDSAUDITLINK__" hidden="1">{"fdsup://directions/FAT Viewer?action=UPDATE&amp;creator=factset&amp;DYN_ARGS=TRUE&amp;DOC_NAME=FAT:FQL_AUDITING_CLIENT_TEMPLATE.FAT&amp;display_string=Audit&amp;VAR:KEY=LCHWREFKDC&amp;VAR:QUERY=RkZfRUJJVERBX09QRVIoUVRSLDQvMS8yMDA5LDYvMzAvMjAwOSwsLFVTRCk=&amp;WINDOW=FIRST_POPUP&amp;HEIGH","T=450&amp;WIDTH=450&amp;START_MAXIMIZED=FALSE&amp;VAR:CALENDAR=US&amp;VAR:SYMBOL=EXPD&amp;VAR:INDEX=0"}</definedName>
    <definedName name="_672__FDSAUDITLINK__" hidden="1">{"fdsup://directions/FAT Viewer?action=UPDATE&amp;creator=factset&amp;DYN_ARGS=TRUE&amp;DOC_NAME=FAT:FQL_AUDITING_CLIENT_TEMPLATE.FAT&amp;display_string=Audit&amp;VAR:KEY=PAVKRIZSNM&amp;VAR:QUERY=RkZfRUJJVERBX09QRVIoUVRSLDQvMS8yMDEwLDYvMzAvMjAxMCwsLFVTRCk=&amp;WINDOW=FIRST_POPUP&amp;HEIGH","T=450&amp;WIDTH=450&amp;START_MAXIMIZED=FALSE&amp;VAR:CALENDAR=US&amp;VAR:SYMBOL=EXPD&amp;VAR:INDEX=0"}</definedName>
    <definedName name="_673__FDSAUDITLINK__" hidden="1">{"fdsup://directions/FAT Viewer?action=UPDATE&amp;creator=factset&amp;DYN_ARGS=TRUE&amp;DOC_NAME=FAT:FQL_AUDITING_CLIENT_TEMPLATE.FAT&amp;display_string=Audit&amp;VAR:KEY=HSBMZAJIPK&amp;VAR:QUERY=RkZfRUJJVERBX09QRVIoUVRSLDQvMS8yMDA5LDYvMzAvMjAwOSwsLFVTRCk=&amp;WINDOW=FIRST_POPUP&amp;HEIGH","T=450&amp;WIDTH=450&amp;START_MAXIMIZED=FALSE&amp;VAR:CALENDAR=US&amp;VAR:SYMBOL=EXC&amp;VAR:INDEX=0"}</definedName>
    <definedName name="_674__FDSAUDITLINK__" hidden="1">{"fdsup://directions/FAT Viewer?action=UPDATE&amp;creator=factset&amp;DYN_ARGS=TRUE&amp;DOC_NAME=FAT:FQL_AUDITING_CLIENT_TEMPLATE.FAT&amp;display_string=Audit&amp;VAR:KEY=VIXYPABMTM&amp;VAR:QUERY=RkZfRUJJVERBX09QRVIoUVRSLDQvMS8yMDEwLDYvMzAvMjAxMCwsLFVTRCk=&amp;WINDOW=FIRST_POPUP&amp;HEIGH","T=450&amp;WIDTH=450&amp;START_MAXIMIZED=FALSE&amp;VAR:CALENDAR=US&amp;VAR:SYMBOL=EXC&amp;VAR:INDEX=0"}</definedName>
    <definedName name="_675__FDSAUDITLINK__" hidden="1">{"fdsup://directions/FAT Viewer?action=UPDATE&amp;creator=factset&amp;DYN_ARGS=TRUE&amp;DOC_NAME=FAT:FQL_AUDITING_CLIENT_TEMPLATE.FAT&amp;display_string=Audit&amp;VAR:KEY=DWLWBIXEFG&amp;VAR:QUERY=RkZfRUJJVERBX09QRVIoUVRSLDQvMS8yMDA5LDYvMzAvMjAwOSwsLFVTRCk=&amp;WINDOW=FIRST_POPUP&amp;HEIGH","T=450&amp;WIDTH=450&amp;START_MAXIMIZED=FALSE&amp;VAR:CALENDAR=US&amp;VAR:SYMBOL=ETR&amp;VAR:INDEX=0"}</definedName>
    <definedName name="_676__FDSAUDITLINK__" hidden="1">{"fdsup://directions/FAT Viewer?action=UPDATE&amp;creator=factset&amp;DYN_ARGS=TRUE&amp;DOC_NAME=FAT:FQL_AUDITING_CLIENT_TEMPLATE.FAT&amp;display_string=Audit&amp;VAR:KEY=FIJMNUTQPG&amp;VAR:QUERY=RkZfRUJJVERBX09QRVIoUVRSLDQvMS8yMDEwLDYvMzAvMjAxMCwsLFVTRCk=&amp;WINDOW=FIRST_POPUP&amp;HEIGH","T=450&amp;WIDTH=450&amp;START_MAXIMIZED=FALSE&amp;VAR:CALENDAR=US&amp;VAR:SYMBOL=ETR&amp;VAR:INDEX=0"}</definedName>
    <definedName name="_677__FDSAUDITLINK__" hidden="1">{"fdsup://directions/FAT Viewer?action=UPDATE&amp;creator=factset&amp;DYN_ARGS=TRUE&amp;DOC_NAME=FAT:FQL_AUDITING_CLIENT_TEMPLATE.FAT&amp;display_string=Audit&amp;VAR:KEY=XGTKZIFQDW&amp;VAR:QUERY=RkZfRUJJVERBX09QRVIoUVRSLDQvMS8yMDA5LDYvMzAvMjAwOSwsLFVTRCk=&amp;WINDOW=FIRST_POPUP&amp;HEIGH","T=450&amp;WIDTH=450&amp;START_MAXIMIZED=FALSE&amp;VAR:CALENDAR=US&amp;VAR:SYMBOL=ETN&amp;VAR:INDEX=0"}</definedName>
    <definedName name="_678__FDSAUDITLINK__" hidden="1">{"fdsup://directions/FAT Viewer?action=UPDATE&amp;creator=factset&amp;DYN_ARGS=TRUE&amp;DOC_NAME=FAT:FQL_AUDITING_CLIENT_TEMPLATE.FAT&amp;display_string=Audit&amp;VAR:KEY=FSTWDCVCJA&amp;VAR:QUERY=RkZfRUJJVERBX09QRVIoUVRSLDQvMS8yMDEwLDYvMzAvMjAxMCwsLFVTRCk=&amp;WINDOW=FIRST_POPUP&amp;HEIGH","T=450&amp;WIDTH=450&amp;START_MAXIMIZED=FALSE&amp;VAR:CALENDAR=US&amp;VAR:SYMBOL=ETN&amp;VAR:INDEX=0"}</definedName>
    <definedName name="_679__FDSAUDITLINK__" hidden="1">{"fdsup://directions/FAT Viewer?action=UPDATE&amp;creator=factset&amp;DYN_ARGS=TRUE&amp;DOC_NAME=FAT:FQL_AUDITING_CLIENT_TEMPLATE.FAT&amp;display_string=Audit&amp;VAR:KEY=DILKHKBULA&amp;VAR:QUERY=RkZfRUJJVERBX09QRVIoUVRSLDQvMS8yMDA5LDYvMzAvMjAwOSwsLFVTRCk=&amp;WINDOW=FIRST_POPUP&amp;HEIGH","T=450&amp;WIDTH=450&amp;START_MAXIMIZED=FALSE&amp;VAR:CALENDAR=US&amp;VAR:SYMBOL=ETFC&amp;VAR:INDEX=0"}</definedName>
    <definedName name="_68__FDSAUDITLINK__" hidden="1">{"fdsup://directions/FAT Viewer?action=UPDATE&amp;creator=factset&amp;DYN_ARGS=TRUE&amp;DOC_NAME=FAT:FQL_AUDITING_CLIENT_TEMPLATE.FAT&amp;display_string=Audit&amp;VAR:KEY=NUNYJGJWNY&amp;VAR:QUERY=RkZfRUJJVERBX09QRVIoUVRSLDQvMS8yMDEwLDYvMzAvMjAxMCwsLFVTRCk=&amp;WINDOW=FIRST_POPUP&amp;HEIGH","T=450&amp;WIDTH=450&amp;START_MAXIMIZED=FALSE&amp;VAR:CALENDAR=US&amp;VAR:SYMBOL=VNO&amp;VAR:INDEX=0"}</definedName>
    <definedName name="_680__FDSAUDITLINK__" hidden="1">{"fdsup://directions/FAT Viewer?action=UPDATE&amp;creator=factset&amp;DYN_ARGS=TRUE&amp;DOC_NAME=FAT:FQL_AUDITING_CLIENT_TEMPLATE.FAT&amp;display_string=Audit&amp;VAR:KEY=NQBYFQDYJE&amp;VAR:QUERY=RkZfRUJJVERBX09QRVIoUVRSLDQvMS8yMDEwLDYvMzAvMjAxMCwsLFVTRCk=&amp;WINDOW=FIRST_POPUP&amp;HEIGH","T=450&amp;WIDTH=450&amp;START_MAXIMIZED=FALSE&amp;VAR:CALENDAR=US&amp;VAR:SYMBOL=ETFC&amp;VAR:INDEX=0"}</definedName>
    <definedName name="_681__FDSAUDITLINK__" hidden="1">{"fdsup://directions/FAT Viewer?action=UPDATE&amp;creator=factset&amp;DYN_ARGS=TRUE&amp;DOC_NAME=FAT:FQL_AUDITING_CLIENT_TEMPLATE.FAT&amp;display_string=Audit&amp;VAR:KEY=LYNGZKJAJU&amp;VAR:QUERY=RkZfRUJJVERBX09QRVIoUVRSLDQvMS8yMDA5LDYvMzAvMjAwOSwsLFVTRCk=&amp;WINDOW=FIRST_POPUP&amp;HEIGH","T=450&amp;WIDTH=450&amp;START_MAXIMIZED=FALSE&amp;VAR:CALENDAR=US&amp;VAR:SYMBOL=ESRX&amp;VAR:INDEX=0"}</definedName>
    <definedName name="_682__FDSAUDITLINK__" hidden="1">{"fdsup://directions/FAT Viewer?action=UPDATE&amp;creator=factset&amp;DYN_ARGS=TRUE&amp;DOC_NAME=FAT:FQL_AUDITING_CLIENT_TEMPLATE.FAT&amp;display_string=Audit&amp;VAR:KEY=FWXYTWTQNC&amp;VAR:QUERY=RkZfRUJJVERBX09QRVIoUVRSLDQvMS8yMDEwLDYvMzAvMjAxMCwsLFVTRCk=&amp;WINDOW=FIRST_POPUP&amp;HEIGH","T=450&amp;WIDTH=450&amp;START_MAXIMIZED=FALSE&amp;VAR:CALENDAR=US&amp;VAR:SYMBOL=ESRX&amp;VAR:INDEX=0"}</definedName>
    <definedName name="_683__FDSAUDITLINK__" hidden="1">{"fdsup://directions/FAT Viewer?action=UPDATE&amp;creator=factset&amp;DYN_ARGS=TRUE&amp;DOC_NAME=FAT:FQL_AUDITING_CLIENT_TEMPLATE.FAT&amp;display_string=Audit&amp;VAR:KEY=HMDYPAHURC&amp;VAR:QUERY=RkZfRUJJVERBX09QRVIoUVRSLDQvMS8yMDA5LDYvMzAvMjAwOSwsLFVTRCk=&amp;WINDOW=FIRST_POPUP&amp;HEIGH","T=450&amp;WIDTH=450&amp;START_MAXIMIZED=FALSE&amp;VAR:CALENDAR=US&amp;VAR:SYMBOL=ERTS&amp;VAR:INDEX=0"}</definedName>
    <definedName name="_684__FDSAUDITLINK__" hidden="1">{"fdsup://directions/FAT Viewer?action=UPDATE&amp;creator=factset&amp;DYN_ARGS=TRUE&amp;DOC_NAME=FAT:FQL_AUDITING_CLIENT_TEMPLATE.FAT&amp;display_string=Audit&amp;VAR:KEY=BCDAXMPCXQ&amp;VAR:QUERY=RkZfRUJJVERBX09QRVIoUVRSLDQvMS8yMDEwLDYvMzAvMjAxMCwsLFVTRCk=&amp;WINDOW=FIRST_POPUP&amp;HEIGH","T=450&amp;WIDTH=450&amp;START_MAXIMIZED=FALSE&amp;VAR:CALENDAR=US&amp;VAR:SYMBOL=ERTS&amp;VAR:INDEX=0"}</definedName>
    <definedName name="_685__FDSAUDITLINK__" hidden="1">{"fdsup://directions/FAT Viewer?action=UPDATE&amp;creator=factset&amp;DYN_ARGS=TRUE&amp;DOC_NAME=FAT:FQL_AUDITING_CLIENT_TEMPLATE.FAT&amp;display_string=Audit&amp;VAR:KEY=JAZQHEVGVY&amp;VAR:QUERY=RkZfRUJJVERBX09QRVIoUVRSLDQvMS8yMDA5LDYvMzAvMjAwOSwsLFVTRCk=&amp;WINDOW=FIRST_POPUP&amp;HEIGH","T=450&amp;WIDTH=450&amp;START_MAXIMIZED=FALSE&amp;VAR:CALENDAR=US&amp;VAR:SYMBOL=EQT&amp;VAR:INDEX=0"}</definedName>
    <definedName name="_686__FDSAUDITLINK__" hidden="1">{"fdsup://directions/FAT Viewer?action=UPDATE&amp;creator=factset&amp;DYN_ARGS=TRUE&amp;DOC_NAME=FAT:FQL_AUDITING_CLIENT_TEMPLATE.FAT&amp;display_string=Audit&amp;VAR:KEY=RKZWPAZEDQ&amp;VAR:QUERY=RkZfRUJJVERBX09QRVIoUVRSLDQvMS8yMDEwLDYvMzAvMjAxMCwsLFVTRCk=&amp;WINDOW=FIRST_POPUP&amp;HEIGH","T=450&amp;WIDTH=450&amp;START_MAXIMIZED=FALSE&amp;VAR:CALENDAR=US&amp;VAR:SYMBOL=EQT&amp;VAR:INDEX=0"}</definedName>
    <definedName name="_687__FDSAUDITLINK__" hidden="1">{"fdsup://directions/FAT Viewer?action=UPDATE&amp;creator=factset&amp;DYN_ARGS=TRUE&amp;DOC_NAME=FAT:FQL_AUDITING_CLIENT_TEMPLATE.FAT&amp;display_string=Audit&amp;VAR:KEY=NIDKNWFOXM&amp;VAR:QUERY=RkZfRUJJVERBX09QRVIoUVRSLDQvMS8yMDA5LDYvMzAvMjAwOSwsLFVTRCk=&amp;WINDOW=FIRST_POPUP&amp;HEIGH","T=450&amp;WIDTH=450&amp;START_MAXIMIZED=FALSE&amp;VAR:CALENDAR=US&amp;VAR:SYMBOL=EQR&amp;VAR:INDEX=0"}</definedName>
    <definedName name="_688__FDSAUDITLINK__" hidden="1">{"fdsup://directions/FAT Viewer?action=UPDATE&amp;creator=factset&amp;DYN_ARGS=TRUE&amp;DOC_NAME=FAT:FQL_AUDITING_CLIENT_TEMPLATE.FAT&amp;display_string=Audit&amp;VAR:KEY=JWVSVABCDC&amp;VAR:QUERY=RkZfRUJJVERBX09QRVIoUVRSLDQvMS8yMDEwLDYvMzAvMjAxMCwsLFVTRCk=&amp;WINDOW=FIRST_POPUP&amp;HEIGH","T=450&amp;WIDTH=450&amp;START_MAXIMIZED=FALSE&amp;VAR:CALENDAR=US&amp;VAR:SYMBOL=EQR&amp;VAR:INDEX=0"}</definedName>
    <definedName name="_689__FDSAUDITLINK__" hidden="1">{"fdsup://directions/FAT Viewer?action=UPDATE&amp;creator=factset&amp;DYN_ARGS=TRUE&amp;DOC_NAME=FAT:FQL_AUDITING_CLIENT_TEMPLATE.FAT&amp;display_string=Audit&amp;VAR:KEY=BCRQPUZMVE&amp;VAR:QUERY=RkZfRUJJVERBX09QRVIoUVRSLDQvMS8yMDA5LDYvMzAvMjAwOSwsLFVTRCk=&amp;WINDOW=FIRST_POPUP&amp;HEIGH","T=450&amp;WIDTH=450&amp;START_MAXIMIZED=FALSE&amp;VAR:CALENDAR=US&amp;VAR:SYMBOL=EP&amp;VAR:INDEX=0"}</definedName>
    <definedName name="_69__FDSAUDITLINK__" hidden="1">{"fdsup://directions/FAT Viewer?action=UPDATE&amp;creator=factset&amp;DYN_ARGS=TRUE&amp;DOC_NAME=FAT:FQL_AUDITING_CLIENT_TEMPLATE.FAT&amp;display_string=Audit&amp;VAR:KEY=LADYLKZWVS&amp;VAR:QUERY=RkZfRUJJVERBX09QRVIoUVRSLDQvMS8yMDA5LDYvMzAvMjAwOSwsLFVTRCk=&amp;WINDOW=FIRST_POPUP&amp;HEIGH","T=450&amp;WIDTH=450&amp;START_MAXIMIZED=FALSE&amp;VAR:CALENDAR=US&amp;VAR:SYMBOL=VMC&amp;VAR:INDEX=0"}</definedName>
    <definedName name="_690__FDSAUDITLINK__" hidden="1">{"fdsup://directions/FAT Viewer?action=UPDATE&amp;creator=factset&amp;DYN_ARGS=TRUE&amp;DOC_NAME=FAT:FQL_AUDITING_CLIENT_TEMPLATE.FAT&amp;display_string=Audit&amp;VAR:KEY=XMTORQHYBU&amp;VAR:QUERY=RkZfRUJJVERBX09QRVIoUVRSLDQvMS8yMDEwLDYvMzAvMjAxMCwsLFVTRCk=&amp;WINDOW=FIRST_POPUP&amp;HEIGH","T=450&amp;WIDTH=450&amp;START_MAXIMIZED=FALSE&amp;VAR:CALENDAR=US&amp;VAR:SYMBOL=EP&amp;VAR:INDEX=0"}</definedName>
    <definedName name="_691__FDSAUDITLINK__" hidden="1">{"fdsup://directions/FAT Viewer?action=UPDATE&amp;creator=factset&amp;DYN_ARGS=TRUE&amp;DOC_NAME=FAT:FQL_AUDITING_CLIENT_TEMPLATE.FAT&amp;display_string=Audit&amp;VAR:KEY=VWXEVIBITA&amp;VAR:QUERY=RkZfRUJJVERBX09QRVIoUVRSLDQvMS8yMDA5LDYvMzAvMjAwOSwsLFVTRCk=&amp;WINDOW=FIRST_POPUP&amp;HEIGH","T=450&amp;WIDTH=450&amp;START_MAXIMIZED=FALSE&amp;VAR:CALENDAR=US&amp;VAR:SYMBOL=EOG&amp;VAR:INDEX=0"}</definedName>
    <definedName name="_692__FDSAUDITLINK__" hidden="1">{"fdsup://directions/FAT Viewer?action=UPDATE&amp;creator=factset&amp;DYN_ARGS=TRUE&amp;DOC_NAME=FAT:FQL_AUDITING_CLIENT_TEMPLATE.FAT&amp;display_string=Audit&amp;VAR:KEY=LWZMBQZULI&amp;VAR:QUERY=RkZfRUJJVERBX09QRVIoUVRSLDQvMS8yMDEwLDYvMzAvMjAxMCwsLFVTRCk=&amp;WINDOW=FIRST_POPUP&amp;HEIGH","T=450&amp;WIDTH=450&amp;START_MAXIMIZED=FALSE&amp;VAR:CALENDAR=US&amp;VAR:SYMBOL=EOG&amp;VAR:INDEX=0"}</definedName>
    <definedName name="_693__FDSAUDITLINK__" hidden="1">{"fdsup://directions/FAT Viewer?action=UPDATE&amp;creator=factset&amp;DYN_ARGS=TRUE&amp;DOC_NAME=FAT:FQL_AUDITING_CLIENT_TEMPLATE.FAT&amp;display_string=Audit&amp;VAR:KEY=HIDOZSTEFG&amp;VAR:QUERY=RkZfRUJJVERBX09QRVIoUVRSLDQvMS8yMDA5LDYvMzAvMjAwOSwsLFVTRCk=&amp;WINDOW=FIRST_POPUP&amp;HEIGH","T=450&amp;WIDTH=450&amp;START_MAXIMIZED=FALSE&amp;VAR:CALENDAR=US&amp;VAR:SYMBOL=EMR&amp;VAR:INDEX=0"}</definedName>
    <definedName name="_694__FDSAUDITLINK__" hidden="1">{"fdsup://directions/FAT Viewer?action=UPDATE&amp;creator=factset&amp;DYN_ARGS=TRUE&amp;DOC_NAME=FAT:FQL_AUDITING_CLIENT_TEMPLATE.FAT&amp;display_string=Audit&amp;VAR:KEY=TOTMLSXUPY&amp;VAR:QUERY=RkZfRUJJVERBX09QRVIoUVRSLDQvMS8yMDEwLDYvMzAvMjAxMCwsLFVTRCk=&amp;WINDOW=FIRST_POPUP&amp;HEIGH","T=450&amp;WIDTH=450&amp;START_MAXIMIZED=FALSE&amp;VAR:CALENDAR=US&amp;VAR:SYMBOL=EMR&amp;VAR:INDEX=0"}</definedName>
    <definedName name="_695__FDSAUDITLINK__" hidden="1">{"fdsup://directions/FAT Viewer?action=UPDATE&amp;creator=factset&amp;DYN_ARGS=TRUE&amp;DOC_NAME=FAT:FQL_AUDITING_CLIENT_TEMPLATE.FAT&amp;display_string=Audit&amp;VAR:KEY=NCFCBQBATU&amp;VAR:QUERY=RkZfRUJJVERBX09QRVIoUVRSLDQvMS8yMDA5LDYvMzAvMjAwOSwsLFVTRCk=&amp;WINDOW=FIRST_POPUP&amp;HEIGH","T=450&amp;WIDTH=450&amp;START_MAXIMIZED=FALSE&amp;VAR:CALENDAR=US&amp;VAR:SYMBOL=EMN&amp;VAR:INDEX=0"}</definedName>
    <definedName name="_696__FDSAUDITLINK__" hidden="1">{"fdsup://directions/FAT Viewer?action=UPDATE&amp;creator=factset&amp;DYN_ARGS=TRUE&amp;DOC_NAME=FAT:FQL_AUDITING_CLIENT_TEMPLATE.FAT&amp;display_string=Audit&amp;VAR:KEY=VMXQPOHKJS&amp;VAR:QUERY=RkZfRUJJVERBX09QRVIoUVRSLDQvMS8yMDEwLDYvMzAvMjAxMCwsLFVTRCk=&amp;WINDOW=FIRST_POPUP&amp;HEIGH","T=450&amp;WIDTH=450&amp;START_MAXIMIZED=FALSE&amp;VAR:CALENDAR=US&amp;VAR:SYMBOL=EMN&amp;VAR:INDEX=0"}</definedName>
    <definedName name="_697__FDSAUDITLINK__" hidden="1">{"fdsup://directions/FAT Viewer?action=UPDATE&amp;creator=factset&amp;DYN_ARGS=TRUE&amp;DOC_NAME=FAT:FQL_AUDITING_CLIENT_TEMPLATE.FAT&amp;display_string=Audit&amp;VAR:KEY=LORYLSRAVW&amp;VAR:QUERY=RkZfRUJJVERBX09QRVIoUVRSLDQvMS8yMDA5LDYvMzAvMjAwOSwsLFVTRCk=&amp;WINDOW=FIRST_POPUP&amp;HEIGH","T=450&amp;WIDTH=450&amp;START_MAXIMIZED=FALSE&amp;VAR:CALENDAR=US&amp;VAR:SYMBOL=EMC&amp;VAR:INDEX=0"}</definedName>
    <definedName name="_698__FDSAUDITLINK__" hidden="1">{"fdsup://directions/FAT Viewer?action=UPDATE&amp;creator=factset&amp;DYN_ARGS=TRUE&amp;DOC_NAME=FAT:FQL_AUDITING_CLIENT_TEMPLATE.FAT&amp;display_string=Audit&amp;VAR:KEY=PKLIBGDSXA&amp;VAR:QUERY=RkZfRUJJVERBX09QRVIoUVRSLDQvMS8yMDEwLDYvMzAvMjAxMCwsLFVTRCk=&amp;WINDOW=FIRST_POPUP&amp;HEIGH","T=450&amp;WIDTH=450&amp;START_MAXIMIZED=FALSE&amp;VAR:CALENDAR=US&amp;VAR:SYMBOL=EMC&amp;VAR:INDEX=0"}</definedName>
    <definedName name="_699__FDSAUDITLINK__" hidden="1">{"fdsup://directions/FAT Viewer?action=UPDATE&amp;creator=factset&amp;DYN_ARGS=TRUE&amp;DOC_NAME=FAT:FQL_AUDITING_CLIENT_TEMPLATE.FAT&amp;display_string=Audit&amp;VAR:KEY=TEJEJMRSRA&amp;VAR:QUERY=RkZfRUJJVERBX09QRVIoUVRSLDQvMS8yMDA5LDYvMzAvMjAwOSwsLFVTRCk=&amp;WINDOW=FIRST_POPUP&amp;HEIGH","T=450&amp;WIDTH=450&amp;START_MAXIMIZED=FALSE&amp;VAR:CALENDAR=US&amp;VAR:SYMBOL=EL&amp;VAR:INDEX=0"}</definedName>
    <definedName name="_7__FDSAUDITLINK__" hidden="1">{"fdsup://directions/FAT Viewer?action=UPDATE&amp;creator=factset&amp;DYN_ARGS=TRUE&amp;DOC_NAME=FAT:FQL_AUDITING_CLIENT_TEMPLATE.FAT&amp;display_string=Audit&amp;VAR:KEY=RQRAXKREZW&amp;VAR:QUERY=RkZfRUJJVERBX09QRVIoUVRSLDQvMS8yMDA5LDYvMzAvMjAwOSwsLFVTRCk=&amp;WINDOW=FIRST_POPUP&amp;HEIGH","T=450&amp;WIDTH=450&amp;START_MAXIMIZED=FALSE&amp;VAR:CALENDAR=US&amp;VAR:SYMBOL=YHOO&amp;VAR:INDEX=0"}</definedName>
    <definedName name="_70__FDSAUDITLINK__" hidden="1">{"fdsup://directions/FAT Viewer?action=UPDATE&amp;creator=factset&amp;DYN_ARGS=TRUE&amp;DOC_NAME=FAT:FQL_AUDITING_CLIENT_TEMPLATE.FAT&amp;display_string=Audit&amp;VAR:KEY=JWPMNADMTO&amp;VAR:QUERY=RkZfRUJJVERBX09QRVIoUVRSLDQvMS8yMDEwLDYvMzAvMjAxMCwsLFVTRCk=&amp;WINDOW=FIRST_POPUP&amp;HEIGH","T=450&amp;WIDTH=450&amp;START_MAXIMIZED=FALSE&amp;VAR:CALENDAR=US&amp;VAR:SYMBOL=VMC&amp;VAR:INDEX=0"}</definedName>
    <definedName name="_700__FDSAUDITLINK__" hidden="1">{"fdsup://directions/FAT Viewer?action=UPDATE&amp;creator=factset&amp;DYN_ARGS=TRUE&amp;DOC_NAME=FAT:FQL_AUDITING_CLIENT_TEMPLATE.FAT&amp;display_string=Audit&amp;VAR:KEY=RUNYRABSZM&amp;VAR:QUERY=RkZfRUJJVERBX09QRVIoUVRSLDQvMS8yMDEwLDYvMzAvMjAxMCwsLFVTRCk=&amp;WINDOW=FIRST_POPUP&amp;HEIGH","T=450&amp;WIDTH=450&amp;START_MAXIMIZED=FALSE&amp;VAR:CALENDAR=US&amp;VAR:SYMBOL=EL&amp;VAR:INDEX=0"}</definedName>
    <definedName name="_701__FDSAUDITLINK__" hidden="1">{"fdsup://directions/FAT Viewer?action=UPDATE&amp;creator=factset&amp;DYN_ARGS=TRUE&amp;DOC_NAME=FAT:FQL_AUDITING_CLIENT_TEMPLATE.FAT&amp;display_string=Audit&amp;VAR:KEY=JWLIZOFMBE&amp;VAR:QUERY=RkZfRUJJVERBX09QRVIoUVRSLDQvMS8yMDA5LDYvMzAvMjAwOSwsLFVTRCk=&amp;WINDOW=FIRST_POPUP&amp;HEIGH","T=450&amp;WIDTH=450&amp;START_MAXIMIZED=FALSE&amp;VAR:CALENDAR=US&amp;VAR:SYMBOL=EK&amp;VAR:INDEX=0"}</definedName>
    <definedName name="_702__FDSAUDITLINK__" hidden="1">{"fdsup://directions/FAT Viewer?action=UPDATE&amp;creator=factset&amp;DYN_ARGS=TRUE&amp;DOC_NAME=FAT:FQL_AUDITING_CLIENT_TEMPLATE.FAT&amp;display_string=Audit&amp;VAR:KEY=XKVIBURQPS&amp;VAR:QUERY=RkZfRUJJVERBX09QRVIoUVRSLDQvMS8yMDEwLDYvMzAvMjAxMCwsLFVTRCk=&amp;WINDOW=FIRST_POPUP&amp;HEIGH","T=450&amp;WIDTH=450&amp;START_MAXIMIZED=FALSE&amp;VAR:CALENDAR=US&amp;VAR:SYMBOL=EK&amp;VAR:INDEX=0"}</definedName>
    <definedName name="_703__FDSAUDITLINK__" hidden="1">{"fdsup://directions/FAT Viewer?action=UPDATE&amp;creator=factset&amp;DYN_ARGS=TRUE&amp;DOC_NAME=FAT:FQL_AUDITING_CLIENT_TEMPLATE.FAT&amp;display_string=Audit&amp;VAR:KEY=NYVEVARMTY&amp;VAR:QUERY=RkZfRUJJVERBX09QRVIoUVRSLDQvMS8yMDA5LDYvMzAvMjAwOSwsLFVTRCk=&amp;WINDOW=FIRST_POPUP&amp;HEIGH","T=450&amp;WIDTH=450&amp;START_MAXIMIZED=FALSE&amp;VAR:CALENDAR=US&amp;VAR:SYMBOL=EIX&amp;VAR:INDEX=0"}</definedName>
    <definedName name="_704__FDSAUDITLINK__" hidden="1">{"fdsup://directions/FAT Viewer?action=UPDATE&amp;creator=factset&amp;DYN_ARGS=TRUE&amp;DOC_NAME=FAT:FQL_AUDITING_CLIENT_TEMPLATE.FAT&amp;display_string=Audit&amp;VAR:KEY=VQNIHQHGNI&amp;VAR:QUERY=RkZfRUJJVERBX09QRVIoUVRSLDQvMS8yMDEwLDYvMzAvMjAxMCwsLFVTRCk=&amp;WINDOW=FIRST_POPUP&amp;HEIGH","T=450&amp;WIDTH=450&amp;START_MAXIMIZED=FALSE&amp;VAR:CALENDAR=US&amp;VAR:SYMBOL=EIX&amp;VAR:INDEX=0"}</definedName>
    <definedName name="_705__FDSAUDITLINK__" hidden="1">{"fdsup://directions/FAT Viewer?action=UPDATE&amp;creator=factset&amp;DYN_ARGS=TRUE&amp;DOC_NAME=FAT:FQL_AUDITING_CLIENT_TEMPLATE.FAT&amp;display_string=Audit&amp;VAR:KEY=PMTKZODCDO&amp;VAR:QUERY=RkZfRUJJVERBX09QRVIoUVRSLDQvMS8yMDA5LDYvMzAvMjAwOSwsLFVTRCk=&amp;WINDOW=FIRST_POPUP&amp;HEIGH","T=450&amp;WIDTH=450&amp;START_MAXIMIZED=FALSE&amp;VAR:CALENDAR=US&amp;VAR:SYMBOL=EFX&amp;VAR:INDEX=0"}</definedName>
    <definedName name="_706__FDSAUDITLINK__" hidden="1">{"fdsup://directions/FAT Viewer?action=UPDATE&amp;creator=factset&amp;DYN_ARGS=TRUE&amp;DOC_NAME=FAT:FQL_AUDITING_CLIENT_TEMPLATE.FAT&amp;display_string=Audit&amp;VAR:KEY=HUDWJSBCPA&amp;VAR:QUERY=RkZfRUJJVERBX09QRVIoUVRSLDQvMS8yMDEwLDYvMzAvMjAxMCwsLFVTRCk=&amp;WINDOW=FIRST_POPUP&amp;HEIGH","T=450&amp;WIDTH=450&amp;START_MAXIMIZED=FALSE&amp;VAR:CALENDAR=US&amp;VAR:SYMBOL=EFX&amp;VAR:INDEX=0"}</definedName>
    <definedName name="_707__FDSAUDITLINK__" hidden="1">{"fdsup://directions/FAT Viewer?action=UPDATE&amp;creator=factset&amp;DYN_ARGS=TRUE&amp;DOC_NAME=FAT:FQL_AUDITING_CLIENT_TEMPLATE.FAT&amp;display_string=Audit&amp;VAR:KEY=HSFGNGPULC&amp;VAR:QUERY=RkZfRUJJVERBX09QRVIoUVRSLDQvMS8yMDA5LDYvMzAvMjAwOSwsLFVTRCk=&amp;WINDOW=FIRST_POPUP&amp;HEIGH","T=450&amp;WIDTH=450&amp;START_MAXIMIZED=FALSE&amp;VAR:CALENDAR=US&amp;VAR:SYMBOL=ED&amp;VAR:INDEX=0"}</definedName>
    <definedName name="_708__FDSAUDITLINK__" hidden="1">{"fdsup://directions/FAT Viewer?action=UPDATE&amp;creator=factset&amp;DYN_ARGS=TRUE&amp;DOC_NAME=FAT:FQL_AUDITING_CLIENT_TEMPLATE.FAT&amp;display_string=Audit&amp;VAR:KEY=VQVOTWDIBU&amp;VAR:QUERY=RkZfRUJJVERBX09QRVIoUVRSLDQvMS8yMDEwLDYvMzAvMjAxMCwsLFVTRCk=&amp;WINDOW=FIRST_POPUP&amp;HEIGH","T=450&amp;WIDTH=450&amp;START_MAXIMIZED=FALSE&amp;VAR:CALENDAR=US&amp;VAR:SYMBOL=ED&amp;VAR:INDEX=0"}</definedName>
    <definedName name="_709__FDSAUDITLINK__" hidden="1">{"fdsup://directions/FAT Viewer?action=UPDATE&amp;creator=factset&amp;DYN_ARGS=TRUE&amp;DOC_NAME=FAT:FQL_AUDITING_CLIENT_TEMPLATE.FAT&amp;display_string=Audit&amp;VAR:KEY=DOZWDCREDY&amp;VAR:QUERY=RkZfRUJJVERBX09QRVIoUVRSLDQvMS8yMDA5LDYvMzAvMjAwOSwsLFVTRCk=&amp;WINDOW=FIRST_POPUP&amp;HEIGH","T=450&amp;WIDTH=450&amp;START_MAXIMIZED=FALSE&amp;VAR:CALENDAR=US&amp;VAR:SYMBOL=ECL&amp;VAR:INDEX=0"}</definedName>
    <definedName name="_71__FDSAUDITLINK__" hidden="1">{"fdsup://directions/FAT Viewer?action=UPDATE&amp;creator=factset&amp;DYN_ARGS=TRUE&amp;DOC_NAME=FAT:FQL_AUDITING_CLIENT_TEMPLATE.FAT&amp;display_string=Audit&amp;VAR:KEY=TGZUHSJAXU&amp;VAR:QUERY=RkZfRUJJVERBX09QRVIoUVRSLDQvMS8yMDA5LDYvMzAvMjAwOSwsLFVTRCk=&amp;WINDOW=FIRST_POPUP&amp;HEIGH","T=450&amp;WIDTH=450&amp;START_MAXIMIZED=FALSE&amp;VAR:CALENDAR=US&amp;VAR:SYMBOL=VLO&amp;VAR:INDEX=0"}</definedName>
    <definedName name="_710__FDSAUDITLINK__" hidden="1">{"fdsup://directions/FAT Viewer?action=UPDATE&amp;creator=factset&amp;DYN_ARGS=TRUE&amp;DOC_NAME=FAT:FQL_AUDITING_CLIENT_TEMPLATE.FAT&amp;display_string=Audit&amp;VAR:KEY=TCJEBCPKLM&amp;VAR:QUERY=RkZfRUJJVERBX09QRVIoUVRSLDQvMS8yMDEwLDYvMzAvMjAxMCwsLFVTRCk=&amp;WINDOW=FIRST_POPUP&amp;HEIGH","T=450&amp;WIDTH=450&amp;START_MAXIMIZED=FALSE&amp;VAR:CALENDAR=US&amp;VAR:SYMBOL=ECL&amp;VAR:INDEX=0"}</definedName>
    <definedName name="_711__FDSAUDITLINK__" hidden="1">{"fdsup://directions/FAT Viewer?action=UPDATE&amp;creator=factset&amp;DYN_ARGS=TRUE&amp;DOC_NAME=FAT:FQL_AUDITING_CLIENT_TEMPLATE.FAT&amp;display_string=Audit&amp;VAR:KEY=LOFWFOFMPW&amp;VAR:QUERY=RkZfRUJJVERBX09QRVIoUVRSLDQvMS8yMDA5LDYvMzAvMjAwOSwsLFVTRCk=&amp;WINDOW=FIRST_POPUP&amp;HEIGH","T=450&amp;WIDTH=450&amp;START_MAXIMIZED=FALSE&amp;VAR:CALENDAR=US&amp;VAR:SYMBOL=EBAY&amp;VAR:INDEX=0"}</definedName>
    <definedName name="_712__FDSAUDITLINK__" hidden="1">{"fdsup://directions/FAT Viewer?action=UPDATE&amp;creator=factset&amp;DYN_ARGS=TRUE&amp;DOC_NAME=FAT:FQL_AUDITING_CLIENT_TEMPLATE.FAT&amp;display_string=Audit&amp;VAR:KEY=FETQDEPYLQ&amp;VAR:QUERY=RkZfRUJJVERBX09QRVIoUVRSLDQvMS8yMDEwLDYvMzAvMjAxMCwsLFVTRCk=&amp;WINDOW=FIRST_POPUP&amp;HEIGH","T=450&amp;WIDTH=450&amp;START_MAXIMIZED=FALSE&amp;VAR:CALENDAR=US&amp;VAR:SYMBOL=EBAY&amp;VAR:INDEX=0"}</definedName>
    <definedName name="_713__FDSAUDITLINK__" hidden="1">{"fdsup://directions/FAT Viewer?action=UPDATE&amp;creator=factset&amp;DYN_ARGS=TRUE&amp;DOC_NAME=FAT:FQL_AUDITING_CLIENT_TEMPLATE.FAT&amp;display_string=Audit&amp;VAR:KEY=TYROFKTUNE&amp;VAR:QUERY=RkZfRUJJVERBX09QRVIoUVRSLDQvMS8yMDA5LDYvMzAvMjAwOSwsLFVTRCk=&amp;WINDOW=FIRST_POPUP&amp;HEIGH","T=450&amp;WIDTH=450&amp;START_MAXIMIZED=FALSE&amp;VAR:CALENDAR=US&amp;VAR:SYMBOL=DVN&amp;VAR:INDEX=0"}</definedName>
    <definedName name="_714__FDSAUDITLINK__" hidden="1">{"fdsup://directions/FAT Viewer?action=UPDATE&amp;creator=factset&amp;DYN_ARGS=TRUE&amp;DOC_NAME=FAT:FQL_AUDITING_CLIENT_TEMPLATE.FAT&amp;display_string=Audit&amp;VAR:KEY=BOTWVCBMJO&amp;VAR:QUERY=RkZfRUJJVERBX09QRVIoUVRSLDQvMS8yMDEwLDYvMzAvMjAxMCwsLFVTRCk=&amp;WINDOW=FIRST_POPUP&amp;HEIGH","T=450&amp;WIDTH=450&amp;START_MAXIMIZED=FALSE&amp;VAR:CALENDAR=US&amp;VAR:SYMBOL=DVN&amp;VAR:INDEX=0"}</definedName>
    <definedName name="_715__FDSAUDITLINK__" hidden="1">{"fdsup://directions/FAT Viewer?action=UPDATE&amp;creator=factset&amp;DYN_ARGS=TRUE&amp;DOC_NAME=FAT:FQL_AUDITING_CLIENT_TEMPLATE.FAT&amp;display_string=Audit&amp;VAR:KEY=TEZSBCHMXO&amp;VAR:QUERY=RkZfRUJJVERBX09QRVIoUVRSLDQvMS8yMDA5LDYvMzAvMjAwOSwsLFVTRCk=&amp;WINDOW=FIRST_POPUP&amp;HEIGH","T=450&amp;WIDTH=450&amp;START_MAXIMIZED=FALSE&amp;VAR:CALENDAR=US&amp;VAR:SYMBOL=DVA&amp;VAR:INDEX=0"}</definedName>
    <definedName name="_716__FDSAUDITLINK__" hidden="1">{"fdsup://directions/FAT Viewer?action=UPDATE&amp;creator=factset&amp;DYN_ARGS=TRUE&amp;DOC_NAME=FAT:FQL_AUDITING_CLIENT_TEMPLATE.FAT&amp;display_string=Audit&amp;VAR:KEY=NWZILMROHM&amp;VAR:QUERY=RkZfRUJJVERBX09QRVIoUVRSLDQvMS8yMDEwLDYvMzAvMjAxMCwsLFVTRCk=&amp;WINDOW=FIRST_POPUP&amp;HEIGH","T=450&amp;WIDTH=450&amp;START_MAXIMIZED=FALSE&amp;VAR:CALENDAR=US&amp;VAR:SYMBOL=DVA&amp;VAR:INDEX=0"}</definedName>
    <definedName name="_717__FDSAUDITLINK__" hidden="1">{"fdsup://directions/FAT Viewer?action=UPDATE&amp;creator=factset&amp;DYN_ARGS=TRUE&amp;DOC_NAME=FAT:FQL_AUDITING_CLIENT_TEMPLATE.FAT&amp;display_string=Audit&amp;VAR:KEY=HMDOZKTYRI&amp;VAR:QUERY=RkZfRUJJVERBX09QRVIoUVRSLDQvMS8yMDA5LDYvMzAvMjAwOSwsLFVTRCk=&amp;WINDOW=FIRST_POPUP&amp;HEIGH","T=450&amp;WIDTH=450&amp;START_MAXIMIZED=FALSE&amp;VAR:CALENDAR=US&amp;VAR:SYMBOL=DV&amp;VAR:INDEX=0"}</definedName>
    <definedName name="_718__FDSAUDITLINK__" hidden="1">{"fdsup://directions/FAT Viewer?action=UPDATE&amp;creator=factset&amp;DYN_ARGS=TRUE&amp;DOC_NAME=FAT:FQL_AUDITING_CLIENT_TEMPLATE.FAT&amp;display_string=Audit&amp;VAR:KEY=JMPSPGVOVM&amp;VAR:QUERY=RkZfRUJJVERBX09QRVIoUVRSLDQvMS8yMDEwLDYvMzAvMjAxMCwsLFVTRCk=&amp;WINDOW=FIRST_POPUP&amp;HEIGH","T=450&amp;WIDTH=450&amp;START_MAXIMIZED=FALSE&amp;VAR:CALENDAR=US&amp;VAR:SYMBOL=DV&amp;VAR:INDEX=0"}</definedName>
    <definedName name="_719__FDSAUDITLINK__" hidden="1">{"fdsup://directions/FAT Viewer?action=UPDATE&amp;creator=factset&amp;DYN_ARGS=TRUE&amp;DOC_NAME=FAT:FQL_AUDITING_CLIENT_TEMPLATE.FAT&amp;display_string=Audit&amp;VAR:KEY=LQPIRYZIDY&amp;VAR:QUERY=RkZfRUJJVERBX09QRVIoUVRSLDQvMS8yMDA5LDYvMzAvMjAwOSwsLFVTRCk=&amp;WINDOW=FIRST_POPUP&amp;HEIGH","T=450&amp;WIDTH=450&amp;START_MAXIMIZED=FALSE&amp;VAR:CALENDAR=US&amp;VAR:SYMBOL=DUK&amp;VAR:INDEX=0"}</definedName>
    <definedName name="_72__FDSAUDITLINK__" hidden="1">{"fdsup://directions/FAT Viewer?action=UPDATE&amp;creator=factset&amp;DYN_ARGS=TRUE&amp;DOC_NAME=FAT:FQL_AUDITING_CLIENT_TEMPLATE.FAT&amp;display_string=Audit&amp;VAR:KEY=JCBWBODWZQ&amp;VAR:QUERY=RkZfRUJJVERBX09QRVIoUVRSLDQvMS8yMDEwLDYvMzAvMjAxMCwsLFVTRCk=&amp;WINDOW=FIRST_POPUP&amp;HEIGH","T=450&amp;WIDTH=450&amp;START_MAXIMIZED=FALSE&amp;VAR:CALENDAR=US&amp;VAR:SYMBOL=VLO&amp;VAR:INDEX=0"}</definedName>
    <definedName name="_720__FDSAUDITLINK__" hidden="1">{"fdsup://directions/FAT Viewer?action=UPDATE&amp;creator=factset&amp;DYN_ARGS=TRUE&amp;DOC_NAME=FAT:FQL_AUDITING_CLIENT_TEMPLATE.FAT&amp;display_string=Audit&amp;VAR:KEY=PMRAZAJSTQ&amp;VAR:QUERY=RkZfRUJJVERBX09QRVIoUVRSLDQvMS8yMDEwLDYvMzAvMjAxMCwsLFVTRCk=&amp;WINDOW=FIRST_POPUP&amp;HEIGH","T=450&amp;WIDTH=450&amp;START_MAXIMIZED=FALSE&amp;VAR:CALENDAR=US&amp;VAR:SYMBOL=DUK&amp;VAR:INDEX=0"}</definedName>
    <definedName name="_721__FDSAUDITLINK__" hidden="1">{"fdsup://directions/FAT Viewer?action=UPDATE&amp;creator=factset&amp;DYN_ARGS=TRUE&amp;DOC_NAME=FAT:FQL_AUDITING_CLIENT_TEMPLATE.FAT&amp;display_string=Audit&amp;VAR:KEY=JKHMXWRURQ&amp;VAR:QUERY=RkZfRUJJVERBX09QRVIoUVRSLDQvMS8yMDA5LDYvMzAvMjAwOSwsLFVTRCk=&amp;WINDOW=FIRST_POPUP&amp;HEIGH","T=450&amp;WIDTH=450&amp;START_MAXIMIZED=FALSE&amp;VAR:CALENDAR=US&amp;VAR:SYMBOL=DTV&amp;VAR:INDEX=0"}</definedName>
    <definedName name="_722__FDSAUDITLINK__" hidden="1">{"fdsup://directions/FAT Viewer?action=UPDATE&amp;creator=factset&amp;DYN_ARGS=TRUE&amp;DOC_NAME=FAT:FQL_AUDITING_CLIENT_TEMPLATE.FAT&amp;display_string=Audit&amp;VAR:KEY=XOBMVIJQDK&amp;VAR:QUERY=RkZfRUJJVERBX09QRVIoUVRSLDQvMS8yMDEwLDYvMzAvMjAxMCwsLFVTRCk=&amp;WINDOW=FIRST_POPUP&amp;HEIGH","T=450&amp;WIDTH=450&amp;START_MAXIMIZED=FALSE&amp;VAR:CALENDAR=US&amp;VAR:SYMBOL=DTV&amp;VAR:INDEX=0"}</definedName>
    <definedName name="_723__FDSAUDITLINK__" hidden="1">{"fdsup://directions/FAT Viewer?action=UPDATE&amp;creator=factset&amp;DYN_ARGS=TRUE&amp;DOC_NAME=FAT:FQL_AUDITING_CLIENT_TEMPLATE.FAT&amp;display_string=Audit&amp;VAR:KEY=PAVGXEHORS&amp;VAR:QUERY=RkZfRUJJVERBX09QRVIoUVRSLDQvMS8yMDA5LDYvMzAvMjAwOSwsLFVTRCk=&amp;WINDOW=FIRST_POPUP&amp;HEIGH","T=450&amp;WIDTH=450&amp;START_MAXIMIZED=FALSE&amp;VAR:CALENDAR=US&amp;VAR:SYMBOL=DTE&amp;VAR:INDEX=0"}</definedName>
    <definedName name="_724__FDSAUDITLINK__" hidden="1">{"fdsup://directions/FAT Viewer?action=UPDATE&amp;creator=factset&amp;DYN_ARGS=TRUE&amp;DOC_NAME=FAT:FQL_AUDITING_CLIENT_TEMPLATE.FAT&amp;display_string=Audit&amp;VAR:KEY=BEHGFIXOPA&amp;VAR:QUERY=RkZfRUJJVERBX09QRVIoUVRSLDQvMS8yMDEwLDYvMzAvMjAxMCwsLFVTRCk=&amp;WINDOW=FIRST_POPUP&amp;HEIGH","T=450&amp;WIDTH=450&amp;START_MAXIMIZED=FALSE&amp;VAR:CALENDAR=US&amp;VAR:SYMBOL=DTE&amp;VAR:INDEX=0"}</definedName>
    <definedName name="_725__FDSAUDITLINK__" hidden="1">{"fdsup://directions/FAT Viewer?action=UPDATE&amp;creator=factset&amp;DYN_ARGS=TRUE&amp;DOC_NAME=FAT:FQL_AUDITING_CLIENT_TEMPLATE.FAT&amp;display_string=Audit&amp;VAR:KEY=HAXCDWREPQ&amp;VAR:QUERY=RkZfRUJJVERBX09QRVIoUVRSLDQvMS8yMDA5LDYvMzAvMjAwOSwsLFVTRCk=&amp;WINDOW=FIRST_POPUP&amp;HEIGH","T=450&amp;WIDTH=450&amp;START_MAXIMIZED=FALSE&amp;VAR:CALENDAR=US&amp;VAR:SYMBOL=DRI&amp;VAR:INDEX=0"}</definedName>
    <definedName name="_726__FDSAUDITLINK__" hidden="1">{"fdsup://directions/FAT Viewer?action=UPDATE&amp;creator=factset&amp;DYN_ARGS=TRUE&amp;DOC_NAME=FAT:FQL_AUDITING_CLIENT_TEMPLATE.FAT&amp;display_string=Audit&amp;VAR:KEY=PWPIVYLIXQ&amp;VAR:QUERY=RkZfRUJJVERBX09QRVIoUVRSLDQvMS8yMDEwLDYvMzAvMjAxMCwsLFVTRCk=&amp;WINDOW=FIRST_POPUP&amp;HEIGH","T=450&amp;WIDTH=450&amp;START_MAXIMIZED=FALSE&amp;VAR:CALENDAR=US&amp;VAR:SYMBOL=DRI&amp;VAR:INDEX=0"}</definedName>
    <definedName name="_727__FDSAUDITLINK__" hidden="1">{"fdsup://directions/FAT Viewer?action=UPDATE&amp;creator=factset&amp;DYN_ARGS=TRUE&amp;DOC_NAME=FAT:FQL_AUDITING_CLIENT_TEMPLATE.FAT&amp;display_string=Audit&amp;VAR:KEY=ZAPYTWJEBA&amp;VAR:QUERY=RkZfRUJJVERBX09QRVIoUVRSLDQvMS8yMDA5LDYvMzAvMjAwOSwsLFVTRCk=&amp;WINDOW=FIRST_POPUP&amp;HEIGH","T=450&amp;WIDTH=450&amp;START_MAXIMIZED=FALSE&amp;VAR:CALENDAR=US&amp;VAR:SYMBOL=DPS&amp;VAR:INDEX=0"}</definedName>
    <definedName name="_728__FDSAUDITLINK__" hidden="1">{"fdsup://directions/FAT Viewer?action=UPDATE&amp;creator=factset&amp;DYN_ARGS=TRUE&amp;DOC_NAME=FAT:FQL_AUDITING_CLIENT_TEMPLATE.FAT&amp;display_string=Audit&amp;VAR:KEY=JCDETENKHU&amp;VAR:QUERY=RkZfRUJJVERBX09QRVIoUVRSLDQvMS8yMDEwLDYvMzAvMjAxMCwsLFVTRCk=&amp;WINDOW=FIRST_POPUP&amp;HEIGH","T=450&amp;WIDTH=450&amp;START_MAXIMIZED=FALSE&amp;VAR:CALENDAR=US&amp;VAR:SYMBOL=DPS&amp;VAR:INDEX=0"}</definedName>
    <definedName name="_729__FDSAUDITLINK__" hidden="1">{"fdsup://directions/FAT Viewer?action=UPDATE&amp;creator=factset&amp;DYN_ARGS=TRUE&amp;DOC_NAME=FAT:FQL_AUDITING_CLIENT_TEMPLATE.FAT&amp;display_string=Audit&amp;VAR:KEY=TALMVGRMDY&amp;VAR:QUERY=RkZfRUJJVERBX09QRVIoUVRSLDQvMS8yMDA5LDYvMzAvMjAwOSwsLFVTRCk=&amp;WINDOW=FIRST_POPUP&amp;HEIGH","T=450&amp;WIDTH=450&amp;START_MAXIMIZED=FALSE&amp;VAR:CALENDAR=US&amp;VAR:SYMBOL=DOW&amp;VAR:INDEX=0"}</definedName>
    <definedName name="_73__FDSAUDITLINK__" hidden="1">{"fdsup://directions/FAT Viewer?action=UPDATE&amp;creator=factset&amp;DYN_ARGS=TRUE&amp;DOC_NAME=FAT:FQL_AUDITING_CLIENT_TEMPLATE.FAT&amp;display_string=Audit&amp;VAR:KEY=TUPIPKHQXU&amp;VAR:QUERY=RkZfRUJJVERBX09QRVIoUVRSLDQvMS8yMDA5LDYvMzAvMjAwOSwsLFVTRCk=&amp;WINDOW=FIRST_POPUP&amp;HEIGH","T=450&amp;WIDTH=450&amp;START_MAXIMIZED=FALSE&amp;VAR:CALENDAR=US&amp;VAR:SYMBOL=VIA.B&amp;VAR:INDEX=0"}</definedName>
    <definedName name="_730__FDSAUDITLINK__" hidden="1">{"fdsup://directions/FAT Viewer?action=UPDATE&amp;creator=factset&amp;DYN_ARGS=TRUE&amp;DOC_NAME=FAT:FQL_AUDITING_CLIENT_TEMPLATE.FAT&amp;display_string=Audit&amp;VAR:KEY=NUJEPYBODK&amp;VAR:QUERY=RkZfRUJJVERBX09QRVIoUVRSLDQvMS8yMDEwLDYvMzAvMjAxMCwsLFVTRCk=&amp;WINDOW=FIRST_POPUP&amp;HEIGH","T=450&amp;WIDTH=450&amp;START_MAXIMIZED=FALSE&amp;VAR:CALENDAR=US&amp;VAR:SYMBOL=DOW&amp;VAR:INDEX=0"}</definedName>
    <definedName name="_731__FDSAUDITLINK__" hidden="1">{"fdsup://directions/FAT Viewer?action=UPDATE&amp;creator=factset&amp;DYN_ARGS=TRUE&amp;DOC_NAME=FAT:FQL_AUDITING_CLIENT_TEMPLATE.FAT&amp;display_string=Audit&amp;VAR:KEY=ZEVMPYJOZU&amp;VAR:QUERY=RkZfRUJJVERBX09QRVIoUVRSLDQvMS8yMDA5LDYvMzAvMjAwOSwsLFVTRCk=&amp;WINDOW=FIRST_POPUP&amp;HEIGH","T=450&amp;WIDTH=450&amp;START_MAXIMIZED=FALSE&amp;VAR:CALENDAR=US&amp;VAR:SYMBOL=DOV&amp;VAR:INDEX=0"}</definedName>
    <definedName name="_732__FDSAUDITLINK__" hidden="1">{"fdsup://directions/FAT Viewer?action=UPDATE&amp;creator=factset&amp;DYN_ARGS=TRUE&amp;DOC_NAME=FAT:FQL_AUDITING_CLIENT_TEMPLATE.FAT&amp;display_string=Audit&amp;VAR:KEY=ZMBWFADSXC&amp;VAR:QUERY=RkZfRUJJVERBX09QRVIoUVRSLDQvMS8yMDEwLDYvMzAvMjAxMCwsLFVTRCk=&amp;WINDOW=FIRST_POPUP&amp;HEIGH","T=450&amp;WIDTH=450&amp;START_MAXIMIZED=FALSE&amp;VAR:CALENDAR=US&amp;VAR:SYMBOL=DOV&amp;VAR:INDEX=0"}</definedName>
    <definedName name="_733__FDSAUDITLINK__" hidden="1">{"fdsup://directions/FAT Viewer?action=UPDATE&amp;creator=factset&amp;DYN_ARGS=TRUE&amp;DOC_NAME=FAT:FQL_AUDITING_CLIENT_TEMPLATE.FAT&amp;display_string=Audit&amp;VAR:KEY=LEBKJQXMDQ&amp;VAR:QUERY=RkZfRUJJVERBX09QRVIoUVRSLDQvMS8yMDA5LDYvMzAvMjAwOSwsLFVTRCk=&amp;WINDOW=FIRST_POPUP&amp;HEIGH","T=450&amp;WIDTH=450&amp;START_MAXIMIZED=FALSE&amp;VAR:CALENDAR=US&amp;VAR:SYMBOL=DO&amp;VAR:INDEX=0"}</definedName>
    <definedName name="_734__FDSAUDITLINK__" hidden="1">{"fdsup://directions/FAT Viewer?action=UPDATE&amp;creator=factset&amp;DYN_ARGS=TRUE&amp;DOC_NAME=FAT:FQL_AUDITING_CLIENT_TEMPLATE.FAT&amp;display_string=Audit&amp;VAR:KEY=TIJEFIVORE&amp;VAR:QUERY=RkZfRUJJVERBX09QRVIoUVRSLDQvMS8yMDEwLDYvMzAvMjAxMCwsLFVTRCk=&amp;WINDOW=FIRST_POPUP&amp;HEIGH","T=450&amp;WIDTH=450&amp;START_MAXIMIZED=FALSE&amp;VAR:CALENDAR=US&amp;VAR:SYMBOL=DO&amp;VAR:INDEX=0"}</definedName>
    <definedName name="_735__FDSAUDITLINK__" hidden="1">{"fdsup://directions/FAT Viewer?action=UPDATE&amp;creator=factset&amp;DYN_ARGS=TRUE&amp;DOC_NAME=FAT:FQL_AUDITING_CLIENT_TEMPLATE.FAT&amp;display_string=Audit&amp;VAR:KEY=LMZAZYTWVK&amp;VAR:QUERY=RkZfRUJJVERBX09QRVIoUVRSLDQvMS8yMDA5LDYvMzAvMjAwOSwsLFVTRCk=&amp;WINDOW=FIRST_POPUP&amp;HEIGH","T=450&amp;WIDTH=450&amp;START_MAXIMIZED=FALSE&amp;VAR:CALENDAR=US&amp;VAR:SYMBOL=DNR&amp;VAR:INDEX=0"}</definedName>
    <definedName name="_736__FDSAUDITLINK__" hidden="1">{"fdsup://directions/FAT Viewer?action=UPDATE&amp;creator=factset&amp;DYN_ARGS=TRUE&amp;DOC_NAME=FAT:FQL_AUDITING_CLIENT_TEMPLATE.FAT&amp;display_string=Audit&amp;VAR:KEY=NYVURQHOFM&amp;VAR:QUERY=RkZfRUJJVERBX09QRVIoUVRSLDQvMS8yMDEwLDYvMzAvMjAxMCwsLFVTRCk=&amp;WINDOW=FIRST_POPUP&amp;HEIGH","T=450&amp;WIDTH=450&amp;START_MAXIMIZED=FALSE&amp;VAR:CALENDAR=US&amp;VAR:SYMBOL=DNR&amp;VAR:INDEX=0"}</definedName>
    <definedName name="_737__FDSAUDITLINK__" hidden="1">{"fdsup://directions/FAT Viewer?action=UPDATE&amp;creator=factset&amp;DYN_ARGS=TRUE&amp;DOC_NAME=FAT:FQL_AUDITING_CLIENT_TEMPLATE.FAT&amp;display_string=Audit&amp;VAR:KEY=NEXCJWDMVQ&amp;VAR:QUERY=RkZfRUJJVERBX09QRVIoUVRSLDQvMS8yMDA5LDYvMzAvMjAwOSwsLFVTRCk=&amp;WINDOW=FIRST_POPUP&amp;HEIGH","T=450&amp;WIDTH=450&amp;START_MAXIMIZED=FALSE&amp;VAR:CALENDAR=US&amp;VAR:SYMBOL=DNB&amp;VAR:INDEX=0"}</definedName>
    <definedName name="_738__FDSAUDITLINK__" hidden="1">{"fdsup://directions/FAT Viewer?action=UPDATE&amp;creator=factset&amp;DYN_ARGS=TRUE&amp;DOC_NAME=FAT:FQL_AUDITING_CLIENT_TEMPLATE.FAT&amp;display_string=Audit&amp;VAR:KEY=HYTMFKDGDA&amp;VAR:QUERY=RkZfRUJJVERBX09QRVIoUVRSLDQvMS8yMDEwLDYvMzAvMjAxMCwsLFVTRCk=&amp;WINDOW=FIRST_POPUP&amp;HEIGH","T=450&amp;WIDTH=450&amp;START_MAXIMIZED=FALSE&amp;VAR:CALENDAR=US&amp;VAR:SYMBOL=DNB&amp;VAR:INDEX=0"}</definedName>
    <definedName name="_739__FDSAUDITLINK__" hidden="1">{"fdsup://directions/FAT Viewer?action=UPDATE&amp;creator=factset&amp;DYN_ARGS=TRUE&amp;DOC_NAME=FAT:FQL_AUDITING_CLIENT_TEMPLATE.FAT&amp;display_string=Audit&amp;VAR:KEY=FYFSNIJOJQ&amp;VAR:QUERY=RkZfRUJJVERBX09QRVIoUVRSLDQvMS8yMDA5LDYvMzAvMjAwOSwsLFVTRCk=&amp;WINDOW=FIRST_POPUP&amp;HEIGH","T=450&amp;WIDTH=450&amp;START_MAXIMIZED=FALSE&amp;VAR:CALENDAR=US&amp;VAR:SYMBOL=DISCA&amp;VAR:INDEX=0"}</definedName>
    <definedName name="_74__FDSAUDITLINK__" hidden="1">{"fdsup://directions/FAT Viewer?action=UPDATE&amp;creator=factset&amp;DYN_ARGS=TRUE&amp;DOC_NAME=FAT:FQL_AUDITING_CLIENT_TEMPLATE.FAT&amp;display_string=Audit&amp;VAR:KEY=VQVMVYVQZI&amp;VAR:QUERY=RkZfRUJJVERBX09QRVIoUVRSLDQvMS8yMDEwLDYvMzAvMjAxMCwsLFVTRCk=&amp;WINDOW=FIRST_POPUP&amp;HEIGH","T=450&amp;WIDTH=450&amp;START_MAXIMIZED=FALSE&amp;VAR:CALENDAR=US&amp;VAR:SYMBOL=VIA.B&amp;VAR:INDEX=0"}</definedName>
    <definedName name="_740__FDSAUDITLINK__" hidden="1">{"fdsup://directions/FAT Viewer?action=UPDATE&amp;creator=factset&amp;DYN_ARGS=TRUE&amp;DOC_NAME=FAT:FQL_AUDITING_CLIENT_TEMPLATE.FAT&amp;display_string=Audit&amp;VAR:KEY=FCNKRSFIHM&amp;VAR:QUERY=RkZfRUJJVERBX09QRVIoUVRSLDQvMS8yMDEwLDYvMzAvMjAxMCwsLFVTRCk=&amp;WINDOW=FIRST_POPUP&amp;HEIGH","T=450&amp;WIDTH=450&amp;START_MAXIMIZED=FALSE&amp;VAR:CALENDAR=US&amp;VAR:SYMBOL=DISCA&amp;VAR:INDEX=0"}</definedName>
    <definedName name="_741__FDSAUDITLINK__" hidden="1">{"fdsup://directions/FAT Viewer?action=UPDATE&amp;creator=factset&amp;DYN_ARGS=TRUE&amp;DOC_NAME=FAT:FQL_AUDITING_CLIENT_TEMPLATE.FAT&amp;display_string=Audit&amp;VAR:KEY=PAZODUFYBE&amp;VAR:QUERY=RkZfRUJJVERBX09QRVIoUVRSLDQvMS8yMDA5LDYvMzAvMjAwOSwsLFVTRCk=&amp;WINDOW=FIRST_POPUP&amp;HEIGH","T=450&amp;WIDTH=450&amp;START_MAXIMIZED=FALSE&amp;VAR:CALENDAR=US&amp;VAR:SYMBOL=DIS&amp;VAR:INDEX=0"}</definedName>
    <definedName name="_742__FDSAUDITLINK__" hidden="1">{"fdsup://directions/FAT Viewer?action=UPDATE&amp;creator=factset&amp;DYN_ARGS=TRUE&amp;DOC_NAME=FAT:FQL_AUDITING_CLIENT_TEMPLATE.FAT&amp;display_string=Audit&amp;VAR:KEY=LARUVKLSRK&amp;VAR:QUERY=RkZfRUJJVERBX09QRVIoUVRSLDQvMS8yMDEwLDYvMzAvMjAxMCwsLFVTRCk=&amp;WINDOW=FIRST_POPUP&amp;HEIGH","T=450&amp;WIDTH=450&amp;START_MAXIMIZED=FALSE&amp;VAR:CALENDAR=US&amp;VAR:SYMBOL=DIS&amp;VAR:INDEX=0"}</definedName>
    <definedName name="_743__FDSAUDITLINK__" hidden="1">{"fdsup://directions/FAT Viewer?action=UPDATE&amp;creator=factset&amp;DYN_ARGS=TRUE&amp;DOC_NAME=FAT:FQL_AUDITING_CLIENT_TEMPLATE.FAT&amp;display_string=Audit&amp;VAR:KEY=NKVQPKFSPM&amp;VAR:QUERY=RkZfRUJJVERBX09QRVIoUVRSLDQvMS8yMDA5LDYvMzAvMjAwOSwsLFVTRCk=&amp;WINDOW=FIRST_POPUP&amp;HEIGH","T=450&amp;WIDTH=450&amp;START_MAXIMIZED=FALSE&amp;VAR:CALENDAR=US&amp;VAR:SYMBOL=DHR&amp;VAR:INDEX=0"}</definedName>
    <definedName name="_744__FDSAUDITLINK__" hidden="1">{"fdsup://directions/FAT Viewer?action=UPDATE&amp;creator=factset&amp;DYN_ARGS=TRUE&amp;DOC_NAME=FAT:FQL_AUDITING_CLIENT_TEMPLATE.FAT&amp;display_string=Audit&amp;VAR:KEY=FWRQZAPAVI&amp;VAR:QUERY=RkZfRUJJVERBX09QRVIoUVRSLDQvMS8yMDEwLDYvMzAvMjAxMCwsLFVTRCk=&amp;WINDOW=FIRST_POPUP&amp;HEIGH","T=450&amp;WIDTH=450&amp;START_MAXIMIZED=FALSE&amp;VAR:CALENDAR=US&amp;VAR:SYMBOL=DHR&amp;VAR:INDEX=0"}</definedName>
    <definedName name="_745__FDSAUDITLINK__" hidden="1">{"fdsup://directions/FAT Viewer?action=UPDATE&amp;creator=factset&amp;DYN_ARGS=TRUE&amp;DOC_NAME=FAT:FQL_AUDITING_CLIENT_TEMPLATE.FAT&amp;display_string=Audit&amp;VAR:KEY=RQHYZOTQJE&amp;VAR:QUERY=RkZfRUJJVERBX09QRVIoUVRSLDQvMS8yMDA5LDYvMzAvMjAwOSwsLFVTRCk=&amp;WINDOW=FIRST_POPUP&amp;HEIGH","T=450&amp;WIDTH=450&amp;START_MAXIMIZED=FALSE&amp;VAR:CALENDAR=US&amp;VAR:SYMBOL=DHI&amp;VAR:INDEX=0"}</definedName>
    <definedName name="_746__FDSAUDITLINK__" hidden="1">{"fdsup://directions/FAT Viewer?action=UPDATE&amp;creator=factset&amp;DYN_ARGS=TRUE&amp;DOC_NAME=FAT:FQL_AUDITING_CLIENT_TEMPLATE.FAT&amp;display_string=Audit&amp;VAR:KEY=DAJUDMJSZW&amp;VAR:QUERY=RkZfRUJJVERBX09QRVIoUVRSLDQvMS8yMDEwLDYvMzAvMjAxMCwsLFVTRCk=&amp;WINDOW=FIRST_POPUP&amp;HEIGH","T=450&amp;WIDTH=450&amp;START_MAXIMIZED=FALSE&amp;VAR:CALENDAR=US&amp;VAR:SYMBOL=DHI&amp;VAR:INDEX=0"}</definedName>
    <definedName name="_747__FDSAUDITLINK__" hidden="1">{"fdsup://directions/FAT Viewer?action=UPDATE&amp;creator=factset&amp;DYN_ARGS=TRUE&amp;DOC_NAME=FAT:FQL_AUDITING_CLIENT_TEMPLATE.FAT&amp;display_string=Audit&amp;VAR:KEY=RSBIDIHEXA&amp;VAR:QUERY=RkZfRUJJVERBX09QRVIoUVRSLDQvMS8yMDA5LDYvMzAvMjAwOSwsLFVTRCk=&amp;WINDOW=FIRST_POPUP&amp;HEIGH","T=450&amp;WIDTH=450&amp;START_MAXIMIZED=FALSE&amp;VAR:CALENDAR=US&amp;VAR:SYMBOL=DGX&amp;VAR:INDEX=0"}</definedName>
    <definedName name="_748__FDSAUDITLINK__" hidden="1">{"fdsup://directions/FAT Viewer?action=UPDATE&amp;creator=factset&amp;DYN_ARGS=TRUE&amp;DOC_NAME=FAT:FQL_AUDITING_CLIENT_TEMPLATE.FAT&amp;display_string=Audit&amp;VAR:KEY=RANILQRQFU&amp;VAR:QUERY=RkZfRUJJVERBX09QRVIoUVRSLDQvMS8yMDEwLDYvMzAvMjAxMCwsLFVTRCk=&amp;WINDOW=FIRST_POPUP&amp;HEIGH","T=450&amp;WIDTH=450&amp;START_MAXIMIZED=FALSE&amp;VAR:CALENDAR=US&amp;VAR:SYMBOL=DGX&amp;VAR:INDEX=0"}</definedName>
    <definedName name="_749__FDSAUDITLINK__" hidden="1">{"fdsup://directions/FAT Viewer?action=UPDATE&amp;creator=factset&amp;DYN_ARGS=TRUE&amp;DOC_NAME=FAT:FQL_AUDITING_CLIENT_TEMPLATE.FAT&amp;display_string=Audit&amp;VAR:KEY=FEPQFUJWZK&amp;VAR:QUERY=RkZfRUJJVERBX09QRVIoUVRSLDQvMS8yMDA5LDYvMzAvMjAwOSwsLFVTRCk=&amp;WINDOW=FIRST_POPUP&amp;HEIGH","T=450&amp;WIDTH=450&amp;START_MAXIMIZED=FALSE&amp;VAR:CALENDAR=US&amp;VAR:SYMBOL=DFS&amp;VAR:INDEX=0"}</definedName>
    <definedName name="_75__FDSAUDITLINK__" hidden="1">{"fdsup://directions/FAT Viewer?action=UPDATE&amp;creator=factset&amp;DYN_ARGS=TRUE&amp;DOC_NAME=FAT:FQL_AUDITING_CLIENT_TEMPLATE.FAT&amp;display_string=Audit&amp;VAR:KEY=FEXMLEDMJQ&amp;VAR:QUERY=RkZfRUJJVERBX09QRVIoUVRSLDQvMS8yMDA5LDYvMzAvMjAwOSwsLFVTRCk=&amp;WINDOW=FIRST_POPUP&amp;HEIGH","T=450&amp;WIDTH=450&amp;START_MAXIMIZED=FALSE&amp;VAR:CALENDAR=US&amp;VAR:SYMBOL=VFC&amp;VAR:INDEX=0"}</definedName>
    <definedName name="_750__FDSAUDITLINK__" hidden="1">{"fdsup://directions/FAT Viewer?action=UPDATE&amp;creator=factset&amp;DYN_ARGS=TRUE&amp;DOC_NAME=FAT:FQL_AUDITING_CLIENT_TEMPLATE.FAT&amp;display_string=Audit&amp;VAR:KEY=LORGXGTOTG&amp;VAR:QUERY=RkZfRUJJVERBX09QRVIoUVRSLDQvMS8yMDEwLDYvMzAvMjAxMCwsLFVTRCk=&amp;WINDOW=FIRST_POPUP&amp;HEIGH","T=450&amp;WIDTH=450&amp;START_MAXIMIZED=FALSE&amp;VAR:CALENDAR=US&amp;VAR:SYMBOL=DFS&amp;VAR:INDEX=0"}</definedName>
    <definedName name="_751__FDSAUDITLINK__" hidden="1">{"fdsup://directions/FAT Viewer?action=UPDATE&amp;creator=factset&amp;DYN_ARGS=TRUE&amp;DOC_NAME=FAT:FQL_AUDITING_CLIENT_TEMPLATE.FAT&amp;display_string=Audit&amp;VAR:KEY=FAJQPINOBW&amp;VAR:QUERY=RkZfRUJJVERBX09QRVIoUVRSLDQvMS8yMDA5LDYvMzAvMjAwOSwsLFVTRCk=&amp;WINDOW=FIRST_POPUP&amp;HEIGH","T=450&amp;WIDTH=450&amp;START_MAXIMIZED=FALSE&amp;VAR:CALENDAR=US&amp;VAR:SYMBOL=DF&amp;VAR:INDEX=0"}</definedName>
    <definedName name="_752__FDSAUDITLINK__" hidden="1">{"fdsup://directions/FAT Viewer?action=UPDATE&amp;creator=factset&amp;DYN_ARGS=TRUE&amp;DOC_NAME=FAT:FQL_AUDITING_CLIENT_TEMPLATE.FAT&amp;display_string=Audit&amp;VAR:KEY=JSLITUHEJQ&amp;VAR:QUERY=RkZfRUJJVERBX09QRVIoUVRSLDQvMS8yMDEwLDYvMzAvMjAxMCwsLFVTRCk=&amp;WINDOW=FIRST_POPUP&amp;HEIGH","T=450&amp;WIDTH=450&amp;START_MAXIMIZED=FALSE&amp;VAR:CALENDAR=US&amp;VAR:SYMBOL=DF&amp;VAR:INDEX=0"}</definedName>
    <definedName name="_753__FDSAUDITLINK__" hidden="1">{"fdsup://directions/FAT Viewer?action=UPDATE&amp;creator=factset&amp;DYN_ARGS=TRUE&amp;DOC_NAME=FAT:FQL_AUDITING_CLIENT_TEMPLATE.FAT&amp;display_string=Audit&amp;VAR:KEY=DEVKBYLEPM&amp;VAR:QUERY=RkZfRUJJVERBX09QRVIoUVRSLDQvMS8yMDA5LDYvMzAvMjAwOSwsLFVTRCk=&amp;WINDOW=FIRST_POPUP&amp;HEIGH","T=450&amp;WIDTH=450&amp;START_MAXIMIZED=FALSE&amp;VAR:CALENDAR=US&amp;VAR:SYMBOL=DELL&amp;VAR:INDEX=0"}</definedName>
    <definedName name="_754__FDSAUDITLINK__" hidden="1">{"fdsup://directions/FAT Viewer?action=UPDATE&amp;creator=factset&amp;DYN_ARGS=TRUE&amp;DOC_NAME=FAT:FQL_AUDITING_CLIENT_TEMPLATE.FAT&amp;display_string=Audit&amp;VAR:KEY=NWXKPKBORQ&amp;VAR:QUERY=RkZfRUJJVERBX09QRVIoUVRSLDQvMS8yMDEwLDYvMzAvMjAxMCwsLFVTRCk=&amp;WINDOW=FIRST_POPUP&amp;HEIGH","T=450&amp;WIDTH=450&amp;START_MAXIMIZED=FALSE&amp;VAR:CALENDAR=US&amp;VAR:SYMBOL=DELL&amp;VAR:INDEX=0"}</definedName>
    <definedName name="_755__FDSAUDITLINK__" hidden="1">{"fdsup://directions/FAT Viewer?action=UPDATE&amp;creator=factset&amp;DYN_ARGS=TRUE&amp;DOC_NAME=FAT:FQL_AUDITING_CLIENT_TEMPLATE.FAT&amp;display_string=Audit&amp;VAR:KEY=XADCRYTIPA&amp;VAR:QUERY=RkZfRUJJVERBX09QRVIoUVRSLDQvMS8yMDA5LDYvMzAvMjAwOSwsLFVTRCk=&amp;WINDOW=FIRST_POPUP&amp;HEIGH","T=450&amp;WIDTH=450&amp;START_MAXIMIZED=FALSE&amp;VAR:CALENDAR=US&amp;VAR:SYMBOL=DE&amp;VAR:INDEX=0"}</definedName>
    <definedName name="_756__FDSAUDITLINK__" hidden="1">{"fdsup://directions/FAT Viewer?action=UPDATE&amp;creator=factset&amp;DYN_ARGS=TRUE&amp;DOC_NAME=FAT:FQL_AUDITING_CLIENT_TEMPLATE.FAT&amp;display_string=Audit&amp;VAR:KEY=HIPQZIHUHU&amp;VAR:QUERY=RkZfRUJJVERBX09QRVIoUVRSLDQvMS8yMDEwLDYvMzAvMjAxMCwsLFVTRCk=&amp;WINDOW=FIRST_POPUP&amp;HEIGH","T=450&amp;WIDTH=450&amp;START_MAXIMIZED=FALSE&amp;VAR:CALENDAR=US&amp;VAR:SYMBOL=DE&amp;VAR:INDEX=0"}</definedName>
    <definedName name="_757__FDSAUDITLINK__" hidden="1">{"fdsup://directions/FAT Viewer?action=UPDATE&amp;creator=factset&amp;DYN_ARGS=TRUE&amp;DOC_NAME=FAT:FQL_AUDITING_CLIENT_TEMPLATE.FAT&amp;display_string=Audit&amp;VAR:KEY=XUXMRCDMZG&amp;VAR:QUERY=RkZfRUJJVERBX09QRVIoUVRSLDQvMS8yMDA5LDYvMzAvMjAwOSwsLFVTRCk=&amp;WINDOW=FIRST_POPUP&amp;HEIGH","T=450&amp;WIDTH=450&amp;START_MAXIMIZED=FALSE&amp;VAR:CALENDAR=US&amp;VAR:SYMBOL=DD&amp;VAR:INDEX=0"}</definedName>
    <definedName name="_758__FDSAUDITLINK__" hidden="1">{"fdsup://directions/FAT Viewer?action=UPDATE&amp;creator=factset&amp;DYN_ARGS=TRUE&amp;DOC_NAME=FAT:FQL_AUDITING_CLIENT_TEMPLATE.FAT&amp;display_string=Audit&amp;VAR:KEY=TKDUBQTYBI&amp;VAR:QUERY=RkZfRUJJVERBX09QRVIoUVRSLDQvMS8yMDEwLDYvMzAvMjAxMCwsLFVTRCk=&amp;WINDOW=FIRST_POPUP&amp;HEIGH","T=450&amp;WIDTH=450&amp;START_MAXIMIZED=FALSE&amp;VAR:CALENDAR=US&amp;VAR:SYMBOL=DD&amp;VAR:INDEX=0"}</definedName>
    <definedName name="_759__FDSAUDITLINK__" hidden="1">{"fdsup://directions/FAT Viewer?action=UPDATE&amp;creator=factset&amp;DYN_ARGS=TRUE&amp;DOC_NAME=FAT:FQL_AUDITING_CLIENT_TEMPLATE.FAT&amp;display_string=Audit&amp;VAR:KEY=TYNMLAXMFA&amp;VAR:QUERY=RkZfRUJJVERBX09QRVIoUVRSLDQvMS8yMDA5LDYvMzAvMjAwOSwsLFVTRCk=&amp;WINDOW=FIRST_POPUP&amp;HEIGH","T=450&amp;WIDTH=450&amp;START_MAXIMIZED=FALSE&amp;VAR:CALENDAR=US&amp;VAR:SYMBOL=D&amp;VAR:INDEX=0"}</definedName>
    <definedName name="_76__FDSAUDITLINK__" hidden="1">{"fdsup://directions/FAT Viewer?action=UPDATE&amp;creator=factset&amp;DYN_ARGS=TRUE&amp;DOC_NAME=FAT:FQL_AUDITING_CLIENT_TEMPLATE.FAT&amp;display_string=Audit&amp;VAR:KEY=JYVQLEHUVK&amp;VAR:QUERY=RkZfRUJJVERBX09QRVIoUVRSLDQvMS8yMDEwLDYvMzAvMjAxMCwsLFVTRCk=&amp;WINDOW=FIRST_POPUP&amp;HEIGH","T=450&amp;WIDTH=450&amp;START_MAXIMIZED=FALSE&amp;VAR:CALENDAR=US&amp;VAR:SYMBOL=VFC&amp;VAR:INDEX=0"}</definedName>
    <definedName name="_760__FDSAUDITLINK__" hidden="1">{"fdsup://directions/FAT Viewer?action=UPDATE&amp;creator=factset&amp;DYN_ARGS=TRUE&amp;DOC_NAME=FAT:FQL_AUDITING_CLIENT_TEMPLATE.FAT&amp;display_string=Audit&amp;VAR:KEY=RGVIXUVMZQ&amp;VAR:QUERY=RkZfRUJJVERBX09QRVIoUVRSLDQvMS8yMDEwLDYvMzAvMjAxMCwsLFVTRCk=&amp;WINDOW=FIRST_POPUP&amp;HEIGH","T=450&amp;WIDTH=450&amp;START_MAXIMIZED=FALSE&amp;VAR:CALENDAR=US&amp;VAR:SYMBOL=D&amp;VAR:INDEX=0"}</definedName>
    <definedName name="_761__FDSAUDITLINK__" hidden="1">{"fdsup://directions/FAT Viewer?action=UPDATE&amp;creator=factset&amp;DYN_ARGS=TRUE&amp;DOC_NAME=FAT:FQL_AUDITING_CLIENT_TEMPLATE.FAT&amp;display_string=Audit&amp;VAR:KEY=JQHWVAHYTY&amp;VAR:QUERY=RkZfRUJJVERBX09QRVIoUVRSLDQvMS8yMDA5LDYvMzAvMjAwOSwsLFVTRCk=&amp;WINDOW=FIRST_POPUP&amp;HEIGH","T=450&amp;WIDTH=450&amp;START_MAXIMIZED=FALSE&amp;VAR:CALENDAR=US&amp;VAR:SYMBOL=CVX&amp;VAR:INDEX=0"}</definedName>
    <definedName name="_762__FDSAUDITLINK__" hidden="1">{"fdsup://directions/FAT Viewer?action=UPDATE&amp;creator=factset&amp;DYN_ARGS=TRUE&amp;DOC_NAME=FAT:FQL_AUDITING_CLIENT_TEMPLATE.FAT&amp;display_string=Audit&amp;VAR:KEY=XWZIDQFKBE&amp;VAR:QUERY=RkZfRUJJVERBX09QRVIoUVRSLDQvMS8yMDEwLDYvMzAvMjAxMCwsLFVTRCk=&amp;WINDOW=FIRST_POPUP&amp;HEIGH","T=450&amp;WIDTH=450&amp;START_MAXIMIZED=FALSE&amp;VAR:CALENDAR=US&amp;VAR:SYMBOL=CVX&amp;VAR:INDEX=0"}</definedName>
    <definedName name="_763__FDSAUDITLINK__" hidden="1">{"fdsup://directions/FAT Viewer?action=UPDATE&amp;creator=factset&amp;DYN_ARGS=TRUE&amp;DOC_NAME=FAT:FQL_AUDITING_CLIENT_TEMPLATE.FAT&amp;display_string=Audit&amp;VAR:KEY=FKVOJGJGVE&amp;VAR:QUERY=RkZfRUJJVERBX09QRVIoUVRSLDQvMS8yMDA5LDYvMzAvMjAwOSwsLFVTRCk=&amp;WINDOW=FIRST_POPUP&amp;HEIGH","T=450&amp;WIDTH=450&amp;START_MAXIMIZED=FALSE&amp;VAR:CALENDAR=US&amp;VAR:SYMBOL=CVS&amp;VAR:INDEX=0"}</definedName>
    <definedName name="_764__FDSAUDITLINK__" hidden="1">{"fdsup://directions/FAT Viewer?action=UPDATE&amp;creator=factset&amp;DYN_ARGS=TRUE&amp;DOC_NAME=FAT:FQL_AUDITING_CLIENT_TEMPLATE.FAT&amp;display_string=Audit&amp;VAR:KEY=ZURIFYPILM&amp;VAR:QUERY=RkZfRUJJVERBX09QRVIoUVRSLDQvMS8yMDEwLDYvMzAvMjAxMCwsLFVTRCk=&amp;WINDOW=FIRST_POPUP&amp;HEIGH","T=450&amp;WIDTH=450&amp;START_MAXIMIZED=FALSE&amp;VAR:CALENDAR=US&amp;VAR:SYMBOL=CVS&amp;VAR:INDEX=0"}</definedName>
    <definedName name="_765__FDSAUDITLINK__" hidden="1">{"fdsup://directions/FAT Viewer?action=UPDATE&amp;creator=factset&amp;DYN_ARGS=TRUE&amp;DOC_NAME=FAT:FQL_AUDITING_CLIENT_TEMPLATE.FAT&amp;display_string=Audit&amp;VAR:KEY=RQRQHYXEPS&amp;VAR:QUERY=RkZfRUJJVERBX09QRVIoUVRSLDQvMS8yMDA5LDYvMzAvMjAwOSwsLFVTRCk=&amp;WINDOW=FIRST_POPUP&amp;HEIGH","T=450&amp;WIDTH=450&amp;START_MAXIMIZED=FALSE&amp;VAR:CALENDAR=US&amp;VAR:SYMBOL=CVH&amp;VAR:INDEX=0"}</definedName>
    <definedName name="_766__FDSAUDITLINK__" hidden="1">{"fdsup://directions/FAT Viewer?action=UPDATE&amp;creator=factset&amp;DYN_ARGS=TRUE&amp;DOC_NAME=FAT:FQL_AUDITING_CLIENT_TEMPLATE.FAT&amp;display_string=Audit&amp;VAR:KEY=JIDWXKNCBI&amp;VAR:QUERY=RkZfRUJJVERBX09QRVIoUVRSLDQvMS8yMDEwLDYvMzAvMjAxMCwsLFVTRCk=&amp;WINDOW=FIRST_POPUP&amp;HEIGH","T=450&amp;WIDTH=450&amp;START_MAXIMIZED=FALSE&amp;VAR:CALENDAR=US&amp;VAR:SYMBOL=CVH&amp;VAR:INDEX=0"}</definedName>
    <definedName name="_767__FDSAUDITLINK__" hidden="1">{"fdsup://directions/FAT Viewer?action=UPDATE&amp;creator=factset&amp;DYN_ARGS=TRUE&amp;DOC_NAME=FAT:FQL_AUDITING_CLIENT_TEMPLATE.FAT&amp;display_string=Audit&amp;VAR:KEY=PIHYBIDSJE&amp;VAR:QUERY=RkZfRUJJVERBX09QRVIoUVRSLDQvMS8yMDA5LDYvMzAvMjAwOSwsLFVTRCk=&amp;WINDOW=FIRST_POPUP&amp;HEIGH","T=450&amp;WIDTH=450&amp;START_MAXIMIZED=FALSE&amp;VAR:CALENDAR=US&amp;VAR:SYMBOL=CTXS&amp;VAR:INDEX=0"}</definedName>
    <definedName name="_768__FDSAUDITLINK__" hidden="1">{"fdsup://directions/FAT Viewer?action=UPDATE&amp;creator=factset&amp;DYN_ARGS=TRUE&amp;DOC_NAME=FAT:FQL_AUDITING_CLIENT_TEMPLATE.FAT&amp;display_string=Audit&amp;VAR:KEY=FWVMZMFMRC&amp;VAR:QUERY=RkZfRUJJVERBX09QRVIoUVRSLDQvMS8yMDEwLDYvMzAvMjAxMCwsLFVTRCk=&amp;WINDOW=FIRST_POPUP&amp;HEIGH","T=450&amp;WIDTH=450&amp;START_MAXIMIZED=FALSE&amp;VAR:CALENDAR=US&amp;VAR:SYMBOL=CTXS&amp;VAR:INDEX=0"}</definedName>
    <definedName name="_769__FDSAUDITLINK__" hidden="1">{"fdsup://directions/FAT Viewer?action=UPDATE&amp;creator=factset&amp;DYN_ARGS=TRUE&amp;DOC_NAME=FAT:FQL_AUDITING_CLIENT_TEMPLATE.FAT&amp;display_string=Audit&amp;VAR:KEY=HSVEPENCXI&amp;VAR:QUERY=RkZfRUJJVERBX09QRVIoUVRSLDQvMS8yMDA5LDYvMzAvMjAwOSwsLFVTRCk=&amp;WINDOW=FIRST_POPUP&amp;HEIGH","T=450&amp;WIDTH=450&amp;START_MAXIMIZED=FALSE&amp;VAR:CALENDAR=US&amp;VAR:SYMBOL=CTSH&amp;VAR:INDEX=0"}</definedName>
    <definedName name="_77__FDSAUDITLINK__" hidden="1">{"fdsup://directions/FAT Viewer?action=UPDATE&amp;creator=factset&amp;DYN_ARGS=TRUE&amp;DOC_NAME=FAT:FQL_AUDITING_CLIENT_TEMPLATE.FAT&amp;display_string=Audit&amp;VAR:KEY=JSZGHMTQLY&amp;VAR:QUERY=RkZfRUJJVERBX09QRVIoUVRSLDQvMS8yMDA5LDYvMzAvMjAwOSwsLFVTRCk=&amp;WINDOW=FIRST_POPUP&amp;HEIGH","T=450&amp;WIDTH=450&amp;START_MAXIMIZED=FALSE&amp;VAR:CALENDAR=US&amp;VAR:SYMBOL=VAR&amp;VAR:INDEX=0"}</definedName>
    <definedName name="_770__FDSAUDITLINK__" hidden="1">{"fdsup://directions/FAT Viewer?action=UPDATE&amp;creator=factset&amp;DYN_ARGS=TRUE&amp;DOC_NAME=FAT:FQL_AUDITING_CLIENT_TEMPLATE.FAT&amp;display_string=Audit&amp;VAR:KEY=HWLELUTEFW&amp;VAR:QUERY=RkZfRUJJVERBX09QRVIoUVRSLDQvMS8yMDEwLDYvMzAvMjAxMCwsLFVTRCk=&amp;WINDOW=FIRST_POPUP&amp;HEIGH","T=450&amp;WIDTH=450&amp;START_MAXIMIZED=FALSE&amp;VAR:CALENDAR=US&amp;VAR:SYMBOL=CTSH&amp;VAR:INDEX=0"}</definedName>
    <definedName name="_771__FDSAUDITLINK__" hidden="1">{"fdsup://directions/FAT Viewer?action=UPDATE&amp;creator=factset&amp;DYN_ARGS=TRUE&amp;DOC_NAME=FAT:FQL_AUDITING_CLIENT_TEMPLATE.FAT&amp;display_string=Audit&amp;VAR:KEY=VIDIPCBETK&amp;VAR:QUERY=RkZfRUJJVERBX09QRVIoUVRSLDQvMS8yMDA5LDYvMzAvMjAwOSwsLFVTRCk=&amp;WINDOW=FIRST_POPUP&amp;HEIGH","T=450&amp;WIDTH=450&amp;START_MAXIMIZED=FALSE&amp;VAR:CALENDAR=US&amp;VAR:SYMBOL=CTL&amp;VAR:INDEX=0"}</definedName>
    <definedName name="_772__FDSAUDITLINK__" hidden="1">{"fdsup://directions/FAT Viewer?action=UPDATE&amp;creator=factset&amp;DYN_ARGS=TRUE&amp;DOC_NAME=FAT:FQL_AUDITING_CLIENT_TEMPLATE.FAT&amp;display_string=Audit&amp;VAR:KEY=LYHQNEVODW&amp;VAR:QUERY=RkZfRUJJVERBX09QRVIoUVRSLDQvMS8yMDEwLDYvMzAvMjAxMCwsLFVTRCk=&amp;WINDOW=FIRST_POPUP&amp;HEIGH","T=450&amp;WIDTH=450&amp;START_MAXIMIZED=FALSE&amp;VAR:CALENDAR=US&amp;VAR:SYMBOL=CTL&amp;VAR:INDEX=0"}</definedName>
    <definedName name="_773__FDSAUDITLINK__" hidden="1">{"fdsup://directions/FAT Viewer?action=UPDATE&amp;creator=factset&amp;DYN_ARGS=TRUE&amp;DOC_NAME=FAT:FQL_AUDITING_CLIENT_TEMPLATE.FAT&amp;display_string=Audit&amp;VAR:KEY=PODOJMDAPM&amp;VAR:QUERY=RkZfRUJJVERBX09QRVIoUVRSLDQvMS8yMDA5LDYvMzAvMjAwOSwsLFVTRCk=&amp;WINDOW=FIRST_POPUP&amp;HEIGH","T=450&amp;WIDTH=450&amp;START_MAXIMIZED=FALSE&amp;VAR:CALENDAR=US&amp;VAR:SYMBOL=CTAS&amp;VAR:INDEX=0"}</definedName>
    <definedName name="_774__FDSAUDITLINK__" hidden="1">{"fdsup://directions/FAT Viewer?action=UPDATE&amp;creator=factset&amp;DYN_ARGS=TRUE&amp;DOC_NAME=FAT:FQL_AUDITING_CLIENT_TEMPLATE.FAT&amp;display_string=Audit&amp;VAR:KEY=ZSZAXIHEZS&amp;VAR:QUERY=RkZfRUJJVERBX09QRVIoUVRSLDQvMS8yMDEwLDYvMzAvMjAxMCwsLFVTRCk=&amp;WINDOW=FIRST_POPUP&amp;HEIGH","T=450&amp;WIDTH=450&amp;START_MAXIMIZED=FALSE&amp;VAR:CALENDAR=US&amp;VAR:SYMBOL=CTAS&amp;VAR:INDEX=0"}</definedName>
    <definedName name="_775__FDSAUDITLINK__" hidden="1">{"fdsup://directions/FAT Viewer?action=UPDATE&amp;creator=factset&amp;DYN_ARGS=TRUE&amp;DOC_NAME=FAT:FQL_AUDITING_CLIENT_TEMPLATE.FAT&amp;display_string=Audit&amp;VAR:KEY=XMFEVIFMXO&amp;VAR:QUERY=RkZfRUJJVERBX09QRVIoUVRSLDQvMS8yMDA5LDYvMzAvMjAwOSwsLFVTRCk=&amp;WINDOW=FIRST_POPUP&amp;HEIGH","T=450&amp;WIDTH=450&amp;START_MAXIMIZED=FALSE&amp;VAR:CALENDAR=US&amp;VAR:SYMBOL=CSX&amp;VAR:INDEX=0"}</definedName>
    <definedName name="_776__FDSAUDITLINK__" hidden="1">{"fdsup://directions/FAT Viewer?action=UPDATE&amp;creator=factset&amp;DYN_ARGS=TRUE&amp;DOC_NAME=FAT:FQL_AUDITING_CLIENT_TEMPLATE.FAT&amp;display_string=Audit&amp;VAR:KEY=TKPKDMPYVK&amp;VAR:QUERY=RkZfRUJJVERBX09QRVIoUVRSLDQvMS8yMDEwLDYvMzAvMjAxMCwsLFVTRCk=&amp;WINDOW=FIRST_POPUP&amp;HEIGH","T=450&amp;WIDTH=450&amp;START_MAXIMIZED=FALSE&amp;VAR:CALENDAR=US&amp;VAR:SYMBOL=CSX&amp;VAR:INDEX=0"}</definedName>
    <definedName name="_777__FDSAUDITLINK__" hidden="1">{"fdsup://directions/FAT Viewer?action=UPDATE&amp;creator=factset&amp;DYN_ARGS=TRUE&amp;DOC_NAME=FAT:FQL_AUDITING_CLIENT_TEMPLATE.FAT&amp;display_string=Audit&amp;VAR:KEY=XWZWZWXENK&amp;VAR:QUERY=RkZfRUJJVERBX09QRVIoUVRSLDQvMS8yMDA5LDYvMzAvMjAwOSwsLFVTRCk=&amp;WINDOW=FIRST_POPUP&amp;HEIGH","T=450&amp;WIDTH=450&amp;START_MAXIMIZED=FALSE&amp;VAR:CALENDAR=US&amp;VAR:SYMBOL=CSCO&amp;VAR:INDEX=0"}</definedName>
    <definedName name="_778__FDSAUDITLINK__" hidden="1">{"fdsup://directions/FAT Viewer?action=UPDATE&amp;creator=factset&amp;DYN_ARGS=TRUE&amp;DOC_NAME=FAT:FQL_AUDITING_CLIENT_TEMPLATE.FAT&amp;display_string=Audit&amp;VAR:KEY=HUVCLOLILA&amp;VAR:QUERY=RkZfRUJJVERBX09QRVIoUVRSLDQvMS8yMDEwLDYvMzAvMjAxMCwsLFVTRCk=&amp;WINDOW=FIRST_POPUP&amp;HEIGH","T=450&amp;WIDTH=450&amp;START_MAXIMIZED=FALSE&amp;VAR:CALENDAR=US&amp;VAR:SYMBOL=CSCO&amp;VAR:INDEX=0"}</definedName>
    <definedName name="_779__FDSAUDITLINK__" hidden="1">{"fdsup://directions/FAT Viewer?action=UPDATE&amp;creator=factset&amp;DYN_ARGS=TRUE&amp;DOC_NAME=FAT:FQL_AUDITING_CLIENT_TEMPLATE.FAT&amp;display_string=Audit&amp;VAR:KEY=NSJQVWLINS&amp;VAR:QUERY=RkZfRUJJVERBX09QRVIoUVRSLDQvMS8yMDA5LDYvMzAvMjAwOSwsLFVTRCk=&amp;WINDOW=FIRST_POPUP&amp;HEIGH","T=450&amp;WIDTH=450&amp;START_MAXIMIZED=FALSE&amp;VAR:CALENDAR=US&amp;VAR:SYMBOL=CSC&amp;VAR:INDEX=0"}</definedName>
    <definedName name="_78__FDSAUDITLINK__" hidden="1">{"fdsup://directions/FAT Viewer?action=UPDATE&amp;creator=factset&amp;DYN_ARGS=TRUE&amp;DOC_NAME=FAT:FQL_AUDITING_CLIENT_TEMPLATE.FAT&amp;display_string=Audit&amp;VAR:KEY=RSTQZMXMLG&amp;VAR:QUERY=RkZfRUJJVERBX09QRVIoUVRSLDQvMS8yMDEwLDYvMzAvMjAxMCwsLFVTRCk=&amp;WINDOW=FIRST_POPUP&amp;HEIGH","T=450&amp;WIDTH=450&amp;START_MAXIMIZED=FALSE&amp;VAR:CALENDAR=US&amp;VAR:SYMBOL=VAR&amp;VAR:INDEX=0"}</definedName>
    <definedName name="_780__FDSAUDITLINK__" hidden="1">{"fdsup://directions/FAT Viewer?action=UPDATE&amp;creator=factset&amp;DYN_ARGS=TRUE&amp;DOC_NAME=FAT:FQL_AUDITING_CLIENT_TEMPLATE.FAT&amp;display_string=Audit&amp;VAR:KEY=TSZOJOVCDE&amp;VAR:QUERY=RkZfRUJJVERBX09QRVIoUVRSLDQvMS8yMDEwLDYvMzAvMjAxMCwsLFVTRCk=&amp;WINDOW=FIRST_POPUP&amp;HEIGH","T=450&amp;WIDTH=450&amp;START_MAXIMIZED=FALSE&amp;VAR:CALENDAR=US&amp;VAR:SYMBOL=CSC&amp;VAR:INDEX=0"}</definedName>
    <definedName name="_781__FDSAUDITLINK__" hidden="1">{"fdsup://directions/FAT Viewer?action=UPDATE&amp;creator=factset&amp;DYN_ARGS=TRUE&amp;DOC_NAME=FAT:FQL_AUDITING_CLIENT_TEMPLATE.FAT&amp;display_string=Audit&amp;VAR:KEY=TSZSNMJUBW&amp;VAR:QUERY=RkZfRUJJVERBX09QRVIoUVRSLDQvMS8yMDA5LDYvMzAvMjAwOSwsLFVTRCk=&amp;WINDOW=FIRST_POPUP&amp;HEIGH","T=450&amp;WIDTH=450&amp;START_MAXIMIZED=FALSE&amp;VAR:CALENDAR=US&amp;VAR:SYMBOL=CRM&amp;VAR:INDEX=0"}</definedName>
    <definedName name="_782__FDSAUDITLINK__" hidden="1">{"fdsup://directions/FAT Viewer?action=UPDATE&amp;creator=factset&amp;DYN_ARGS=TRUE&amp;DOC_NAME=FAT:FQL_AUDITING_CLIENT_TEMPLATE.FAT&amp;display_string=Audit&amp;VAR:KEY=ZUZQJGZAHO&amp;VAR:QUERY=RkZfRUJJVERBX09QRVIoUVRSLDQvMS8yMDEwLDYvMzAvMjAxMCwsLFVTRCk=&amp;WINDOW=FIRST_POPUP&amp;HEIGH","T=450&amp;WIDTH=450&amp;START_MAXIMIZED=FALSE&amp;VAR:CALENDAR=US&amp;VAR:SYMBOL=CRM&amp;VAR:INDEX=0"}</definedName>
    <definedName name="_783__FDSAUDITLINK__" hidden="1">{"fdsup://directions/FAT Viewer?action=UPDATE&amp;creator=factset&amp;DYN_ARGS=TRUE&amp;DOC_NAME=FAT:FQL_AUDITING_CLIENT_TEMPLATE.FAT&amp;display_string=Audit&amp;VAR:KEY=XWLSXEJCNU&amp;VAR:QUERY=RkZfRUJJVERBX09QRVIoUVRSLDQvMS8yMDA5LDYvMzAvMjAwOSwsLFVTRCk=&amp;WINDOW=FIRST_POPUP&amp;HEIGH","T=450&amp;WIDTH=450&amp;START_MAXIMIZED=FALSE&amp;VAR:CALENDAR=US&amp;VAR:SYMBOL=CPWR&amp;VAR:INDEX=0"}</definedName>
    <definedName name="_784__FDSAUDITLINK__" hidden="1">{"fdsup://directions/FAT Viewer?action=UPDATE&amp;creator=factset&amp;DYN_ARGS=TRUE&amp;DOC_NAME=FAT:FQL_AUDITING_CLIENT_TEMPLATE.FAT&amp;display_string=Audit&amp;VAR:KEY=BKDAZMXARE&amp;VAR:QUERY=RkZfRUJJVERBX09QRVIoUVRSLDQvMS8yMDEwLDYvMzAvMjAxMCwsLFVTRCk=&amp;WINDOW=FIRST_POPUP&amp;HEIGH","T=450&amp;WIDTH=450&amp;START_MAXIMIZED=FALSE&amp;VAR:CALENDAR=US&amp;VAR:SYMBOL=CPWR&amp;VAR:INDEX=0"}</definedName>
    <definedName name="_785__FDSAUDITLINK__" hidden="1">{"fdsup://directions/FAT Viewer?action=UPDATE&amp;creator=factset&amp;DYN_ARGS=TRUE&amp;DOC_NAME=FAT:FQL_AUDITING_CLIENT_TEMPLATE.FAT&amp;display_string=Audit&amp;VAR:KEY=RCHWHWHULG&amp;VAR:QUERY=RkZfRUJJVERBX09QRVIoUVRSLDQvMS8yMDA5LDYvMzAvMjAwOSwsLFVTRCk=&amp;WINDOW=FIRST_POPUP&amp;HEIGH","T=450&amp;WIDTH=450&amp;START_MAXIMIZED=FALSE&amp;VAR:CALENDAR=US&amp;VAR:SYMBOL=CPB&amp;VAR:INDEX=0"}</definedName>
    <definedName name="_786__FDSAUDITLINK__" hidden="1">{"fdsup://directions/FAT Viewer?action=UPDATE&amp;creator=factset&amp;DYN_ARGS=TRUE&amp;DOC_NAME=FAT:FQL_AUDITING_CLIENT_TEMPLATE.FAT&amp;display_string=Audit&amp;VAR:KEY=XCTKBKPQZS&amp;VAR:QUERY=RkZfRUJJVERBX09QRVIoUVRSLDQvMS8yMDEwLDYvMzAvMjAxMCwsLFVTRCk=&amp;WINDOW=FIRST_POPUP&amp;HEIGH","T=450&amp;WIDTH=450&amp;START_MAXIMIZED=FALSE&amp;VAR:CALENDAR=US&amp;VAR:SYMBOL=CPB&amp;VAR:INDEX=0"}</definedName>
    <definedName name="_787__FDSAUDITLINK__" hidden="1">{"fdsup://directions/FAT Viewer?action=UPDATE&amp;creator=factset&amp;DYN_ARGS=TRUE&amp;DOC_NAME=FAT:FQL_AUDITING_CLIENT_TEMPLATE.FAT&amp;display_string=Audit&amp;VAR:KEY=LGFMLUJYVC&amp;VAR:QUERY=RkZfRUJJVERBX09QRVIoUVRSLDQvMS8yMDA5LDYvMzAvMjAwOSwsLFVTRCk=&amp;WINDOW=FIRST_POPUP&amp;HEIGH","T=450&amp;WIDTH=450&amp;START_MAXIMIZED=FALSE&amp;VAR:CALENDAR=US&amp;VAR:SYMBOL=COST&amp;VAR:INDEX=0"}</definedName>
    <definedName name="_788__FDSAUDITLINK__" hidden="1">{"fdsup://directions/FAT Viewer?action=UPDATE&amp;creator=factset&amp;DYN_ARGS=TRUE&amp;DOC_NAME=FAT:FQL_AUDITING_CLIENT_TEMPLATE.FAT&amp;display_string=Audit&amp;VAR:KEY=VKLAJAVWJY&amp;VAR:QUERY=RkZfRUJJVERBX09QRVIoUVRSLDQvMS8yMDEwLDYvMzAvMjAxMCwsLFVTRCk=&amp;WINDOW=FIRST_POPUP&amp;HEIGH","T=450&amp;WIDTH=450&amp;START_MAXIMIZED=FALSE&amp;VAR:CALENDAR=US&amp;VAR:SYMBOL=COST&amp;VAR:INDEX=0"}</definedName>
    <definedName name="_789__FDSAUDITLINK__" hidden="1">{"fdsup://directions/FAT Viewer?action=UPDATE&amp;creator=factset&amp;DYN_ARGS=TRUE&amp;DOC_NAME=FAT:FQL_AUDITING_CLIENT_TEMPLATE.FAT&amp;display_string=Audit&amp;VAR:KEY=BKLILEDWZO&amp;VAR:QUERY=RkZfRUJJVERBX09QRVIoUVRSLDQvMS8yMDA5LDYvMzAvMjAwOSwsLFVTRCk=&amp;WINDOW=FIRST_POPUP&amp;HEIGH","T=450&amp;WIDTH=450&amp;START_MAXIMIZED=FALSE&amp;VAR:CALENDAR=US&amp;VAR:SYMBOL=COP&amp;VAR:INDEX=0"}</definedName>
    <definedName name="_79__FDSAUDITLINK__" hidden="1">{"fdsup://directions/FAT Viewer?action=UPDATE&amp;creator=factset&amp;DYN_ARGS=TRUE&amp;DOC_NAME=FAT:FQL_AUDITING_CLIENT_TEMPLATE.FAT&amp;display_string=Audit&amp;VAR:KEY=RKPQPKPWJQ&amp;VAR:QUERY=RkZfRUJJVERBX09QRVIoUVRSLDQvMS8yMDA5LDYvMzAvMjAwOSwsLFVTRCk=&amp;WINDOW=FIRST_POPUP&amp;HEIGH","T=450&amp;WIDTH=450&amp;START_MAXIMIZED=FALSE&amp;VAR:CALENDAR=US&amp;VAR:SYMBOL=V&amp;VAR:INDEX=0"}</definedName>
    <definedName name="_790__FDSAUDITLINK__" hidden="1">{"fdsup://directions/FAT Viewer?action=UPDATE&amp;creator=factset&amp;DYN_ARGS=TRUE&amp;DOC_NAME=FAT:FQL_AUDITING_CLIENT_TEMPLATE.FAT&amp;display_string=Audit&amp;VAR:KEY=TGNUNYRMXM&amp;VAR:QUERY=RkZfRUJJVERBX09QRVIoUVRSLDQvMS8yMDEwLDYvMzAvMjAxMCwsLFVTRCk=&amp;WINDOW=FIRST_POPUP&amp;HEIGH","T=450&amp;WIDTH=450&amp;START_MAXIMIZED=FALSE&amp;VAR:CALENDAR=US&amp;VAR:SYMBOL=COP&amp;VAR:INDEX=0"}</definedName>
    <definedName name="_791__FDSAUDITLINK__" hidden="1">{"fdsup://directions/FAT Viewer?action=UPDATE&amp;creator=factset&amp;DYN_ARGS=TRUE&amp;DOC_NAME=FAT:FQL_AUDITING_CLIENT_TEMPLATE.FAT&amp;display_string=Audit&amp;VAR:KEY=HEPUBCPOJW&amp;VAR:QUERY=RkZfRUJJVERBX09QRVIoUVRSLDQvMS8yMDA5LDYvMzAvMjAwOSwsLFVTRCk=&amp;WINDOW=FIRST_POPUP&amp;HEIGH","T=450&amp;WIDTH=450&amp;START_MAXIMIZED=FALSE&amp;VAR:CALENDAR=US&amp;VAR:SYMBOL=COL&amp;VAR:INDEX=0"}</definedName>
    <definedName name="_792__FDSAUDITLINK__" hidden="1">{"fdsup://directions/FAT Viewer?action=UPDATE&amp;creator=factset&amp;DYN_ARGS=TRUE&amp;DOC_NAME=FAT:FQL_AUDITING_CLIENT_TEMPLATE.FAT&amp;display_string=Audit&amp;VAR:KEY=NOFIDMRALI&amp;VAR:QUERY=RkZfRUJJVERBX09QRVIoUVRSLDQvMS8yMDEwLDYvMzAvMjAxMCwsLFVTRCk=&amp;WINDOW=FIRST_POPUP&amp;HEIGH","T=450&amp;WIDTH=450&amp;START_MAXIMIZED=FALSE&amp;VAR:CALENDAR=US&amp;VAR:SYMBOL=COL&amp;VAR:INDEX=0"}</definedName>
    <definedName name="_793__FDSAUDITLINK__" hidden="1">{"fdsup://directions/FAT Viewer?action=UPDATE&amp;creator=factset&amp;DYN_ARGS=TRUE&amp;DOC_NAME=FAT:FQL_AUDITING_CLIENT_TEMPLATE.FAT&amp;display_string=Audit&amp;VAR:KEY=XANIFSXOVO&amp;VAR:QUERY=RkZfRUJJVERBX09QRVIoUVRSLDQvMS8yMDA5LDYvMzAvMjAwOSwsLFVTRCk=&amp;WINDOW=FIRST_POPUP&amp;HEIGH","T=450&amp;WIDTH=450&amp;START_MAXIMIZED=FALSE&amp;VAR:CALENDAR=US&amp;VAR:SYMBOL=COH&amp;VAR:INDEX=0"}</definedName>
    <definedName name="_794__FDSAUDITLINK__" hidden="1">{"fdsup://directions/FAT Viewer?action=UPDATE&amp;creator=factset&amp;DYN_ARGS=TRUE&amp;DOC_NAME=FAT:FQL_AUDITING_CLIENT_TEMPLATE.FAT&amp;display_string=Audit&amp;VAR:KEY=LYBSBSZALE&amp;VAR:QUERY=RkZfRUJJVERBX09QRVIoUVRSLDQvMS8yMDEwLDYvMzAvMjAxMCwsLFVTRCk=&amp;WINDOW=FIRST_POPUP&amp;HEIGH","T=450&amp;WIDTH=450&amp;START_MAXIMIZED=FALSE&amp;VAR:CALENDAR=US&amp;VAR:SYMBOL=COH&amp;VAR:INDEX=0"}</definedName>
    <definedName name="_795__FDSAUDITLINK__" hidden="1">{"fdsup://directions/FAT Viewer?action=UPDATE&amp;creator=factset&amp;DYN_ARGS=TRUE&amp;DOC_NAME=FAT:FQL_AUDITING_CLIENT_TEMPLATE.FAT&amp;display_string=Audit&amp;VAR:KEY=PEDEFIXWZM&amp;VAR:QUERY=RkZfRUJJVERBX09QRVIoUVRSLDQvMS8yMDA5LDYvMzAvMjAwOSwsLFVTRCk=&amp;WINDOW=FIRST_POPUP&amp;HEIGH","T=450&amp;WIDTH=450&amp;START_MAXIMIZED=FALSE&amp;VAR:CALENDAR=US&amp;VAR:SYMBOL=COG&amp;VAR:INDEX=0"}</definedName>
    <definedName name="_796__FDSAUDITLINK__" hidden="1">{"fdsup://directions/FAT Viewer?action=UPDATE&amp;creator=factset&amp;DYN_ARGS=TRUE&amp;DOC_NAME=FAT:FQL_AUDITING_CLIENT_TEMPLATE.FAT&amp;display_string=Audit&amp;VAR:KEY=PQLOBKLWTC&amp;VAR:QUERY=RkZfRUJJVERBX09QRVIoUVRSLDQvMS8yMDEwLDYvMzAvMjAxMCwsLFVTRCk=&amp;WINDOW=FIRST_POPUP&amp;HEIGH","T=450&amp;WIDTH=450&amp;START_MAXIMIZED=FALSE&amp;VAR:CALENDAR=US&amp;VAR:SYMBOL=COG&amp;VAR:INDEX=0"}</definedName>
    <definedName name="_797__FDSAUDITLINK__" hidden="1">{"fdsup://directions/FAT Viewer?action=UPDATE&amp;creator=factset&amp;DYN_ARGS=TRUE&amp;DOC_NAME=FAT:FQL_AUDITING_CLIENT_TEMPLATE.FAT&amp;display_string=Audit&amp;VAR:KEY=HQTSFGTEJW&amp;VAR:QUERY=RkZfRUJJVERBX09QRVIoUVRSLDQvMS8yMDA5LDYvMzAvMjAwOSwsLFVTRCk=&amp;WINDOW=FIRST_POPUP&amp;HEIGH","T=450&amp;WIDTH=450&amp;START_MAXIMIZED=FALSE&amp;VAR:CALENDAR=US&amp;VAR:SYMBOL=COF&amp;VAR:INDEX=0"}</definedName>
    <definedName name="_798__FDSAUDITLINK__" hidden="1">{"fdsup://directions/FAT Viewer?action=UPDATE&amp;creator=factset&amp;DYN_ARGS=TRUE&amp;DOC_NAME=FAT:FQL_AUDITING_CLIENT_TEMPLATE.FAT&amp;display_string=Audit&amp;VAR:KEY=PMRKVSVYRQ&amp;VAR:QUERY=RkZfRUJJVERBX09QRVIoUVRSLDQvMS8yMDEwLDYvMzAvMjAxMCwsLFVTRCk=&amp;WINDOW=FIRST_POPUP&amp;HEIGH","T=450&amp;WIDTH=450&amp;START_MAXIMIZED=FALSE&amp;VAR:CALENDAR=US&amp;VAR:SYMBOL=COF&amp;VAR:INDEX=0"}</definedName>
    <definedName name="_799__FDSAUDITLINK__" hidden="1">{"fdsup://directions/FAT Viewer?action=UPDATE&amp;creator=factset&amp;DYN_ARGS=TRUE&amp;DOC_NAME=FAT:FQL_AUDITING_CLIENT_TEMPLATE.FAT&amp;display_string=Audit&amp;VAR:KEY=TSRANCFMVK&amp;VAR:QUERY=RkZfRUJJVERBX09QRVIoUVRSLDQvMS8yMDA5LDYvMzAvMjAwOSwsLFVTRCk=&amp;WINDOW=FIRST_POPUP&amp;HEIGH","T=450&amp;WIDTH=450&amp;START_MAXIMIZED=FALSE&amp;VAR:CALENDAR=US&amp;VAR:SYMBOL=CNX&amp;VAR:INDEX=0"}</definedName>
    <definedName name="_8__FDSAUDITLINK__" hidden="1">{"fdsup://directions/FAT Viewer?action=UPDATE&amp;creator=factset&amp;DYN_ARGS=TRUE&amp;DOC_NAME=FAT:FQL_AUDITING_CLIENT_TEMPLATE.FAT&amp;display_string=Audit&amp;VAR:KEY=DEVGLUJEBU&amp;VAR:QUERY=RkZfRUJJVERBX09QRVIoUVRSLDQvMS8yMDEwLDYvMzAvMjAxMCwsLFVTRCk=&amp;WINDOW=FIRST_POPUP&amp;HEIGH","T=450&amp;WIDTH=450&amp;START_MAXIMIZED=FALSE&amp;VAR:CALENDAR=US&amp;VAR:SYMBOL=YHOO&amp;VAR:INDEX=0"}</definedName>
    <definedName name="_80__FDSAUDITLINK__" hidden="1">{"fdsup://directions/FAT Viewer?action=UPDATE&amp;creator=factset&amp;DYN_ARGS=TRUE&amp;DOC_NAME=FAT:FQL_AUDITING_CLIENT_TEMPLATE.FAT&amp;display_string=Audit&amp;VAR:KEY=LSDCPMXGRI&amp;VAR:QUERY=RkZfRUJJVERBX09QRVIoUVRSLDQvMS8yMDEwLDYvMzAvMjAxMCwsLFVTRCk=&amp;WINDOW=FIRST_POPUP&amp;HEIGH","T=450&amp;WIDTH=450&amp;START_MAXIMIZED=FALSE&amp;VAR:CALENDAR=US&amp;VAR:SYMBOL=V&amp;VAR:INDEX=0"}</definedName>
    <definedName name="_800__FDSAUDITLINK__" hidden="1">{"fdsup://directions/FAT Viewer?action=UPDATE&amp;creator=factset&amp;DYN_ARGS=TRUE&amp;DOC_NAME=FAT:FQL_AUDITING_CLIENT_TEMPLATE.FAT&amp;display_string=Audit&amp;VAR:KEY=DUHOREVOBC&amp;VAR:QUERY=RkZfRUJJVERBX09QRVIoUVRSLDQvMS8yMDEwLDYvMzAvMjAxMCwsLFVTRCk=&amp;WINDOW=FIRST_POPUP&amp;HEIGH","T=450&amp;WIDTH=450&amp;START_MAXIMIZED=FALSE&amp;VAR:CALENDAR=US&amp;VAR:SYMBOL=CNX&amp;VAR:INDEX=0"}</definedName>
    <definedName name="_801__FDSAUDITLINK__" hidden="1">{"fdsup://directions/FAT Viewer?action=UPDATE&amp;creator=factset&amp;DYN_ARGS=TRUE&amp;DOC_NAME=FAT:FQL_AUDITING_CLIENT_TEMPLATE.FAT&amp;display_string=Audit&amp;VAR:KEY=ZOFSRAVYXC&amp;VAR:QUERY=RkZfRUJJVERBX09QRVIoUVRSLDQvMS8yMDA5LDYvMzAvMjAwOSwsLFVTRCk=&amp;WINDOW=FIRST_POPUP&amp;HEIGH","T=450&amp;WIDTH=450&amp;START_MAXIMIZED=FALSE&amp;VAR:CALENDAR=US&amp;VAR:SYMBOL=CNP&amp;VAR:INDEX=0"}</definedName>
    <definedName name="_802__FDSAUDITLINK__" hidden="1">{"fdsup://directions/FAT Viewer?action=UPDATE&amp;creator=factset&amp;DYN_ARGS=TRUE&amp;DOC_NAME=FAT:FQL_AUDITING_CLIENT_TEMPLATE.FAT&amp;display_string=Audit&amp;VAR:KEY=HSLWBGVKXG&amp;VAR:QUERY=RkZfRUJJVERBX09QRVIoUVRSLDQvMS8yMDEwLDYvMzAvMjAxMCwsLFVTRCk=&amp;WINDOW=FIRST_POPUP&amp;HEIGH","T=450&amp;WIDTH=450&amp;START_MAXIMIZED=FALSE&amp;VAR:CALENDAR=US&amp;VAR:SYMBOL=CNP&amp;VAR:INDEX=0"}</definedName>
    <definedName name="_803__FDSAUDITLINK__" hidden="1">{"fdsup://directions/FAT Viewer?action=UPDATE&amp;creator=factset&amp;DYN_ARGS=TRUE&amp;DOC_NAME=FAT:FQL_AUDITING_CLIENT_TEMPLATE.FAT&amp;display_string=Audit&amp;VAR:KEY=RWDSZGHMVQ&amp;VAR:QUERY=RkZfRUJJVERBX09QRVIoUVRSLDQvMS8yMDA5LDYvMzAvMjAwOSwsLFVTRCk=&amp;WINDOW=FIRST_POPUP&amp;HEIGH","T=450&amp;WIDTH=450&amp;START_MAXIMIZED=FALSE&amp;VAR:CALENDAR=US&amp;VAR:SYMBOL=CMS&amp;VAR:INDEX=0"}</definedName>
    <definedName name="_804__FDSAUDITLINK__" hidden="1">{"fdsup://directions/FAT Viewer?action=UPDATE&amp;creator=factset&amp;DYN_ARGS=TRUE&amp;DOC_NAME=FAT:FQL_AUDITING_CLIENT_TEMPLATE.FAT&amp;display_string=Audit&amp;VAR:KEY=TENKZKPGJK&amp;VAR:QUERY=RkZfRUJJVERBX09QRVIoUVRSLDQvMS8yMDEwLDYvMzAvMjAxMCwsLFVTRCk=&amp;WINDOW=FIRST_POPUP&amp;HEIGH","T=450&amp;WIDTH=450&amp;START_MAXIMIZED=FALSE&amp;VAR:CALENDAR=US&amp;VAR:SYMBOL=CMS&amp;VAR:INDEX=0"}</definedName>
    <definedName name="_805__FDSAUDITLINK__" hidden="1">{"fdsup://directions/FAT Viewer?action=UPDATE&amp;creator=factset&amp;DYN_ARGS=TRUE&amp;DOC_NAME=FAT:FQL_AUDITING_CLIENT_TEMPLATE.FAT&amp;display_string=Audit&amp;VAR:KEY=PMLGLSDUBC&amp;VAR:QUERY=RkZfRUJJVERBX09QRVIoUVRSLDQvMS8yMDA5LDYvMzAvMjAwOSwsLFVTRCk=&amp;WINDOW=FIRST_POPUP&amp;HEIGH","T=450&amp;WIDTH=450&amp;START_MAXIMIZED=FALSE&amp;VAR:CALENDAR=US&amp;VAR:SYMBOL=CMI&amp;VAR:INDEX=0"}</definedName>
    <definedName name="_806__FDSAUDITLINK__" hidden="1">{"fdsup://directions/FAT Viewer?action=UPDATE&amp;creator=factset&amp;DYN_ARGS=TRUE&amp;DOC_NAME=FAT:FQL_AUDITING_CLIENT_TEMPLATE.FAT&amp;display_string=Audit&amp;VAR:KEY=NAJUJOREVM&amp;VAR:QUERY=RkZfRUJJVERBX09QRVIoUVRSLDQvMS8yMDEwLDYvMzAvMjAxMCwsLFVTRCk=&amp;WINDOW=FIRST_POPUP&amp;HEIGH","T=450&amp;WIDTH=450&amp;START_MAXIMIZED=FALSE&amp;VAR:CALENDAR=US&amp;VAR:SYMBOL=CMI&amp;VAR:INDEX=0"}</definedName>
    <definedName name="_807__FDSAUDITLINK__" hidden="1">{"fdsup://directions/FAT Viewer?action=UPDATE&amp;creator=factset&amp;DYN_ARGS=TRUE&amp;DOC_NAME=FAT:FQL_AUDITING_CLIENT_TEMPLATE.FAT&amp;display_string=Audit&amp;VAR:KEY=VUPONAXELA&amp;VAR:QUERY=RkZfRUJJVERBX09QRVIoUVRSLDQvMS8yMDA5LDYvMzAvMjAwOSwsLFVTRCk=&amp;WINDOW=FIRST_POPUP&amp;HEIGH","T=450&amp;WIDTH=450&amp;START_MAXIMIZED=FALSE&amp;VAR:CALENDAR=US&amp;VAR:SYMBOL=CME&amp;VAR:INDEX=0"}</definedName>
    <definedName name="_808__FDSAUDITLINK__" hidden="1">{"fdsup://directions/FAT Viewer?action=UPDATE&amp;creator=factset&amp;DYN_ARGS=TRUE&amp;DOC_NAME=FAT:FQL_AUDITING_CLIENT_TEMPLATE.FAT&amp;display_string=Audit&amp;VAR:KEY=HCLCPEZWDO&amp;VAR:QUERY=RkZfRUJJVERBX09QRVIoUVRSLDQvMS8yMDEwLDYvMzAvMjAxMCwsLFVTRCk=&amp;WINDOW=FIRST_POPUP&amp;HEIGH","T=450&amp;WIDTH=450&amp;START_MAXIMIZED=FALSE&amp;VAR:CALENDAR=US&amp;VAR:SYMBOL=CME&amp;VAR:INDEX=0"}</definedName>
    <definedName name="_809__FDSAUDITLINK__" hidden="1">{"fdsup://directions/FAT Viewer?action=UPDATE&amp;creator=factset&amp;DYN_ARGS=TRUE&amp;DOC_NAME=FAT:FQL_AUDITING_CLIENT_TEMPLATE.FAT&amp;display_string=Audit&amp;VAR:KEY=XWVIRUDITI&amp;VAR:QUERY=RkZfRUJJVERBX09QRVIoUVRSLDQvMS8yMDA5LDYvMzAvMjAwOSwsLFVTRCk=&amp;WINDOW=FIRST_POPUP&amp;HEIGH","T=450&amp;WIDTH=450&amp;START_MAXIMIZED=FALSE&amp;VAR:CALENDAR=US&amp;VAR:SYMBOL=CMCSA&amp;VAR:INDEX=0"}</definedName>
    <definedName name="_81__FDSAUDITLINK__" hidden="1">{"fdsup://directions/FAT Viewer?action=UPDATE&amp;creator=factset&amp;DYN_ARGS=TRUE&amp;DOC_NAME=FAT:FQL_AUDITING_CLIENT_TEMPLATE.FAT&amp;display_string=Audit&amp;VAR:KEY=BMXWHOXUPE&amp;VAR:QUERY=RkZfRUJJVERBX09QRVIoUVRSLDQvMS8yMDA5LDYvMzAvMjAwOSwsLFVTRCk=&amp;WINDOW=FIRST_POPUP&amp;HEIGH","T=450&amp;WIDTH=450&amp;START_MAXIMIZED=FALSE&amp;VAR:CALENDAR=US&amp;VAR:SYMBOL=UTX&amp;VAR:INDEX=0"}</definedName>
    <definedName name="_810__FDSAUDITLINK__" hidden="1">{"fdsup://directions/FAT Viewer?action=UPDATE&amp;creator=factset&amp;DYN_ARGS=TRUE&amp;DOC_NAME=FAT:FQL_AUDITING_CLIENT_TEMPLATE.FAT&amp;display_string=Audit&amp;VAR:KEY=ZEVMBOLWJU&amp;VAR:QUERY=RkZfRUJJVERBX09QRVIoUVRSLDQvMS8yMDEwLDYvMzAvMjAxMCwsLFVTRCk=&amp;WINDOW=FIRST_POPUP&amp;HEIGH","T=450&amp;WIDTH=450&amp;START_MAXIMIZED=FALSE&amp;VAR:CALENDAR=US&amp;VAR:SYMBOL=CMCSA&amp;VAR:INDEX=0"}</definedName>
    <definedName name="_811__FDSAUDITLINK__" hidden="1">{"fdsup://directions/FAT Viewer?action=UPDATE&amp;creator=factset&amp;DYN_ARGS=TRUE&amp;DOC_NAME=FAT:FQL_AUDITING_CLIENT_TEMPLATE.FAT&amp;display_string=Audit&amp;VAR:KEY=ZCNCRQRUNU&amp;VAR:QUERY=RkZfRUJJVERBX09QRVIoUVRSLDQvMS8yMDA5LDYvMzAvMjAwOSwsLFVTRCk=&amp;WINDOW=FIRST_POPUP&amp;HEIGH","T=450&amp;WIDTH=450&amp;START_MAXIMIZED=FALSE&amp;VAR:CALENDAR=US&amp;VAR:SYMBOL=CMA&amp;VAR:INDEX=0"}</definedName>
    <definedName name="_812__FDSAUDITLINK__" hidden="1">{"fdsup://directions/FAT Viewer?action=UPDATE&amp;creator=factset&amp;DYN_ARGS=TRUE&amp;DOC_NAME=FAT:FQL_AUDITING_CLIENT_TEMPLATE.FAT&amp;display_string=Audit&amp;VAR:KEY=NSBAHKZAZS&amp;VAR:QUERY=RkZfRUJJVERBX09QRVIoUVRSLDQvMS8yMDEwLDYvMzAvMjAxMCwsLFVTRCk=&amp;WINDOW=FIRST_POPUP&amp;HEIGH","T=450&amp;WIDTH=450&amp;START_MAXIMIZED=FALSE&amp;VAR:CALENDAR=US&amp;VAR:SYMBOL=CMA&amp;VAR:INDEX=0"}</definedName>
    <definedName name="_813__FDSAUDITLINK__" hidden="1">{"fdsup://directions/FAT Viewer?action=UPDATE&amp;creator=factset&amp;DYN_ARGS=TRUE&amp;DOC_NAME=FAT:FQL_AUDITING_CLIENT_TEMPLATE.FAT&amp;display_string=Audit&amp;VAR:KEY=VMVGZSBELW&amp;VAR:QUERY=RkZfRUJJVERBX09QRVIoUVRSLDQvMS8yMDA5LDYvMzAvMjAwOSwsLFVTRCk=&amp;WINDOW=FIRST_POPUP&amp;HEIGH","T=450&amp;WIDTH=450&amp;START_MAXIMIZED=FALSE&amp;VAR:CALENDAR=US&amp;VAR:SYMBOL=CLX&amp;VAR:INDEX=0"}</definedName>
    <definedName name="_814__FDSAUDITLINK__" hidden="1">{"fdsup://directions/FAT Viewer?action=UPDATE&amp;creator=factset&amp;DYN_ARGS=TRUE&amp;DOC_NAME=FAT:FQL_AUDITING_CLIENT_TEMPLATE.FAT&amp;display_string=Audit&amp;VAR:KEY=RWZQNUNMDK&amp;VAR:QUERY=RkZfRUJJVERBX09QRVIoUVRSLDQvMS8yMDEwLDYvMzAvMjAxMCwsLFVTRCk=&amp;WINDOW=FIRST_POPUP&amp;HEIGH","T=450&amp;WIDTH=450&amp;START_MAXIMIZED=FALSE&amp;VAR:CALENDAR=US&amp;VAR:SYMBOL=CLX&amp;VAR:INDEX=0"}</definedName>
    <definedName name="_815__FDSAUDITLINK__" hidden="1">{"fdsup://directions/FAT Viewer?action=UPDATE&amp;creator=factset&amp;DYN_ARGS=TRUE&amp;DOC_NAME=FAT:FQL_AUDITING_CLIENT_TEMPLATE.FAT&amp;display_string=Audit&amp;VAR:KEY=BGRIXGNGTM&amp;VAR:QUERY=RkZfRUJJVERBX09QRVIoUVRSLDQvMS8yMDA5LDYvMzAvMjAwOSwsLFVTRCk=&amp;WINDOW=FIRST_POPUP&amp;HEIGH","T=450&amp;WIDTH=450&amp;START_MAXIMIZED=FALSE&amp;VAR:CALENDAR=US&amp;VAR:SYMBOL=CLF&amp;VAR:INDEX=0"}</definedName>
    <definedName name="_816__FDSAUDITLINK__" hidden="1">{"fdsup://directions/FAT Viewer?action=UPDATE&amp;creator=factset&amp;DYN_ARGS=TRUE&amp;DOC_NAME=FAT:FQL_AUDITING_CLIENT_TEMPLATE.FAT&amp;display_string=Audit&amp;VAR:KEY=RODYXSRMRS&amp;VAR:QUERY=RkZfRUJJVERBX09QRVIoUVRSLDQvMS8yMDEwLDYvMzAvMjAxMCwsLFVTRCk=&amp;WINDOW=FIRST_POPUP&amp;HEIGH","T=450&amp;WIDTH=450&amp;START_MAXIMIZED=FALSE&amp;VAR:CALENDAR=US&amp;VAR:SYMBOL=CLF&amp;VAR:INDEX=0"}</definedName>
    <definedName name="_817__FDSAUDITLINK__" hidden="1">{"fdsup://directions/FAT Viewer?action=UPDATE&amp;creator=factset&amp;DYN_ARGS=TRUE&amp;DOC_NAME=FAT:FQL_AUDITING_CLIENT_TEMPLATE.FAT&amp;display_string=Audit&amp;VAR:KEY=PIFQNYLMPA&amp;VAR:QUERY=RkZfRUJJVERBX09QRVIoUVRSLDQvMS8yMDA5LDYvMzAvMjAwOSwsLFVTRCk=&amp;WINDOW=FIRST_POPUP&amp;HEIGH","T=450&amp;WIDTH=450&amp;START_MAXIMIZED=FALSE&amp;VAR:CALENDAR=US&amp;VAR:SYMBOL=CL&amp;VAR:INDEX=0"}</definedName>
    <definedName name="_818__FDSAUDITLINK__" hidden="1">{"fdsup://directions/FAT Viewer?action=UPDATE&amp;creator=factset&amp;DYN_ARGS=TRUE&amp;DOC_NAME=FAT:FQL_AUDITING_CLIENT_TEMPLATE.FAT&amp;display_string=Audit&amp;VAR:KEY=XIPCXMNCFA&amp;VAR:QUERY=RkZfRUJJVERBX09QRVIoUVRSLDQvMS8yMDEwLDYvMzAvMjAxMCwsLFVTRCk=&amp;WINDOW=FIRST_POPUP&amp;HEIGH","T=450&amp;WIDTH=450&amp;START_MAXIMIZED=FALSE&amp;VAR:CALENDAR=US&amp;VAR:SYMBOL=CL&amp;VAR:INDEX=0"}</definedName>
    <definedName name="_819__FDSAUDITLINK__" hidden="1">{"fdsup://directions/FAT Viewer?action=UPDATE&amp;creator=factset&amp;DYN_ARGS=TRUE&amp;DOC_NAME=FAT:FQL_AUDITING_CLIENT_TEMPLATE.FAT&amp;display_string=Audit&amp;VAR:KEY=POXQZMDEHY&amp;VAR:QUERY=RkZfRUJJVERBX09QRVIoUVRSLDQvMS8yMDA5LDYvMzAvMjAwOSwsLFVTRCk=&amp;WINDOW=FIRST_POPUP&amp;HEIGH","T=450&amp;WIDTH=450&amp;START_MAXIMIZED=FALSE&amp;VAR:CALENDAR=US&amp;VAR:SYMBOL=CINF&amp;VAR:INDEX=0"}</definedName>
    <definedName name="_82__FDSAUDITLINK__" hidden="1">{"fdsup://directions/FAT Viewer?action=UPDATE&amp;creator=factset&amp;DYN_ARGS=TRUE&amp;DOC_NAME=FAT:FQL_AUDITING_CLIENT_TEMPLATE.FAT&amp;display_string=Audit&amp;VAR:KEY=DYXSDMNEPA&amp;VAR:QUERY=RkZfRUJJVERBX09QRVIoUVRSLDQvMS8yMDEwLDYvMzAvMjAxMCwsLFVTRCk=&amp;WINDOW=FIRST_POPUP&amp;HEIGH","T=450&amp;WIDTH=450&amp;START_MAXIMIZED=FALSE&amp;VAR:CALENDAR=US&amp;VAR:SYMBOL=UTX&amp;VAR:INDEX=0"}</definedName>
    <definedName name="_820__FDSAUDITLINK__" hidden="1">{"fdsup://directions/FAT Viewer?action=UPDATE&amp;creator=factset&amp;DYN_ARGS=TRUE&amp;DOC_NAME=FAT:FQL_AUDITING_CLIENT_TEMPLATE.FAT&amp;display_string=Audit&amp;VAR:KEY=PAZIRMTYZS&amp;VAR:QUERY=RkZfRUJJVERBX09QRVIoUVRSLDQvMS8yMDEwLDYvMzAvMjAxMCwsLFVTRCk=&amp;WINDOW=FIRST_POPUP&amp;HEIGH","T=450&amp;WIDTH=450&amp;START_MAXIMIZED=FALSE&amp;VAR:CALENDAR=US&amp;VAR:SYMBOL=CINF&amp;VAR:INDEX=0"}</definedName>
    <definedName name="_821__FDSAUDITLINK__" hidden="1">{"fdsup://directions/FAT Viewer?action=UPDATE&amp;creator=factset&amp;DYN_ARGS=TRUE&amp;DOC_NAME=FAT:FQL_AUDITING_CLIENT_TEMPLATE.FAT&amp;display_string=Audit&amp;VAR:KEY=DWFCBIHQPQ&amp;VAR:QUERY=RkZfRUJJVERBX09QRVIoUVRSLDQvMS8yMDA5LDYvMzAvMjAwOSwsLFVTRCk=&amp;WINDOW=FIRST_POPUP&amp;HEIGH","T=450&amp;WIDTH=450&amp;START_MAXIMIZED=FALSE&amp;VAR:CALENDAR=US&amp;VAR:SYMBOL=CI&amp;VAR:INDEX=0"}</definedName>
    <definedName name="_822__FDSAUDITLINK__" hidden="1">{"fdsup://directions/FAT Viewer?action=UPDATE&amp;creator=factset&amp;DYN_ARGS=TRUE&amp;DOC_NAME=FAT:FQL_AUDITING_CLIENT_TEMPLATE.FAT&amp;display_string=Audit&amp;VAR:KEY=LWNCZGNGLA&amp;VAR:QUERY=RkZfRUJJVERBX09QRVIoUVRSLDQvMS8yMDEwLDYvMzAvMjAxMCwsLFVTRCk=&amp;WINDOW=FIRST_POPUP&amp;HEIGH","T=450&amp;WIDTH=450&amp;START_MAXIMIZED=FALSE&amp;VAR:CALENDAR=US&amp;VAR:SYMBOL=CI&amp;VAR:INDEX=0"}</definedName>
    <definedName name="_823__FDSAUDITLINK__" hidden="1">{"fdsup://directions/FAT Viewer?action=UPDATE&amp;creator=factset&amp;DYN_ARGS=TRUE&amp;DOC_NAME=FAT:FQL_AUDITING_CLIENT_TEMPLATE.FAT&amp;display_string=Audit&amp;VAR:KEY=PMZUFSVQHM&amp;VAR:QUERY=RkZfRUJJVERBX09QRVIoUVRSLDQvMS8yMDA5LDYvMzAvMjAwOSwsLFVTRCk=&amp;WINDOW=FIRST_POPUP&amp;HEIGH","T=450&amp;WIDTH=450&amp;START_MAXIMIZED=FALSE&amp;VAR:CALENDAR=US&amp;VAR:SYMBOL=CHRW&amp;VAR:INDEX=0"}</definedName>
    <definedName name="_824__FDSAUDITLINK__" hidden="1">{"fdsup://directions/FAT Viewer?action=UPDATE&amp;creator=factset&amp;DYN_ARGS=TRUE&amp;DOC_NAME=FAT:FQL_AUDITING_CLIENT_TEMPLATE.FAT&amp;display_string=Audit&amp;VAR:KEY=FWBADQXCFG&amp;VAR:QUERY=RkZfRUJJVERBX09QRVIoUVRSLDQvMS8yMDEwLDYvMzAvMjAxMCwsLFVTRCk=&amp;WINDOW=FIRST_POPUP&amp;HEIGH","T=450&amp;WIDTH=450&amp;START_MAXIMIZED=FALSE&amp;VAR:CALENDAR=US&amp;VAR:SYMBOL=CHRW&amp;VAR:INDEX=0"}</definedName>
    <definedName name="_825__FDSAUDITLINK__" hidden="1">{"fdsup://directions/FAT Viewer?action=UPDATE&amp;creator=factset&amp;DYN_ARGS=TRUE&amp;DOC_NAME=FAT:FQL_AUDITING_CLIENT_TEMPLATE.FAT&amp;display_string=Audit&amp;VAR:KEY=HCDQZSFADQ&amp;VAR:QUERY=RkZfRUJJVERBX09QRVIoUVRSLDQvMS8yMDA5LDYvMzAvMjAwOSwsLFVTRCk=&amp;WINDOW=FIRST_POPUP&amp;HEIGH","T=450&amp;WIDTH=450&amp;START_MAXIMIZED=FALSE&amp;VAR:CALENDAR=US&amp;VAR:SYMBOL=CHK&amp;VAR:INDEX=0"}</definedName>
    <definedName name="_826__FDSAUDITLINK__" hidden="1">{"fdsup://directions/FAT Viewer?action=UPDATE&amp;creator=factset&amp;DYN_ARGS=TRUE&amp;DOC_NAME=FAT:FQL_AUDITING_CLIENT_TEMPLATE.FAT&amp;display_string=Audit&amp;VAR:KEY=FCZYLCJMRY&amp;VAR:QUERY=RkZfRUJJVERBX09QRVIoUVRSLDQvMS8yMDEwLDYvMzAvMjAxMCwsLFVTRCk=&amp;WINDOW=FIRST_POPUP&amp;HEIGH","T=450&amp;WIDTH=450&amp;START_MAXIMIZED=FALSE&amp;VAR:CALENDAR=US&amp;VAR:SYMBOL=CHK&amp;VAR:INDEX=0"}</definedName>
    <definedName name="_827__FDSAUDITLINK__" hidden="1">{"fdsup://directions/FAT Viewer?action=UPDATE&amp;creator=factset&amp;DYN_ARGS=TRUE&amp;DOC_NAME=FAT:FQL_AUDITING_CLIENT_TEMPLATE.FAT&amp;display_string=Audit&amp;VAR:KEY=PCDMNSLAVK&amp;VAR:QUERY=RkZfRUJJVERBX09QRVIoUVRSLDQvMS8yMDA5LDYvMzAvMjAwOSwsLFVTRCk=&amp;WINDOW=FIRST_POPUP&amp;HEIGH","T=450&amp;WIDTH=450&amp;START_MAXIMIZED=FALSE&amp;VAR:CALENDAR=US&amp;VAR:SYMBOL=CFN&amp;VAR:INDEX=0"}</definedName>
    <definedName name="_828__FDSAUDITLINK__" hidden="1">{"fdsup://directions/FAT Viewer?action=UPDATE&amp;creator=factset&amp;DYN_ARGS=TRUE&amp;DOC_NAME=FAT:FQL_AUDITING_CLIENT_TEMPLATE.FAT&amp;display_string=Audit&amp;VAR:KEY=JKRILCHKLS&amp;VAR:QUERY=RkZfRUJJVERBX09QRVIoUVRSLDQvMS8yMDEwLDYvMzAvMjAxMCwsLFVTRCk=&amp;WINDOW=FIRST_POPUP&amp;HEIGH","T=450&amp;WIDTH=450&amp;START_MAXIMIZED=FALSE&amp;VAR:CALENDAR=US&amp;VAR:SYMBOL=CFN&amp;VAR:INDEX=0"}</definedName>
    <definedName name="_829__FDSAUDITLINK__" hidden="1">{"fdsup://directions/FAT Viewer?action=UPDATE&amp;creator=factset&amp;DYN_ARGS=TRUE&amp;DOC_NAME=FAT:FQL_AUDITING_CLIENT_TEMPLATE.FAT&amp;display_string=Audit&amp;VAR:KEY=ZINSVSJQZY&amp;VAR:QUERY=RkZfRUJJVERBX09QRVIoUVRSLDQvMS8yMDA5LDYvMzAvMjAwOSwsLFVTRCk=&amp;WINDOW=FIRST_POPUP&amp;HEIGH","T=450&amp;WIDTH=450&amp;START_MAXIMIZED=FALSE&amp;VAR:CALENDAR=US&amp;VAR:SYMBOL=CF&amp;VAR:INDEX=0"}</definedName>
    <definedName name="_83__FDSAUDITLINK__" hidden="1">{"fdsup://directions/FAT Viewer?action=UPDATE&amp;creator=factset&amp;DYN_ARGS=TRUE&amp;DOC_NAME=FAT:FQL_AUDITING_CLIENT_TEMPLATE.FAT&amp;display_string=Audit&amp;VAR:KEY=XCRCZINIDS&amp;VAR:QUERY=RkZfRUJJVERBX09QRVIoUVRSLDQvMS8yMDA5LDYvMzAvMjAwOSwsLFVTRCk=&amp;WINDOW=FIRST_POPUP&amp;HEIGH","T=450&amp;WIDTH=450&amp;START_MAXIMIZED=FALSE&amp;VAR:CALENDAR=US&amp;VAR:SYMBOL=USB&amp;VAR:INDEX=0"}</definedName>
    <definedName name="_830__FDSAUDITLINK__" hidden="1">{"fdsup://directions/FAT Viewer?action=UPDATE&amp;creator=factset&amp;DYN_ARGS=TRUE&amp;DOC_NAME=FAT:FQL_AUDITING_CLIENT_TEMPLATE.FAT&amp;display_string=Audit&amp;VAR:KEY=TABGDUNEBY&amp;VAR:QUERY=RkZfRUJJVERBX09QRVIoUVRSLDQvMS8yMDEwLDYvMzAvMjAxMCwsLFVTRCk=&amp;WINDOW=FIRST_POPUP&amp;HEIGH","T=450&amp;WIDTH=450&amp;START_MAXIMIZED=FALSE&amp;VAR:CALENDAR=US&amp;VAR:SYMBOL=CF&amp;VAR:INDEX=0"}</definedName>
    <definedName name="_831__FDSAUDITLINK__" hidden="1">{"fdsup://directions/FAT Viewer?action=UPDATE&amp;creator=factset&amp;DYN_ARGS=TRUE&amp;DOC_NAME=FAT:FQL_AUDITING_CLIENT_TEMPLATE.FAT&amp;display_string=Audit&amp;VAR:KEY=FILAFSPKFS&amp;VAR:QUERY=RkZfRUJJVERBX09QRVIoUVRSLDQvMS8yMDA5LDYvMzAvMjAwOSwsLFVTRCk=&amp;WINDOW=FIRST_POPUP&amp;HEIGH","T=450&amp;WIDTH=450&amp;START_MAXIMIZED=FALSE&amp;VAR:CALENDAR=US&amp;VAR:SYMBOL=CERN&amp;VAR:INDEX=0"}</definedName>
    <definedName name="_832__FDSAUDITLINK__" hidden="1">{"fdsup://directions/FAT Viewer?action=UPDATE&amp;creator=factset&amp;DYN_ARGS=TRUE&amp;DOC_NAME=FAT:FQL_AUDITING_CLIENT_TEMPLATE.FAT&amp;display_string=Audit&amp;VAR:KEY=ZOHSVALQJS&amp;VAR:QUERY=RkZfRUJJVERBX09QRVIoUVRSLDQvMS8yMDEwLDYvMzAvMjAxMCwsLFVTRCk=&amp;WINDOW=FIRST_POPUP&amp;HEIGH","T=450&amp;WIDTH=450&amp;START_MAXIMIZED=FALSE&amp;VAR:CALENDAR=US&amp;VAR:SYMBOL=CERN&amp;VAR:INDEX=0"}</definedName>
    <definedName name="_833__FDSAUDITLINK__" hidden="1">{"fdsup://directions/FAT Viewer?action=UPDATE&amp;creator=factset&amp;DYN_ARGS=TRUE&amp;DOC_NAME=FAT:FQL_AUDITING_CLIENT_TEMPLATE.FAT&amp;display_string=Audit&amp;VAR:KEY=XOLGBOHOXU&amp;VAR:QUERY=RkZfRUJJVERBX09QRVIoUVRSLDQvMS8yMDA5LDYvMzAvMjAwOSwsLFVTRCk=&amp;WINDOW=FIRST_POPUP&amp;HEIGH","T=450&amp;WIDTH=450&amp;START_MAXIMIZED=FALSE&amp;VAR:CALENDAR=US&amp;VAR:SYMBOL=CEPH&amp;VAR:INDEX=0"}</definedName>
    <definedName name="_834__FDSAUDITLINK__" hidden="1">{"fdsup://directions/FAT Viewer?action=UPDATE&amp;creator=factset&amp;DYN_ARGS=TRUE&amp;DOC_NAME=FAT:FQL_AUDITING_CLIENT_TEMPLATE.FAT&amp;display_string=Audit&amp;VAR:KEY=VIPWHOPCZM&amp;VAR:QUERY=RkZfRUJJVERBX09QRVIoUVRSLDQvMS8yMDEwLDYvMzAvMjAxMCwsLFVTRCk=&amp;WINDOW=FIRST_POPUP&amp;HEIGH","T=450&amp;WIDTH=450&amp;START_MAXIMIZED=FALSE&amp;VAR:CALENDAR=US&amp;VAR:SYMBOL=CEPH&amp;VAR:INDEX=0"}</definedName>
    <definedName name="_835__FDSAUDITLINK__" hidden="1">{"fdsup://directions/FAT Viewer?action=UPDATE&amp;creator=factset&amp;DYN_ARGS=TRUE&amp;DOC_NAME=FAT:FQL_AUDITING_CLIENT_TEMPLATE.FAT&amp;display_string=Audit&amp;VAR:KEY=TITYDIVCFS&amp;VAR:QUERY=RkZfRUJJVERBX09QRVIoUVRSLDQvMS8yMDA5LDYvMzAvMjAwOSwsLFVTRCk=&amp;WINDOW=FIRST_POPUP&amp;HEIGH","T=450&amp;WIDTH=450&amp;START_MAXIMIZED=FALSE&amp;VAR:CALENDAR=US&amp;VAR:SYMBOL=CELG&amp;VAR:INDEX=0"}</definedName>
    <definedName name="_836__FDSAUDITLINK__" hidden="1">{"fdsup://directions/FAT Viewer?action=UPDATE&amp;creator=factset&amp;DYN_ARGS=TRUE&amp;DOC_NAME=FAT:FQL_AUDITING_CLIENT_TEMPLATE.FAT&amp;display_string=Audit&amp;VAR:KEY=ZYBGHGHIZS&amp;VAR:QUERY=RkZfRUJJVERBX09QRVIoUVRSLDQvMS8yMDEwLDYvMzAvMjAxMCwsLFVTRCk=&amp;WINDOW=FIRST_POPUP&amp;HEIGH","T=450&amp;WIDTH=450&amp;START_MAXIMIZED=FALSE&amp;VAR:CALENDAR=US&amp;VAR:SYMBOL=CELG&amp;VAR:INDEX=0"}</definedName>
    <definedName name="_837__FDSAUDITLINK__" hidden="1">{"fdsup://directions/FAT Viewer?action=UPDATE&amp;creator=factset&amp;DYN_ARGS=TRUE&amp;DOC_NAME=FAT:FQL_AUDITING_CLIENT_TEMPLATE.FAT&amp;display_string=Audit&amp;VAR:KEY=RSJSNORKFU&amp;VAR:QUERY=RkZfRUJJVERBX09QRVIoUVRSLDQvMS8yMDA5LDYvMzAvMjAwOSwsLFVTRCk=&amp;WINDOW=FIRST_POPUP&amp;HEIGH","T=450&amp;WIDTH=450&amp;START_MAXIMIZED=FALSE&amp;VAR:CALENDAR=US&amp;VAR:SYMBOL=CEG&amp;VAR:INDEX=0"}</definedName>
    <definedName name="_838__FDSAUDITLINK__" hidden="1">{"fdsup://directions/FAT Viewer?action=UPDATE&amp;creator=factset&amp;DYN_ARGS=TRUE&amp;DOC_NAME=FAT:FQL_AUDITING_CLIENT_TEMPLATE.FAT&amp;display_string=Audit&amp;VAR:KEY=XEFIVKPWZK&amp;VAR:QUERY=RkZfRUJJVERBX09QRVIoUVRSLDQvMS8yMDEwLDYvMzAvMjAxMCwsLFVTRCk=&amp;WINDOW=FIRST_POPUP&amp;HEIGH","T=450&amp;WIDTH=450&amp;START_MAXIMIZED=FALSE&amp;VAR:CALENDAR=US&amp;VAR:SYMBOL=CEG&amp;VAR:INDEX=0"}</definedName>
    <definedName name="_839__FDSAUDITLINK__" hidden="1">{"fdsup://directions/FAT Viewer?action=UPDATE&amp;creator=factset&amp;DYN_ARGS=TRUE&amp;DOC_NAME=FAT:FQL_AUDITING_CLIENT_TEMPLATE.FAT&amp;display_string=Audit&amp;VAR:KEY=BYTEDUNUNK&amp;VAR:QUERY=RkZfRUJJVERBX09QRVIoUVRSLDQvMS8yMDA5LDYvMzAvMjAwOSwsLFVTRCk=&amp;WINDOW=FIRST_POPUP&amp;HEIGH","T=450&amp;WIDTH=450&amp;START_MAXIMIZED=FALSE&amp;VAR:CALENDAR=US&amp;VAR:SYMBOL=CCL&amp;VAR:INDEX=0"}</definedName>
    <definedName name="_84__FDSAUDITLINK__" hidden="1">{"fdsup://directions/FAT Viewer?action=UPDATE&amp;creator=factset&amp;DYN_ARGS=TRUE&amp;DOC_NAME=FAT:FQL_AUDITING_CLIENT_TEMPLATE.FAT&amp;display_string=Audit&amp;VAR:KEY=HEFQDYZGFW&amp;VAR:QUERY=RkZfRUJJVERBX09QRVIoUVRSLDQvMS8yMDEwLDYvMzAvMjAxMCwsLFVTRCk=&amp;WINDOW=FIRST_POPUP&amp;HEIGH","T=450&amp;WIDTH=450&amp;START_MAXIMIZED=FALSE&amp;VAR:CALENDAR=US&amp;VAR:SYMBOL=USB&amp;VAR:INDEX=0"}</definedName>
    <definedName name="_840__FDSAUDITLINK__" hidden="1">{"fdsup://directions/FAT Viewer?action=UPDATE&amp;creator=factset&amp;DYN_ARGS=TRUE&amp;DOC_NAME=FAT:FQL_AUDITING_CLIENT_TEMPLATE.FAT&amp;display_string=Audit&amp;VAR:KEY=VQTETMDSBA&amp;VAR:QUERY=RkZfRUJJVERBX09QRVIoUVRSLDQvMS8yMDEwLDYvMzAvMjAxMCwsLFVTRCk=&amp;WINDOW=FIRST_POPUP&amp;HEIGH","T=450&amp;WIDTH=450&amp;START_MAXIMIZED=FALSE&amp;VAR:CALENDAR=US&amp;VAR:SYMBOL=CCL&amp;VAR:INDEX=0"}</definedName>
    <definedName name="_841__FDSAUDITLINK__" hidden="1">{"fdsup://directions/FAT Viewer?action=UPDATE&amp;creator=factset&amp;DYN_ARGS=TRUE&amp;DOC_NAME=FAT:FQL_AUDITING_CLIENT_TEMPLATE.FAT&amp;display_string=Audit&amp;VAR:KEY=JMLUZKZKRM&amp;VAR:QUERY=RkZfRUJJVERBX09QRVIoUVRSLDQvMS8yMDA5LDYvMzAvMjAwOSwsLFVTRCk=&amp;WINDOW=FIRST_POPUP&amp;HEIGH","T=450&amp;WIDTH=450&amp;START_MAXIMIZED=FALSE&amp;VAR:CALENDAR=US&amp;VAR:SYMBOL=CCE&amp;VAR:INDEX=0"}</definedName>
    <definedName name="_842__FDSAUDITLINK__" hidden="1">{"fdsup://directions/FAT Viewer?action=UPDATE&amp;creator=factset&amp;DYN_ARGS=TRUE&amp;DOC_NAME=FAT:FQL_AUDITING_CLIENT_TEMPLATE.FAT&amp;display_string=Audit&amp;VAR:KEY=BWNGPGDIVI&amp;VAR:QUERY=RkZfRUJJVERBX09QRVIoUVRSLDQvMS8yMDEwLDYvMzAvMjAxMCwsLFVTRCk=&amp;WINDOW=FIRST_POPUP&amp;HEIGH","T=450&amp;WIDTH=450&amp;START_MAXIMIZED=FALSE&amp;VAR:CALENDAR=US&amp;VAR:SYMBOL=CCE&amp;VAR:INDEX=0"}</definedName>
    <definedName name="_843__FDSAUDITLINK__" hidden="1">{"fdsup://directions/FAT Viewer?action=UPDATE&amp;creator=factset&amp;DYN_ARGS=TRUE&amp;DOC_NAME=FAT:FQL_AUDITING_CLIENT_TEMPLATE.FAT&amp;display_string=Audit&amp;VAR:KEY=PKNQPSHAVQ&amp;VAR:QUERY=RkZfRUJJVERBX09QRVIoUVRSLDQvMS8yMDA5LDYvMzAvMjAwOSwsLFVTRCk=&amp;WINDOW=FIRST_POPUP&amp;HEIGH","T=450&amp;WIDTH=450&amp;START_MAXIMIZED=FALSE&amp;VAR:CALENDAR=US&amp;VAR:SYMBOL=CBS&amp;VAR:INDEX=0"}</definedName>
    <definedName name="_844__FDSAUDITLINK__" hidden="1">{"fdsup://directions/FAT Viewer?action=UPDATE&amp;creator=factset&amp;DYN_ARGS=TRUE&amp;DOC_NAME=FAT:FQL_AUDITING_CLIENT_TEMPLATE.FAT&amp;display_string=Audit&amp;VAR:KEY=FEZCVWPEDA&amp;VAR:QUERY=RkZfRUJJVERBX09QRVIoUVRSLDQvMS8yMDEwLDYvMzAvMjAxMCwsLFVTRCk=&amp;WINDOW=FIRST_POPUP&amp;HEIGH","T=450&amp;WIDTH=450&amp;START_MAXIMIZED=FALSE&amp;VAR:CALENDAR=US&amp;VAR:SYMBOL=CBS&amp;VAR:INDEX=0"}</definedName>
    <definedName name="_845__FDSAUDITLINK__" hidden="1">{"fdsup://directions/FAT Viewer?action=UPDATE&amp;creator=factset&amp;DYN_ARGS=TRUE&amp;DOC_NAME=FAT:FQL_AUDITING_CLIENT_TEMPLATE.FAT&amp;display_string=Audit&amp;VAR:KEY=XEVEDOXWLC&amp;VAR:QUERY=RkZfRUJJVERBX09QRVIoUVRSLDQvMS8yMDA5LDYvMzAvMjAwOSwsLFVTRCk=&amp;WINDOW=FIRST_POPUP&amp;HEIGH","T=450&amp;WIDTH=450&amp;START_MAXIMIZED=FALSE&amp;VAR:CALENDAR=US&amp;VAR:SYMBOL=CBG&amp;VAR:INDEX=0"}</definedName>
    <definedName name="_846__FDSAUDITLINK__" hidden="1">{"fdsup://directions/FAT Viewer?action=UPDATE&amp;creator=factset&amp;DYN_ARGS=TRUE&amp;DOC_NAME=FAT:FQL_AUDITING_CLIENT_TEMPLATE.FAT&amp;display_string=Audit&amp;VAR:KEY=PWLMHAVSNK&amp;VAR:QUERY=RkZfRUJJVERBX09QRVIoUVRSLDQvMS8yMDEwLDYvMzAvMjAxMCwsLFVTRCk=&amp;WINDOW=FIRST_POPUP&amp;HEIGH","T=450&amp;WIDTH=450&amp;START_MAXIMIZED=FALSE&amp;VAR:CALENDAR=US&amp;VAR:SYMBOL=CBG&amp;VAR:INDEX=0"}</definedName>
    <definedName name="_847__FDSAUDITLINK__" hidden="1">{"fdsup://directions/FAT Viewer?action=UPDATE&amp;creator=factset&amp;DYN_ARGS=TRUE&amp;DOC_NAME=FAT:FQL_AUDITING_CLIENT_TEMPLATE.FAT&amp;display_string=Audit&amp;VAR:KEY=TMDWFQNWLK&amp;VAR:QUERY=RkZfRUJJVERBX09QRVIoUVRSLDQvMS8yMDA5LDYvMzAvMjAwOSwsLFVTRCk=&amp;WINDOW=FIRST_POPUP&amp;HEIGH","T=450&amp;WIDTH=450&amp;START_MAXIMIZED=FALSE&amp;VAR:CALENDAR=US&amp;VAR:SYMBOL=CB&amp;VAR:INDEX=0"}</definedName>
    <definedName name="_848__FDSAUDITLINK__" hidden="1">{"fdsup://directions/FAT Viewer?action=UPDATE&amp;creator=factset&amp;DYN_ARGS=TRUE&amp;DOC_NAME=FAT:FQL_AUDITING_CLIENT_TEMPLATE.FAT&amp;display_string=Audit&amp;VAR:KEY=NUJQHQNEBI&amp;VAR:QUERY=RkZfRUJJVERBX09QRVIoUVRSLDQvMS8yMDEwLDYvMzAvMjAxMCwsLFVTRCk=&amp;WINDOW=FIRST_POPUP&amp;HEIGH","T=450&amp;WIDTH=450&amp;START_MAXIMIZED=FALSE&amp;VAR:CALENDAR=US&amp;VAR:SYMBOL=CB&amp;VAR:INDEX=0"}</definedName>
    <definedName name="_849__FDSAUDITLINK__" hidden="1">{"fdsup://directions/FAT Viewer?action=UPDATE&amp;creator=factset&amp;DYN_ARGS=TRUE&amp;DOC_NAME=FAT:FQL_AUDITING_CLIENT_TEMPLATE.FAT&amp;display_string=Audit&amp;VAR:KEY=ZKPAXETOXM&amp;VAR:QUERY=RkZfRUJJVERBX09QRVIoUVRSLDQvMS8yMDA5LDYvMzAvMjAwOSwsLFVTRCk=&amp;WINDOW=FIRST_POPUP&amp;HEIGH","T=450&amp;WIDTH=450&amp;START_MAXIMIZED=FALSE&amp;VAR:CALENDAR=US&amp;VAR:SYMBOL=CAT&amp;VAR:INDEX=0"}</definedName>
    <definedName name="_85__FDSAUDITLINK__" hidden="1">{"fdsup://directions/FAT Viewer?action=UPDATE&amp;creator=factset&amp;DYN_ARGS=TRUE&amp;DOC_NAME=FAT:FQL_AUDITING_CLIENT_TEMPLATE.FAT&amp;display_string=Audit&amp;VAR:KEY=NEVWNCTSRA&amp;VAR:QUERY=RkZfRUJJVERBX09QRVIoUVRSLDQvMS8yMDA5LDYvMzAvMjAwOSwsLFVTRCk=&amp;WINDOW=FIRST_POPUP&amp;HEIGH","T=450&amp;WIDTH=450&amp;START_MAXIMIZED=FALSE&amp;VAR:CALENDAR=US&amp;VAR:SYMBOL=URBN&amp;VAR:INDEX=0"}</definedName>
    <definedName name="_850__FDSAUDITLINK__" hidden="1">{"fdsup://directions/FAT Viewer?action=UPDATE&amp;creator=factset&amp;DYN_ARGS=TRUE&amp;DOC_NAME=FAT:FQL_AUDITING_CLIENT_TEMPLATE.FAT&amp;display_string=Audit&amp;VAR:KEY=TABQBEVWTS&amp;VAR:QUERY=RkZfRUJJVERBX09QRVIoUVRSLDQvMS8yMDEwLDYvMzAvMjAxMCwsLFVTRCk=&amp;WINDOW=FIRST_POPUP&amp;HEIGH","T=450&amp;WIDTH=450&amp;START_MAXIMIZED=FALSE&amp;VAR:CALENDAR=US&amp;VAR:SYMBOL=CAT&amp;VAR:INDEX=0"}</definedName>
    <definedName name="_851__FDSAUDITLINK__" hidden="1">{"fdsup://directions/FAT Viewer?action=UPDATE&amp;creator=factset&amp;DYN_ARGS=TRUE&amp;DOC_NAME=FAT:FQL_AUDITING_CLIENT_TEMPLATE.FAT&amp;display_string=Audit&amp;VAR:KEY=BKRMVWXEPW&amp;VAR:QUERY=RkZfRUJJVERBX09QRVIoUVRSLDQvMS8yMDA5LDYvMzAvMjAwOSwsLFVTRCk=&amp;WINDOW=FIRST_POPUP&amp;HEIGH","T=450&amp;WIDTH=450&amp;START_MAXIMIZED=FALSE&amp;VAR:CALENDAR=US&amp;VAR:SYMBOL=CAM&amp;VAR:INDEX=0"}</definedName>
    <definedName name="_852__FDSAUDITLINK__" hidden="1">{"fdsup://directions/FAT Viewer?action=UPDATE&amp;creator=factset&amp;DYN_ARGS=TRUE&amp;DOC_NAME=FAT:FQL_AUDITING_CLIENT_TEMPLATE.FAT&amp;display_string=Audit&amp;VAR:KEY=JEVUBGRODK&amp;VAR:QUERY=RkZfRUJJVERBX09QRVIoUVRSLDQvMS8yMDEwLDYvMzAvMjAxMCwsLFVTRCk=&amp;WINDOW=FIRST_POPUP&amp;HEIGH","T=450&amp;WIDTH=450&amp;START_MAXIMIZED=FALSE&amp;VAR:CALENDAR=US&amp;VAR:SYMBOL=CAM&amp;VAR:INDEX=0"}</definedName>
    <definedName name="_853__FDSAUDITLINK__" hidden="1">{"fdsup://directions/FAT Viewer?action=UPDATE&amp;creator=factset&amp;DYN_ARGS=TRUE&amp;DOC_NAME=FAT:FQL_AUDITING_CLIENT_TEMPLATE.FAT&amp;display_string=Audit&amp;VAR:KEY=ZWHMJOPKLC&amp;VAR:QUERY=RkZfRUJJVERBX09QRVIoUVRSLDQvMS8yMDA5LDYvMzAvMjAwOSwsLFVTRCk=&amp;WINDOW=FIRST_POPUP&amp;HEIGH","T=450&amp;WIDTH=450&amp;START_MAXIMIZED=FALSE&amp;VAR:CALENDAR=US&amp;VAR:SYMBOL=CAH&amp;VAR:INDEX=0"}</definedName>
    <definedName name="_854__FDSAUDITLINK__" hidden="1">{"fdsup://directions/FAT Viewer?action=UPDATE&amp;creator=factset&amp;DYN_ARGS=TRUE&amp;DOC_NAME=FAT:FQL_AUDITING_CLIENT_TEMPLATE.FAT&amp;display_string=Audit&amp;VAR:KEY=HGFQROBAJK&amp;VAR:QUERY=RkZfRUJJVERBX09QRVIoUVRSLDQvMS8yMDEwLDYvMzAvMjAxMCwsLFVTRCk=&amp;WINDOW=FIRST_POPUP&amp;HEIGH","T=450&amp;WIDTH=450&amp;START_MAXIMIZED=FALSE&amp;VAR:CALENDAR=US&amp;VAR:SYMBOL=CAH&amp;VAR:INDEX=0"}</definedName>
    <definedName name="_855__FDSAUDITLINK__" hidden="1">{"fdsup://directions/FAT Viewer?action=UPDATE&amp;creator=factset&amp;DYN_ARGS=TRUE&amp;DOC_NAME=FAT:FQL_AUDITING_CLIENT_TEMPLATE.FAT&amp;display_string=Audit&amp;VAR:KEY=BGBQZWPKZC&amp;VAR:QUERY=RkZfRUJJVERBX09QRVIoUVRSLDQvMS8yMDA5LDYvMzAvMjAwOSwsLFVTRCk=&amp;WINDOW=FIRST_POPUP&amp;HEIGH","T=450&amp;WIDTH=450&amp;START_MAXIMIZED=FALSE&amp;VAR:CALENDAR=US&amp;VAR:SYMBOL=CAG&amp;VAR:INDEX=0"}</definedName>
    <definedName name="_856__FDSAUDITLINK__" hidden="1">{"fdsup://directions/FAT Viewer?action=UPDATE&amp;creator=factset&amp;DYN_ARGS=TRUE&amp;DOC_NAME=FAT:FQL_AUDITING_CLIENT_TEMPLATE.FAT&amp;display_string=Audit&amp;VAR:KEY=NSTSBEVGFK&amp;VAR:QUERY=RkZfRUJJVERBX09QRVIoUVRSLDQvMS8yMDEwLDYvMzAvMjAxMCwsLFVTRCk=&amp;WINDOW=FIRST_POPUP&amp;HEIGH","T=450&amp;WIDTH=450&amp;START_MAXIMIZED=FALSE&amp;VAR:CALENDAR=US&amp;VAR:SYMBOL=CAG&amp;VAR:INDEX=0"}</definedName>
    <definedName name="_857__FDSAUDITLINK__" hidden="1">{"fdsup://directions/FAT Viewer?action=UPDATE&amp;creator=factset&amp;DYN_ARGS=TRUE&amp;DOC_NAME=FAT:FQL_AUDITING_CLIENT_TEMPLATE.FAT&amp;display_string=Audit&amp;VAR:KEY=DMLAXQJOXQ&amp;VAR:QUERY=RkZfRUJJVERBX09QRVIoUVRSLDQvMS8yMDA5LDYvMzAvMjAwOSwsLFVTRCk=&amp;WINDOW=FIRST_POPUP&amp;HEIGH","T=450&amp;WIDTH=450&amp;START_MAXIMIZED=FALSE&amp;VAR:CALENDAR=US&amp;VAR:SYMBOL=CA&amp;VAR:INDEX=0"}</definedName>
    <definedName name="_858__FDSAUDITLINK__" hidden="1">{"fdsup://directions/FAT Viewer?action=UPDATE&amp;creator=factset&amp;DYN_ARGS=TRUE&amp;DOC_NAME=FAT:FQL_AUDITING_CLIENT_TEMPLATE.FAT&amp;display_string=Audit&amp;VAR:KEY=ZSTYVGXSNI&amp;VAR:QUERY=RkZfRUJJVERBX09QRVIoUVRSLDQvMS8yMDEwLDYvMzAvMjAxMCwsLFVTRCk=&amp;WINDOW=FIRST_POPUP&amp;HEIGH","T=450&amp;WIDTH=450&amp;START_MAXIMIZED=FALSE&amp;VAR:CALENDAR=US&amp;VAR:SYMBOL=CA&amp;VAR:INDEX=0"}</definedName>
    <definedName name="_859__FDSAUDITLINK__" hidden="1">{"fdsup://directions/FAT Viewer?action=UPDATE&amp;creator=factset&amp;DYN_ARGS=TRUE&amp;DOC_NAME=FAT:FQL_AUDITING_CLIENT_TEMPLATE.FAT&amp;display_string=Audit&amp;VAR:KEY=NQJEXKDYBC&amp;VAR:QUERY=RkZfRUJJVERBX09QRVIoUVRSLDQvMS8yMDA5LDYvMzAvMjAwOSwsLFVTRCk=&amp;WINDOW=FIRST_POPUP&amp;HEIGH","T=450&amp;WIDTH=450&amp;START_MAXIMIZED=FALSE&amp;VAR:CALENDAR=US&amp;VAR:SYMBOL=C&amp;VAR:INDEX=0"}</definedName>
    <definedName name="_86__FDSAUDITLINK__" hidden="1">{"fdsup://directions/FAT Viewer?action=UPDATE&amp;creator=factset&amp;DYN_ARGS=TRUE&amp;DOC_NAME=FAT:FQL_AUDITING_CLIENT_TEMPLATE.FAT&amp;display_string=Audit&amp;VAR:KEY=VCLAJGDCNC&amp;VAR:QUERY=RkZfRUJJVERBX09QRVIoUVRSLDQvMS8yMDEwLDYvMzAvMjAxMCwsLFVTRCk=&amp;WINDOW=FIRST_POPUP&amp;HEIGH","T=450&amp;WIDTH=450&amp;START_MAXIMIZED=FALSE&amp;VAR:CALENDAR=US&amp;VAR:SYMBOL=URBN&amp;VAR:INDEX=0"}</definedName>
    <definedName name="_860__FDSAUDITLINK__" hidden="1">{"fdsup://directions/FAT Viewer?action=UPDATE&amp;creator=factset&amp;DYN_ARGS=TRUE&amp;DOC_NAME=FAT:FQL_AUDITING_CLIENT_TEMPLATE.FAT&amp;display_string=Audit&amp;VAR:KEY=DANWXQHGVS&amp;VAR:QUERY=RkZfRUJJVERBX09QRVIoUVRSLDQvMS8yMDEwLDYvMzAvMjAxMCwsLFVTRCk=&amp;WINDOW=FIRST_POPUP&amp;HEIGH","T=450&amp;WIDTH=450&amp;START_MAXIMIZED=FALSE&amp;VAR:CALENDAR=US&amp;VAR:SYMBOL=C&amp;VAR:INDEX=0"}</definedName>
    <definedName name="_861__FDSAUDITLINK__" hidden="1">{"fdsup://directions/FAT Viewer?action=UPDATE&amp;creator=factset&amp;DYN_ARGS=TRUE&amp;DOC_NAME=FAT:FQL_AUDITING_CLIENT_TEMPLATE.FAT&amp;display_string=Audit&amp;VAR:KEY=TKRYPCTABG&amp;VAR:QUERY=RkZfRUJJVERBX09QRVIoUVRSLDQvMS8yMDA5LDYvMzAvMjAwOSwsLFVTRCk=&amp;WINDOW=FIRST_POPUP&amp;HEIGH","T=450&amp;WIDTH=450&amp;START_MAXIMIZED=FALSE&amp;VAR:CALENDAR=US&amp;VAR:SYMBOL=BTU&amp;VAR:INDEX=0"}</definedName>
    <definedName name="_862__FDSAUDITLINK__" hidden="1">{"fdsup://directions/FAT Viewer?action=UPDATE&amp;creator=factset&amp;DYN_ARGS=TRUE&amp;DOC_NAME=FAT:FQL_AUDITING_CLIENT_TEMPLATE.FAT&amp;display_string=Audit&amp;VAR:KEY=XOPCVUTYXW&amp;VAR:QUERY=RkZfRUJJVERBX09QRVIoUVRSLDQvMS8yMDEwLDYvMzAvMjAxMCwsLFVTRCk=&amp;WINDOW=FIRST_POPUP&amp;HEIGH","T=450&amp;WIDTH=450&amp;START_MAXIMIZED=FALSE&amp;VAR:CALENDAR=US&amp;VAR:SYMBOL=BTU&amp;VAR:INDEX=0"}</definedName>
    <definedName name="_863__FDSAUDITLINK__" hidden="1">{"fdsup://directions/FAT Viewer?action=UPDATE&amp;creator=factset&amp;DYN_ARGS=TRUE&amp;DOC_NAME=FAT:FQL_AUDITING_CLIENT_TEMPLATE.FAT&amp;display_string=Audit&amp;VAR:KEY=ZCDYVMLCNU&amp;VAR:QUERY=RkZfRUJJVERBX09QRVIoUVRSLDQvMS8yMDA5LDYvMzAvMjAwOSwsLFVTRCk=&amp;WINDOW=FIRST_POPUP&amp;HEIGH","T=450&amp;WIDTH=450&amp;START_MAXIMIZED=FALSE&amp;VAR:CALENDAR=US&amp;VAR:SYMBOL=BSX&amp;VAR:INDEX=0"}</definedName>
    <definedName name="_864__FDSAUDITLINK__" hidden="1">{"fdsup://directions/FAT Viewer?action=UPDATE&amp;creator=factset&amp;DYN_ARGS=TRUE&amp;DOC_NAME=FAT:FQL_AUDITING_CLIENT_TEMPLATE.FAT&amp;display_string=Audit&amp;VAR:KEY=XEBEBCZWRK&amp;VAR:QUERY=RkZfRUJJVERBX09QRVIoUVRSLDQvMS8yMDEwLDYvMzAvMjAxMCwsLFVTRCk=&amp;WINDOW=FIRST_POPUP&amp;HEIGH","T=450&amp;WIDTH=450&amp;START_MAXIMIZED=FALSE&amp;VAR:CALENDAR=US&amp;VAR:SYMBOL=BSX&amp;VAR:INDEX=0"}</definedName>
    <definedName name="_865__FDSAUDITLINK__" hidden="1">{"fdsup://directions/FAT Viewer?action=UPDATE&amp;creator=factset&amp;DYN_ARGS=TRUE&amp;DOC_NAME=FAT:FQL_AUDITING_CLIENT_TEMPLATE.FAT&amp;display_string=Audit&amp;VAR:KEY=PSBKFCJABU&amp;VAR:QUERY=RkZfRUJJVERBX09QRVIoUVRSLDQvMS8yMDA5LDYvMzAvMjAwOSwsLFVTRCk=&amp;WINDOW=FIRST_POPUP&amp;HEIGH","T=450&amp;WIDTH=450&amp;START_MAXIMIZED=FALSE&amp;VAR:CALENDAR=US&amp;VAR:SYMBOL=BRK.B&amp;VAR:INDEX=0"}</definedName>
    <definedName name="_866__FDSAUDITLINK__" hidden="1">{"fdsup://directions/FAT Viewer?action=UPDATE&amp;creator=factset&amp;DYN_ARGS=TRUE&amp;DOC_NAME=FAT:FQL_AUDITING_CLIENT_TEMPLATE.FAT&amp;display_string=Audit&amp;VAR:KEY=NCFIBYNCLA&amp;VAR:QUERY=RkZfRUJJVERBX09QRVIoUVRSLDQvMS8yMDEwLDYvMzAvMjAxMCwsLFVTRCk=&amp;WINDOW=FIRST_POPUP&amp;HEIGH","T=450&amp;WIDTH=450&amp;START_MAXIMIZED=FALSE&amp;VAR:CALENDAR=US&amp;VAR:SYMBOL=BRK.B&amp;VAR:INDEX=0"}</definedName>
    <definedName name="_867__FDSAUDITLINK__" hidden="1">{"fdsup://directions/FAT Viewer?action=UPDATE&amp;creator=factset&amp;DYN_ARGS=TRUE&amp;DOC_NAME=FAT:FQL_AUDITING_CLIENT_TEMPLATE.FAT&amp;display_string=Audit&amp;VAR:KEY=NMXOJSLGLY&amp;VAR:QUERY=RkZfRUJJVERBX09QRVIoUVRSLDQvMS8yMDA5LDYvMzAvMjAwOSwsLFVTRCk=&amp;WINDOW=FIRST_POPUP&amp;HEIGH","T=450&amp;WIDTH=450&amp;START_MAXIMIZED=FALSE&amp;VAR:CALENDAR=US&amp;VAR:SYMBOL=BRCM&amp;VAR:INDEX=0"}</definedName>
    <definedName name="_868__FDSAUDITLINK__" hidden="1">{"fdsup://directions/FAT Viewer?action=UPDATE&amp;creator=factset&amp;DYN_ARGS=TRUE&amp;DOC_NAME=FAT:FQL_AUDITING_CLIENT_TEMPLATE.FAT&amp;display_string=Audit&amp;VAR:KEY=HALMHOTUZU&amp;VAR:QUERY=RkZfRUJJVERBX09QRVIoUVRSLDQvMS8yMDEwLDYvMzAvMjAxMCwsLFVTRCk=&amp;WINDOW=FIRST_POPUP&amp;HEIGH","T=450&amp;WIDTH=450&amp;START_MAXIMIZED=FALSE&amp;VAR:CALENDAR=US&amp;VAR:SYMBOL=BRCM&amp;VAR:INDEX=0"}</definedName>
    <definedName name="_869__FDSAUDITLINK__" hidden="1">{"fdsup://directions/FAT Viewer?action=UPDATE&amp;creator=factset&amp;DYN_ARGS=TRUE&amp;DOC_NAME=FAT:FQL_AUDITING_CLIENT_TEMPLATE.FAT&amp;display_string=Audit&amp;VAR:KEY=TABCJMNUZQ&amp;VAR:QUERY=RkZfRUJJVERBX09QRVIoUVRSLDQvMS8yMDA5LDYvMzAvMjAwOSwsLFVTRCk=&amp;WINDOW=FIRST_POPUP&amp;HEIGH","T=450&amp;WIDTH=450&amp;START_MAXIMIZED=FALSE&amp;VAR:CALENDAR=US&amp;VAR:SYMBOL=BMY&amp;VAR:INDEX=0"}</definedName>
    <definedName name="_87__FDSAUDITLINK__" hidden="1">{"fdsup://directions/FAT Viewer?action=UPDATE&amp;creator=factset&amp;DYN_ARGS=TRUE&amp;DOC_NAME=FAT:FQL_AUDITING_CLIENT_TEMPLATE.FAT&amp;display_string=Audit&amp;VAR:KEY=HYTSLUVQXI&amp;VAR:QUERY=RkZfRUJJVERBX09QRVIoUVRSLDQvMS8yMDA5LDYvMzAvMjAwOSwsLFVTRCk=&amp;WINDOW=FIRST_POPUP&amp;HEIGH","T=450&amp;WIDTH=450&amp;START_MAXIMIZED=FALSE&amp;VAR:CALENDAR=US&amp;VAR:SYMBOL=UPS&amp;VAR:INDEX=0"}</definedName>
    <definedName name="_870__FDSAUDITLINK__" hidden="1">{"fdsup://directions/FAT Viewer?action=UPDATE&amp;creator=factset&amp;DYN_ARGS=TRUE&amp;DOC_NAME=FAT:FQL_AUDITING_CLIENT_TEMPLATE.FAT&amp;display_string=Audit&amp;VAR:KEY=ZINQJYJSJK&amp;VAR:QUERY=RkZfRUJJVERBX09QRVIoUVRSLDQvMS8yMDEwLDYvMzAvMjAxMCwsLFVTRCk=&amp;WINDOW=FIRST_POPUP&amp;HEIGH","T=450&amp;WIDTH=450&amp;START_MAXIMIZED=FALSE&amp;VAR:CALENDAR=US&amp;VAR:SYMBOL=BMY&amp;VAR:INDEX=0"}</definedName>
    <definedName name="_871__FDSAUDITLINK__" hidden="1">{"fdsup://directions/FAT Viewer?action=UPDATE&amp;creator=factset&amp;DYN_ARGS=TRUE&amp;DOC_NAME=FAT:FQL_AUDITING_CLIENT_TEMPLATE.FAT&amp;display_string=Audit&amp;VAR:KEY=NYDEHGLMFE&amp;VAR:QUERY=RkZfRUJJVERBX09QRVIoUVRSLDQvMS8yMDA5LDYvMzAvMjAwOSwsLFVTRCk=&amp;WINDOW=FIRST_POPUP&amp;HEIGH","T=450&amp;WIDTH=450&amp;START_MAXIMIZED=FALSE&amp;VAR:CALENDAR=US&amp;VAR:SYMBOL=BMS&amp;VAR:INDEX=0"}</definedName>
    <definedName name="_872__FDSAUDITLINK__" hidden="1">{"fdsup://directions/FAT Viewer?action=UPDATE&amp;creator=factset&amp;DYN_ARGS=TRUE&amp;DOC_NAME=FAT:FQL_AUDITING_CLIENT_TEMPLATE.FAT&amp;display_string=Audit&amp;VAR:KEY=ZENELQTCJE&amp;VAR:QUERY=RkZfRUJJVERBX09QRVIoUVRSLDQvMS8yMDEwLDYvMzAvMjAxMCwsLFVTRCk=&amp;WINDOW=FIRST_POPUP&amp;HEIGH","T=450&amp;WIDTH=450&amp;START_MAXIMIZED=FALSE&amp;VAR:CALENDAR=US&amp;VAR:SYMBOL=BMS&amp;VAR:INDEX=0"}</definedName>
    <definedName name="_873__FDSAUDITLINK__" hidden="1">{"fdsup://directions/FAT Viewer?action=UPDATE&amp;creator=factset&amp;DYN_ARGS=TRUE&amp;DOC_NAME=FAT:FQL_AUDITING_CLIENT_TEMPLATE.FAT&amp;display_string=Audit&amp;VAR:KEY=FSRSDWDUDC&amp;VAR:QUERY=RkZfRUJJVERBX09QRVIoUVRSLDQvMS8yMDA5LDYvMzAvMjAwOSwsLFVTRCk=&amp;WINDOW=FIRST_POPUP&amp;HEIGH","T=450&amp;WIDTH=450&amp;START_MAXIMIZED=FALSE&amp;VAR:CALENDAR=US&amp;VAR:SYMBOL=BMC&amp;VAR:INDEX=0"}</definedName>
    <definedName name="_874__FDSAUDITLINK__" hidden="1">{"fdsup://directions/FAT Viewer?action=UPDATE&amp;creator=factset&amp;DYN_ARGS=TRUE&amp;DOC_NAME=FAT:FQL_AUDITING_CLIENT_TEMPLATE.FAT&amp;display_string=Audit&amp;VAR:KEY=NUPYBCHUPG&amp;VAR:QUERY=RkZfRUJJVERBX09QRVIoUVRSLDQvMS8yMDEwLDYvMzAvMjAxMCwsLFVTRCk=&amp;WINDOW=FIRST_POPUP&amp;HEIGH","T=450&amp;WIDTH=450&amp;START_MAXIMIZED=FALSE&amp;VAR:CALENDAR=US&amp;VAR:SYMBOL=BMC&amp;VAR:INDEX=0"}</definedName>
    <definedName name="_875__FDSAUDITLINK__" hidden="1">{"fdsup://directions/FAT Viewer?action=UPDATE&amp;creator=factset&amp;DYN_ARGS=TRUE&amp;DOC_NAME=FAT:FQL_AUDITING_CLIENT_TEMPLATE.FAT&amp;display_string=Audit&amp;VAR:KEY=BYJWBKHEPS&amp;VAR:QUERY=RkZfRUJJVERBX09QRVIoUVRSLDQvMS8yMDA5LDYvMzAvMjAwOSwsLFVTRCk=&amp;WINDOW=FIRST_POPUP&amp;HEIGH","T=450&amp;WIDTH=450&amp;START_MAXIMIZED=FALSE&amp;VAR:CALENDAR=US&amp;VAR:SYMBOL=BLL&amp;VAR:INDEX=0"}</definedName>
    <definedName name="_876__FDSAUDITLINK__" hidden="1">{"fdsup://directions/FAT Viewer?action=UPDATE&amp;creator=factset&amp;DYN_ARGS=TRUE&amp;DOC_NAME=FAT:FQL_AUDITING_CLIENT_TEMPLATE.FAT&amp;display_string=Audit&amp;VAR:KEY=FOPWZQTGJS&amp;VAR:QUERY=RkZfRUJJVERBX09QRVIoUVRSLDQvMS8yMDEwLDYvMzAvMjAxMCwsLFVTRCk=&amp;WINDOW=FIRST_POPUP&amp;HEIGH","T=450&amp;WIDTH=450&amp;START_MAXIMIZED=FALSE&amp;VAR:CALENDAR=US&amp;VAR:SYMBOL=BLL&amp;VAR:INDEX=0"}</definedName>
    <definedName name="_877__FDSAUDITLINK__" hidden="1">{"fdsup://directions/FAT Viewer?action=UPDATE&amp;creator=factset&amp;DYN_ARGS=TRUE&amp;DOC_NAME=FAT:FQL_AUDITING_CLIENT_TEMPLATE.FAT&amp;display_string=Audit&amp;VAR:KEY=POLIXAJGXK&amp;VAR:QUERY=RkZfRUJJVERBX09QRVIoUVRSLDQvMS8yMDA5LDYvMzAvMjAwOSwsLFVTRCk=&amp;WINDOW=FIRST_POPUP&amp;HEIGH","T=450&amp;WIDTH=450&amp;START_MAXIMIZED=FALSE&amp;VAR:CALENDAR=US&amp;VAR:SYMBOL=BK&amp;VAR:INDEX=0"}</definedName>
    <definedName name="_878__FDSAUDITLINK__" hidden="1">{"fdsup://directions/FAT Viewer?action=UPDATE&amp;creator=factset&amp;DYN_ARGS=TRUE&amp;DOC_NAME=FAT:FQL_AUDITING_CLIENT_TEMPLATE.FAT&amp;display_string=Audit&amp;VAR:KEY=RGFWLSBEZS&amp;VAR:QUERY=RkZfRUJJVERBX09QRVIoUVRSLDQvMS8yMDEwLDYvMzAvMjAxMCwsLFVTRCk=&amp;WINDOW=FIRST_POPUP&amp;HEIGH","T=450&amp;WIDTH=450&amp;START_MAXIMIZED=FALSE&amp;VAR:CALENDAR=US&amp;VAR:SYMBOL=BK&amp;VAR:INDEX=0"}</definedName>
    <definedName name="_879__FDSAUDITLINK__" hidden="1">{"fdsup://directions/FAT Viewer?action=UPDATE&amp;creator=factset&amp;DYN_ARGS=TRUE&amp;DOC_NAME=FAT:FQL_AUDITING_CLIENT_TEMPLATE.FAT&amp;display_string=Audit&amp;VAR:KEY=PSBWDWTYPQ&amp;VAR:QUERY=RkZfRUJJVERBX09QRVIoUVRSLDQvMS8yMDA5LDYvMzAvMjAwOSwsLFVTRCk=&amp;WINDOW=FIRST_POPUP&amp;HEIGH","T=450&amp;WIDTH=450&amp;START_MAXIMIZED=FALSE&amp;VAR:CALENDAR=US&amp;VAR:SYMBOL=BIIB&amp;VAR:INDEX=0"}</definedName>
    <definedName name="_88__FDSAUDITLINK__" hidden="1">{"fdsup://directions/FAT Viewer?action=UPDATE&amp;creator=factset&amp;DYN_ARGS=TRUE&amp;DOC_NAME=FAT:FQL_AUDITING_CLIENT_TEMPLATE.FAT&amp;display_string=Audit&amp;VAR:KEY=XWROVQDWJS&amp;VAR:QUERY=RkZfRUJJVERBX09QRVIoUVRSLDQvMS8yMDEwLDYvMzAvMjAxMCwsLFVTRCk=&amp;WINDOW=FIRST_POPUP&amp;HEIGH","T=450&amp;WIDTH=450&amp;START_MAXIMIZED=FALSE&amp;VAR:CALENDAR=US&amp;VAR:SYMBOL=UPS&amp;VAR:INDEX=0"}</definedName>
    <definedName name="_880__FDSAUDITLINK__" hidden="1">{"fdsup://directions/FAT Viewer?action=UPDATE&amp;creator=factset&amp;DYN_ARGS=TRUE&amp;DOC_NAME=FAT:FQL_AUDITING_CLIENT_TEMPLATE.FAT&amp;display_string=Audit&amp;VAR:KEY=FKBSHMHINE&amp;VAR:QUERY=RkZfRUJJVERBX09QRVIoUVRSLDQvMS8yMDEwLDYvMzAvMjAxMCwsLFVTRCk=&amp;WINDOW=FIRST_POPUP&amp;HEIGH","T=450&amp;WIDTH=450&amp;START_MAXIMIZED=FALSE&amp;VAR:CALENDAR=US&amp;VAR:SYMBOL=BIIB&amp;VAR:INDEX=0"}</definedName>
    <definedName name="_881__FDSAUDITLINK__" hidden="1">{"fdsup://directions/FAT Viewer?action=UPDATE&amp;creator=factset&amp;DYN_ARGS=TRUE&amp;DOC_NAME=FAT:FQL_AUDITING_CLIENT_TEMPLATE.FAT&amp;display_string=Audit&amp;VAR:KEY=BQHEPUVYNO&amp;VAR:QUERY=RkZfRUJJVERBX09QRVIoUVRSLDQvMS8yMDA5LDYvMzAvMjAwOSwsLFVTRCk=&amp;WINDOW=FIRST_POPUP&amp;HEIGH","T=450&amp;WIDTH=450&amp;START_MAXIMIZED=FALSE&amp;VAR:CALENDAR=US&amp;VAR:SYMBOL=BIG&amp;VAR:INDEX=0"}</definedName>
    <definedName name="_882__FDSAUDITLINK__" hidden="1">{"fdsup://directions/FAT Viewer?action=UPDATE&amp;creator=factset&amp;DYN_ARGS=TRUE&amp;DOC_NAME=FAT:FQL_AUDITING_CLIENT_TEMPLATE.FAT&amp;display_string=Audit&amp;VAR:KEY=FKBKXKVWXC&amp;VAR:QUERY=RkZfRUJJVERBX09QRVIoUVRSLDQvMS8yMDEwLDYvMzAvMjAxMCwsLFVTRCk=&amp;WINDOW=FIRST_POPUP&amp;HEIGH","T=450&amp;WIDTH=450&amp;START_MAXIMIZED=FALSE&amp;VAR:CALENDAR=US&amp;VAR:SYMBOL=BIG&amp;VAR:INDEX=0"}</definedName>
    <definedName name="_883__FDSAUDITLINK__" hidden="1">{"fdsup://directions/FAT Viewer?action=UPDATE&amp;creator=factset&amp;DYN_ARGS=TRUE&amp;DOC_NAME=FAT:FQL_AUDITING_CLIENT_TEMPLATE.FAT&amp;display_string=Audit&amp;VAR:KEY=XMPUVAPONW&amp;VAR:QUERY=RkZfRUJJVERBX09QRVIoUVRSLDQvMS8yMDA5LDYvMzAvMjAwOSwsLFVTRCk=&amp;WINDOW=FIRST_POPUP&amp;HEIGH","T=450&amp;WIDTH=450&amp;START_MAXIMIZED=FALSE&amp;VAR:CALENDAR=US&amp;VAR:SYMBOL=BHI&amp;VAR:INDEX=0"}</definedName>
    <definedName name="_884__FDSAUDITLINK__" hidden="1">{"fdsup://directions/FAT Viewer?action=UPDATE&amp;creator=factset&amp;DYN_ARGS=TRUE&amp;DOC_NAME=FAT:FQL_AUDITING_CLIENT_TEMPLATE.FAT&amp;display_string=Audit&amp;VAR:KEY=HAJALKNCXS&amp;VAR:QUERY=RkZfRUJJVERBX09QRVIoUVRSLDQvMS8yMDEwLDYvMzAvMjAxMCwsLFVTRCk=&amp;WINDOW=FIRST_POPUP&amp;HEIGH","T=450&amp;WIDTH=450&amp;START_MAXIMIZED=FALSE&amp;VAR:CALENDAR=US&amp;VAR:SYMBOL=BHI&amp;VAR:INDEX=0"}</definedName>
    <definedName name="_885__FDSAUDITLINK__" hidden="1">{"fdsup://directions/FAT Viewer?action=UPDATE&amp;creator=factset&amp;DYN_ARGS=TRUE&amp;DOC_NAME=FAT:FQL_AUDITING_CLIENT_TEMPLATE.FAT&amp;display_string=Audit&amp;VAR:KEY=RGZATCFCDK&amp;VAR:QUERY=RkZfRUJJVERBX09QRVIoUVRSLDQvMS8yMDA5LDYvMzAvMjAwOSwsLFVTRCk=&amp;WINDOW=FIRST_POPUP&amp;HEIGH","T=450&amp;WIDTH=450&amp;START_MAXIMIZED=FALSE&amp;VAR:CALENDAR=US&amp;VAR:SYMBOL=BF.B&amp;VAR:INDEX=0"}</definedName>
    <definedName name="_886__FDSAUDITLINK__" hidden="1">{"fdsup://directions/FAT Viewer?action=UPDATE&amp;creator=factset&amp;DYN_ARGS=TRUE&amp;DOC_NAME=FAT:FQL_AUDITING_CLIENT_TEMPLATE.FAT&amp;display_string=Audit&amp;VAR:KEY=VEBENQLMBC&amp;VAR:QUERY=RkZfRUJJVERBX09QRVIoUVRSLDQvMS8yMDEwLDYvMzAvMjAxMCwsLFVTRCk=&amp;WINDOW=FIRST_POPUP&amp;HEIGH","T=450&amp;WIDTH=450&amp;START_MAXIMIZED=FALSE&amp;VAR:CALENDAR=US&amp;VAR:SYMBOL=BF.B&amp;VAR:INDEX=0"}</definedName>
    <definedName name="_887__FDSAUDITLINK__" hidden="1">{"fdsup://directions/FAT Viewer?action=UPDATE&amp;creator=factset&amp;DYN_ARGS=TRUE&amp;DOC_NAME=FAT:FQL_AUDITING_CLIENT_TEMPLATE.FAT&amp;display_string=Audit&amp;VAR:KEY=JGJCZUFSVS&amp;VAR:QUERY=RkZfRUJJVERBX09QRVIoUVRSLDQvMS8yMDA5LDYvMzAvMjAwOSwsLFVTRCk=&amp;WINDOW=FIRST_POPUP&amp;HEIGH","T=450&amp;WIDTH=450&amp;START_MAXIMIZED=FALSE&amp;VAR:CALENDAR=US&amp;VAR:SYMBOL=BEN&amp;VAR:INDEX=0"}</definedName>
    <definedName name="_888__FDSAUDITLINK__" hidden="1">{"fdsup://directions/FAT Viewer?action=UPDATE&amp;creator=factset&amp;DYN_ARGS=TRUE&amp;DOC_NAME=FAT:FQL_AUDITING_CLIENT_TEMPLATE.FAT&amp;display_string=Audit&amp;VAR:KEY=TUTIBCNWJS&amp;VAR:QUERY=RkZfRUJJVERBX09QRVIoUVRSLDQvMS8yMDEwLDYvMzAvMjAxMCwsLFVTRCk=&amp;WINDOW=FIRST_POPUP&amp;HEIGH","T=450&amp;WIDTH=450&amp;START_MAXIMIZED=FALSE&amp;VAR:CALENDAR=US&amp;VAR:SYMBOL=BEN&amp;VAR:INDEX=0"}</definedName>
    <definedName name="_889__FDSAUDITLINK__" hidden="1">{"fdsup://directions/FAT Viewer?action=UPDATE&amp;creator=factset&amp;DYN_ARGS=TRUE&amp;DOC_NAME=FAT:FQL_AUDITING_CLIENT_TEMPLATE.FAT&amp;display_string=Audit&amp;VAR:KEY=ZIFKTWLGDG&amp;VAR:QUERY=RkZfRUJJVERBX09QRVIoUVRSLDQvMS8yMDA5LDYvMzAvMjAwOSwsLFVTRCk=&amp;WINDOW=FIRST_POPUP&amp;HEIGH","T=450&amp;WIDTH=450&amp;START_MAXIMIZED=FALSE&amp;VAR:CALENDAR=US&amp;VAR:SYMBOL=BDX&amp;VAR:INDEX=0"}</definedName>
    <definedName name="_89__FDSAUDITLINK__" hidden="1">{"fdsup://directions/FAT Viewer?action=UPDATE&amp;creator=factset&amp;DYN_ARGS=TRUE&amp;DOC_NAME=FAT:FQL_AUDITING_CLIENT_TEMPLATE.FAT&amp;display_string=Audit&amp;VAR:KEY=BIRMHKJWVW&amp;VAR:QUERY=RkZfRUJJVERBX09QRVIoUVRSLDQvMS8yMDA5LDYvMzAvMjAwOSwsLFVTRCk=&amp;WINDOW=FIRST_POPUP&amp;HEIGH","T=450&amp;WIDTH=450&amp;START_MAXIMIZED=FALSE&amp;VAR:CALENDAR=US&amp;VAR:SYMBOL=UNP&amp;VAR:INDEX=0"}</definedName>
    <definedName name="_890__FDSAUDITLINK__" hidden="1">{"fdsup://directions/FAT Viewer?action=UPDATE&amp;creator=factset&amp;DYN_ARGS=TRUE&amp;DOC_NAME=FAT:FQL_AUDITING_CLIENT_TEMPLATE.FAT&amp;display_string=Audit&amp;VAR:KEY=PWJUBUVMLA&amp;VAR:QUERY=RkZfRUJJVERBX09QRVIoUVRSLDQvMS8yMDEwLDYvMzAvMjAxMCwsLFVTRCk=&amp;WINDOW=FIRST_POPUP&amp;HEIGH","T=450&amp;WIDTH=450&amp;START_MAXIMIZED=FALSE&amp;VAR:CALENDAR=US&amp;VAR:SYMBOL=BDX&amp;VAR:INDEX=0"}</definedName>
    <definedName name="_891__FDSAUDITLINK__" hidden="1">{"fdsup://directions/FAT Viewer?action=UPDATE&amp;creator=factset&amp;DYN_ARGS=TRUE&amp;DOC_NAME=FAT:FQL_AUDITING_CLIENT_TEMPLATE.FAT&amp;display_string=Audit&amp;VAR:KEY=ZUPUBKZUPC&amp;VAR:QUERY=RkZfRUJJVERBX09QRVIoUVRSLDQvMS8yMDA5LDYvMzAvMjAwOSwsLFVTRCk=&amp;WINDOW=FIRST_POPUP&amp;HEIGH","T=450&amp;WIDTH=450&amp;START_MAXIMIZED=FALSE&amp;VAR:CALENDAR=US&amp;VAR:SYMBOL=BCR&amp;VAR:INDEX=0"}</definedName>
    <definedName name="_892__FDSAUDITLINK__" hidden="1">{"fdsup://directions/FAT Viewer?action=UPDATE&amp;creator=factset&amp;DYN_ARGS=TRUE&amp;DOC_NAME=FAT:FQL_AUDITING_CLIENT_TEMPLATE.FAT&amp;display_string=Audit&amp;VAR:KEY=VSDYHYZGRE&amp;VAR:QUERY=RkZfRUJJVERBX09QRVIoUVRSLDQvMS8yMDEwLDYvMzAvMjAxMCwsLFVTRCk=&amp;WINDOW=FIRST_POPUP&amp;HEIGH","T=450&amp;WIDTH=450&amp;START_MAXIMIZED=FALSE&amp;VAR:CALENDAR=US&amp;VAR:SYMBOL=BCR&amp;VAR:INDEX=0"}</definedName>
    <definedName name="_893__FDSAUDITLINK__" hidden="1">{"fdsup://directions/FAT Viewer?action=UPDATE&amp;creator=factset&amp;DYN_ARGS=TRUE&amp;DOC_NAME=FAT:FQL_AUDITING_CLIENT_TEMPLATE.FAT&amp;display_string=Audit&amp;VAR:KEY=VSTKNOHKJO&amp;VAR:QUERY=RkZfRUJJVERBX09QRVIoUVRSLDQvMS8yMDA5LDYvMzAvMjAwOSwsLFVTRCk=&amp;WINDOW=FIRST_POPUP&amp;HEIGH","T=450&amp;WIDTH=450&amp;START_MAXIMIZED=FALSE&amp;VAR:CALENDAR=US&amp;VAR:SYMBOL=BBY&amp;VAR:INDEX=0"}</definedName>
    <definedName name="_894__FDSAUDITLINK__" hidden="1">{"fdsup://directions/FAT Viewer?action=UPDATE&amp;creator=factset&amp;DYN_ARGS=TRUE&amp;DOC_NAME=FAT:FQL_AUDITING_CLIENT_TEMPLATE.FAT&amp;display_string=Audit&amp;VAR:KEY=PQFKVYZOPS&amp;VAR:QUERY=RkZfRUJJVERBX09QRVIoUVRSLDQvMS8yMDEwLDYvMzAvMjAxMCwsLFVTRCk=&amp;WINDOW=FIRST_POPUP&amp;HEIGH","T=450&amp;WIDTH=450&amp;START_MAXIMIZED=FALSE&amp;VAR:CALENDAR=US&amp;VAR:SYMBOL=BBY&amp;VAR:INDEX=0"}</definedName>
    <definedName name="_895__FDSAUDITLINK__" hidden="1">{"fdsup://directions/FAT Viewer?action=UPDATE&amp;creator=factset&amp;DYN_ARGS=TRUE&amp;DOC_NAME=FAT:FQL_AUDITING_CLIENT_TEMPLATE.FAT&amp;display_string=Audit&amp;VAR:KEY=RGTKLYJCXW&amp;VAR:QUERY=RkZfRUJJVERBX09QRVIoUVRSLDQvMS8yMDA5LDYvMzAvMjAwOSwsLFVTRCk=&amp;WINDOW=FIRST_POPUP&amp;HEIGH","T=450&amp;WIDTH=450&amp;START_MAXIMIZED=FALSE&amp;VAR:CALENDAR=US&amp;VAR:SYMBOL=BBT&amp;VAR:INDEX=0"}</definedName>
    <definedName name="_896__FDSAUDITLINK__" hidden="1">{"fdsup://directions/FAT Viewer?action=UPDATE&amp;creator=factset&amp;DYN_ARGS=TRUE&amp;DOC_NAME=FAT:FQL_AUDITING_CLIENT_TEMPLATE.FAT&amp;display_string=Audit&amp;VAR:KEY=BARCTOFSPE&amp;VAR:QUERY=RkZfRUJJVERBX09QRVIoUVRSLDQvMS8yMDEwLDYvMzAvMjAxMCwsLFVTRCk=&amp;WINDOW=FIRST_POPUP&amp;HEIGH","T=450&amp;WIDTH=450&amp;START_MAXIMIZED=FALSE&amp;VAR:CALENDAR=US&amp;VAR:SYMBOL=BBT&amp;VAR:INDEX=0"}</definedName>
    <definedName name="_897__FDSAUDITLINK__" hidden="1">{"fdsup://directions/FAT Viewer?action=UPDATE&amp;creator=factset&amp;DYN_ARGS=TRUE&amp;DOC_NAME=FAT:FQL_AUDITING_CLIENT_TEMPLATE.FAT&amp;display_string=Audit&amp;VAR:KEY=FUTIVWPWFO&amp;VAR:QUERY=RkZfRUJJVERBX09QRVIoUVRSLDQvMS8yMDA5LDYvMzAvMjAwOSwsLFVTRCk=&amp;WINDOW=FIRST_POPUP&amp;HEIGH","T=450&amp;WIDTH=450&amp;START_MAXIMIZED=FALSE&amp;VAR:CALENDAR=US&amp;VAR:SYMBOL=BBBY&amp;VAR:INDEX=0"}</definedName>
    <definedName name="_898__FDSAUDITLINK__" hidden="1">{"fdsup://directions/FAT Viewer?action=UPDATE&amp;creator=factset&amp;DYN_ARGS=TRUE&amp;DOC_NAME=FAT:FQL_AUDITING_CLIENT_TEMPLATE.FAT&amp;display_string=Audit&amp;VAR:KEY=JYXGRKBIVE&amp;VAR:QUERY=RkZfRUJJVERBX09QRVIoUVRSLDQvMS8yMDEwLDYvMzAvMjAxMCwsLFVTRCk=&amp;WINDOW=FIRST_POPUP&amp;HEIGH","T=450&amp;WIDTH=450&amp;START_MAXIMIZED=FALSE&amp;VAR:CALENDAR=US&amp;VAR:SYMBOL=BBBY&amp;VAR:INDEX=0"}</definedName>
    <definedName name="_899__FDSAUDITLINK__" hidden="1">{"fdsup://directions/FAT Viewer?action=UPDATE&amp;creator=factset&amp;DYN_ARGS=TRUE&amp;DOC_NAME=FAT:FQL_AUDITING_CLIENT_TEMPLATE.FAT&amp;display_string=Audit&amp;VAR:KEY=FULUFCTING&amp;VAR:QUERY=RkZfRUJJVERBX09QRVIoUVRSLDQvMS8yMDA5LDYvMzAvMjAwOSwsLFVTRCk=&amp;WINDOW=FIRST_POPUP&amp;HEIGH","T=450&amp;WIDTH=450&amp;START_MAXIMIZED=FALSE&amp;VAR:CALENDAR=US&amp;VAR:SYMBOL=BAX&amp;VAR:INDEX=0"}</definedName>
    <definedName name="_9__FDSAUDITLINK__" hidden="1">{"fdsup://directions/FAT Viewer?action=UPDATE&amp;creator=factset&amp;DYN_ARGS=TRUE&amp;DOC_NAME=FAT:FQL_AUDITING_CLIENT_TEMPLATE.FAT&amp;display_string=Audit&amp;VAR:KEY=PYVMTQJSRQ&amp;VAR:QUERY=RkZfRUJJVERBX09QRVIoUVRSLDQvMS8yMDA5LDYvMzAvMjAwOSwsLFVTRCk=&amp;WINDOW=FIRST_POPUP&amp;HEIGH","T=450&amp;WIDTH=450&amp;START_MAXIMIZED=FALSE&amp;VAR:CALENDAR=US&amp;VAR:SYMBOL=XRX&amp;VAR:INDEX=0"}</definedName>
    <definedName name="_90__FDSAUDITLINK__" hidden="1">{"fdsup://directions/FAT Viewer?action=UPDATE&amp;creator=factset&amp;DYN_ARGS=TRUE&amp;DOC_NAME=FAT:FQL_AUDITING_CLIENT_TEMPLATE.FAT&amp;display_string=Audit&amp;VAR:KEY=RSNMPMHMDM&amp;VAR:QUERY=RkZfRUJJVERBX09QRVIoUVRSLDQvMS8yMDEwLDYvMzAvMjAxMCwsLFVTRCk=&amp;WINDOW=FIRST_POPUP&amp;HEIGH","T=450&amp;WIDTH=450&amp;START_MAXIMIZED=FALSE&amp;VAR:CALENDAR=US&amp;VAR:SYMBOL=UNP&amp;VAR:INDEX=0"}</definedName>
    <definedName name="_900__FDSAUDITLINK__" hidden="1">{"fdsup://directions/FAT Viewer?action=UPDATE&amp;creator=factset&amp;DYN_ARGS=TRUE&amp;DOC_NAME=FAT:FQL_AUDITING_CLIENT_TEMPLATE.FAT&amp;display_string=Audit&amp;VAR:KEY=HSPQHIBYRG&amp;VAR:QUERY=RkZfRUJJVERBX09QRVIoUVRSLDQvMS8yMDEwLDYvMzAvMjAxMCwsLFVTRCk=&amp;WINDOW=FIRST_POPUP&amp;HEIGH","T=450&amp;WIDTH=450&amp;START_MAXIMIZED=FALSE&amp;VAR:CALENDAR=US&amp;VAR:SYMBOL=BAX&amp;VAR:INDEX=0"}</definedName>
    <definedName name="_901__FDSAUDITLINK__" hidden="1">{"fdsup://directions/FAT Viewer?action=UPDATE&amp;creator=factset&amp;DYN_ARGS=TRUE&amp;DOC_NAME=FAT:FQL_AUDITING_CLIENT_TEMPLATE.FAT&amp;display_string=Audit&amp;VAR:KEY=POHWNIDEHK&amp;VAR:QUERY=RkZfRUJJVERBX09QRVIoUVRSLDQvMS8yMDA5LDYvMzAvMjAwOSwsLFVTRCk=&amp;WINDOW=FIRST_POPUP&amp;HEIGH","T=450&amp;WIDTH=450&amp;START_MAXIMIZED=FALSE&amp;VAR:CALENDAR=US&amp;VAR:SYMBOL=BAC&amp;VAR:INDEX=0"}</definedName>
    <definedName name="_902__FDSAUDITLINK__" hidden="1">{"fdsup://directions/FAT Viewer?action=UPDATE&amp;creator=factset&amp;DYN_ARGS=TRUE&amp;DOC_NAME=FAT:FQL_AUDITING_CLIENT_TEMPLATE.FAT&amp;display_string=Audit&amp;VAR:KEY=VWJEZYFODY&amp;VAR:QUERY=RkZfRUJJVERBX09QRVIoUVRSLDQvMS8yMDEwLDYvMzAvMjAxMCwsLFVTRCk=&amp;WINDOW=FIRST_POPUP&amp;HEIGH","T=450&amp;WIDTH=450&amp;START_MAXIMIZED=FALSE&amp;VAR:CALENDAR=US&amp;VAR:SYMBOL=BAC&amp;VAR:INDEX=0"}</definedName>
    <definedName name="_903__FDSAUDITLINK__" hidden="1">{"fdsup://directions/FAT Viewer?action=UPDATE&amp;creator=factset&amp;DYN_ARGS=TRUE&amp;DOC_NAME=FAT:FQL_AUDITING_CLIENT_TEMPLATE.FAT&amp;display_string=Audit&amp;VAR:KEY=HALAJGZYXC&amp;VAR:QUERY=RkZfRUJJVERBX09QRVIoUVRSLDQvMS8yMDA5LDYvMzAvMjAwOSwsLFVTRCk=&amp;WINDOW=FIRST_POPUP&amp;HEIGH","T=450&amp;WIDTH=450&amp;START_MAXIMIZED=FALSE&amp;VAR:CALENDAR=US&amp;VAR:SYMBOL=BA&amp;VAR:INDEX=0"}</definedName>
    <definedName name="_904__FDSAUDITLINK__" hidden="1">{"fdsup://directions/FAT Viewer?action=UPDATE&amp;creator=factset&amp;DYN_ARGS=TRUE&amp;DOC_NAME=FAT:FQL_AUDITING_CLIENT_TEMPLATE.FAT&amp;display_string=Audit&amp;VAR:KEY=NSXMHOZGFO&amp;VAR:QUERY=RkZfRUJJVERBX09QRVIoUVRSLDQvMS8yMDEwLDYvMzAvMjAxMCwsLFVTRCk=&amp;WINDOW=FIRST_POPUP&amp;HEIGH","T=450&amp;WIDTH=450&amp;START_MAXIMIZED=FALSE&amp;VAR:CALENDAR=US&amp;VAR:SYMBOL=BA&amp;VAR:INDEX=0"}</definedName>
    <definedName name="_905__FDSAUDITLINK__" hidden="1">{"fdsup://directions/FAT Viewer?action=UPDATE&amp;creator=factset&amp;DYN_ARGS=TRUE&amp;DOC_NAME=FAT:FQL_AUDITING_CLIENT_TEMPLATE.FAT&amp;display_string=Audit&amp;VAR:KEY=FMDIDIPQJU&amp;VAR:QUERY=RkZfRUJJVERBX09QRVIoUVRSLDQvMS8yMDA5LDYvMzAvMjAwOSwsLFVTRCk=&amp;WINDOW=FIRST_POPUP&amp;HEIGH","T=450&amp;WIDTH=450&amp;START_MAXIMIZED=FALSE&amp;VAR:CALENDAR=US&amp;VAR:SYMBOL=AZO&amp;VAR:INDEX=0"}</definedName>
    <definedName name="_906__FDSAUDITLINK__" hidden="1">{"fdsup://directions/FAT Viewer?action=UPDATE&amp;creator=factset&amp;DYN_ARGS=TRUE&amp;DOC_NAME=FAT:FQL_AUDITING_CLIENT_TEMPLATE.FAT&amp;display_string=Audit&amp;VAR:KEY=TSXWNSNOTA&amp;VAR:QUERY=RkZfRUJJVERBX09QRVIoUVRSLDQvMS8yMDEwLDYvMzAvMjAxMCwsLFVTRCk=&amp;WINDOW=FIRST_POPUP&amp;HEIGH","T=450&amp;WIDTH=450&amp;START_MAXIMIZED=FALSE&amp;VAR:CALENDAR=US&amp;VAR:SYMBOL=AZO&amp;VAR:INDEX=0"}</definedName>
    <definedName name="_907__FDSAUDITLINK__" hidden="1">{"fdsup://directions/FAT Viewer?action=UPDATE&amp;creator=factset&amp;DYN_ARGS=TRUE&amp;DOC_NAME=FAT:FQL_AUDITING_CLIENT_TEMPLATE.FAT&amp;display_string=Audit&amp;VAR:KEY=POJEHGTCDM&amp;VAR:QUERY=RkZfRUJJVERBX09QRVIoUVRSLDQvMS8yMDA5LDYvMzAvMjAwOSwsLFVTRCk=&amp;WINDOW=FIRST_POPUP&amp;HEIGH","T=450&amp;WIDTH=450&amp;START_MAXIMIZED=FALSE&amp;VAR:CALENDAR=US&amp;VAR:SYMBOL=AYE&amp;VAR:INDEX=0"}</definedName>
    <definedName name="_908__FDSAUDITLINK__" hidden="1">{"fdsup://directions/FAT Viewer?action=UPDATE&amp;creator=factset&amp;DYN_ARGS=TRUE&amp;DOC_NAME=FAT:FQL_AUDITING_CLIENT_TEMPLATE.FAT&amp;display_string=Audit&amp;VAR:KEY=TAJWPQTATW&amp;VAR:QUERY=RkZfRUJJVERBX09QRVIoUVRSLDQvMS8yMDEwLDYvMzAvMjAxMCwsLFVTRCk=&amp;WINDOW=FIRST_POPUP&amp;HEIGH","T=450&amp;WIDTH=450&amp;START_MAXIMIZED=FALSE&amp;VAR:CALENDAR=US&amp;VAR:SYMBOL=AYE&amp;VAR:INDEX=0"}</definedName>
    <definedName name="_909__FDSAUDITLINK__" hidden="1">{"fdsup://directions/FAT Viewer?action=UPDATE&amp;creator=factset&amp;DYN_ARGS=TRUE&amp;DOC_NAME=FAT:FQL_AUDITING_CLIENT_TEMPLATE.FAT&amp;display_string=Audit&amp;VAR:KEY=NAZYTQRGXW&amp;VAR:QUERY=RkZfRUJJVERBX09QRVIoUVRSLDQvMS8yMDA5LDYvMzAvMjAwOSwsLFVTRCk=&amp;WINDOW=FIRST_POPUP&amp;HEIGH","T=450&amp;WIDTH=450&amp;START_MAXIMIZED=FALSE&amp;VAR:CALENDAR=US&amp;VAR:SYMBOL=AXP&amp;VAR:INDEX=0"}</definedName>
    <definedName name="_91__FDSAUDITLINK__" hidden="1">{"fdsup://directions/FAT Viewer?action=UPDATE&amp;creator=factset&amp;DYN_ARGS=TRUE&amp;DOC_NAME=FAT:FQL_AUDITING_CLIENT_TEMPLATE.FAT&amp;display_string=Audit&amp;VAR:KEY=XUFCZANQZU&amp;VAR:QUERY=RkZfRUJJVERBX09QRVIoUVRSLDQvMS8yMDA5LDYvMzAvMjAwOSwsLFVTRCk=&amp;WINDOW=FIRST_POPUP&amp;HEIGH","T=450&amp;WIDTH=450&amp;START_MAXIMIZED=FALSE&amp;VAR:CALENDAR=US&amp;VAR:SYMBOL=UNM&amp;VAR:INDEX=0"}</definedName>
    <definedName name="_910__FDSAUDITLINK__" hidden="1">{"fdsup://directions/FAT Viewer?action=UPDATE&amp;creator=factset&amp;DYN_ARGS=TRUE&amp;DOC_NAME=FAT:FQL_AUDITING_CLIENT_TEMPLATE.FAT&amp;display_string=Audit&amp;VAR:KEY=LONGDCHGZU&amp;VAR:QUERY=RkZfRUJJVERBX09QRVIoUVRSLDQvMS8yMDEwLDYvMzAvMjAxMCwsLFVTRCk=&amp;WINDOW=FIRST_POPUP&amp;HEIGH","T=450&amp;WIDTH=450&amp;START_MAXIMIZED=FALSE&amp;VAR:CALENDAR=US&amp;VAR:SYMBOL=AXP&amp;VAR:INDEX=0"}</definedName>
    <definedName name="_911__FDSAUDITLINK__" hidden="1">{"fdsup://directions/FAT Viewer?action=UPDATE&amp;creator=factset&amp;DYN_ARGS=TRUE&amp;DOC_NAME=FAT:FQL_AUDITING_CLIENT_TEMPLATE.FAT&amp;display_string=Audit&amp;VAR:KEY=PSLQPYBUTG&amp;VAR:QUERY=RkZfRUJJVERBX09QRVIoUVRSLDQvMS8yMDA5LDYvMzAvMjAwOSwsLFVTRCk=&amp;WINDOW=FIRST_POPUP&amp;HEIGH","T=450&amp;WIDTH=450&amp;START_MAXIMIZED=FALSE&amp;VAR:CALENDAR=US&amp;VAR:SYMBOL=AVY&amp;VAR:INDEX=0"}</definedName>
    <definedName name="_912__FDSAUDITLINK__" hidden="1">{"fdsup://directions/FAT Viewer?action=UPDATE&amp;creator=factset&amp;DYN_ARGS=TRUE&amp;DOC_NAME=FAT:FQL_AUDITING_CLIENT_TEMPLATE.FAT&amp;display_string=Audit&amp;VAR:KEY=PCDKRYXIZM&amp;VAR:QUERY=RkZfRUJJVERBX09QRVIoUVRSLDQvMS8yMDEwLDYvMzAvMjAxMCwsLFVTRCk=&amp;WINDOW=FIRST_POPUP&amp;HEIGH","T=450&amp;WIDTH=450&amp;START_MAXIMIZED=FALSE&amp;VAR:CALENDAR=US&amp;VAR:SYMBOL=AVY&amp;VAR:INDEX=0"}</definedName>
    <definedName name="_913__FDSAUDITLINK__" hidden="1">{"fdsup://directions/FAT Viewer?action=UPDATE&amp;creator=factset&amp;DYN_ARGS=TRUE&amp;DOC_NAME=FAT:FQL_AUDITING_CLIENT_TEMPLATE.FAT&amp;display_string=Audit&amp;VAR:KEY=LOBSVEPOPM&amp;VAR:QUERY=RkZfRUJJVERBX09QRVIoUVRSLDQvMS8yMDA5LDYvMzAvMjAwOSwsLFVTRCk=&amp;WINDOW=FIRST_POPUP&amp;HEIGH","T=450&amp;WIDTH=450&amp;START_MAXIMIZED=FALSE&amp;VAR:CALENDAR=US&amp;VAR:SYMBOL=AVP&amp;VAR:INDEX=0"}</definedName>
    <definedName name="_914__FDSAUDITLINK__" hidden="1">{"fdsup://directions/FAT Viewer?action=UPDATE&amp;creator=factset&amp;DYN_ARGS=TRUE&amp;DOC_NAME=FAT:FQL_AUDITING_CLIENT_TEMPLATE.FAT&amp;display_string=Audit&amp;VAR:KEY=TWFKDKXKHG&amp;VAR:QUERY=RkZfRUJJVERBX09QRVIoUVRSLDQvMS8yMDEwLDYvMzAvMjAxMCwsLFVTRCk=&amp;WINDOW=FIRST_POPUP&amp;HEIGH","T=450&amp;WIDTH=450&amp;START_MAXIMIZED=FALSE&amp;VAR:CALENDAR=US&amp;VAR:SYMBOL=AVP&amp;VAR:INDEX=0"}</definedName>
    <definedName name="_915__FDSAUDITLINK__" hidden="1">{"fdsup://directions/FAT Viewer?action=UPDATE&amp;creator=factset&amp;DYN_ARGS=TRUE&amp;DOC_NAME=FAT:FQL_AUDITING_CLIENT_TEMPLATE.FAT&amp;display_string=Audit&amp;VAR:KEY=TIDUJSLSHO&amp;VAR:QUERY=RkZfRUJJVERBX09QRVIoUVRSLDQvMS8yMDA5LDYvMzAvMjAwOSwsLFVTRCk=&amp;WINDOW=FIRST_POPUP&amp;HEIGH","T=450&amp;WIDTH=450&amp;START_MAXIMIZED=FALSE&amp;VAR:CALENDAR=US&amp;VAR:SYMBOL=AVB&amp;VAR:INDEX=0"}</definedName>
    <definedName name="_916__FDSAUDITLINK__" hidden="1">{"fdsup://directions/FAT Viewer?action=UPDATE&amp;creator=factset&amp;DYN_ARGS=TRUE&amp;DOC_NAME=FAT:FQL_AUDITING_CLIENT_TEMPLATE.FAT&amp;display_string=Audit&amp;VAR:KEY=XEDIRUVGPG&amp;VAR:QUERY=RkZfRUJJVERBX09QRVIoUVRSLDQvMS8yMDEwLDYvMzAvMjAxMCwsLFVTRCk=&amp;WINDOW=FIRST_POPUP&amp;HEIGH","T=450&amp;WIDTH=450&amp;START_MAXIMIZED=FALSE&amp;VAR:CALENDAR=US&amp;VAR:SYMBOL=AVB&amp;VAR:INDEX=0"}</definedName>
    <definedName name="_917__FDSAUDITLINK__" hidden="1">{"fdsup://directions/FAT Viewer?action=UPDATE&amp;creator=factset&amp;DYN_ARGS=TRUE&amp;DOC_NAME=FAT:FQL_AUDITING_CLIENT_TEMPLATE.FAT&amp;display_string=Audit&amp;VAR:KEY=TYJIRONMVU&amp;VAR:QUERY=RkZfRUJJVERBX09QRVIoUVRSLDQvMS8yMDA5LDYvMzAvMjAwOSwsLFVTRCk=&amp;WINDOW=FIRST_POPUP&amp;HEIGH","T=450&amp;WIDTH=450&amp;START_MAXIMIZED=FALSE&amp;VAR:CALENDAR=US&amp;VAR:SYMBOL=ATI&amp;VAR:INDEX=0"}</definedName>
    <definedName name="_918__FDSAUDITLINK__" hidden="1">{"fdsup://directions/FAT Viewer?action=UPDATE&amp;creator=factset&amp;DYN_ARGS=TRUE&amp;DOC_NAME=FAT:FQL_AUDITING_CLIENT_TEMPLATE.FAT&amp;display_string=Audit&amp;VAR:KEY=VQFSRADGPK&amp;VAR:QUERY=RkZfRUJJVERBX09QRVIoUVRSLDQvMS8yMDEwLDYvMzAvMjAxMCwsLFVTRCk=&amp;WINDOW=FIRST_POPUP&amp;HEIGH","T=450&amp;WIDTH=450&amp;START_MAXIMIZED=FALSE&amp;VAR:CALENDAR=US&amp;VAR:SYMBOL=ATI&amp;VAR:INDEX=0"}</definedName>
    <definedName name="_919__FDSAUDITLINK__" hidden="1">{"fdsup://directions/FAT Viewer?action=UPDATE&amp;creator=factset&amp;DYN_ARGS=TRUE&amp;DOC_NAME=FAT:FQL_AUDITING_CLIENT_TEMPLATE.FAT&amp;display_string=Audit&amp;VAR:KEY=RWHCZAZWFC&amp;VAR:QUERY=RkZfRUJJVERBX09QRVIoUVRSLDQvMS8yMDA5LDYvMzAvMjAwOSwsLFVTRCk=&amp;WINDOW=FIRST_POPUP&amp;HEIGH","T=450&amp;WIDTH=450&amp;START_MAXIMIZED=FALSE&amp;VAR:CALENDAR=US&amp;VAR:SYMBOL=ARG&amp;VAR:INDEX=0"}</definedName>
    <definedName name="_92__FDSAUDITLINK__" hidden="1">{"fdsup://directions/FAT Viewer?action=UPDATE&amp;creator=factset&amp;DYN_ARGS=TRUE&amp;DOC_NAME=FAT:FQL_AUDITING_CLIENT_TEMPLATE.FAT&amp;display_string=Audit&amp;VAR:KEY=ZGBWDGJIXQ&amp;VAR:QUERY=RkZfRUJJVERBX09QRVIoUVRSLDQvMS8yMDEwLDYvMzAvMjAxMCwsLFVTRCk=&amp;WINDOW=FIRST_POPUP&amp;HEIGH","T=450&amp;WIDTH=450&amp;START_MAXIMIZED=FALSE&amp;VAR:CALENDAR=US&amp;VAR:SYMBOL=UNM&amp;VAR:INDEX=0"}</definedName>
    <definedName name="_920__FDSAUDITLINK__" hidden="1">{"fdsup://directions/FAT Viewer?action=UPDATE&amp;creator=factset&amp;DYN_ARGS=TRUE&amp;DOC_NAME=FAT:FQL_AUDITING_CLIENT_TEMPLATE.FAT&amp;display_string=Audit&amp;VAR:KEY=FWRATERQBC&amp;VAR:QUERY=RkZfRUJJVERBX09QRVIoUVRSLDQvMS8yMDEwLDYvMzAvMjAxMCwsLFVTRCk=&amp;WINDOW=FIRST_POPUP&amp;HEIGH","T=450&amp;WIDTH=450&amp;START_MAXIMIZED=FALSE&amp;VAR:CALENDAR=US&amp;VAR:SYMBOL=ARG&amp;VAR:INDEX=0"}</definedName>
    <definedName name="_921__FDSAUDITLINK__" hidden="1">{"fdsup://directions/FAT Viewer?action=UPDATE&amp;creator=factset&amp;DYN_ARGS=TRUE&amp;DOC_NAME=FAT:FQL_AUDITING_CLIENT_TEMPLATE.FAT&amp;display_string=Audit&amp;VAR:KEY=ZQJYPAPCTE&amp;VAR:QUERY=RkZfRUJJVERBX09QRVIoUVRSLDQvMS8yMDA5LDYvMzAvMjAwOSwsLFVTRCk=&amp;WINDOW=FIRST_POPUP&amp;HEIGH","T=450&amp;WIDTH=450&amp;START_MAXIMIZED=FALSE&amp;VAR:CALENDAR=US&amp;VAR:SYMBOL=APOL&amp;VAR:INDEX=0"}</definedName>
    <definedName name="_922__FDSAUDITLINK__" hidden="1">{"fdsup://directions/FAT Viewer?action=UPDATE&amp;creator=factset&amp;DYN_ARGS=TRUE&amp;DOC_NAME=FAT:FQL_AUDITING_CLIENT_TEMPLATE.FAT&amp;display_string=Audit&amp;VAR:KEY=PADMLYDOPA&amp;VAR:QUERY=RkZfRUJJVERBX09QRVIoUVRSLDQvMS8yMDEwLDYvMzAvMjAxMCwsLFVTRCk=&amp;WINDOW=FIRST_POPUP&amp;HEIGH","T=450&amp;WIDTH=450&amp;START_MAXIMIZED=FALSE&amp;VAR:CALENDAR=US&amp;VAR:SYMBOL=APOL&amp;VAR:INDEX=0"}</definedName>
    <definedName name="_923__FDSAUDITLINK__" hidden="1">{"fdsup://directions/FAT Viewer?action=UPDATE&amp;creator=factset&amp;DYN_ARGS=TRUE&amp;DOC_NAME=FAT:FQL_AUDITING_CLIENT_TEMPLATE.FAT&amp;display_string=Audit&amp;VAR:KEY=HCPQTOJIZQ&amp;VAR:QUERY=RkZfRUJJVERBX09QRVIoUVRSLDQvMS8yMDA5LDYvMzAvMjAwOSwsLFVTRCk=&amp;WINDOW=FIRST_POPUP&amp;HEIGH","T=450&amp;WIDTH=450&amp;START_MAXIMIZED=FALSE&amp;VAR:CALENDAR=US&amp;VAR:SYMBOL=APH&amp;VAR:INDEX=0"}</definedName>
    <definedName name="_924__FDSAUDITLINK__" hidden="1">{"fdsup://directions/FAT Viewer?action=UPDATE&amp;creator=factset&amp;DYN_ARGS=TRUE&amp;DOC_NAME=FAT:FQL_AUDITING_CLIENT_TEMPLATE.FAT&amp;display_string=Audit&amp;VAR:KEY=XCLIZIPYNI&amp;VAR:QUERY=RkZfRUJJVERBX09QRVIoUVRSLDQvMS8yMDEwLDYvMzAvMjAxMCwsLFVTRCk=&amp;WINDOW=FIRST_POPUP&amp;HEIGH","T=450&amp;WIDTH=450&amp;START_MAXIMIZED=FALSE&amp;VAR:CALENDAR=US&amp;VAR:SYMBOL=APH&amp;VAR:INDEX=0"}</definedName>
    <definedName name="_925__FDSAUDITLINK__" hidden="1">{"fdsup://directions/FAT Viewer?action=UPDATE&amp;creator=factset&amp;DYN_ARGS=TRUE&amp;DOC_NAME=FAT:FQL_AUDITING_CLIENT_TEMPLATE.FAT&amp;display_string=Audit&amp;VAR:KEY=DGPQNENEPY&amp;VAR:QUERY=RkZfRUJJVERBX09QRVIoUVRSLDQvMS8yMDA5LDYvMzAvMjAwOSwsLFVTRCk=&amp;WINDOW=FIRST_POPUP&amp;HEIGH","T=450&amp;WIDTH=450&amp;START_MAXIMIZED=FALSE&amp;VAR:CALENDAR=US&amp;VAR:SYMBOL=APD&amp;VAR:INDEX=0"}</definedName>
    <definedName name="_926__FDSAUDITLINK__" hidden="1">{"fdsup://directions/FAT Viewer?action=UPDATE&amp;creator=factset&amp;DYN_ARGS=TRUE&amp;DOC_NAME=FAT:FQL_AUDITING_CLIENT_TEMPLATE.FAT&amp;display_string=Audit&amp;VAR:KEY=DEXUHGZUTC&amp;VAR:QUERY=RkZfRUJJVERBX09QRVIoUVRSLDQvMS8yMDEwLDYvMzAvMjAxMCwsLFVTRCk=&amp;WINDOW=FIRST_POPUP&amp;HEIGH","T=450&amp;WIDTH=450&amp;START_MAXIMIZED=FALSE&amp;VAR:CALENDAR=US&amp;VAR:SYMBOL=APD&amp;VAR:INDEX=0"}</definedName>
    <definedName name="_927__FDSAUDITLINK__" hidden="1">{"fdsup://directions/FAT Viewer?action=UPDATE&amp;creator=factset&amp;DYN_ARGS=TRUE&amp;DOC_NAME=FAT:FQL_AUDITING_CLIENT_TEMPLATE.FAT&amp;display_string=Audit&amp;VAR:KEY=VGXQXMTONM&amp;VAR:QUERY=RkZfRUJJVERBX09QRVIoUVRSLDQvMS8yMDA5LDYvMzAvMjAwOSwsLFVTRCk=&amp;WINDOW=FIRST_POPUP&amp;HEIGH","T=450&amp;WIDTH=450&amp;START_MAXIMIZED=FALSE&amp;VAR:CALENDAR=US&amp;VAR:SYMBOL=APC&amp;VAR:INDEX=0"}</definedName>
    <definedName name="_928__FDSAUDITLINK__" hidden="1">{"fdsup://directions/FAT Viewer?action=UPDATE&amp;creator=factset&amp;DYN_ARGS=TRUE&amp;DOC_NAME=FAT:FQL_AUDITING_CLIENT_TEMPLATE.FAT&amp;display_string=Audit&amp;VAR:KEY=JGRMFIHIBS&amp;VAR:QUERY=RkZfRUJJVERBX09QRVIoUVRSLDQvMS8yMDEwLDYvMzAvMjAxMCwsLFVTRCk=&amp;WINDOW=FIRST_POPUP&amp;HEIGH","T=450&amp;WIDTH=450&amp;START_MAXIMIZED=FALSE&amp;VAR:CALENDAR=US&amp;VAR:SYMBOL=APC&amp;VAR:INDEX=0"}</definedName>
    <definedName name="_929__FDSAUDITLINK__" hidden="1">{"fdsup://directions/FAT Viewer?action=UPDATE&amp;creator=factset&amp;DYN_ARGS=TRUE&amp;DOC_NAME=FAT:FQL_AUDITING_CLIENT_TEMPLATE.FAT&amp;display_string=Audit&amp;VAR:KEY=DQXGDOFOTW&amp;VAR:QUERY=RkZfRUJJVERBX09QRVIoUVRSLDQvMS8yMDA5LDYvMzAvMjAwOSwsLFVTRCk=&amp;WINDOW=FIRST_POPUP&amp;HEIGH","T=450&amp;WIDTH=450&amp;START_MAXIMIZED=FALSE&amp;VAR:CALENDAR=US&amp;VAR:SYMBOL=APA&amp;VAR:INDEX=0"}</definedName>
    <definedName name="_93__FDSAUDITLINK__" hidden="1">{"fdsup://directions/FAT Viewer?action=UPDATE&amp;creator=factset&amp;DYN_ARGS=TRUE&amp;DOC_NAME=FAT:FQL_AUDITING_CLIENT_TEMPLATE.FAT&amp;display_string=Audit&amp;VAR:KEY=DWJGHAXABS&amp;VAR:QUERY=RkZfRUJJVERBX09QRVIoUVRSLDQvMS8yMDA5LDYvMzAvMjAwOSwsLFVTRCk=&amp;WINDOW=FIRST_POPUP&amp;HEIGH","T=450&amp;WIDTH=450&amp;START_MAXIMIZED=FALSE&amp;VAR:CALENDAR=US&amp;VAR:SYMBOL=UNH&amp;VAR:INDEX=0"}</definedName>
    <definedName name="_930__FDSAUDITLINK__" hidden="1">{"fdsup://directions/FAT Viewer?action=UPDATE&amp;creator=factset&amp;DYN_ARGS=TRUE&amp;DOC_NAME=FAT:FQL_AUDITING_CLIENT_TEMPLATE.FAT&amp;display_string=Audit&amp;VAR:KEY=RIJCRSLMTK&amp;VAR:QUERY=RkZfRUJJVERBX09QRVIoUVRSLDQvMS8yMDEwLDYvMzAvMjAxMCwsLFVTRCk=&amp;WINDOW=FIRST_POPUP&amp;HEIGH","T=450&amp;WIDTH=450&amp;START_MAXIMIZED=FALSE&amp;VAR:CALENDAR=US&amp;VAR:SYMBOL=APA&amp;VAR:INDEX=0"}</definedName>
    <definedName name="_931__FDSAUDITLINK__" hidden="1">{"fdsup://directions/FAT Viewer?action=UPDATE&amp;creator=factset&amp;DYN_ARGS=TRUE&amp;DOC_NAME=FAT:FQL_AUDITING_CLIENT_TEMPLATE.FAT&amp;display_string=Audit&amp;VAR:KEY=JYZWPILEPC&amp;VAR:QUERY=RkZfRUJJVERBX09QRVIoUVRSLDQvMS8yMDA5LDYvMzAvMjAwOSwsLFVTRCk=&amp;WINDOW=FIRST_POPUP&amp;HEIGH","T=450&amp;WIDTH=450&amp;START_MAXIMIZED=FALSE&amp;VAR:CALENDAR=US&amp;VAR:SYMBOL=AON&amp;VAR:INDEX=0"}</definedName>
    <definedName name="_932__FDSAUDITLINK__" hidden="1">{"fdsup://directions/FAT Viewer?action=UPDATE&amp;creator=factset&amp;DYN_ARGS=TRUE&amp;DOC_NAME=FAT:FQL_AUDITING_CLIENT_TEMPLATE.FAT&amp;display_string=Audit&amp;VAR:KEY=HELOXKDWJC&amp;VAR:QUERY=RkZfRUJJVERBX09QRVIoUVRSLDQvMS8yMDEwLDYvMzAvMjAxMCwsLFVTRCk=&amp;WINDOW=FIRST_POPUP&amp;HEIGH","T=450&amp;WIDTH=450&amp;START_MAXIMIZED=FALSE&amp;VAR:CALENDAR=US&amp;VAR:SYMBOL=AON&amp;VAR:INDEX=0"}</definedName>
    <definedName name="_933__FDSAUDITLINK__" hidden="1">{"fdsup://directions/FAT Viewer?action=UPDATE&amp;creator=factset&amp;DYN_ARGS=TRUE&amp;DOC_NAME=FAT:FQL_AUDITING_CLIENT_TEMPLATE.FAT&amp;display_string=Audit&amp;VAR:KEY=TSTIJEBIHO&amp;VAR:QUERY=RkZfRUJJVERBX09QRVIoUVRSLDQvMS8yMDA5LDYvMzAvMjAwOSwsLFVTRCk=&amp;WINDOW=FIRST_POPUP&amp;HEIGH","T=450&amp;WIDTH=450&amp;START_MAXIMIZED=FALSE&amp;VAR:CALENDAR=US&amp;VAR:SYMBOL=ANF&amp;VAR:INDEX=0"}</definedName>
    <definedName name="_934__FDSAUDITLINK__" hidden="1">{"fdsup://directions/FAT Viewer?action=UPDATE&amp;creator=factset&amp;DYN_ARGS=TRUE&amp;DOC_NAME=FAT:FQL_AUDITING_CLIENT_TEMPLATE.FAT&amp;display_string=Audit&amp;VAR:KEY=VOHSJAXOHG&amp;VAR:QUERY=RkZfRUJJVERBX09QRVIoUVRSLDQvMS8yMDEwLDYvMzAvMjAxMCwsLFVTRCk=&amp;WINDOW=FIRST_POPUP&amp;HEIGH","T=450&amp;WIDTH=450&amp;START_MAXIMIZED=FALSE&amp;VAR:CALENDAR=US&amp;VAR:SYMBOL=ANF&amp;VAR:INDEX=0"}</definedName>
    <definedName name="_935__FDSAUDITLINK__" hidden="1">{"fdsup://directions/FAT Viewer?action=UPDATE&amp;creator=factset&amp;DYN_ARGS=TRUE&amp;DOC_NAME=FAT:FQL_AUDITING_CLIENT_TEMPLATE.FAT&amp;display_string=Audit&amp;VAR:KEY=VENGTAPQPO&amp;VAR:QUERY=RkZfRUJJVERBX09QRVIoUVRSLDQvMS8yMDA5LDYvMzAvMjAwOSwsLFVTRCk=&amp;WINDOW=FIRST_POPUP&amp;HEIGH","T=450&amp;WIDTH=450&amp;START_MAXIMIZED=FALSE&amp;VAR:CALENDAR=US&amp;VAR:SYMBOL=AN&amp;VAR:INDEX=0"}</definedName>
    <definedName name="_936__FDSAUDITLINK__" hidden="1">{"fdsup://directions/FAT Viewer?action=UPDATE&amp;creator=factset&amp;DYN_ARGS=TRUE&amp;DOC_NAME=FAT:FQL_AUDITING_CLIENT_TEMPLATE.FAT&amp;display_string=Audit&amp;VAR:KEY=FUHYHEBGTE&amp;VAR:QUERY=RkZfRUJJVERBX09QRVIoUVRSLDQvMS8yMDEwLDYvMzAvMjAxMCwsLFVTRCk=&amp;WINDOW=FIRST_POPUP&amp;HEIGH","T=450&amp;WIDTH=450&amp;START_MAXIMIZED=FALSE&amp;VAR:CALENDAR=US&amp;VAR:SYMBOL=AN&amp;VAR:INDEX=0"}</definedName>
    <definedName name="_937__FDSAUDITLINK__" hidden="1">{"fdsup://directions/FAT Viewer?action=UPDATE&amp;creator=factset&amp;DYN_ARGS=TRUE&amp;DOC_NAME=FAT:FQL_AUDITING_CLIENT_TEMPLATE.FAT&amp;display_string=Audit&amp;VAR:KEY=LUHUDUJMFO&amp;VAR:QUERY=RkZfRUJJVERBX09QRVIoUVRSLDQvMS8yMDA5LDYvMzAvMjAwOSwsLFVTRCk=&amp;WINDOW=FIRST_POPUP&amp;HEIGH","T=450&amp;WIDTH=450&amp;START_MAXIMIZED=FALSE&amp;VAR:CALENDAR=US&amp;VAR:SYMBOL=AMZN&amp;VAR:INDEX=0"}</definedName>
    <definedName name="_938__FDSAUDITLINK__" hidden="1">{"fdsup://directions/FAT Viewer?action=UPDATE&amp;creator=factset&amp;DYN_ARGS=TRUE&amp;DOC_NAME=FAT:FQL_AUDITING_CLIENT_TEMPLATE.FAT&amp;display_string=Audit&amp;VAR:KEY=PSVYLYZQNK&amp;VAR:QUERY=RkZfRUJJVERBX09QRVIoUVRSLDQvMS8yMDEwLDYvMzAvMjAxMCwsLFVTRCk=&amp;WINDOW=FIRST_POPUP&amp;HEIGH","T=450&amp;WIDTH=450&amp;START_MAXIMIZED=FALSE&amp;VAR:CALENDAR=US&amp;VAR:SYMBOL=AMZN&amp;VAR:INDEX=0"}</definedName>
    <definedName name="_939__FDSAUDITLINK__" hidden="1">{"fdsup://directions/FAT Viewer?action=UPDATE&amp;creator=factset&amp;DYN_ARGS=TRUE&amp;DOC_NAME=FAT:FQL_AUDITING_CLIENT_TEMPLATE.FAT&amp;display_string=Audit&amp;VAR:KEY=PIZOXMNYRK&amp;VAR:QUERY=RkZfRUJJVERBX09QRVIoUVRSLDQvMS8yMDA5LDYvMzAvMjAwOSwsLFVTRCk=&amp;WINDOW=FIRST_POPUP&amp;HEIGH","T=450&amp;WIDTH=450&amp;START_MAXIMIZED=FALSE&amp;VAR:CALENDAR=US&amp;VAR:SYMBOL=AMT&amp;VAR:INDEX=0"}</definedName>
    <definedName name="_94__FDSAUDITLINK__" hidden="1">{"fdsup://directions/FAT Viewer?action=UPDATE&amp;creator=factset&amp;DYN_ARGS=TRUE&amp;DOC_NAME=FAT:FQL_AUDITING_CLIENT_TEMPLATE.FAT&amp;display_string=Audit&amp;VAR:KEY=RYVKBKLGFW&amp;VAR:QUERY=RkZfRUJJVERBX09QRVIoUVRSLDQvMS8yMDEwLDYvMzAvMjAxMCwsLFVTRCk=&amp;WINDOW=FIRST_POPUP&amp;HEIGH","T=450&amp;WIDTH=450&amp;START_MAXIMIZED=FALSE&amp;VAR:CALENDAR=US&amp;VAR:SYMBOL=UNH&amp;VAR:INDEX=0"}</definedName>
    <definedName name="_940__FDSAUDITLINK__" hidden="1">{"fdsup://directions/FAT Viewer?action=UPDATE&amp;creator=factset&amp;DYN_ARGS=TRUE&amp;DOC_NAME=FAT:FQL_AUDITING_CLIENT_TEMPLATE.FAT&amp;display_string=Audit&amp;VAR:KEY=RYZIRSRIPY&amp;VAR:QUERY=RkZfRUJJVERBX09QRVIoUVRSLDQvMS8yMDEwLDYvMzAvMjAxMCwsLFVTRCk=&amp;WINDOW=FIRST_POPUP&amp;HEIGH","T=450&amp;WIDTH=450&amp;START_MAXIMIZED=FALSE&amp;VAR:CALENDAR=US&amp;VAR:SYMBOL=AMT&amp;VAR:INDEX=0"}</definedName>
    <definedName name="_941__FDSAUDITLINK__" hidden="1">{"fdsup://directions/FAT Viewer?action=UPDATE&amp;creator=factset&amp;DYN_ARGS=TRUE&amp;DOC_NAME=FAT:FQL_AUDITING_CLIENT_TEMPLATE.FAT&amp;display_string=Audit&amp;VAR:KEY=HSFQVAJIRU&amp;VAR:QUERY=RkZfRUJJVERBX09QRVIoUVRSLDQvMS8yMDA5LDYvMzAvMjAwOSwsLFVTRCk=&amp;WINDOW=FIRST_POPUP&amp;HEIGH","T=450&amp;WIDTH=450&amp;START_MAXIMIZED=FALSE&amp;VAR:CALENDAR=US&amp;VAR:SYMBOL=AMP&amp;VAR:INDEX=0"}</definedName>
    <definedName name="_942__FDSAUDITLINK__" hidden="1">{"fdsup://directions/FAT Viewer?action=UPDATE&amp;creator=factset&amp;DYN_ARGS=TRUE&amp;DOC_NAME=FAT:FQL_AUDITING_CLIENT_TEMPLATE.FAT&amp;display_string=Audit&amp;VAR:KEY=VWXOPIRKHC&amp;VAR:QUERY=RkZfRUJJVERBX09QRVIoUVRSLDQvMS8yMDEwLDYvMzAvMjAxMCwsLFVTRCk=&amp;WINDOW=FIRST_POPUP&amp;HEIGH","T=450&amp;WIDTH=450&amp;START_MAXIMIZED=FALSE&amp;VAR:CALENDAR=US&amp;VAR:SYMBOL=AMP&amp;VAR:INDEX=0"}</definedName>
    <definedName name="_943__FDSAUDITLINK__" hidden="1">{"fdsup://directions/FAT Viewer?action=UPDATE&amp;creator=factset&amp;DYN_ARGS=TRUE&amp;DOC_NAME=FAT:FQL_AUDITING_CLIENT_TEMPLATE.FAT&amp;display_string=Audit&amp;VAR:KEY=NULAZUHALG&amp;VAR:QUERY=RkZfRUJJVERBX09QRVIoUVRSLDQvMS8yMDA5LDYvMzAvMjAwOSwsLFVTRCk=&amp;WINDOW=FIRST_POPUP&amp;HEIGH","T=450&amp;WIDTH=450&amp;START_MAXIMIZED=FALSE&amp;VAR:CALENDAR=US&amp;VAR:SYMBOL=AMGN&amp;VAR:INDEX=0"}</definedName>
    <definedName name="_944__FDSAUDITLINK__" hidden="1">{"fdsup://directions/FAT Viewer?action=UPDATE&amp;creator=factset&amp;DYN_ARGS=TRUE&amp;DOC_NAME=FAT:FQL_AUDITING_CLIENT_TEMPLATE.FAT&amp;display_string=Audit&amp;VAR:KEY=RAFKVSHCDG&amp;VAR:QUERY=RkZfRUJJVERBX09QRVIoUVRSLDQvMS8yMDEwLDYvMzAvMjAxMCwsLFVTRCk=&amp;WINDOW=FIRST_POPUP&amp;HEIGH","T=450&amp;WIDTH=450&amp;START_MAXIMIZED=FALSE&amp;VAR:CALENDAR=US&amp;VAR:SYMBOL=AMGN&amp;VAR:INDEX=0"}</definedName>
    <definedName name="_945__FDSAUDITLINK__" hidden="1">{"fdsup://directions/FAT Viewer?action=UPDATE&amp;creator=factset&amp;DYN_ARGS=TRUE&amp;DOC_NAME=FAT:FQL_AUDITING_CLIENT_TEMPLATE.FAT&amp;display_string=Audit&amp;VAR:KEY=JGBGFUNYVM&amp;VAR:QUERY=RkZfRUJJVERBX09QRVIoUVRSLDQvMS8yMDA5LDYvMzAvMjAwOSwsLFVTRCk=&amp;WINDOW=FIRST_POPUP&amp;HEIGH","T=450&amp;WIDTH=450&amp;START_MAXIMIZED=FALSE&amp;VAR:CALENDAR=US&amp;VAR:SYMBOL=AMD&amp;VAR:INDEX=0"}</definedName>
    <definedName name="_946__FDSAUDITLINK__" hidden="1">{"fdsup://directions/FAT Viewer?action=UPDATE&amp;creator=factset&amp;DYN_ARGS=TRUE&amp;DOC_NAME=FAT:FQL_AUDITING_CLIENT_TEMPLATE.FAT&amp;display_string=Audit&amp;VAR:KEY=DALSFIBGNY&amp;VAR:QUERY=RkZfRUJJVERBX09QRVIoUVRSLDQvMS8yMDEwLDYvMzAvMjAxMCwsLFVTRCk=&amp;WINDOW=FIRST_POPUP&amp;HEIGH","T=450&amp;WIDTH=450&amp;START_MAXIMIZED=FALSE&amp;VAR:CALENDAR=US&amp;VAR:SYMBOL=AMD&amp;VAR:INDEX=0"}</definedName>
    <definedName name="_947__FDSAUDITLINK__" hidden="1">{"fdsup://directions/FAT Viewer?action=UPDATE&amp;creator=factset&amp;DYN_ARGS=TRUE&amp;DOC_NAME=FAT:FQL_AUDITING_CLIENT_TEMPLATE.FAT&amp;display_string=Audit&amp;VAR:KEY=XMTSLUPGXE&amp;VAR:QUERY=RkZfRUJJVERBX09QRVIoUVRSLDQvMS8yMDA5LDYvMzAvMjAwOSwsLFVTRCk=&amp;WINDOW=FIRST_POPUP&amp;HEIGH","T=450&amp;WIDTH=450&amp;START_MAXIMIZED=FALSE&amp;VAR:CALENDAR=US&amp;VAR:SYMBOL=AMAT&amp;VAR:INDEX=0"}</definedName>
    <definedName name="_948__FDSAUDITLINK__" hidden="1">{"fdsup://directions/FAT Viewer?action=UPDATE&amp;creator=factset&amp;DYN_ARGS=TRUE&amp;DOC_NAME=FAT:FQL_AUDITING_CLIENT_TEMPLATE.FAT&amp;display_string=Audit&amp;VAR:KEY=DEHEBCDUPC&amp;VAR:QUERY=RkZfRUJJVERBX09QRVIoUVRSLDQvMS8yMDEwLDYvMzAvMjAxMCwsLFVTRCk=&amp;WINDOW=FIRST_POPUP&amp;HEIGH","T=450&amp;WIDTH=450&amp;START_MAXIMIZED=FALSE&amp;VAR:CALENDAR=US&amp;VAR:SYMBOL=AMAT&amp;VAR:INDEX=0"}</definedName>
    <definedName name="_949__FDSAUDITLINK__" hidden="1">{"fdsup://directions/FAT Viewer?action=UPDATE&amp;creator=factset&amp;DYN_ARGS=TRUE&amp;DOC_NAME=FAT:FQL_AUDITING_CLIENT_TEMPLATE.FAT&amp;display_string=Audit&amp;VAR:KEY=JYDEHQBSTW&amp;VAR:QUERY=RkZfRUJJVERBX09QRVIoUVRSLDQvMS8yMDA5LDYvMzAvMjAwOSwsLFVTRCk=&amp;WINDOW=FIRST_POPUP&amp;HEIGH","T=450&amp;WIDTH=450&amp;START_MAXIMIZED=FALSE&amp;VAR:CALENDAR=US&amp;VAR:SYMBOL=ALTR&amp;VAR:INDEX=0"}</definedName>
    <definedName name="_95__FDSAUDITLINK__" hidden="1">{"fdsup://directions/FAT Viewer?action=UPDATE&amp;creator=factset&amp;DYN_ARGS=TRUE&amp;DOC_NAME=FAT:FQL_AUDITING_CLIENT_TEMPLATE.FAT&amp;display_string=Audit&amp;VAR:KEY=TAHGXQZCPQ&amp;VAR:QUERY=RkZfRUJJVERBX09QRVIoUVRSLDQvMS8yMDA5LDYvMzAvMjAwOSwsLFVTRCk=&amp;WINDOW=FIRST_POPUP&amp;HEIGH","T=450&amp;WIDTH=450&amp;START_MAXIMIZED=FALSE&amp;VAR:CALENDAR=US&amp;VAR:SYMBOL=TYC&amp;VAR:INDEX=0"}</definedName>
    <definedName name="_950__FDSAUDITLINK__" hidden="1">{"fdsup://directions/FAT Viewer?action=UPDATE&amp;creator=factset&amp;DYN_ARGS=TRUE&amp;DOC_NAME=FAT:FQL_AUDITING_CLIENT_TEMPLATE.FAT&amp;display_string=Audit&amp;VAR:KEY=XEBCFSRQJQ&amp;VAR:QUERY=RkZfRUJJVERBX09QRVIoUVRSLDQvMS8yMDEwLDYvMzAvMjAxMCwsLFVTRCk=&amp;WINDOW=FIRST_POPUP&amp;HEIGH","T=450&amp;WIDTH=450&amp;START_MAXIMIZED=FALSE&amp;VAR:CALENDAR=US&amp;VAR:SYMBOL=ALTR&amp;VAR:INDEX=0"}</definedName>
    <definedName name="_951__FDSAUDITLINK__" hidden="1">{"fdsup://directions/FAT Viewer?action=UPDATE&amp;creator=factset&amp;DYN_ARGS=TRUE&amp;DOC_NAME=FAT:FQL_AUDITING_CLIENT_TEMPLATE.FAT&amp;display_string=Audit&amp;VAR:KEY=ZKDWXOJORA&amp;VAR:QUERY=RkZfRUJJVERBX09QRVIoUVRSLDQvMS8yMDA5LDYvMzAvMjAwOSwsLFVTRCk=&amp;WINDOW=FIRST_POPUP&amp;HEIGH","T=450&amp;WIDTH=450&amp;START_MAXIMIZED=FALSE&amp;VAR:CALENDAR=US&amp;VAR:SYMBOL=ALL&amp;VAR:INDEX=0"}</definedName>
    <definedName name="_952__FDSAUDITLINK__" hidden="1">{"fdsup://directions/FAT Viewer?action=UPDATE&amp;creator=factset&amp;DYN_ARGS=TRUE&amp;DOC_NAME=FAT:FQL_AUDITING_CLIENT_TEMPLATE.FAT&amp;display_string=Audit&amp;VAR:KEY=NUDOVGJIVS&amp;VAR:QUERY=RkZfRUJJVERBX09QRVIoUVRSLDQvMS8yMDEwLDYvMzAvMjAxMCwsLFVTRCk=&amp;WINDOW=FIRST_POPUP&amp;HEIGH","T=450&amp;WIDTH=450&amp;START_MAXIMIZED=FALSE&amp;VAR:CALENDAR=US&amp;VAR:SYMBOL=ALL&amp;VAR:INDEX=0"}</definedName>
    <definedName name="_953__FDSAUDITLINK__" hidden="1">{"fdsup://directions/FAT Viewer?action=UPDATE&amp;creator=factset&amp;DYN_ARGS=TRUE&amp;DOC_NAME=FAT:FQL_AUDITING_CLIENT_TEMPLATE.FAT&amp;display_string=Audit&amp;VAR:KEY=HGBWTKDEHK&amp;VAR:QUERY=RkZfRUJJVERBX09QRVIoUVRSLDQvMS8yMDA5LDYvMzAvMjAwOSwsLFVTRCk=&amp;WINDOW=FIRST_POPUP&amp;HEIGH","T=450&amp;WIDTH=450&amp;START_MAXIMIZED=FALSE&amp;VAR:CALENDAR=US&amp;VAR:SYMBOL=AKS&amp;VAR:INDEX=0"}</definedName>
    <definedName name="_954__FDSAUDITLINK__" hidden="1">{"fdsup://directions/FAT Viewer?action=UPDATE&amp;creator=factset&amp;DYN_ARGS=TRUE&amp;DOC_NAME=FAT:FQL_AUDITING_CLIENT_TEMPLATE.FAT&amp;display_string=Audit&amp;VAR:KEY=PWLOTCRIXO&amp;VAR:QUERY=RkZfRUJJVERBX09QRVIoUVRSLDQvMS8yMDEwLDYvMzAvMjAxMCwsLFVTRCk=&amp;WINDOW=FIRST_POPUP&amp;HEIGH","T=450&amp;WIDTH=450&amp;START_MAXIMIZED=FALSE&amp;VAR:CALENDAR=US&amp;VAR:SYMBOL=AKS&amp;VAR:INDEX=0"}</definedName>
    <definedName name="_955__FDSAUDITLINK__" hidden="1">{"fdsup://directions/FAT Viewer?action=UPDATE&amp;creator=factset&amp;DYN_ARGS=TRUE&amp;DOC_NAME=FAT:FQL_AUDITING_CLIENT_TEMPLATE.FAT&amp;display_string=Audit&amp;VAR:KEY=PYPCNSFSTS&amp;VAR:QUERY=RkZfRUJJVERBX09QRVIoUVRSLDQvMS8yMDA5LDYvMzAvMjAwOSwsLFVTRCk=&amp;WINDOW=FIRST_POPUP&amp;HEIGH","T=450&amp;WIDTH=450&amp;START_MAXIMIZED=FALSE&amp;VAR:CALENDAR=US&amp;VAR:SYMBOL=AKAM&amp;VAR:INDEX=0"}</definedName>
    <definedName name="_956__FDSAUDITLINK__" hidden="1">{"fdsup://directions/FAT Viewer?action=UPDATE&amp;creator=factset&amp;DYN_ARGS=TRUE&amp;DOC_NAME=FAT:FQL_AUDITING_CLIENT_TEMPLATE.FAT&amp;display_string=Audit&amp;VAR:KEY=FOVSVWDSFU&amp;VAR:QUERY=RkZfRUJJVERBX09QRVIoUVRSLDQvMS8yMDEwLDYvMzAvMjAxMCwsLFVTRCk=&amp;WINDOW=FIRST_POPUP&amp;HEIGH","T=450&amp;WIDTH=450&amp;START_MAXIMIZED=FALSE&amp;VAR:CALENDAR=US&amp;VAR:SYMBOL=AKAM&amp;VAR:INDEX=0"}</definedName>
    <definedName name="_957__FDSAUDITLINK__" hidden="1">{"fdsup://directions/FAT Viewer?action=UPDATE&amp;creator=factset&amp;DYN_ARGS=TRUE&amp;DOC_NAME=FAT:FQL_AUDITING_CLIENT_TEMPLATE.FAT&amp;display_string=Audit&amp;VAR:KEY=BWPEJGHMVY&amp;VAR:QUERY=RkZfRUJJVERBX09QRVIoUVRSLDQvMS8yMDA5LDYvMzAvMjAwOSwsLFVTRCk=&amp;WINDOW=FIRST_POPUP&amp;HEIGH","T=450&amp;WIDTH=450&amp;START_MAXIMIZED=FALSE&amp;VAR:CALENDAR=US&amp;VAR:SYMBOL=AIZ&amp;VAR:INDEX=0"}</definedName>
    <definedName name="_958__FDSAUDITLINK__" hidden="1">{"fdsup://directions/FAT Viewer?action=UPDATE&amp;creator=factset&amp;DYN_ARGS=TRUE&amp;DOC_NAME=FAT:FQL_AUDITING_CLIENT_TEMPLATE.FAT&amp;display_string=Audit&amp;VAR:KEY=JEVWFAZOFK&amp;VAR:QUERY=RkZfRUJJVERBX09QRVIoUVRSLDQvMS8yMDEwLDYvMzAvMjAxMCwsLFVTRCk=&amp;WINDOW=FIRST_POPUP&amp;HEIGH","T=450&amp;WIDTH=450&amp;START_MAXIMIZED=FALSE&amp;VAR:CALENDAR=US&amp;VAR:SYMBOL=AIZ&amp;VAR:INDEX=0"}</definedName>
    <definedName name="_959__FDSAUDITLINK__" hidden="1">{"fdsup://directions/FAT Viewer?action=UPDATE&amp;creator=factset&amp;DYN_ARGS=TRUE&amp;DOC_NAME=FAT:FQL_AUDITING_CLIENT_TEMPLATE.FAT&amp;display_string=Audit&amp;VAR:KEY=VEZGTIRCPK&amp;VAR:QUERY=RkZfRUJJVERBX09QRVIoUVRSLDQvMS8yMDA5LDYvMzAvMjAwOSwsLFVTRCk=&amp;WINDOW=FIRST_POPUP&amp;HEIGH","T=450&amp;WIDTH=450&amp;START_MAXIMIZED=FALSE&amp;VAR:CALENDAR=US&amp;VAR:SYMBOL=AIV&amp;VAR:INDEX=0"}</definedName>
    <definedName name="_96__FDSAUDITLINK__" hidden="1">{"fdsup://directions/FAT Viewer?action=UPDATE&amp;creator=factset&amp;DYN_ARGS=TRUE&amp;DOC_NAME=FAT:FQL_AUDITING_CLIENT_TEMPLATE.FAT&amp;display_string=Audit&amp;VAR:KEY=DYXCTGFQFO&amp;VAR:QUERY=RkZfRUJJVERBX09QRVIoUVRSLDQvMS8yMDEwLDYvMzAvMjAxMCwsLFVTRCk=&amp;WINDOW=FIRST_POPUP&amp;HEIGH","T=450&amp;WIDTH=450&amp;START_MAXIMIZED=FALSE&amp;VAR:CALENDAR=US&amp;VAR:SYMBOL=TYC&amp;VAR:INDEX=0"}</definedName>
    <definedName name="_960__FDSAUDITLINK__" hidden="1">{"fdsup://directions/FAT Viewer?action=UPDATE&amp;creator=factset&amp;DYN_ARGS=TRUE&amp;DOC_NAME=FAT:FQL_AUDITING_CLIENT_TEMPLATE.FAT&amp;display_string=Audit&amp;VAR:KEY=HQVUVGNWTE&amp;VAR:QUERY=RkZfRUJJVERBX09QRVIoUVRSLDQvMS8yMDEwLDYvMzAvMjAxMCwsLFVTRCk=&amp;WINDOW=FIRST_POPUP&amp;HEIGH","T=450&amp;WIDTH=450&amp;START_MAXIMIZED=FALSE&amp;VAR:CALENDAR=US&amp;VAR:SYMBOL=AIV&amp;VAR:INDEX=0"}</definedName>
    <definedName name="_961__FDSAUDITLINK__" hidden="1">{"fdsup://directions/FAT Viewer?action=UPDATE&amp;creator=factset&amp;DYN_ARGS=TRUE&amp;DOC_NAME=FAT:FQL_AUDITING_CLIENT_TEMPLATE.FAT&amp;display_string=Audit&amp;VAR:KEY=HYFEPOBQJM&amp;VAR:QUERY=RkZfRUJJVERBX09QRVIoUVRSLDQvMS8yMDA5LDYvMzAvMjAwOSwsLFVTRCk=&amp;WINDOW=FIRST_POPUP&amp;HEIGH","T=450&amp;WIDTH=450&amp;START_MAXIMIZED=FALSE&amp;VAR:CALENDAR=US&amp;VAR:SYMBOL=AIG&amp;VAR:INDEX=0"}</definedName>
    <definedName name="_962__FDSAUDITLINK__" hidden="1">{"fdsup://directions/FAT Viewer?action=UPDATE&amp;creator=factset&amp;DYN_ARGS=TRUE&amp;DOC_NAME=FAT:FQL_AUDITING_CLIENT_TEMPLATE.FAT&amp;display_string=Audit&amp;VAR:KEY=LONMJWPEFK&amp;VAR:QUERY=RkZfRUJJVERBX09QRVIoUVRSLDQvMS8yMDEwLDYvMzAvMjAxMCwsLFVTRCk=&amp;WINDOW=FIRST_POPUP&amp;HEIGH","T=450&amp;WIDTH=450&amp;START_MAXIMIZED=FALSE&amp;VAR:CALENDAR=US&amp;VAR:SYMBOL=AIG&amp;VAR:INDEX=0"}</definedName>
    <definedName name="_963__FDSAUDITLINK__" hidden="1">{"fdsup://directions/FAT Viewer?action=UPDATE&amp;creator=factset&amp;DYN_ARGS=TRUE&amp;DOC_NAME=FAT:FQL_AUDITING_CLIENT_TEMPLATE.FAT&amp;display_string=Audit&amp;VAR:KEY=ZSXWVMVUPE&amp;VAR:QUERY=RkZfRUJJVERBX09QRVIoUVRSLDQvMS8yMDA5LDYvMzAvMjAwOSwsLFVTRCk=&amp;WINDOW=FIRST_POPUP&amp;HEIGH","T=450&amp;WIDTH=450&amp;START_MAXIMIZED=FALSE&amp;VAR:CALENDAR=US&amp;VAR:SYMBOL=AGN&amp;VAR:INDEX=0"}</definedName>
    <definedName name="_964__FDSAUDITLINK__" hidden="1">{"fdsup://directions/FAT Viewer?action=UPDATE&amp;creator=factset&amp;DYN_ARGS=TRUE&amp;DOC_NAME=FAT:FQL_AUDITING_CLIENT_TEMPLATE.FAT&amp;display_string=Audit&amp;VAR:KEY=VOPORCXSDA&amp;VAR:QUERY=RkZfRUJJVERBX09QRVIoUVRSLDQvMS8yMDEwLDYvMzAvMjAxMCwsLFVTRCk=&amp;WINDOW=FIRST_POPUP&amp;HEIGH","T=450&amp;WIDTH=450&amp;START_MAXIMIZED=FALSE&amp;VAR:CALENDAR=US&amp;VAR:SYMBOL=AGN&amp;VAR:INDEX=0"}</definedName>
    <definedName name="_965__FDSAUDITLINK__" hidden="1">{"fdsup://directions/FAT Viewer?action=UPDATE&amp;creator=factset&amp;DYN_ARGS=TRUE&amp;DOC_NAME=FAT:FQL_AUDITING_CLIENT_TEMPLATE.FAT&amp;display_string=Audit&amp;VAR:KEY=ZAFEFIJIJQ&amp;VAR:QUERY=RkZfRUJJVERBX09QRVIoUVRSLDQvMS8yMDA5LDYvMzAvMjAwOSwsLFVTRCk=&amp;WINDOW=FIRST_POPUP&amp;HEIGH","T=450&amp;WIDTH=450&amp;START_MAXIMIZED=FALSE&amp;VAR:CALENDAR=US&amp;VAR:SYMBOL=AFL&amp;VAR:INDEX=0"}</definedName>
    <definedName name="_966__FDSAUDITLINK__" hidden="1">{"fdsup://directions/FAT Viewer?action=UPDATE&amp;creator=factset&amp;DYN_ARGS=TRUE&amp;DOC_NAME=FAT:FQL_AUDITING_CLIENT_TEMPLATE.FAT&amp;display_string=Audit&amp;VAR:KEY=DCXUZMXKZQ&amp;VAR:QUERY=RkZfRUJJVERBX09QRVIoUVRSLDQvMS8yMDEwLDYvMzAvMjAxMCwsLFVTRCk=&amp;WINDOW=FIRST_POPUP&amp;HEIGH","T=450&amp;WIDTH=450&amp;START_MAXIMIZED=FALSE&amp;VAR:CALENDAR=US&amp;VAR:SYMBOL=AFL&amp;VAR:INDEX=0"}</definedName>
    <definedName name="_967__FDSAUDITLINK__" hidden="1">{"fdsup://directions/FAT Viewer?action=UPDATE&amp;creator=factset&amp;DYN_ARGS=TRUE&amp;DOC_NAME=FAT:FQL_AUDITING_CLIENT_TEMPLATE.FAT&amp;display_string=Audit&amp;VAR:KEY=BAZGDMVEXG&amp;VAR:QUERY=RkZfRUJJVERBX09QRVIoUVRSLDQvMS8yMDA5LDYvMzAvMjAwOSwsLFVTRCk=&amp;WINDOW=FIRST_POPUP&amp;HEIGH","T=450&amp;WIDTH=450&amp;START_MAXIMIZED=FALSE&amp;VAR:CALENDAR=US&amp;VAR:SYMBOL=AET&amp;VAR:INDEX=0"}</definedName>
    <definedName name="_968__FDSAUDITLINK__" hidden="1">{"fdsup://directions/FAT Viewer?action=UPDATE&amp;creator=factset&amp;DYN_ARGS=TRUE&amp;DOC_NAME=FAT:FQL_AUDITING_CLIENT_TEMPLATE.FAT&amp;display_string=Audit&amp;VAR:KEY=XYXWHERCFC&amp;VAR:QUERY=RkZfRUJJVERBX09QRVIoUVRSLDQvMS8yMDEwLDYvMzAvMjAxMCwsLFVTRCk=&amp;WINDOW=FIRST_POPUP&amp;HEIGH","T=450&amp;WIDTH=450&amp;START_MAXIMIZED=FALSE&amp;VAR:CALENDAR=US&amp;VAR:SYMBOL=AET&amp;VAR:INDEX=0"}</definedName>
    <definedName name="_969__FDSAUDITLINK__" hidden="1">{"fdsup://directions/FAT Viewer?action=UPDATE&amp;creator=factset&amp;DYN_ARGS=TRUE&amp;DOC_NAME=FAT:FQL_AUDITING_CLIENT_TEMPLATE.FAT&amp;display_string=Audit&amp;VAR:KEY=HAFCFOXQTW&amp;VAR:QUERY=RkZfRUJJVERBX09QRVIoUVRSLDQvMS8yMDA5LDYvMzAvMjAwOSwsLFVTRCk=&amp;WINDOW=FIRST_POPUP&amp;HEIGH","T=450&amp;WIDTH=450&amp;START_MAXIMIZED=FALSE&amp;VAR:CALENDAR=US&amp;VAR:SYMBOL=AES&amp;VAR:INDEX=0"}</definedName>
    <definedName name="_97__FDSAUDITLINK__" hidden="1">{"fdsup://directions/FAT Viewer?action=UPDATE&amp;creator=factset&amp;DYN_ARGS=TRUE&amp;DOC_NAME=FAT:FQL_AUDITING_CLIENT_TEMPLATE.FAT&amp;display_string=Audit&amp;VAR:KEY=LSLKRUFCPQ&amp;VAR:QUERY=RkZfRUJJVERBX09QRVIoUVRSLDQvMS8yMDA5LDYvMzAvMjAwOSwsLFVTRCk=&amp;WINDOW=FIRST_POPUP&amp;HEIGH","T=450&amp;WIDTH=450&amp;START_MAXIMIZED=FALSE&amp;VAR:CALENDAR=US&amp;VAR:SYMBOL=TXT&amp;VAR:INDEX=0"}</definedName>
    <definedName name="_970__FDSAUDITLINK__" hidden="1">{"fdsup://directions/FAT Viewer?action=UPDATE&amp;creator=factset&amp;DYN_ARGS=TRUE&amp;DOC_NAME=FAT:FQL_AUDITING_CLIENT_TEMPLATE.FAT&amp;display_string=Audit&amp;VAR:KEY=JWNQHKDSJC&amp;VAR:QUERY=RkZfRUJJVERBX09QRVIoUVRSLDQvMS8yMDEwLDYvMzAvMjAxMCwsLFVTRCk=&amp;WINDOW=FIRST_POPUP&amp;HEIGH","T=450&amp;WIDTH=450&amp;START_MAXIMIZED=FALSE&amp;VAR:CALENDAR=US&amp;VAR:SYMBOL=AES&amp;VAR:INDEX=0"}</definedName>
    <definedName name="_971__FDSAUDITLINK__" hidden="1">{"fdsup://directions/FAT Viewer?action=UPDATE&amp;creator=factset&amp;DYN_ARGS=TRUE&amp;DOC_NAME=FAT:FQL_AUDITING_CLIENT_TEMPLATE.FAT&amp;display_string=Audit&amp;VAR:KEY=NWFYPEHOLG&amp;VAR:QUERY=RkZfRUJJVERBX09QRVIoUVRSLDQvMS8yMDA5LDYvMzAvMjAwOSwsLFVTRCk=&amp;WINDOW=FIRST_POPUP&amp;HEIGH","T=450&amp;WIDTH=450&amp;START_MAXIMIZED=FALSE&amp;VAR:CALENDAR=US&amp;VAR:SYMBOL=AEP&amp;VAR:INDEX=0"}</definedName>
    <definedName name="_972__FDSAUDITLINK__" hidden="1">{"fdsup://directions/FAT Viewer?action=UPDATE&amp;creator=factset&amp;DYN_ARGS=TRUE&amp;DOC_NAME=FAT:FQL_AUDITING_CLIENT_TEMPLATE.FAT&amp;display_string=Audit&amp;VAR:KEY=DMHKXYZEDO&amp;VAR:QUERY=RkZfRUJJVERBX09QRVIoUVRSLDQvMS8yMDEwLDYvMzAvMjAxMCwsLFVTRCk=&amp;WINDOW=FIRST_POPUP&amp;HEIGH","T=450&amp;WIDTH=450&amp;START_MAXIMIZED=FALSE&amp;VAR:CALENDAR=US&amp;VAR:SYMBOL=AEP&amp;VAR:INDEX=0"}</definedName>
    <definedName name="_973__FDSAUDITLINK__" hidden="1">{"fdsup://directions/FAT Viewer?action=UPDATE&amp;creator=factset&amp;DYN_ARGS=TRUE&amp;DOC_NAME=FAT:FQL_AUDITING_CLIENT_TEMPLATE.FAT&amp;display_string=Audit&amp;VAR:KEY=VCLUVMZEZK&amp;VAR:QUERY=RkZfRUJJVERBX09QRVIoUVRSLDQvMS8yMDA5LDYvMzAvMjAwOSwsLFVTRCk=&amp;WINDOW=FIRST_POPUP&amp;HEIGH","T=450&amp;WIDTH=450&amp;START_MAXIMIZED=FALSE&amp;VAR:CALENDAR=US&amp;VAR:SYMBOL=AEE&amp;VAR:INDEX=0"}</definedName>
    <definedName name="_974__FDSAUDITLINK__" hidden="1">{"fdsup://directions/FAT Viewer?action=UPDATE&amp;creator=factset&amp;DYN_ARGS=TRUE&amp;DOC_NAME=FAT:FQL_AUDITING_CLIENT_TEMPLATE.FAT&amp;display_string=Audit&amp;VAR:KEY=DUBGROFIJW&amp;VAR:QUERY=RkZfRUJJVERBX09QRVIoUVRSLDQvMS8yMDEwLDYvMzAvMjAxMCwsLFVTRCk=&amp;WINDOW=FIRST_POPUP&amp;HEIGH","T=450&amp;WIDTH=450&amp;START_MAXIMIZED=FALSE&amp;VAR:CALENDAR=US&amp;VAR:SYMBOL=AEE&amp;VAR:INDEX=0"}</definedName>
    <definedName name="_975__FDSAUDITLINK__" hidden="1">{"fdsup://directions/FAT Viewer?action=UPDATE&amp;creator=factset&amp;DYN_ARGS=TRUE&amp;DOC_NAME=FAT:FQL_AUDITING_CLIENT_TEMPLATE.FAT&amp;display_string=Audit&amp;VAR:KEY=RKBKNGDYTK&amp;VAR:QUERY=RkZfRUJJVERBX09QRVIoUVRSLDQvMS8yMDA5LDYvMzAvMjAwOSwsLFVTRCk=&amp;WINDOW=FIRST_POPUP&amp;HEIGH","T=450&amp;WIDTH=450&amp;START_MAXIMIZED=FALSE&amp;VAR:CALENDAR=US&amp;VAR:SYMBOL=ADSK&amp;VAR:INDEX=0"}</definedName>
    <definedName name="_976__FDSAUDITLINK__" hidden="1">{"fdsup://directions/FAT Viewer?action=UPDATE&amp;creator=factset&amp;DYN_ARGS=TRUE&amp;DOC_NAME=FAT:FQL_AUDITING_CLIENT_TEMPLATE.FAT&amp;display_string=Audit&amp;VAR:KEY=RYXUVINSJK&amp;VAR:QUERY=RkZfRUJJVERBX09QRVIoUVRSLDQvMS8yMDEwLDYvMzAvMjAxMCwsLFVTRCk=&amp;WINDOW=FIRST_POPUP&amp;HEIGH","T=450&amp;WIDTH=450&amp;START_MAXIMIZED=FALSE&amp;VAR:CALENDAR=US&amp;VAR:SYMBOL=ADSK&amp;VAR:INDEX=0"}</definedName>
    <definedName name="_977__FDSAUDITLINK__" hidden="1">{"fdsup://directions/FAT Viewer?action=UPDATE&amp;creator=factset&amp;DYN_ARGS=TRUE&amp;DOC_NAME=FAT:FQL_AUDITING_CLIENT_TEMPLATE.FAT&amp;display_string=Audit&amp;VAR:KEY=PWLSHQFGLS&amp;VAR:QUERY=RkZfRUJJVERBX09QRVIoUVRSLDQvMS8yMDA5LDYvMzAvMjAwOSwsLFVTRCk=&amp;WINDOW=FIRST_POPUP&amp;HEIGH","T=450&amp;WIDTH=450&amp;START_MAXIMIZED=FALSE&amp;VAR:CALENDAR=US&amp;VAR:SYMBOL=ADP&amp;VAR:INDEX=0"}</definedName>
    <definedName name="_978__FDSAUDITLINK__" hidden="1">{"fdsup://directions/FAT Viewer?action=UPDATE&amp;creator=factset&amp;DYN_ARGS=TRUE&amp;DOC_NAME=FAT:FQL_AUDITING_CLIENT_TEMPLATE.FAT&amp;display_string=Audit&amp;VAR:KEY=XYLSDQBYLO&amp;VAR:QUERY=RkZfRUJJVERBX09QRVIoUVRSLDQvMS8yMDEwLDYvMzAvMjAxMCwsLFVTRCk=&amp;WINDOW=FIRST_POPUP&amp;HEIGH","T=450&amp;WIDTH=450&amp;START_MAXIMIZED=FALSE&amp;VAR:CALENDAR=US&amp;VAR:SYMBOL=ADP&amp;VAR:INDEX=0"}</definedName>
    <definedName name="_979__FDSAUDITLINK__" hidden="1">{"fdsup://directions/FAT Viewer?action=UPDATE&amp;creator=factset&amp;DYN_ARGS=TRUE&amp;DOC_NAME=FAT:FQL_AUDITING_CLIENT_TEMPLATE.FAT&amp;display_string=Audit&amp;VAR:KEY=FOPKZEDUXI&amp;VAR:QUERY=RkZfRUJJVERBX09QRVIoUVRSLDQvMS8yMDA5LDYvMzAvMjAwOSwsLFVTRCk=&amp;WINDOW=FIRST_POPUP&amp;HEIGH","T=450&amp;WIDTH=450&amp;START_MAXIMIZED=FALSE&amp;VAR:CALENDAR=US&amp;VAR:SYMBOL=ADM&amp;VAR:INDEX=0"}</definedName>
    <definedName name="_98__FDSAUDITLINK__" hidden="1">{"fdsup://directions/FAT Viewer?action=UPDATE&amp;creator=factset&amp;DYN_ARGS=TRUE&amp;DOC_NAME=FAT:FQL_AUDITING_CLIENT_TEMPLATE.FAT&amp;display_string=Audit&amp;VAR:KEY=BUFWLERSFA&amp;VAR:QUERY=RkZfRUJJVERBX09QRVIoUVRSLDQvMS8yMDEwLDYvMzAvMjAxMCwsLFVTRCk=&amp;WINDOW=FIRST_POPUP&amp;HEIGH","T=450&amp;WIDTH=450&amp;START_MAXIMIZED=FALSE&amp;VAR:CALENDAR=US&amp;VAR:SYMBOL=TXT&amp;VAR:INDEX=0"}</definedName>
    <definedName name="_980__FDSAUDITLINK__" hidden="1">{"fdsup://directions/FAT Viewer?action=UPDATE&amp;creator=factset&amp;DYN_ARGS=TRUE&amp;DOC_NAME=FAT:FQL_AUDITING_CLIENT_TEMPLATE.FAT&amp;display_string=Audit&amp;VAR:KEY=JEXOZOHMPQ&amp;VAR:QUERY=RkZfRUJJVERBX09QRVIoUVRSLDQvMS8yMDEwLDYvMzAvMjAxMCwsLFVTRCk=&amp;WINDOW=FIRST_POPUP&amp;HEIGH","T=450&amp;WIDTH=450&amp;START_MAXIMIZED=FALSE&amp;VAR:CALENDAR=US&amp;VAR:SYMBOL=ADM&amp;VAR:INDEX=0"}</definedName>
    <definedName name="_981__FDSAUDITLINK__" hidden="1">{"fdsup://directions/FAT Viewer?action=UPDATE&amp;creator=factset&amp;DYN_ARGS=TRUE&amp;DOC_NAME=FAT:FQL_AUDITING_CLIENT_TEMPLATE.FAT&amp;display_string=Audit&amp;VAR:KEY=ZUXWPMPOZA&amp;VAR:QUERY=RkZfRUJJVERBX09QRVIoUVRSLDQvMS8yMDA5LDYvMzAvMjAwOSwsLFVTRCk=&amp;WINDOW=FIRST_POPUP&amp;HEIGH","T=450&amp;WIDTH=450&amp;START_MAXIMIZED=FALSE&amp;VAR:CALENDAR=US&amp;VAR:SYMBOL=ADI&amp;VAR:INDEX=0"}</definedName>
    <definedName name="_982__FDSAUDITLINK__" hidden="1">{"fdsup://directions/FAT Viewer?action=UPDATE&amp;creator=factset&amp;DYN_ARGS=TRUE&amp;DOC_NAME=FAT:FQL_AUDITING_CLIENT_TEMPLATE.FAT&amp;display_string=Audit&amp;VAR:KEY=VGVSFSLCJU&amp;VAR:QUERY=RkZfRUJJVERBX09QRVIoUVRSLDQvMS8yMDEwLDYvMzAvMjAxMCwsLFVTRCk=&amp;WINDOW=FIRST_POPUP&amp;HEIGH","T=450&amp;WIDTH=450&amp;START_MAXIMIZED=FALSE&amp;VAR:CALENDAR=US&amp;VAR:SYMBOL=ADI&amp;VAR:INDEX=0"}</definedName>
    <definedName name="_983__FDSAUDITLINK__" hidden="1">{"fdsup://directions/FAT Viewer?action=UPDATE&amp;creator=factset&amp;DYN_ARGS=TRUE&amp;DOC_NAME=FAT:FQL_AUDITING_CLIENT_TEMPLATE.FAT&amp;display_string=Audit&amp;VAR:KEY=VKHMLCPCNU&amp;VAR:QUERY=RkZfRUJJVERBX09QRVIoUVRSLDQvMS8yMDA5LDYvMzAvMjAwOSwsLFVTRCk=&amp;WINDOW=FIRST_POPUP&amp;HEIGH","T=450&amp;WIDTH=450&amp;START_MAXIMIZED=FALSE&amp;VAR:CALENDAR=US&amp;VAR:SYMBOL=ADBE&amp;VAR:INDEX=0"}</definedName>
    <definedName name="_984__FDSAUDITLINK__" hidden="1">{"fdsup://directions/FAT Viewer?action=UPDATE&amp;creator=factset&amp;DYN_ARGS=TRUE&amp;DOC_NAME=FAT:FQL_AUDITING_CLIENT_TEMPLATE.FAT&amp;display_string=Audit&amp;VAR:KEY=JCVAVWBQPO&amp;VAR:QUERY=RkZfRUJJVERBX09QRVIoUVRSLDQvMS8yMDEwLDYvMzAvMjAxMCwsLFVTRCk=&amp;WINDOW=FIRST_POPUP&amp;HEIGH","T=450&amp;WIDTH=450&amp;START_MAXIMIZED=FALSE&amp;VAR:CALENDAR=US&amp;VAR:SYMBOL=ADBE&amp;VAR:INDEX=0"}</definedName>
    <definedName name="_985__FDSAUDITLINK__" hidden="1">{"fdsup://directions/FAT Viewer?action=UPDATE&amp;creator=factset&amp;DYN_ARGS=TRUE&amp;DOC_NAME=FAT:FQL_AUDITING_CLIENT_TEMPLATE.FAT&amp;display_string=Audit&amp;VAR:KEY=XKBYZADQPG&amp;VAR:QUERY=RkZfRUJJVERBX09QRVIoUVRSLDQvMS8yMDA5LDYvMzAvMjAwOSwsLFVTRCk=&amp;WINDOW=FIRST_POPUP&amp;HEIGH","T=450&amp;WIDTH=450&amp;START_MAXIMIZED=FALSE&amp;VAR:CALENDAR=US&amp;VAR:SYMBOL=ACE&amp;VAR:INDEX=0"}</definedName>
    <definedName name="_986__FDSAUDITLINK__" hidden="1">{"fdsup://directions/FAT Viewer?action=UPDATE&amp;creator=factset&amp;DYN_ARGS=TRUE&amp;DOC_NAME=FAT:FQL_AUDITING_CLIENT_TEMPLATE.FAT&amp;display_string=Audit&amp;VAR:KEY=TGFIJOPGNY&amp;VAR:QUERY=RkZfRUJJVERBX09QRVIoUVRSLDQvMS8yMDEwLDYvMzAvMjAxMCwsLFVTRCk=&amp;WINDOW=FIRST_POPUP&amp;HEIGH","T=450&amp;WIDTH=450&amp;START_MAXIMIZED=FALSE&amp;VAR:CALENDAR=US&amp;VAR:SYMBOL=ACE&amp;VAR:INDEX=0"}</definedName>
    <definedName name="_987__FDSAUDITLINK__" hidden="1">{"fdsup://directions/FAT Viewer?action=UPDATE&amp;creator=factset&amp;DYN_ARGS=TRUE&amp;DOC_NAME=FAT:FQL_AUDITING_CLIENT_TEMPLATE.FAT&amp;display_string=Audit&amp;VAR:KEY=DUDSPMXQVW&amp;VAR:QUERY=RkZfRUJJVERBX09QRVIoUVRSLDQvMS8yMDA5LDYvMzAvMjAwOSwsLFVTRCk=&amp;WINDOW=FIRST_POPUP&amp;HEIGH","T=450&amp;WIDTH=450&amp;START_MAXIMIZED=FALSE&amp;VAR:CALENDAR=US&amp;VAR:SYMBOL=ABT&amp;VAR:INDEX=0"}</definedName>
    <definedName name="_988__FDSAUDITLINK__" hidden="1">{"fdsup://directions/FAT Viewer?action=UPDATE&amp;creator=factset&amp;DYN_ARGS=TRUE&amp;DOC_NAME=FAT:FQL_AUDITING_CLIENT_TEMPLATE.FAT&amp;display_string=Audit&amp;VAR:KEY=RAZCLMXGTW&amp;VAR:QUERY=RkZfRUJJVERBX09QRVIoUVRSLDQvMS8yMDEwLDYvMzAvMjAxMCwsLFVTRCk=&amp;WINDOW=FIRST_POPUP&amp;HEIGH","T=450&amp;WIDTH=450&amp;START_MAXIMIZED=FALSE&amp;VAR:CALENDAR=US&amp;VAR:SYMBOL=ABT&amp;VAR:INDEX=0"}</definedName>
    <definedName name="_989__FDSAUDITLINK__" hidden="1">{"fdsup://directions/FAT Viewer?action=UPDATE&amp;creator=factset&amp;DYN_ARGS=TRUE&amp;DOC_NAME=FAT:FQL_AUDITING_CLIENT_TEMPLATE.FAT&amp;display_string=Audit&amp;VAR:KEY=JUREPSVUNS&amp;VAR:QUERY=RkZfRUJJVERBX09QRVIoUVRSLDQvMS8yMDA5LDYvMzAvMjAwOSwsLFVTRCk=&amp;WINDOW=FIRST_POPUP&amp;HEIGH","T=450&amp;WIDTH=450&amp;START_MAXIMIZED=FALSE&amp;VAR:CALENDAR=US&amp;VAR:SYMBOL=ABC&amp;VAR:INDEX=0"}</definedName>
    <definedName name="_99__FDSAUDITLINK__" hidden="1">{"fdsup://directions/FAT Viewer?action=UPDATE&amp;creator=factset&amp;DYN_ARGS=TRUE&amp;DOC_NAME=FAT:FQL_AUDITING_CLIENT_TEMPLATE.FAT&amp;display_string=Audit&amp;VAR:KEY=LUFIZCFATO&amp;VAR:QUERY=RkZfRUJJVERBX09QRVIoUVRSLDQvMS8yMDA5LDYvMzAvMjAwOSwsLFVTRCk=&amp;WINDOW=FIRST_POPUP&amp;HEIGH","T=450&amp;WIDTH=450&amp;START_MAXIMIZED=FALSE&amp;VAR:CALENDAR=US&amp;VAR:SYMBOL=TXN&amp;VAR:INDEX=0"}</definedName>
    <definedName name="_990__FDSAUDITLINK__" hidden="1">{"fdsup://directions/FAT Viewer?action=UPDATE&amp;creator=factset&amp;DYN_ARGS=TRUE&amp;DOC_NAME=FAT:FQL_AUDITING_CLIENT_TEMPLATE.FAT&amp;display_string=Audit&amp;VAR:KEY=JURWDERELK&amp;VAR:QUERY=RkZfRUJJVERBX09QRVIoUVRSLDQvMS8yMDEwLDYvMzAvMjAxMCwsLFVTRCk=&amp;WINDOW=FIRST_POPUP&amp;HEIGH","T=450&amp;WIDTH=450&amp;START_MAXIMIZED=FALSE&amp;VAR:CALENDAR=US&amp;VAR:SYMBOL=ABC&amp;VAR:INDEX=0"}</definedName>
    <definedName name="_991__FDSAUDITLINK__" hidden="1">{"fdsup://directions/FAT Viewer?action=UPDATE&amp;creator=factset&amp;DYN_ARGS=TRUE&amp;DOC_NAME=FAT:FQL_AUDITING_CLIENT_TEMPLATE.FAT&amp;display_string=Audit&amp;VAR:KEY=TIRKZCVURA&amp;VAR:QUERY=RkZfRUJJVERBX09QRVIoUVRSLDQvMS8yMDA5LDYvMzAvMjAwOSwsLFVTRCk=&amp;WINDOW=FIRST_POPUP&amp;HEIGH","T=450&amp;WIDTH=450&amp;START_MAXIMIZED=FALSE&amp;VAR:CALENDAR=US&amp;VAR:SYMBOL=AAPL&amp;VAR:INDEX=0"}</definedName>
    <definedName name="_992__FDSAUDITLINK__" hidden="1">{"fdsup://directions/FAT Viewer?action=UPDATE&amp;creator=factset&amp;DYN_ARGS=TRUE&amp;DOC_NAME=FAT:FQL_AUDITING_CLIENT_TEMPLATE.FAT&amp;display_string=Audit&amp;VAR:KEY=VOJYLORUXM&amp;VAR:QUERY=RkZfRUJJVERBX09QRVIoUVRSLDQvMS8yMDEwLDYvMzAvMjAxMCwsLFVTRCk=&amp;WINDOW=FIRST_POPUP&amp;HEIGH","T=450&amp;WIDTH=450&amp;START_MAXIMIZED=FALSE&amp;VAR:CALENDAR=US&amp;VAR:SYMBOL=AAPL&amp;VAR:INDEX=0"}</definedName>
    <definedName name="_993__FDSAUDITLINK__" hidden="1">{"fdsup://directions/FAT Viewer?action=UPDATE&amp;creator=factset&amp;DYN_ARGS=TRUE&amp;DOC_NAME=FAT:FQL_AUDITING_CLIENT_TEMPLATE.FAT&amp;display_string=Audit&amp;VAR:KEY=FSRSJQREHK&amp;VAR:QUERY=RkZfRUJJVERBX09QRVIoUVRSLDQvMS8yMDA5LDYvMzAvMjAwOSwsLFVTRCk=&amp;WINDOW=FIRST_POPUP&amp;HEIGH","T=450&amp;WIDTH=450&amp;START_MAXIMIZED=FALSE&amp;VAR:CALENDAR=US&amp;VAR:SYMBOL=AA&amp;VAR:INDEX=0"}</definedName>
    <definedName name="_994__FDSAUDITLINK__" hidden="1">{"fdsup://directions/FAT Viewer?action=UPDATE&amp;creator=factset&amp;DYN_ARGS=TRUE&amp;DOC_NAME=FAT:FQL_AUDITING_CLIENT_TEMPLATE.FAT&amp;display_string=Audit&amp;VAR:KEY=ZKTOJYZWVK&amp;VAR:QUERY=RkZfRUJJVERBX09QRVIoUVRSLDQvMS8yMDEwLDYvMzAvMjAxMCwsLFVTRCk=&amp;WINDOW=FIRST_POPUP&amp;HEIGH","T=450&amp;WIDTH=450&amp;START_MAXIMIZED=FALSE&amp;VAR:CALENDAR=US&amp;VAR:SYMBOL=AA&amp;VAR:INDEX=0"}</definedName>
    <definedName name="_995__FDSAUDITLINK__" hidden="1">{"fdsup://directions/FAT Viewer?action=UPDATE&amp;creator=factset&amp;DYN_ARGS=TRUE&amp;DOC_NAME=FAT:FQL_AUDITING_CLIENT_TEMPLATE.FAT&amp;display_string=Audit&amp;VAR:KEY=TOHINERQTW&amp;VAR:QUERY=RkZfRUJJVERBX09QRVIoUVRSLDQvMS8yMDA5LDYvMzAvMjAwOSwsLFVTRCk=&amp;WINDOW=FIRST_POPUP&amp;HEIGH","T=450&amp;WIDTH=450&amp;START_MAXIMIZED=FALSE&amp;VAR:CALENDAR=US&amp;VAR:SYMBOL=A&amp;VAR:INDEX=0"}</definedName>
    <definedName name="_996__FDSAUDITLINK__" hidden="1">{"fdsup://directions/FAT Viewer?action=UPDATE&amp;creator=factset&amp;DYN_ARGS=TRUE&amp;DOC_NAME=FAT:FQL_AUDITING_CLIENT_TEMPLATE.FAT&amp;display_string=Audit&amp;VAR:KEY=FSXOPCZWFG&amp;VAR:QUERY=RkZfRUJJVERBX09QRVIoUVRSLDQvMS8yMDEwLDYvMzAvMjAxMCwsLFVTRCk=&amp;WINDOW=FIRST_POPUP&amp;HEIGH","T=450&amp;WIDTH=450&amp;START_MAXIMIZED=FALSE&amp;VAR:CALENDAR=US&amp;VAR:SYMBOL=A&amp;VAR:INDEX=0"}</definedName>
    <definedName name="_997__FDSAUDITLINK__" hidden="1">{"fdsup://Directions/FactSet Auditing Viewer?action=AUDIT_VALUE&amp;DB=129&amp;ID1=98956P10&amp;VALUEID=01001&amp;SDATE=200902&amp;PERIODTYPE=QTR_STD&amp;window=popup_no_bar&amp;width=385&amp;height=120&amp;START_MAXIMIZED=FALSE&amp;creator=factset&amp;display_string=Audit"}</definedName>
    <definedName name="_998__FDSAUDITLINK__" hidden="1">{"fdsup://Directions/FactSet Auditing Viewer?action=AUDIT_VALUE&amp;DB=129&amp;ID1=98956P10&amp;VALUEID=01001&amp;SDATE=201002&amp;PERIODTYPE=QTR_STD&amp;window=popup_no_bar&amp;width=385&amp;height=120&amp;START_MAXIMIZED=FALSE&amp;creator=factset&amp;display_string=Audit"}</definedName>
    <definedName name="_999__FDSAUDITLINK__" hidden="1">{"fdsup://Directions/FactSet Auditing Viewer?action=AUDIT_VALUE&amp;DB=129&amp;ID1=98849810&amp;VALUEID=01001&amp;SDATE=200902&amp;PERIODTYPE=QTR_STD&amp;window=popup_no_bar&amp;width=385&amp;height=120&amp;START_MAXIMIZED=FALSE&amp;creator=factset&amp;display_string=Audit"}</definedName>
    <definedName name="_a1">#REF!</definedName>
    <definedName name="_aa1">#REF!</definedName>
    <definedName name="_aaa2">#REF!</definedName>
    <definedName name="_ab1">#REF!</definedName>
    <definedName name="_ae1">#REF!</definedName>
    <definedName name="_am1">#REF!</definedName>
    <definedName name="_AMT97">#REF!</definedName>
    <definedName name="_AMT98">#REF!</definedName>
    <definedName name="_AMT99">#REF!</definedName>
    <definedName name="_as1">#REF!</definedName>
    <definedName name="_bb1">#REF!</definedName>
    <definedName name="_bb12">#REF!</definedName>
    <definedName name="_BB13">#REF!</definedName>
    <definedName name="_bb2">#REF!</definedName>
    <definedName name="_bdm.00A30EEC70914950886ACA1DA54ED705.edm">#REF!</definedName>
    <definedName name="_bdm.049E2CBFDD4A4E91A14B912D61DD0B2A.edm" hidden="1">'[2]qtr-inputs'!$1:$1048576</definedName>
    <definedName name="_bdm.0CF828A1AC8F4209AF9204D7C9E5A8B1.edm">#REF!</definedName>
    <definedName name="_bdm.11D4492C9C584DBAB2091024EAD60957.edm">#REF!</definedName>
    <definedName name="_bdm.1CA3A5FC9C274BDC9037EFEBA80108E0.edm">#REF!</definedName>
    <definedName name="_bdm.1E55C224DB81434591BC84497AEE6DBC.edm">#REF!</definedName>
    <definedName name="_bdm.1EE47C4AA0064280819CC19BB4690A1F.edm">#REF!</definedName>
    <definedName name="_bdm.20C40B20A58A411BA99FA91235E9742A.edm">#REF!</definedName>
    <definedName name="_bdm.24B1A62954CE4D60B0673BD6644CEB56.edm" hidden="1" xml:space="preserve">          '[2]ann-inputs'!$1:$1048576</definedName>
    <definedName name="_bdm.294AA496D34A43399372281D01706956.edm">#REF!</definedName>
    <definedName name="_bdm.2CCD44ACE8EF422D88045C2A0F5B824C.edm">#REF!</definedName>
    <definedName name="_bdm.2F2B2B5E0A7F41A5A5153533F14B2F3B.edm">#REF!</definedName>
    <definedName name="_bdm.2F8D95C718FB4B27978535A5BA0C3188.edm" hidden="1" xml:space="preserve">          '[2]ann-inputs'!$1:$1048576</definedName>
    <definedName name="_bdm.2FA18C54DC30470D82855A54FE40B4FE.edm">#REF!</definedName>
    <definedName name="_bdm.332C1FBD35C74B64A0BDC966D8135559.edm" hidden="1">'[3]MMI revenue'!$1:$1048576</definedName>
    <definedName name="_bdm.375BAE9D8E2644CC9117C57362792B7F.edm">#REF!</definedName>
    <definedName name="_bdm.41BB7010280A4F17A60A7A2EC65762F2.edm">#REF!</definedName>
    <definedName name="_bdm.42AE3EBD27D147FDABB67EB233BAFD95.edm">#REF!</definedName>
    <definedName name="_bdm.4341313FFC5D45D68510BCA0D46F0E5B.edm" hidden="1" xml:space="preserve">          '[2]ann-inputs'!$1:$1048576</definedName>
    <definedName name="_bdm.4A5C97D8A8B4461BB06808C9781CCA97.edm">#REF!</definedName>
    <definedName name="_bdm.4CC45777DB794402B638D2F5A2762696.edm">#REF!</definedName>
    <definedName name="_bdm.506">#REF!</definedName>
    <definedName name="_bdm.506BB95D5FF74692ACB6C4DCCF0C02A1.edm">#REF!</definedName>
    <definedName name="_bdm.55D035A2BF204907BDE3CFC6E0CC8FBA.edm">#REF!</definedName>
    <definedName name="_bdm.5A06B77531BB40EAB24074C943DCD22A.edm">#REF!</definedName>
    <definedName name="_bdm.5C29758CCB7B4B969F640B363B921588.edm">#REF!</definedName>
    <definedName name="_bdm.5CF81FEE6E9A4189820ECA41DD31C6C1.edm">#REF!</definedName>
    <definedName name="_bdm.5D3245D402EA4CD3BB3F4A2A403078B5.edm">#REF!</definedName>
    <definedName name="_bdm.5ED5F7B9993D4928B1CB0A02D6F49FA3.edm">#REF!</definedName>
    <definedName name="_bdm.5FCDBF288A93415ABCA2A8B79A09C88F.edm">#REF!</definedName>
    <definedName name="_bdm.60D496C198B94FE88AAC240F81DA2AE4.edm">#REF!</definedName>
    <definedName name="_bdm.630740A8A81C41D68FEB09D513C20250.edm">#REF!</definedName>
    <definedName name="_bdm.65851e701f7043439ef2f717bffa6337.edm">#REF!</definedName>
    <definedName name="_bdm.682445BB091C47C796526ECEBE959CB3.edm">#REF!</definedName>
    <definedName name="_bdm.68464015892B4215AA87E0851EA5A99C.edm">#REF!</definedName>
    <definedName name="_bdm.6AACD128A9B44902ABDF1063A546C724.edm">#REF!</definedName>
    <definedName name="_bdm.6E4ADB9E116F43A297C790592AF97227.edm">#REF!</definedName>
    <definedName name="_bdm.74C852B6F9A049409699312ACDFDAEDD.edm" hidden="1">'[2]ann-inputs'!$1:$1048576</definedName>
    <definedName name="_bdm.75A506C7D7734224BD1791136B3DB7CB.edm">#REF!</definedName>
    <definedName name="_bdm.7919C66EA6EE486EB9EBA83FADED3597.edm">#REF!</definedName>
    <definedName name="_bdm.84428503DD1947FB8FFE08CD59984351.edm">#REF!</definedName>
    <definedName name="_bdm.84F41A6864454937BB992EA1608FD350.edm">#REF!</definedName>
    <definedName name="_bdm.8F45BD6E3B9245E4B1B835584FDF8083.edm" hidden="1" xml:space="preserve">          '[2]ann-inputs'!$1:$1048576</definedName>
    <definedName name="_bdm.905C6884778144A5AD741BA372603FB8.edm" hidden="1" xml:space="preserve">          '[2]ann-inputs'!$1:$1048576</definedName>
    <definedName name="_bdm.912C6EB121B14932BAA3027FA5D14096.edm" hidden="1" xml:space="preserve">          '[2]ann-inputs'!$1:$1048576</definedName>
    <definedName name="_bdm.91A0B11909A947559083CFFAB8CC725C.edm">#REF!</definedName>
    <definedName name="_bdm.9293157be8934efc868119c171838769.edm">#REF!</definedName>
    <definedName name="_bdm.94FF65D1B5F54CD6A0A4A5E4765458CF.edm" hidden="1">'[2]RR table'!$1:$1048576</definedName>
    <definedName name="_bdm.9BDFD1F6E2FE42A2AA89001579C225BD.edm">#REF!</definedName>
    <definedName name="_bdm.9EEBA27C152444379179E8EB5EABFA08.edm">#REF!</definedName>
    <definedName name="_bdm.A0AC56D6100F4551B827AFFD2DCF9EDD.edm">#REF!</definedName>
    <definedName name="_bdm.A247B1D77986400F9A61095B26F4A68A.edm">#REF!</definedName>
    <definedName name="_bdm.A2512AA74A5A400B884FABD69947490E.edm">#REF!</definedName>
    <definedName name="_bdm.A2D7D32E999A42C693AC64234B320B5F.edm">#REF!</definedName>
    <definedName name="_bdm.A3FAB734259F4F5AA64A52BAB3A59B5C.edm" hidden="1" xml:space="preserve">          '[2]ann-inputs'!$1:$1048576</definedName>
    <definedName name="_bdm.A56EA7AC900D4D5FB90A98F7E86786E8.edm" hidden="1">[4]shipping!$1:$1048576</definedName>
    <definedName name="_bdm.A57C9A75A79F4D929CA132D38F62391D.edm">#REF!</definedName>
    <definedName name="_bdm.AB2026446CF34894A83E47D408515D52.edm">#REF!</definedName>
    <definedName name="_bdm.B04197FB604941A487B937FAECA7A36F.edm" hidden="1">[4]merchandise!$1:$1048576</definedName>
    <definedName name="_bdm.B1B6CF4859974317AC1265E73C3DC65D.edm" hidden="1" xml:space="preserve">          '[2]ann-inputs'!$1:$1048576</definedName>
    <definedName name="_bdm.B238B0BF07174C20BE49BB50D2EFA2EF.edm">#REF!</definedName>
    <definedName name="_bdm.B35E5D501A8F49D3AA60940AF8DDD258.edm">#REF!</definedName>
    <definedName name="_bdm.B68BF8B1F5B14F839635F5F456CC0A2F.edm">#REF!</definedName>
    <definedName name="_bdm.BB8CD8AF17DF419C81EB46AD68F7F790.edm">#REF!</definedName>
    <definedName name="_bdm.BF1A982DB8384470BAD6577AF19F9A5E.edm">#REF!</definedName>
    <definedName name="_bdm.C0862A09612C4F5A8BB4247A1EAA6B7A.edm">#REF!</definedName>
    <definedName name="_bdm.C6B7218D518D4DEFBDE91D23E5344CC7.edm">#REF!</definedName>
    <definedName name="_bdm.D121589B8CF44498A35F95CF8B9ADDD2.edm" hidden="1" xml:space="preserve">          '[2]ann-inputs'!$1:$1048576</definedName>
    <definedName name="_bdm.D41DB48A81DB4FE7B9EADA7F079B8122.edm" hidden="1" xml:space="preserve">          '[2]ann-inputs'!$1:$1048576</definedName>
    <definedName name="_bdm.D838B78D46764002A4CA2279DB0FAF39.edm" hidden="1" xml:space="preserve">          '[2]ann-inputs'!$1:$1048576</definedName>
    <definedName name="_bdm.E82B9A19CF4343EC9674771C65B0EBE1.edm">#REF!</definedName>
    <definedName name="_bdm.EAA5CB7C09994E378F937CFD7D118F1D.edm">#REF!</definedName>
    <definedName name="_bdm.F656D77493F249AB891FEFF84074FCD5.edm" hidden="1" xml:space="preserve">          '[2]ann-inputs'!$1:$1048576</definedName>
    <definedName name="_bdm.FC1C2ABCAFEA4915AABFE7528AFB6FB7.edm" hidden="1" xml:space="preserve">          '[2]ann-inputs'!$1:$1048576</definedName>
    <definedName name="_bdm.FE8A0DFDBE474647BBB6D8D3DDA6EBB6.edm" hidden="1">'[5]Drivers &amp; Metrics'!$1:$1048576</definedName>
    <definedName name="_BQ4.1">#REF!</definedName>
    <definedName name="_BQ4.10">#REF!</definedName>
    <definedName name="_BQ4.11">#REF!</definedName>
    <definedName name="_BQ4.12">#REF!</definedName>
    <definedName name="_BQ4.13">#REF!</definedName>
    <definedName name="_BQ4.16">#REF!</definedName>
    <definedName name="_BQ4.17">#REF!</definedName>
    <definedName name="_BQ4.2">#REF!</definedName>
    <definedName name="_BQ4.4">#REF!</definedName>
    <definedName name="_BQ4.42">#REF!</definedName>
    <definedName name="_BQ4.66">#REF!</definedName>
    <definedName name="_BQ4.9">#REF!</definedName>
    <definedName name="_BQ4.91">#REF!</definedName>
    <definedName name="_cat2">#REF!</definedName>
    <definedName name="_Dist_Values">#REF!</definedName>
    <definedName name="_DivSec1">#REF!</definedName>
    <definedName name="_DivSec2">#REF!</definedName>
    <definedName name="_Exp0003">#REF!</definedName>
    <definedName name="_Exp0019">#REF!</definedName>
    <definedName name="_Exp0021">#REF!</definedName>
    <definedName name="_Exp0023">#REF!</definedName>
    <definedName name="_Exp0030">#REF!</definedName>
    <definedName name="_Exp0040">#REF!</definedName>
    <definedName name="_Exp0054">#REF!</definedName>
    <definedName name="_Exp0059">#REF!</definedName>
    <definedName name="_Exp0060">#REF!</definedName>
    <definedName name="_Exp9703">#REF!</definedName>
    <definedName name="_Exp9719">#REF!</definedName>
    <definedName name="_Exp9721">#REF!</definedName>
    <definedName name="_Exp9723">#REF!</definedName>
    <definedName name="_Exp9730">#REF!</definedName>
    <definedName name="_Exp9740">#REF!</definedName>
    <definedName name="_Exp9754">#REF!</definedName>
    <definedName name="_Exp9759">#REF!</definedName>
    <definedName name="_Exp9760">#REF!</definedName>
    <definedName name="_Exp9803">#REF!</definedName>
    <definedName name="_Exp9819">#REF!</definedName>
    <definedName name="_Exp9821">#REF!</definedName>
    <definedName name="_Exp9823">#REF!</definedName>
    <definedName name="_Exp9830">#REF!</definedName>
    <definedName name="_Exp9840">#REF!</definedName>
    <definedName name="_Exp9854">#REF!</definedName>
    <definedName name="_Exp9859">#REF!</definedName>
    <definedName name="_Exp9860">#REF!</definedName>
    <definedName name="_Exp9903">#REF!</definedName>
    <definedName name="_Exp9919">#REF!</definedName>
    <definedName name="_Exp9921">#REF!</definedName>
    <definedName name="_Exp9923">#REF!</definedName>
    <definedName name="_Exp9930">#REF!</definedName>
    <definedName name="_Exp9940">#REF!</definedName>
    <definedName name="_Exp9954">#REF!</definedName>
    <definedName name="_Exp9959">#REF!</definedName>
    <definedName name="_Exp9960">#REF!</definedName>
    <definedName name="_f1">#REF!</definedName>
    <definedName name="_Fill">#REF!</definedName>
    <definedName name="_FL">#REF!</definedName>
    <definedName name="_g3">#REF!</definedName>
    <definedName name="_g4">#REF!</definedName>
    <definedName name="_g5">#REF!</definedName>
    <definedName name="_g6">#REF!</definedName>
    <definedName name="_g7">#REF!</definedName>
    <definedName name="_g8">#REF!</definedName>
    <definedName name="_GSRATES_1" hidden="1">"CT300001Latest          "</definedName>
    <definedName name="_GSRATES_2" hidden="1">"CT30000119990919        "</definedName>
    <definedName name="_GSRATES_3" hidden="1">"CT30000119990928        "</definedName>
    <definedName name="_GSRATES_4" hidden="1">"CT30000119990928        "</definedName>
    <definedName name="_GSRATES_5" hidden="1">"CT30000119990331        "</definedName>
    <definedName name="_GSRATES_6" hidden="1">"CT30000119990101        "</definedName>
    <definedName name="_GSRATES_7" hidden="1">"CT30000119980930        "</definedName>
    <definedName name="_GSRATES_8" hidden="1">"CT30000119980630        "</definedName>
    <definedName name="_GSRATES_9" hidden="1">"CT30000119980331        "</definedName>
    <definedName name="_GSRATES_COUNT" hidden="1">1</definedName>
    <definedName name="_HA">#REF!</definedName>
    <definedName name="_i3">#REF!</definedName>
    <definedName name="_i4">#REF!</definedName>
    <definedName name="_ik1">#REF!</definedName>
    <definedName name="_Inv1">#REF!</definedName>
    <definedName name="_Inv2">#REF!</definedName>
    <definedName name="_IRR2">#REF!</definedName>
    <definedName name="_J2">#REF!</definedName>
    <definedName name="_j3">#REF!</definedName>
    <definedName name="_j4">#REF!</definedName>
    <definedName name="_jyr6">#REF!</definedName>
    <definedName name="_Key1">#REF!</definedName>
    <definedName name="_Key1.2">#REF!</definedName>
    <definedName name="_Key2">#REF!</definedName>
    <definedName name="_KEY3">#REF!</definedName>
    <definedName name="_lbg2">#REF!</definedName>
    <definedName name="_LG122117220210">#REF!</definedName>
    <definedName name="_LG122117220501">#REF!</definedName>
    <definedName name="_LG2">#REF!</definedName>
    <definedName name="_MatInverse_In">#REF!</definedName>
    <definedName name="_MatInverse_Out">#REF!</definedName>
    <definedName name="_new1">#REF!</definedName>
    <definedName name="_new1_1">#REF!</definedName>
    <definedName name="_new1_1_1">#REF!</definedName>
    <definedName name="_new1_1_2">#REF!</definedName>
    <definedName name="_new1_1_3">#REF!</definedName>
    <definedName name="_new1_1_4">#REF!</definedName>
    <definedName name="_new1_1_5">#REF!</definedName>
    <definedName name="_new1_2">#REF!</definedName>
    <definedName name="_new1_3">#REF!</definedName>
    <definedName name="_new1_4">#REF!</definedName>
    <definedName name="_new1_5">#REF!</definedName>
    <definedName name="_new2">#REF!</definedName>
    <definedName name="_new2_1">#REF!</definedName>
    <definedName name="_new2_1_1">#REF!</definedName>
    <definedName name="_new2_1_2">#REF!</definedName>
    <definedName name="_new2_1_3">#REF!</definedName>
    <definedName name="_new2_1_4">#REF!</definedName>
    <definedName name="_new2_1_5">#REF!</definedName>
    <definedName name="_new2_2">#REF!</definedName>
    <definedName name="_new2_3">#REF!</definedName>
    <definedName name="_new2_4">#REF!</definedName>
    <definedName name="_new2_5">#REF!</definedName>
    <definedName name="_nm1">#REF!</definedName>
    <definedName name="_old2">#REF!</definedName>
    <definedName name="_old2_1">#REF!</definedName>
    <definedName name="_old2_1_1">#REF!</definedName>
    <definedName name="_old2_1_2">#REF!</definedName>
    <definedName name="_old2_1_3">#REF!</definedName>
    <definedName name="_old2_1_4">#REF!</definedName>
    <definedName name="_old2_1_5">#REF!</definedName>
    <definedName name="_old2_2">#REF!</definedName>
    <definedName name="_old2_3">#REF!</definedName>
    <definedName name="_old2_4">#REF!</definedName>
    <definedName name="_old2_5">#REF!</definedName>
    <definedName name="_old3">#REF!</definedName>
    <definedName name="_old4">#REF!</definedName>
    <definedName name="_old5">#REF!</definedName>
    <definedName name="_old8">#REF!</definedName>
    <definedName name="_old9">#REF!</definedName>
    <definedName name="_one">'[6]Control Center'!$D$21</definedName>
    <definedName name="_Order1" hidden="1">0</definedName>
    <definedName name="_Order1_1" hidden="1">255</definedName>
    <definedName name="_Order2" hidden="1">0</definedName>
    <definedName name="_Parse_In">#REF!</definedName>
    <definedName name="_Parse_Out">#REF!</definedName>
    <definedName name="_Q41996">#REF!</definedName>
    <definedName name="_Q41997">#REF!</definedName>
    <definedName name="_QTri_Point_Comps">"TPMC Comps"</definedName>
    <definedName name="_R2_BLD_SQ_FT_6_03_03">#REF!</definedName>
    <definedName name="_R2_NON_OP_ADDITIONAL_INFO">#REF!</definedName>
    <definedName name="_Regression_Int" hidden="1">1</definedName>
    <definedName name="_Report">{"Notes";"page1";"page2";"page3"}</definedName>
    <definedName name="_S_Base">{0.1;0;0.382758620689655;0;0;0;0.258620689655172;0;0.258620689655172}</definedName>
    <definedName name="_S_new_case">{0.1;0;0.45;0;0;0;0;0;0.45}</definedName>
    <definedName name="_SEC2">#REF!</definedName>
    <definedName name="_SEC4">#REF!</definedName>
    <definedName name="_SEC5">#REF!</definedName>
    <definedName name="_Sort">#REF!</definedName>
    <definedName name="_SORT1">#REF!</definedName>
    <definedName name="_T">#REF!</definedName>
    <definedName name="_t1">#REF!</definedName>
    <definedName name="_Table1_In1">#REF!</definedName>
    <definedName name="_Table1_Out">#REF!</definedName>
    <definedName name="_Table2_In1">#REF!</definedName>
    <definedName name="_Table2_In2">#REF!</definedName>
    <definedName name="_Table2_Out">#REF!</definedName>
    <definedName name="_Table3_In2">#REF!</definedName>
    <definedName name="_Tax1">#REF!</definedName>
    <definedName name="_Tax2">#REF!</definedName>
    <definedName name="_TL">#REF!</definedName>
    <definedName name="_TM122117220210">#REF!</definedName>
    <definedName name="_TM122117220245">#REF!</definedName>
    <definedName name="_TM122117220501">#REF!</definedName>
    <definedName name="_TM122117220551">#REF!</definedName>
    <definedName name="_TOP10">#REF!</definedName>
    <definedName name="_two">'[6]Control Center'!$D$26</definedName>
    <definedName name="_two_thousand">'[6]Control Center'!$D$29</definedName>
    <definedName name="_u234556">#REF!</definedName>
    <definedName name="_USD03">#REF!</definedName>
    <definedName name="_w2">#REF!</definedName>
    <definedName name="_wpl2">#REF!</definedName>
    <definedName name="_wrn4">#REF!</definedName>
    <definedName name="_www2">#REF!</definedName>
    <definedName name="_Z04">#REF!</definedName>
    <definedName name="_Z04_1">#REF!</definedName>
    <definedName name="_Z04_1_1">#REF!</definedName>
    <definedName name="_Z04_1_2">#REF!</definedName>
    <definedName name="_Z04_1_3">#REF!</definedName>
    <definedName name="_Z04_1_4">#REF!</definedName>
    <definedName name="_Z04_1_5">#REF!</definedName>
    <definedName name="_Z04_2">#REF!</definedName>
    <definedName name="_Z04_3">#REF!</definedName>
    <definedName name="_Z04_4">#REF!</definedName>
    <definedName name="_Z04_5">#REF!</definedName>
    <definedName name="_Z05">#REF!</definedName>
    <definedName name="_Z05_1">#REF!</definedName>
    <definedName name="_Z05_1_1">#REF!</definedName>
    <definedName name="_Z05_1_2">#REF!</definedName>
    <definedName name="_Z05_1_3">#REF!</definedName>
    <definedName name="_Z05_1_4">#REF!</definedName>
    <definedName name="_Z05_1_5">#REF!</definedName>
    <definedName name="_Z05_2">#REF!</definedName>
    <definedName name="_Z05_3">#REF!</definedName>
    <definedName name="_Z05_4">#REF!</definedName>
    <definedName name="_Z05_5">#REF!</definedName>
    <definedName name="a">#REF!</definedName>
    <definedName name="a_1">#REF!</definedName>
    <definedName name="a_1_1">#REF!</definedName>
    <definedName name="a_1_2">#REF!</definedName>
    <definedName name="a_1_3">#REF!</definedName>
    <definedName name="a_1_4">#REF!</definedName>
    <definedName name="a_1_5">#REF!</definedName>
    <definedName name="a_2">#REF!</definedName>
    <definedName name="a_3">#REF!</definedName>
    <definedName name="a_4">#REF!</definedName>
    <definedName name="a_5">#REF!</definedName>
    <definedName name="aa">#REF!</definedName>
    <definedName name="aa_1">#REF!</definedName>
    <definedName name="aa_1_1">#REF!</definedName>
    <definedName name="aa_1_2">#REF!</definedName>
    <definedName name="aa_1_3">#REF!</definedName>
    <definedName name="aa_1_4">#REF!</definedName>
    <definedName name="aa_1_5">#REF!</definedName>
    <definedName name="aa_2">#REF!</definedName>
    <definedName name="aa_3">#REF!</definedName>
    <definedName name="aa_4">#REF!</definedName>
    <definedName name="aa_5">#REF!</definedName>
    <definedName name="aaa">#REF!</definedName>
    <definedName name="aaa_1">#REF!</definedName>
    <definedName name="aaa_1_1">#REF!</definedName>
    <definedName name="aaa_1_2">#REF!</definedName>
    <definedName name="aaa_1_3">#REF!</definedName>
    <definedName name="aaa_1_4">#REF!</definedName>
    <definedName name="aaa_1_5">#REF!</definedName>
    <definedName name="aaa_2">#REF!</definedName>
    <definedName name="aaa_3">#REF!</definedName>
    <definedName name="aaa_4">#REF!</definedName>
    <definedName name="aaa_5">#REF!</definedName>
    <definedName name="AAA_DOCTOPS" hidden="1">"AAA_SET"</definedName>
    <definedName name="AAA_dtemplate" hidden="1">"OFF"</definedName>
    <definedName name="AAA_duser" hidden="1">"OFF"</definedName>
    <definedName name="AAA_Options" hidden="1">"NYN"</definedName>
    <definedName name="AAA_u999999" hidden="1">"jmalinchak@970313143838"</definedName>
    <definedName name="aaaaa">#REF!</definedName>
    <definedName name="aaaaaaaaaa">#REF!</definedName>
    <definedName name="aaaaaaaaaaa">#REF!</definedName>
    <definedName name="aaaaaaaaaaaaa">#REF!</definedName>
    <definedName name="aaaaaaaaaaaaa12">#REF!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#REF!</definedName>
    <definedName name="ab_condo">#REF!</definedName>
    <definedName name="ABA">#REF!</definedName>
    <definedName name="abc">#REF!</definedName>
    <definedName name="ac">#REF!</definedName>
    <definedName name="AccessDatabase" hidden="1">"C:\FAME\famework\elyval.mdb"</definedName>
    <definedName name="accrdate">#REF!</definedName>
    <definedName name="Actual_Days_on_Road">#REF!</definedName>
    <definedName name="actual_start_year">1992</definedName>
    <definedName name="ACwvu.Sommaire.">#REF!</definedName>
    <definedName name="ad">#REF!</definedName>
    <definedName name="addg">#REF!</definedName>
    <definedName name="addg_1">#REF!</definedName>
    <definedName name="addg_1_1">#REF!</definedName>
    <definedName name="addg_1_2">#REF!</definedName>
    <definedName name="addg_1_3">#REF!</definedName>
    <definedName name="addg_1_4">#REF!</definedName>
    <definedName name="addg_1_5">#REF!</definedName>
    <definedName name="addg_2">#REF!</definedName>
    <definedName name="addg_3">#REF!</definedName>
    <definedName name="addg_4">#REF!</definedName>
    <definedName name="addg_5">#REF!</definedName>
    <definedName name="adf3qrqer">#REF!</definedName>
    <definedName name="adfg">#REF!</definedName>
    <definedName name="adfg_1">#REF!</definedName>
    <definedName name="adfg_1_1">#REF!</definedName>
    <definedName name="adfg_1_1_1">#REF!</definedName>
    <definedName name="adfg_1_1_2">#REF!</definedName>
    <definedName name="adfg_1_1_3">#REF!</definedName>
    <definedName name="adfg_1_1_4">#REF!</definedName>
    <definedName name="adfg_1_1_5">#REF!</definedName>
    <definedName name="adfg_1_2">#REF!</definedName>
    <definedName name="adfg_1_3">#REF!</definedName>
    <definedName name="adfg_1_4">#REF!</definedName>
    <definedName name="adfg_1_5">#REF!</definedName>
    <definedName name="adfg_2">#REF!</definedName>
    <definedName name="adfg_2_1">#REF!</definedName>
    <definedName name="adfg_2_2">#REF!</definedName>
    <definedName name="adfg_2_3">#REF!</definedName>
    <definedName name="adfg_2_4">#REF!</definedName>
    <definedName name="adfg_2_5">#REF!</definedName>
    <definedName name="adfg_3">#REF!</definedName>
    <definedName name="adfg_4">#REF!</definedName>
    <definedName name="adfg_5">#REF!</definedName>
    <definedName name="AdjustValue">[7]!AdjustValue</definedName>
    <definedName name="admin">1</definedName>
    <definedName name="adSDSAdsa">#REF!</definedName>
    <definedName name="ADSF">#REF!</definedName>
    <definedName name="aebtv">#REF!</definedName>
    <definedName name="aebtv_1">#REF!</definedName>
    <definedName name="aebtv_1_1">#REF!</definedName>
    <definedName name="aebtv_1_2">#REF!</definedName>
    <definedName name="aebtv_1_3">#REF!</definedName>
    <definedName name="aebtv_1_4">#REF!</definedName>
    <definedName name="aebtv_1_5">#REF!</definedName>
    <definedName name="aebtv_2">#REF!</definedName>
    <definedName name="aebtv_3">#REF!</definedName>
    <definedName name="aebtv_4">#REF!</definedName>
    <definedName name="aebtv_5">#REF!</definedName>
    <definedName name="AETH">#REF!</definedName>
    <definedName name="AETH_1">#REF!</definedName>
    <definedName name="AETH_1_1">#REF!</definedName>
    <definedName name="AETH_1_2">#REF!</definedName>
    <definedName name="AETH_1_3">#REF!</definedName>
    <definedName name="AETH_1_4">#REF!</definedName>
    <definedName name="AETH_1_5">#REF!</definedName>
    <definedName name="AETH_2">#REF!</definedName>
    <definedName name="AETH_3">#REF!</definedName>
    <definedName name="AETH_4">#REF!</definedName>
    <definedName name="AETH_5">#REF!</definedName>
    <definedName name="afdadfsas">#REF!</definedName>
    <definedName name="afdkljaf">#REF!</definedName>
    <definedName name="afdssaffds">#REF!</definedName>
    <definedName name="Age_at_Purchase">#REF!</definedName>
    <definedName name="AgeAct">#REF!</definedName>
    <definedName name="AgeEff">#REF!</definedName>
    <definedName name="agg">#REF!</definedName>
    <definedName name="AL">#REF!</definedName>
    <definedName name="Alena">#REF!</definedName>
    <definedName name="alena1">#REF!</definedName>
    <definedName name="AlenaA">#REF!</definedName>
    <definedName name="all">#REF!</definedName>
    <definedName name="AllTables">{1}</definedName>
    <definedName name="alyson">#REF!</definedName>
    <definedName name="alyson_1">#REF!</definedName>
    <definedName name="alyson_1_1">#REF!</definedName>
    <definedName name="alyson_1_2">#REF!</definedName>
    <definedName name="alyson_1_3">#REF!</definedName>
    <definedName name="alyson_1_4">#REF!</definedName>
    <definedName name="alyson_1_5">#REF!</definedName>
    <definedName name="alyson_2">#REF!</definedName>
    <definedName name="alyson_3">#REF!</definedName>
    <definedName name="alyson_4">#REF!</definedName>
    <definedName name="alyson_5">#REF!</definedName>
    <definedName name="Amo">#REF!</definedName>
    <definedName name="Amount_Financed">#REF!</definedName>
    <definedName name="amt">#REF!</definedName>
    <definedName name="AMTBdgt">#REF!</definedName>
    <definedName name="Ann_Zhang">#REF!</definedName>
    <definedName name="annualescalation">#REF!</definedName>
    <definedName name="anscount" hidden="1">1</definedName>
    <definedName name="ANTWEST">#REF!</definedName>
    <definedName name="ANTWLAND">#REF!</definedName>
    <definedName name="AonPBNOI">#REF!</definedName>
    <definedName name="appendix4">#REF!</definedName>
    <definedName name="appendix4_1">#REF!</definedName>
    <definedName name="appendix4_1_1">#REF!</definedName>
    <definedName name="appendix4_1_2">#REF!</definedName>
    <definedName name="appendix4_1_3">#REF!</definedName>
    <definedName name="appendix4_1_4">#REF!</definedName>
    <definedName name="appendix4_1_5">#REF!</definedName>
    <definedName name="appendix4_2">#REF!</definedName>
    <definedName name="appendix4_3">#REF!</definedName>
    <definedName name="appendix4_4">#REF!</definedName>
    <definedName name="appendix4_5">#REF!</definedName>
    <definedName name="Appraisal1">#REF!</definedName>
    <definedName name="ARDASD">#REF!</definedName>
    <definedName name="AreaOcc">#REF!</definedName>
    <definedName name="AreaUnitAvg">#REF!</definedName>
    <definedName name="AreaVct">#REF!</definedName>
    <definedName name="ARF_at_Purchase">#REF!</definedName>
    <definedName name="ARF_Var">#REF!</definedName>
    <definedName name="ArgusExpInc">#REF!</definedName>
    <definedName name="ArgusReimb">#REF!</definedName>
    <definedName name="ArgusRent">#REF!</definedName>
    <definedName name="ArgusRentInc">#REF!</definedName>
    <definedName name="ArgusStart">#REF!</definedName>
    <definedName name="ArgusTerm">#REF!</definedName>
    <definedName name="arstjj">#REF!</definedName>
    <definedName name="arstjj_1">#REF!</definedName>
    <definedName name="arstjj_1_1">#REF!</definedName>
    <definedName name="arstjj_1_2">#REF!</definedName>
    <definedName name="arstjj_1_3">#REF!</definedName>
    <definedName name="arstjj_1_4">#REF!</definedName>
    <definedName name="arstjj_1_5">#REF!</definedName>
    <definedName name="arstjj_2">#REF!</definedName>
    <definedName name="arstjj_3">#REF!</definedName>
    <definedName name="arstjj_4">#REF!</definedName>
    <definedName name="arstjj_5">#REF!</definedName>
    <definedName name="as">#REF!</definedName>
    <definedName name="as_1">#REF!</definedName>
    <definedName name="as_1_1">#REF!</definedName>
    <definedName name="as_1_1_1">#REF!</definedName>
    <definedName name="as_1_1_2">#REF!</definedName>
    <definedName name="as_1_1_3">#REF!</definedName>
    <definedName name="as_1_1_4">#REF!</definedName>
    <definedName name="as_1_1_5">#REF!</definedName>
    <definedName name="as_1_2">#REF!</definedName>
    <definedName name="as_1_3">#REF!</definedName>
    <definedName name="as_1_4">#REF!</definedName>
    <definedName name="as_1_5">#REF!</definedName>
    <definedName name="as_2">#REF!</definedName>
    <definedName name="as_2_1">#REF!</definedName>
    <definedName name="as_2_2">#REF!</definedName>
    <definedName name="as_2_3">#REF!</definedName>
    <definedName name="as_2_4">#REF!</definedName>
    <definedName name="as_2_5">#REF!</definedName>
    <definedName name="as_3">#REF!</definedName>
    <definedName name="as_4">#REF!</definedName>
    <definedName name="as_5">#REF!</definedName>
    <definedName name="AS2DocOpenMode" hidden="1">"AS2DocumentEdit"</definedName>
    <definedName name="AS2StaticLS">#REF!</definedName>
    <definedName name="AS2TickmarkLS">#REF!</definedName>
    <definedName name="asas">#REF!</definedName>
    <definedName name="ascxf">#REF!</definedName>
    <definedName name="asd">#REF!</definedName>
    <definedName name="asd_1">#REF!</definedName>
    <definedName name="asd_1_1">#REF!</definedName>
    <definedName name="asd_1_1_1">#REF!</definedName>
    <definedName name="asd_1_1_2">#REF!</definedName>
    <definedName name="asd_1_1_3">#REF!</definedName>
    <definedName name="asd_1_1_4">#REF!</definedName>
    <definedName name="asd_1_1_5">#REF!</definedName>
    <definedName name="asd_1_2">#REF!</definedName>
    <definedName name="asd_1_3">#REF!</definedName>
    <definedName name="asd_1_4">#REF!</definedName>
    <definedName name="asd_1_5">#REF!</definedName>
    <definedName name="asdas">#REF!</definedName>
    <definedName name="asdda">'[8]DCF Analysis'!$O$6</definedName>
    <definedName name="asdf">#REF!</definedName>
    <definedName name="asdf_1">#REF!</definedName>
    <definedName name="asdf_1_1">#REF!</definedName>
    <definedName name="asdf_1_1_1">#REF!</definedName>
    <definedName name="asdf_1_1_2">#REF!</definedName>
    <definedName name="asdf_1_1_3">#REF!</definedName>
    <definedName name="asdf_1_1_4">#REF!</definedName>
    <definedName name="asdf_1_1_5">#REF!</definedName>
    <definedName name="asdf_1_2">#REF!</definedName>
    <definedName name="asdf_1_3">#REF!</definedName>
    <definedName name="asdf_1_4">#REF!</definedName>
    <definedName name="asdf_1_5">#REF!</definedName>
    <definedName name="asdfa">#REF!</definedName>
    <definedName name="asdfafdas">#REF!</definedName>
    <definedName name="asdfasfasf">#REF!</definedName>
    <definedName name="asdff">#REF!</definedName>
    <definedName name="asdfs">#REF!</definedName>
    <definedName name="asdhfjkashfds">#REF!</definedName>
    <definedName name="asds">#REF!</definedName>
    <definedName name="asdsd">#REF!</definedName>
    <definedName name="asf">#REF!</definedName>
    <definedName name="asf_1">#REF!</definedName>
    <definedName name="asf_1_1">#REF!</definedName>
    <definedName name="asf_1_1_1">#REF!</definedName>
    <definedName name="asf_1_1_2">#REF!</definedName>
    <definedName name="asf_1_1_3">#REF!</definedName>
    <definedName name="asf_1_1_4">#REF!</definedName>
    <definedName name="asf_1_1_5">#REF!</definedName>
    <definedName name="asf_1_2">#REF!</definedName>
    <definedName name="asf_1_3">#REF!</definedName>
    <definedName name="asf_1_4">#REF!</definedName>
    <definedName name="asf_1_5">#REF!</definedName>
    <definedName name="asf_2">#REF!</definedName>
    <definedName name="asf_2_1">#REF!</definedName>
    <definedName name="asf_2_2">#REF!</definedName>
    <definedName name="asf_2_3">#REF!</definedName>
    <definedName name="asf_2_4">#REF!</definedName>
    <definedName name="asf_2_5">#REF!</definedName>
    <definedName name="asf_3">#REF!</definedName>
    <definedName name="asf_4">#REF!</definedName>
    <definedName name="asf_5">#REF!</definedName>
    <definedName name="asfa">#REF!</definedName>
    <definedName name="asfa1">#REF!</definedName>
    <definedName name="asfd">#REF!</definedName>
    <definedName name="ashland">#REF!</definedName>
    <definedName name="ASS">#REF!</definedName>
    <definedName name="assessed_value">#REF!</definedName>
    <definedName name="Asset_Value_Var">#REF!</definedName>
    <definedName name="Assets_Baxter_FooterType" hidden="1">"INTERNAL"</definedName>
    <definedName name="Assets_Bieffe_FooterType" hidden="1">"INTERNAL"</definedName>
    <definedName name="Assets_CVG_FooterType" hidden="1">"INTERNAL"</definedName>
    <definedName name="AssetsCurrentDeferredIncomeTaxes">0</definedName>
    <definedName name="AssetsCurrentShortTermInvestments">0</definedName>
    <definedName name="AssetsIntangiblesAccumulatedAmortization">0</definedName>
    <definedName name="AssetsIntangiblesGross">0</definedName>
    <definedName name="AssetsOtherAccumulatedAmortization">0</definedName>
    <definedName name="AssetsOtherGross">0</definedName>
    <definedName name="AssetsOtherNet">0</definedName>
    <definedName name="Assump_FooterType" hidden="1">"INTERNAL"</definedName>
    <definedName name="asv">#REF!</definedName>
    <definedName name="at">#REF!</definedName>
    <definedName name="aug">#REF!</definedName>
    <definedName name="AURABOOKMARK14">#REF!</definedName>
    <definedName name="AURABOOKMARK3">#REF!</definedName>
    <definedName name="AUTHOR2_02ce40177ab74889bcf73b5a4d7c063e">#REF!</definedName>
    <definedName name="AUTHOR2_030320a9d6c0463f8131e586eb3c2b35">[9]Comps!#REF!</definedName>
    <definedName name="AUTHOR2_036c0ae5a6414b859d326b76e0f8116e">#REF!</definedName>
    <definedName name="AUTHOR2_062ddccb3c7f49a397de47a0e5f3fe28">#REF!</definedName>
    <definedName name="AUTHOR2_0720c1f6be5d4eb89c7a07abf71baf29">[10]Ctrl!#REF!</definedName>
    <definedName name="AUTHOR2_07f15ca2a4774679a7f57e06a5478daf">#REF!</definedName>
    <definedName name="AUTHOR2_089d3136168d4b76a6a32413eca57b7e">#REF!</definedName>
    <definedName name="AUTHOR2_0a0f3ce0f7e14768b5c71a3657a6b383">#REF!</definedName>
    <definedName name="AUTHOR2_0b07fbc4e5a64453b5d67e8360acf334">#REF!</definedName>
    <definedName name="AUTHOR2_0b7035f3a6fa479c980f1fae50911384">#REF!</definedName>
    <definedName name="AUTHOR2_0ee227c6ea004dc6847855227a2fed92">#REF!</definedName>
    <definedName name="AUTHOR2_12bc809a88cb49509619ac4208d1d582">[10]Ctrl!#REF!</definedName>
    <definedName name="AUTHOR2_143cfeae8c674436a103b48b9d069ad9">#REF!</definedName>
    <definedName name="AUTHOR2_1521d1cc4faa4ce39728c922737c3f84">#REF!</definedName>
    <definedName name="AUTHOR2_17921aa5d1f84796bfe91cf2b3997c75">#REF!</definedName>
    <definedName name="AUTHOR2_17b466c644024369b2ead10354c4ead3">#REF!</definedName>
    <definedName name="AUTHOR2_17e1e7de52ed46bea4f8e189c3a19855">#REF!</definedName>
    <definedName name="AUTHOR2_18cd5619e0b74369808651250f1e5123">#REF!</definedName>
    <definedName name="AUTHOR2_1d450870ce3f4fd0ab07911f28683c77">#REF!</definedName>
    <definedName name="AUTHOR2_1f0d8af955414fccb4f2bbead8dd76d2">[10]Ctrl!#REF!</definedName>
    <definedName name="AUTHOR2_1f75078ceb33497da36b7bd0adfa1b98">#REF!</definedName>
    <definedName name="AUTHOR2_243db0d5c0ff494fb49e40947ea4d046">#REF!</definedName>
    <definedName name="AUTHOR2_279d1117313343b8b229ca56602cd3a0">[10]Ctrl!#REF!</definedName>
    <definedName name="AUTHOR2_2a5c930350e34f73b845894e545f4ceb">#REF!</definedName>
    <definedName name="AUTHOR2_2a9f858282fa429aa9513eef65f30fa7">#REF!</definedName>
    <definedName name="AUTHOR2_2b93070079214e0f9f3a50a36e1513e9">#REF!</definedName>
    <definedName name="AUTHOR2_2c0521b2f6c246d2b64e6621164bfb7f">#REF!</definedName>
    <definedName name="AUTHOR2_2c105b6c044649c4ae49c699e475e7b2">[9]Comps!#REF!</definedName>
    <definedName name="AUTHOR2_2d56adc0036a42cfad3dc856968b84ee">#REF!</definedName>
    <definedName name="AUTHOR2_2e3ff30b821f41768abf4ea9f34a2be9">#REF!</definedName>
    <definedName name="AUTHOR2_2fd534dc092d4d5a830f38d9b346de94">[10]Ctrl!#REF!</definedName>
    <definedName name="AUTHOR2_31c0a0665550416bb044a6d9854ae37f">#REF!</definedName>
    <definedName name="AUTHOR2_327906d340cf44d085f99595c59e7c20">#REF!</definedName>
    <definedName name="AUTHOR2_3414a6a57573484eb16b8848eff819e0">#REF!</definedName>
    <definedName name="AUTHOR2_348f410bc8684324b72b2515491607be">#REF!</definedName>
    <definedName name="AUTHOR2_35780ecd2ec849ff92f6e7c0aee700c7">#REF!</definedName>
    <definedName name="AUTHOR2_36272df3a9aa4fada3a59238c63fefd2">#REF!</definedName>
    <definedName name="AUTHOR2_36535c6ac92a4a74b811c6b5a347fb2a">#REF!</definedName>
    <definedName name="AUTHOR2_380c9537e4654e6da0b6f65563b2413d">[10]Ctrl!#REF!</definedName>
    <definedName name="AUTHOR2_38b404e3053b452fa16f3edccf085831">[9]Comps!#REF!</definedName>
    <definedName name="AUTHOR2_3ab21644334a4891a98e40b66d4e5155">#REF!</definedName>
    <definedName name="AUTHOR2_3af6f71afd154c5ba7aa5005a7d40496">[10]Ctrl!#REF!</definedName>
    <definedName name="AUTHOR2_3bcf29c5d8b54bf6a61210315851af18">#REF!</definedName>
    <definedName name="AUTHOR2_3d806f3bfa224941a0802d3bb02aebe9">#REF!</definedName>
    <definedName name="AUTHOR2_3f3f02079d44412c8b859afc244c907e">[10]Ctrl!#REF!</definedName>
    <definedName name="AUTHOR2_4035dfb0bec54087977c46b8509094ad">#REF!</definedName>
    <definedName name="AUTHOR2_424ef626c11245c2b8dc680b409aa9af">#REF!</definedName>
    <definedName name="AUTHOR2_45474e1f6a0742ca874288ba680fbdcc">#REF!</definedName>
    <definedName name="AUTHOR2_48096e8756e845c581bd91a1839e8fe5">[9]Sensitvity!#REF!</definedName>
    <definedName name="AUTHOR2_4ad3b622ecd640238dda53dc16b12f13">[9]Comps!#REF!</definedName>
    <definedName name="AUTHOR2_4d387dc73a6e4d83955f94e6d53f30d1">#REF!</definedName>
    <definedName name="AUTHOR2_502f3f68510c4701b1ee9e7d41fb415a">[10]Ctrl!#REF!</definedName>
    <definedName name="AUTHOR2_51139a5a015d48adace0db49d2832001">#REF!</definedName>
    <definedName name="AUTHOR2_5482bd82eac0447ea86d06411bd2de18">[10]Ctrl!#REF!</definedName>
    <definedName name="AUTHOR2_550889cce1144d85b8bff5cda9f7497d">#REF!</definedName>
    <definedName name="AUTHOR2_55d314fa68ee4b23831f022a4a0787d6">#REF!</definedName>
    <definedName name="AUTHOR2_55e9caf9ee6945cb843af70c2ecc7fc6">#REF!</definedName>
    <definedName name="AUTHOR2_56399214b1744562973dbaf7e0474717">#REF!</definedName>
    <definedName name="AUTHOR2_56dfe6dad4c94d52bbb472a4a4446010">#REF!</definedName>
    <definedName name="AUTHOR2_5704dbf4e10e4d9194ae54736f787eb5">[9]Comps!#REF!</definedName>
    <definedName name="AUTHOR2_57cbf2d4f49f40aba27fd32a8a8290d9">'[9]Delivery Bench'!#REF!</definedName>
    <definedName name="AUTHOR2_58aac5119d4b42808015b04ea6b2ef98">#REF!</definedName>
    <definedName name="AUTHOR2_5c0136f3db444215bf59cb0554b936e0">#REF!</definedName>
    <definedName name="AUTHOR2_5c0ce902593d493d9182522fce59a26a">#REF!</definedName>
    <definedName name="AUTHOR2_5c46163c6df845a8a7a47ab7996c9706">[9]Sensitvity!#REF!</definedName>
    <definedName name="AUTHOR2_5d5dd94f152041eeb328d4d228e67a77">#REF!</definedName>
    <definedName name="AUTHOR2_60e170809d4f4a66b5e3d7db96d65aaf">#REF!</definedName>
    <definedName name="AUTHOR2_610825a0ad5a48afac48920ec97a9a59">#REF!</definedName>
    <definedName name="AUTHOR2_620f6f438be5477d86b14831142ad960">'[9]Delivery Bench'!#REF!</definedName>
    <definedName name="AUTHOR2_625dd139d47943cd9428390cc1686ce0">#REF!</definedName>
    <definedName name="AUTHOR2_62750abc674f4ba0bc738cae32f86490">#REF!</definedName>
    <definedName name="AUTHOR2_63cc943ee3ab4d8f9cd3178fff9db6f8">#REF!</definedName>
    <definedName name="AUTHOR2_63fd8f60173a4743ab439775791315e3">#REF!</definedName>
    <definedName name="AUTHOR2_64a6aea258f747318d952322e892f060">#REF!</definedName>
    <definedName name="AUTHOR2_65cd3a6241064f6693e4c5424b4341ec">#REF!</definedName>
    <definedName name="AUTHOR2_66e564c79089459c814a54bae700c879">#REF!</definedName>
    <definedName name="AUTHOR2_69b082ad7c80497ca8f4b80f947dc450">#REF!</definedName>
    <definedName name="AUTHOR2_6a2747910aeb455d8f7e574d5032e300">[10]Ctrl!#REF!</definedName>
    <definedName name="AUTHOR2_6a7f90892125478bbb72a2b73d606363">#REF!</definedName>
    <definedName name="AUTHOR2_6c7a1916248e4209a2d5a15ff54d587b">#REF!</definedName>
    <definedName name="AUTHOR2_6d673e875b34478183ee131ba72b7b8e">#REF!</definedName>
    <definedName name="AUTHOR2_71386e2bcd024d21afbb684bb3429dc0">[10]Ctrl!#REF!</definedName>
    <definedName name="AUTHOR2_74b69afb2ee346cabcaa76f1d211aac8">[10]Ctrl!#REF!</definedName>
    <definedName name="AUTHOR2_777320ee90c44a96a65eb2f9d46834f3">#REF!</definedName>
    <definedName name="AUTHOR2_7b3c99ba46144feba6f97a5e79e856f9">[10]Ctrl!#REF!</definedName>
    <definedName name="AUTHOR2_7d40ba67e6bd48009350c67164364491">#REF!</definedName>
    <definedName name="AUTHOR2_7eb2a7e505eb472e961962cc1fecf7ca">[9]Sensitvity!#REF!</definedName>
    <definedName name="AUTHOR2_7ee2c69a99b749798cecdec1fd8f8816">#REF!</definedName>
    <definedName name="AUTHOR2_7f372f260a2c4cdd999c72cc9083105e">#REF!</definedName>
    <definedName name="AUTHOR2_7fdd5b6e888547cfb8a296a69006a414">#REF!</definedName>
    <definedName name="AUTHOR2_82b9c6ddc32f4984a4c2e536dbb954d6">#REF!</definedName>
    <definedName name="AUTHOR2_83f5cdcea41441718a8b90605b670eb9">#REF!</definedName>
    <definedName name="AUTHOR2_8535bf3b6e9c463690cd7cce6861ac51">[9]Comps!#REF!</definedName>
    <definedName name="AUTHOR2_855d0ecacb614d828b9a176291f99f0a">#REF!</definedName>
    <definedName name="AUTHOR2_86e3571a28534e4aa23792bb7c48db2e">#REF!</definedName>
    <definedName name="AUTHOR2_870a3213956e4867999b233c101bf567">#REF!</definedName>
    <definedName name="AUTHOR2_8919039a4e514e0488b0b04f2e53e1de">#REF!</definedName>
    <definedName name="AUTHOR2_899b72cc67724a7dacc951113c3df773">[9]Comps!#REF!</definedName>
    <definedName name="AUTHOR2_8c4a8f237e274d3286be6008f943c24a">[10]Ctrl!#REF!</definedName>
    <definedName name="AUTHOR2_8e769f2e51a542e983f3a47a7dbb92aa">#REF!</definedName>
    <definedName name="AUTHOR2_8f39a77f7284477bb5cf36b01bea14bd">[10]Ctrl!#REF!</definedName>
    <definedName name="AUTHOR2_8fa6b7c32e57426bae7d8f1264df72a3">#REF!</definedName>
    <definedName name="AUTHOR2_90dedb60b1ee4c3e8ce53a2f976e605a">#REF!</definedName>
    <definedName name="AUTHOR2_927583123dbe4806b9b4aac47ecf44cb">#REF!</definedName>
    <definedName name="AUTHOR2_92cc939fb5c444bd8b807fd6352cc831">#REF!</definedName>
    <definedName name="AUTHOR2_92d2f9d90a86435a9b3e42436920d0e2">#REF!</definedName>
    <definedName name="AUTHOR2_92e6ff6ae9a6451b816f4f91693d2252">[9]Sensitvity!#REF!</definedName>
    <definedName name="AUTHOR2_93074ccecdec4763a86cf21684bad10f">#REF!</definedName>
    <definedName name="AUTHOR2_93f01e2fe54142bcbb32e36e089360a3">#REF!</definedName>
    <definedName name="AUTHOR2_966d172e855f47f8a6c78cb4ea1ea8f8">[10]Ctrl!#REF!</definedName>
    <definedName name="AUTHOR2_97da0a2795dd4585bb314ff5badd32a5">#REF!</definedName>
    <definedName name="AUTHOR2_97fd26405b8743f0a8390f1e4838df99">'[9]Delivery Bench'!#REF!</definedName>
    <definedName name="AUTHOR2_985144ffb0d34af5aecd991190ecca31">#REF!</definedName>
    <definedName name="AUTHOR2_98ac3e4e97dd4d8dbe9857f56ff1b3bb">#REF!</definedName>
    <definedName name="AUTHOR2_98db9e74fb0b47f49c172349e6d03fe4">#REF!</definedName>
    <definedName name="AUTHOR2_9ad334a38cc24b949e416bbbb7837cba">#REF!</definedName>
    <definedName name="AUTHOR2_9c5aeb8f3d0b4081b83f3d1d1f7c5c07">#REF!</definedName>
    <definedName name="AUTHOR2_9cec8c5965124c6c8303115e888f6630">#REF!</definedName>
    <definedName name="AUTHOR2_9d1e86a6aeb741f5a890de6241bf4754">#REF!</definedName>
    <definedName name="AUTHOR2_9da8875ccbe14458bbb3a77a9944452a">#REF!</definedName>
    <definedName name="AUTHOR2_9f2db8c6946848d7a2186a3e58aad8d0">#REF!</definedName>
    <definedName name="AUTHOR2_9f579bdc64ac43fe9943351a44fcde16">#REF!</definedName>
    <definedName name="AUTHOR2_9fa03102df3147d78442df3b1cf2fc78">[9]Sensitvity!#REF!</definedName>
    <definedName name="AUTHOR2_a088ee22d5a64722904ca6922ed51fa4">#REF!</definedName>
    <definedName name="AUTHOR2_a3bef4b1a6c2438abd8e439a051b4811">#REF!</definedName>
    <definedName name="AUTHOR2_a6367727ef43459cb24316038be7d0ba">#REF!</definedName>
    <definedName name="AUTHOR2_a67ff5f7414147b8aeab71ec3fc03b31">#REF!</definedName>
    <definedName name="AUTHOR2_a8e213f21b424466bb22c6acd13326ac">#REF!</definedName>
    <definedName name="AUTHOR2_a9670866236a4bd4ab4cc2173604f1ed">#REF!</definedName>
    <definedName name="AUTHOR2_ad7b24e24be541fbb059d0fd98e5f6d0">#REF!</definedName>
    <definedName name="AUTHOR2_b1672a2382e648e6ac597635deccad7b">#REF!</definedName>
    <definedName name="AUTHOR2_b1b5650c01564d85bfa48727575f0a19">#REF!</definedName>
    <definedName name="AUTHOR2_b206c5e3031f43c99aee4fed63e6db27">#REF!</definedName>
    <definedName name="AUTHOR2_b2558fbd6abd4c1b89c7d750a4e78000">#REF!</definedName>
    <definedName name="AUTHOR2_b4121b6c0fbd4f00a75334d66fcc6b68">#REF!</definedName>
    <definedName name="AUTHOR2_b52f8a763b87416a9b1bb27076104254">[9]Comps!#REF!</definedName>
    <definedName name="AUTHOR2_bab3ccc9e24d4e868df2595b1dc9c378">#REF!</definedName>
    <definedName name="AUTHOR2_bcc6c1e68a7e4b9fb201ec6e9db71e0c">[10]Ctrl!#REF!</definedName>
    <definedName name="AUTHOR2_be8520005c0641d394fa3f3cc9a54fc6">#REF!</definedName>
    <definedName name="AUTHOR2_bf2b078d10d84a44b4470d1a88844d2f">#REF!</definedName>
    <definedName name="AUTHOR2_bf563c2951e24b49a3ba35e23c4f3013">#REF!</definedName>
    <definedName name="AUTHOR2_c1038113898845e9828fa5f67f2814fc">#REF!</definedName>
    <definedName name="AUTHOR2_c137ec7669f742498ae3fce02c5f8973">#REF!</definedName>
    <definedName name="AUTHOR2_c7a52e4fc7794f7baba9a98bea010e83">#REF!</definedName>
    <definedName name="AUTHOR2_c7aecc74b9704d45989ca23a1b53ef0d">#REF!</definedName>
    <definedName name="AUTHOR2_c8dcd3a9dbd5464a833d4230d8faba10">#REF!</definedName>
    <definedName name="AUTHOR2_ca8aa6e047014ce280e4edccb39a9bb5">#REF!</definedName>
    <definedName name="AUTHOR2_cb28bedb633646e2b8c4205af5f5a9ce">#REF!</definedName>
    <definedName name="AUTHOR2_cb7415a0bce34a19825b27f893d6b915">#REF!</definedName>
    <definedName name="AUTHOR2_cc958b3e082244bd9c3c8f53a9df2dc9">#REF!</definedName>
    <definedName name="AUTHOR2_ce5e631b1cc74a08bc57a0a02d64228e">#REF!</definedName>
    <definedName name="AUTHOR2_ceec9e169fe040fab9959cea92688d9c">#REF!</definedName>
    <definedName name="AUTHOR2_d03d72905577418b90f91b62745ac544">#REF!</definedName>
    <definedName name="AUTHOR2_d19bc3090a624f639d2cee2bf5be41b8">[9]Sensitvity!#REF!</definedName>
    <definedName name="AUTHOR2_d3ea36fe4d72441088db779442fd6f91">#REF!</definedName>
    <definedName name="AUTHOR2_d4159372790f48fdb975fabcc9c8ad16">#REF!</definedName>
    <definedName name="AUTHOR2_d5248dd149404e9db4a707b474574eaa">[10]Ctrl!#REF!</definedName>
    <definedName name="AUTHOR2_d59ddb0d5457432d86ebaaf5e4921e88">#REF!</definedName>
    <definedName name="AUTHOR2_d619957e61d141aa98b42dcc51a615b0">#REF!</definedName>
    <definedName name="AUTHOR2_d7c01f8b5e974d84bf5dfb61f10e6a1a">#REF!</definedName>
    <definedName name="AUTHOR2_d7d4eb5d882f4b1b916ce47140cc1f43">#REF!</definedName>
    <definedName name="AUTHOR2_d9ea1696d13d41dd88ad7568ed6209f4">[10]Ctrl!#REF!</definedName>
    <definedName name="AUTHOR2_da0ff293b12e458faf7e431a452fb6b9">#REF!</definedName>
    <definedName name="AUTHOR2_db2e1239c09c409b9603c3cac094d88d">#REF!</definedName>
    <definedName name="AUTHOR2_e1d4488234714c9281dc81af449881e6">#REF!</definedName>
    <definedName name="AUTHOR2_e2323189828949d594c15905c1787f9b">#REF!</definedName>
    <definedName name="AUTHOR2_e34dce07f7ea4aa7897fb8e9fcf00e05">[10]Ctrl!#REF!</definedName>
    <definedName name="AUTHOR2_e38e2f9b28d24e01ae9304e69fecf041">#REF!</definedName>
    <definedName name="AUTHOR2_e3a3716cfb9848e5a5c8cfa811edb707">#REF!</definedName>
    <definedName name="AUTHOR2_e4376ac6ed274d8c89a1026b598de8bd">[10]Ctrl!#REF!</definedName>
    <definedName name="AUTHOR2_e440ba6942604122b0803aebb009c2dd">#REF!</definedName>
    <definedName name="AUTHOR2_e479943336a54cbda45605d2d064f105">#REF!</definedName>
    <definedName name="AUTHOR2_e696db2efee54ab794a545924bcc683d">#REF!</definedName>
    <definedName name="AUTHOR2_e8483fedc196419a86581374b435231e">#REF!</definedName>
    <definedName name="AUTHOR2_ea0ca206fc8143e4b6b5e22c038f24b3">[10]Ctrl!#REF!</definedName>
    <definedName name="AUTHOR2_eaf8c2e8e6a446558dcd5c36dda39ebc">[9]Comps!#REF!</definedName>
    <definedName name="AUTHOR2_ef5ef69af14a44a18f6877062fde7777">#REF!</definedName>
    <definedName name="AUTHOR2_f0722c69701b4c559cc5ecfe8b52c9a5">#REF!</definedName>
    <definedName name="AUTHOR2_f15fd45d1d534be6a9d037ce572617bb">#REF!</definedName>
    <definedName name="AUTHOR2_f167496f839b4f59901526073a478d75">[9]Comps!#REF!</definedName>
    <definedName name="AUTHOR2_f564c7d15fd642fa81f5204ae5839396">[9]Sensitvity!#REF!</definedName>
    <definedName name="AUTHOR2_f5ffe206b50d4b52afe1aa664a397a0b">#REF!</definedName>
    <definedName name="AUTHOR2_f6c8baf73fce4d419d9cd704117522e1">#REF!</definedName>
    <definedName name="AUTHOR2_f793b73a650a48cfaa618b8d0e3aa0b6">#REF!</definedName>
    <definedName name="AUTHOR2_fb4756cea86e4c73bef7eee85e94a8e9">#REF!</definedName>
    <definedName name="AUTHOR2_fb7486a083f24153886566b344e2012e">#REF!</definedName>
    <definedName name="AUTHOR2_fc18ac2ec8414b74a74d186d4d5e6483">#REF!</definedName>
    <definedName name="AUTHOR2_fd3a033ea1014809a3d41a1e6cfa5c3f">#REF!</definedName>
    <definedName name="AUTHOR2_ffcd039988924ea79fe0389e5e8c0810">#REF!</definedName>
    <definedName name="aw">#REF!</definedName>
    <definedName name="aw_1">#REF!</definedName>
    <definedName name="aw_1_1">#REF!</definedName>
    <definedName name="aw_1_1_1">#REF!</definedName>
    <definedName name="aw_1_1_2">#REF!</definedName>
    <definedName name="aw_1_1_3">#REF!</definedName>
    <definedName name="aw_1_1_4">#REF!</definedName>
    <definedName name="aw_1_1_5">#REF!</definedName>
    <definedName name="aw_1_2">#REF!</definedName>
    <definedName name="aw_1_3">#REF!</definedName>
    <definedName name="aw_1_4">#REF!</definedName>
    <definedName name="aw_1_5">#REF!</definedName>
    <definedName name="aw_2">#REF!</definedName>
    <definedName name="aw_2_1">#REF!</definedName>
    <definedName name="aw_2_2">#REF!</definedName>
    <definedName name="aw_2_3">#REF!</definedName>
    <definedName name="aw_2_4">#REF!</definedName>
    <definedName name="aw_2_5">#REF!</definedName>
    <definedName name="aw_3">#REF!</definedName>
    <definedName name="aw_4">#REF!</definedName>
    <definedName name="aw_5">#REF!</definedName>
    <definedName name="awdfv">#REF!</definedName>
    <definedName name="awdfv_1">#REF!</definedName>
    <definedName name="awdfv_1_1">#REF!</definedName>
    <definedName name="awdfv_1_2">#REF!</definedName>
    <definedName name="awdfv_1_3">#REF!</definedName>
    <definedName name="awdfv_1_4">#REF!</definedName>
    <definedName name="awdfv_1_5">#REF!</definedName>
    <definedName name="awdfv_2">#REF!</definedName>
    <definedName name="awdfv_3">#REF!</definedName>
    <definedName name="awdfv_4">#REF!</definedName>
    <definedName name="awdfv_5">#REF!</definedName>
    <definedName name="awef">#REF!</definedName>
    <definedName name="aweftg">#REF!</definedName>
    <definedName name="aweftg_1">#REF!</definedName>
    <definedName name="aweftg_1_1">#REF!</definedName>
    <definedName name="aweftg_1_2">#REF!</definedName>
    <definedName name="aweftg_1_3">#REF!</definedName>
    <definedName name="aweftg_1_4">#REF!</definedName>
    <definedName name="aweftg_1_5">#REF!</definedName>
    <definedName name="aweftg_2">#REF!</definedName>
    <definedName name="aweftg_3">#REF!</definedName>
    <definedName name="aweftg_4">#REF!</definedName>
    <definedName name="aweftg_5">#REF!</definedName>
    <definedName name="awerg">#REF!</definedName>
    <definedName name="awerg_1">#REF!</definedName>
    <definedName name="awerg_1_1">#REF!</definedName>
    <definedName name="awerg_1_2">#REF!</definedName>
    <definedName name="awerg_1_3">#REF!</definedName>
    <definedName name="awerg_1_4">#REF!</definedName>
    <definedName name="awerg_1_5">#REF!</definedName>
    <definedName name="awerg_2">#REF!</definedName>
    <definedName name="awerg_3">#REF!</definedName>
    <definedName name="awerg_4">#REF!</definedName>
    <definedName name="awerg_5">#REF!</definedName>
    <definedName name="awser">#REF!</definedName>
    <definedName name="ax">#REF!</definedName>
    <definedName name="b">#REF!</definedName>
    <definedName name="b_1">#REF!</definedName>
    <definedName name="b_1_1">#REF!</definedName>
    <definedName name="b_1_2">#REF!</definedName>
    <definedName name="b_1_3">#REF!</definedName>
    <definedName name="b_1_4">#REF!</definedName>
    <definedName name="b_1_5">#REF!</definedName>
    <definedName name="b_2">#REF!</definedName>
    <definedName name="b_3">#REF!</definedName>
    <definedName name="b_4">#REF!</definedName>
    <definedName name="b_5">#REF!</definedName>
    <definedName name="ba">#REF!</definedName>
    <definedName name="Base">#REF!</definedName>
    <definedName name="BaseAdj">#REF!</definedName>
    <definedName name="BaseCost">#REF!</definedName>
    <definedName name="bb">#REF!</definedName>
    <definedName name="bbb">#REF!</definedName>
    <definedName name="bbbbb">#REF!</definedName>
    <definedName name="bbbbbbbbbbbbbbb">#REF!</definedName>
    <definedName name="bcDataRow">#REF!</definedName>
    <definedName name="bcPeriodColumn">#REF!</definedName>
    <definedName name="BEG">#REF!</definedName>
    <definedName name="BELVEDERE">#REF!</definedName>
    <definedName name="benefit">#REF!</definedName>
    <definedName name="berry">#REF!</definedName>
    <definedName name="berry_1">#REF!</definedName>
    <definedName name="berry_1_1">#REF!</definedName>
    <definedName name="berry_1_2">#REF!</definedName>
    <definedName name="berry_1_3">#REF!</definedName>
    <definedName name="berry_1_4">#REF!</definedName>
    <definedName name="berry_1_5">#REF!</definedName>
    <definedName name="berry_2">#REF!</definedName>
    <definedName name="berry_3">#REF!</definedName>
    <definedName name="berry_4">#REF!</definedName>
    <definedName name="berry_5">#REF!</definedName>
    <definedName name="Billed">#REF!</definedName>
    <definedName name="Billed_Earnings">#REF!</definedName>
    <definedName name="bl">#REF!</definedName>
    <definedName name="Black_Book_Value___Average">#REF!</definedName>
    <definedName name="Black_Book_Value___Product">#REF!</definedName>
    <definedName name="Black_Book_Value___Rough">#REF!</definedName>
    <definedName name="BLPH1">#REF!</definedName>
    <definedName name="BLPH12">#REF!</definedName>
    <definedName name="BLPH13">#REF!</definedName>
    <definedName name="BLPH14">#REF!</definedName>
    <definedName name="BLPH15">#REF!</definedName>
    <definedName name="BLPH16">#REF!</definedName>
    <definedName name="bn">#REF!</definedName>
    <definedName name="BNE_MESSAGES_HIDDEN">#REF!</definedName>
    <definedName name="bnjkhj">#REF!</definedName>
    <definedName name="bnnbbn">#REF!</definedName>
    <definedName name="BOICalc">#REF!</definedName>
    <definedName name="BOICapRate">#REF!</definedName>
    <definedName name="BOICapRate2">#REF!</definedName>
    <definedName name="Book_Metal_Value_at_Purchase">#REF!</definedName>
    <definedName name="BookCost">#REF!</definedName>
    <definedName name="BookCost1">#REF!</definedName>
    <definedName name="borina">#REF!</definedName>
    <definedName name="borousek">#REF!</definedName>
    <definedName name="brad.Long._.Report">#REF!</definedName>
    <definedName name="brad.Long._.Report_1">#REF!</definedName>
    <definedName name="brad.Long._.Report_2">#REF!</definedName>
    <definedName name="BreakYear">'[11]Input Data'!$G$742</definedName>
    <definedName name="BROADWAY___19TH">#REF!</definedName>
    <definedName name="BROADWAY___22ND">#REF!</definedName>
    <definedName name="Budget">#REF!</definedName>
    <definedName name="BudgetKicker">#REF!</definedName>
    <definedName name="BuildersRiskBusInterruptionRate">#REF!</definedName>
    <definedName name="BuildersRiskMonthsBuild">#REF!</definedName>
    <definedName name="BuildersRiskRate">#REF!</definedName>
    <definedName name="BuildersRiskRents">#REF!</definedName>
    <definedName name="BuildersRiskSqFt">#REF!</definedName>
    <definedName name="BuildersRiskValue">#REF!</definedName>
    <definedName name="Bullshit">#REF!</definedName>
    <definedName name="bvcx">#REF!</definedName>
    <definedName name="bvcx_1">#REF!</definedName>
    <definedName name="bvcx_1_1">#REF!</definedName>
    <definedName name="bvcx_1_2">#REF!</definedName>
    <definedName name="bvcx_1_3">#REF!</definedName>
    <definedName name="bvcx_1_4">#REF!</definedName>
    <definedName name="bvcx_1_5">#REF!</definedName>
    <definedName name="bvcx_2">#REF!</definedName>
    <definedName name="bvcx_3">#REF!</definedName>
    <definedName name="bvcx_4">#REF!</definedName>
    <definedName name="bvcx_5">#REF!</definedName>
    <definedName name="bvhl">#REF!</definedName>
    <definedName name="bvhl_1">#REF!</definedName>
    <definedName name="bvhl_1_1">#REF!</definedName>
    <definedName name="bvhl_1_2">#REF!</definedName>
    <definedName name="bvhl_1_3">#REF!</definedName>
    <definedName name="bvhl_1_4">#REF!</definedName>
    <definedName name="bvhl_1_5">#REF!</definedName>
    <definedName name="bvhl_2">#REF!</definedName>
    <definedName name="bvhl_3">#REF!</definedName>
    <definedName name="bvhl_4">#REF!</definedName>
    <definedName name="bvhl_5">#REF!</definedName>
    <definedName name="C.F.FREIGHTWAYS">#REF!</definedName>
    <definedName name="Cap_Cost__ex._TTL">#REF!</definedName>
    <definedName name="Cap_Rate">#REF!</definedName>
    <definedName name="Cap_rate_as_vacant">#REF!</definedName>
    <definedName name="CapRate">#REF!</definedName>
    <definedName name="CapRateAvg">#REF!</definedName>
    <definedName name="CapRateGrid">#REF!</definedName>
    <definedName name="CapRateMax">#REF!</definedName>
    <definedName name="CapRateMin">#REF!</definedName>
    <definedName name="CapRateOut">#REF!</definedName>
    <definedName name="Car_Model_Rank">#REF!</definedName>
    <definedName name="CARL_S_HOUSE">#REF!</definedName>
    <definedName name="case">#REF!</definedName>
    <definedName name="case_2">#REF!</definedName>
    <definedName name="case_num">1</definedName>
    <definedName name="CashFlowCapitalExpenditureCellular">0</definedName>
    <definedName name="CashFlowCapitalExpenditureOther">0</definedName>
    <definedName name="CashFlowCapitalExpenditurePaging">0</definedName>
    <definedName name="CashFlowCapitalExpenditureTelephone">0</definedName>
    <definedName name="CashFlowCapitalExpenditureWireless">0</definedName>
    <definedName name="CashFlowDividendPaidPreferredStock">0</definedName>
    <definedName name="CASHTAX">[1]VALUE2_1.XLS!#REF!</definedName>
    <definedName name="Casualty_Flag">#REF!</definedName>
    <definedName name="cat">#REF!</definedName>
    <definedName name="cat_1">#REF!</definedName>
    <definedName name="cat_1_1">#REF!</definedName>
    <definedName name="cat_1_2">#REF!</definedName>
    <definedName name="cat_1_3">#REF!</definedName>
    <definedName name="cat_1_4">#REF!</definedName>
    <definedName name="cat_1_5">#REF!</definedName>
    <definedName name="cat_2">#REF!</definedName>
    <definedName name="cat_3">#REF!</definedName>
    <definedName name="cat_4">#REF!</definedName>
    <definedName name="cat_5">#REF!</definedName>
    <definedName name="CATIrem">#REF!</definedName>
    <definedName name="cb_sChart12595BBC_opts" hidden="1">"1, 1, 1, False, 2, True, False, , 0, False, False, 2, 2"</definedName>
    <definedName name="cb_sChart12595E44_opts" hidden="1">"1, 3, 1, False, 2, True, False, , 0, True, False, 2, 2"</definedName>
    <definedName name="cb_sChart14E6EA1E_opts" hidden="1">"1, 9, 1, False, 2, False, False, , 0, False, False, 1, 2"</definedName>
    <definedName name="cb_sChart14E6EB91_opts" hidden="1">"1, 9, 1, False, 2, False, False, , 0, False, False, 1, 1"</definedName>
    <definedName name="cb_sChart14E6ED99_opts" hidden="1">"1, 9, 1, False, 2, False, False, , 0, False, False, 1, 1"</definedName>
    <definedName name="cb_sChart14E6F3EE_opts" hidden="1">"1, 9, 1, False, 2, False, False, , 0, False, False, 1, 1"</definedName>
    <definedName name="cb_sChart14E81502_opts" hidden="1">"1, 9, 1, False, 2, False, False, , 0, False, False, 1, 2"</definedName>
    <definedName name="cb_sChart14E81DF6_opts" hidden="1">"1, 9, 1, False, 2, False, False, , 0, False, False, 1, 2"</definedName>
    <definedName name="cb_sChart14E82800_opts" hidden="1">"1, 9, 1, False, 2, False, False, , 0, False, False, 1, 2"</definedName>
    <definedName name="cb_sChart14E83288_opts" hidden="1">"1, 9, 1, False, 2, False, False, , 0, False, False, 1, 2"</definedName>
    <definedName name="cb_sChart14E8F629_opts" hidden="1">"1, 9, 1, False, 2, False, False, , 0, False, False, 1, 2"</definedName>
    <definedName name="cb_sChart14F787E8_opts" hidden="1">"1, 9, 1, False, 2, False, False, , 0, False, False, 1, 2"</definedName>
    <definedName name="cb_sChart14F7947A_opts" hidden="1">"1, 9, 1, False, 2, False, False, , 0, False, False, 1, 2"</definedName>
    <definedName name="cb_sChart14F79A09_opts" hidden="1">"1, 9, 1, False, 2, False, False, , 0, False, False, 1, 2"</definedName>
    <definedName name="cb_sChart14FA60AB_opts" hidden="1">"1, 9, 1, False, 2, False, False, , 0, False, False, 1, 2"</definedName>
    <definedName name="cb_sChart14FA650D_opts" hidden="1">"1, 9, 1, False, 2, False, False, , 0, False, False, 1, 2"</definedName>
    <definedName name="cb_sChart1501ACE3_opts" hidden="1">"1, 8, 1, False, 2, False, False, , 0, False, False, 1, 2"</definedName>
    <definedName name="cb_sChart1501AEF7_opts" hidden="1">"1, 9, 1, False, 2, False, False, , 0, False, False, 1, 2"</definedName>
    <definedName name="cb_sChart1501DCE6_opts" hidden="1">"1, 9, 1, False, 2, False, False, , 0, False, False, 1, 2"</definedName>
    <definedName name="cb_sChart1501EF92_opts" hidden="1">"1, 9, 1, False, 2, False, False, , 0, False, False, 1, 2"</definedName>
    <definedName name="cb_sChart1501F8CB_opts" hidden="1">"1, 9, 1, False, 2, False, False, , 0, False, False, 1, 2"</definedName>
    <definedName name="cb_sChart150208AA_opts" hidden="1">"1, 9, 1, False, 2, False, False, , 0, False, False, 1, 2"</definedName>
    <definedName name="cb_sChart15020EC4_opts" hidden="1">"1, 9, 1, False, 2, False, False, , 0, False, False, 1, 2"</definedName>
    <definedName name="cb_sChart150212BF_opts" hidden="1">"1, 9, 1, False, 2, False, False, , 0, False, False, 1, 2"</definedName>
    <definedName name="cb_sChart15021F68_opts" hidden="1">"1, 9, 1, False, 2, False, False, , 0, False, False, 1, 1"</definedName>
    <definedName name="cb_sChart15022484_opts" hidden="1">"1, 9, 1, False, 2, False, False, , 0, False, False, 1, 2"</definedName>
    <definedName name="cb_sChart150226F5_opts" hidden="1">"1, 9, 1, False, 2, False, False, , 0, False, False, 1, 2"</definedName>
    <definedName name="cb_sChart15144595_opts" hidden="1">"1, 9, 1, False, 2, False, False, , 0, False, False, 1, 2"</definedName>
    <definedName name="cb_sChart15145615_opts" hidden="1">"1, 9, 1, False, 2, False, False, , 0, False, False, 1, 2"</definedName>
    <definedName name="cb_sChart151464B0_opts" hidden="1">"1, 9, 1, False, 2, False, False, , 0, False, False, 1, 2"</definedName>
    <definedName name="cb_sChart15146FA1_opts" hidden="1">"1, 9, 1, False, 2, False, False, , 0, False, False, 1, 2"</definedName>
    <definedName name="cb_sChart15149A94_opts" hidden="1">"1, 9, 1, False, 2, False, False, , 0, False, False, 1, 2"</definedName>
    <definedName name="cb_sChart1514EEC3_opts" hidden="1">"1, 9, 1, False, 2, False, False, , 0, False, False, 1, 2"</definedName>
    <definedName name="cb_sChart1514F2E0_opts" hidden="1">"1, 9, 1, False, 2, False, False, , 0, False, False, 1, 2"</definedName>
    <definedName name="cb_sChart151510A0_opts" hidden="1">"1, 9, 1, False, 2, False, False, , 0, False, False, 1, 2"</definedName>
    <definedName name="cb_sChart15154C37_opts" hidden="1">"1, 9, 1, False, 2, False, False, , 0, False, False, 1, 2"</definedName>
    <definedName name="cb_sChart15157034_opts" hidden="1">"1, 9, 1, False, 2, False, False, , 0, False, False, 1, 2"</definedName>
    <definedName name="cb_sChart1515F81B_opts" hidden="1">"1, 9, 1, False, 2, False, False, , 0, False, False, 1, 2"</definedName>
    <definedName name="cb_sChart1515F9EA_opts" hidden="1">"1, 9, 1, False, 2, False, False, , 0, False, False, 1, 2"</definedName>
    <definedName name="cb_sChart15161029_opts" hidden="1">"1, 9, 1, False, 2, False, False, , 0, False, False, 1, 2"</definedName>
    <definedName name="cb_sChart15163773_opts" hidden="1">"1, 9, 1, False, 2, False, False, , 0, False, False, 1, 2"</definedName>
    <definedName name="cb_sChart15164F8C_opts" hidden="1">"1, 9, 1, False, 2, False, False, , 0, False, False, 1, 2"</definedName>
    <definedName name="cb_sChart15165265_opts" hidden="1">"1, 9, 1, False, 2, False, False, , 0, False, False, 1, 2"</definedName>
    <definedName name="cb_sChart15166173_opts" hidden="1">"1, 9, 1, False, 2, False, False, , 0, False, False, 1, 2"</definedName>
    <definedName name="cb_sChart1516A84C_opts" hidden="1">"1, 9, 1, False, 2, False, False, , 0, False, False, 1, 2"</definedName>
    <definedName name="cb_sChart16EBA7BA_opts" hidden="1">"1, 1, 1, False, 2, True, False, , 0, False, True, 1,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9EB7A17_opts" hidden="1">"1, 3, 1, False, 2, False, False, , 0, False, True, 1, 1"</definedName>
    <definedName name="cb_sChart19EB7D70_opts" hidden="1">"1, 5, 1, False, 2, False, False, , 0, False, True, 1, 1"</definedName>
    <definedName name="cb_sChart19EB7F61_opts" hidden="1">"1, 3, 1, False, 2, False, False, , 0, False, True, 1, 1"</definedName>
    <definedName name="cb_sChart1AC0211C_opts" hidden="1">"1, 1, 1, False, 2, False, False, , 0, False, False, 2, 2"</definedName>
    <definedName name="cb_sChart1AC021B3_opts" hidden="1">"1, 1, 1, False, 2, False, False, , 0, False, False, 2, 2"</definedName>
    <definedName name="cb_sChart1AC02226_opts" hidden="1">"1, 1, 1, False, 2, False, False, , 0, False, False, 2, 2"</definedName>
    <definedName name="cb_sChart1AC02446_opts" hidden="1">"1, 1, 1, False, 2, True, False, , 0, False, True, 2, 2"</definedName>
    <definedName name="cb_sChart1AC02765_opts" hidden="1">"1, 1, 1, False, 2, True, False, , 0, False, True, 2, 2"</definedName>
    <definedName name="cb_sChart1AC027D9_opts" hidden="1">"1, 1, 1, False, 2, True, False, , 0, False, True, 2, 2"</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BWorkbookPriority" hidden="1">-1264563189</definedName>
    <definedName name="cc">#REF!</definedName>
    <definedName name="ccc">#REF!</definedName>
    <definedName name="cds">#REF!</definedName>
    <definedName name="Census">#REF!</definedName>
    <definedName name="cf1fc1s4">#REF!</definedName>
    <definedName name="chart">"Chart 1"</definedName>
    <definedName name="CHECKPT">#REF!</definedName>
    <definedName name="CHF">#REF!</definedName>
    <definedName name="chik">#REF!</definedName>
    <definedName name="chik_1">#REF!</definedName>
    <definedName name="chik_1_1">#REF!</definedName>
    <definedName name="chik_1_2">#REF!</definedName>
    <definedName name="chik_1_3">#REF!</definedName>
    <definedName name="chik_1_4">#REF!</definedName>
    <definedName name="chik_1_5">#REF!</definedName>
    <definedName name="chik_2">#REF!</definedName>
    <definedName name="chik_3">#REF!</definedName>
    <definedName name="chik_4">#REF!</definedName>
    <definedName name="chik_5">#REF!</definedName>
    <definedName name="CINCINATTI_I">#REF!</definedName>
    <definedName name="CINCINATTI_II">#REF!</definedName>
    <definedName name="CIQWBGuid" hidden="1">"a24e02ed-e075-46bd-bbfa-ff2bef9d7ce7"</definedName>
    <definedName name="Circ">'[12]Operating Model'!$H$12</definedName>
    <definedName name="Class_B">68.45</definedName>
    <definedName name="CleaningMonth">#REF!</definedName>
    <definedName name="CleaningYTD">#REF!</definedName>
    <definedName name="Closing_Price">#REF!</definedName>
    <definedName name="CLOT">#REF!</definedName>
    <definedName name="cm">1</definedName>
    <definedName name="Cmp1Rents">#REF!</definedName>
    <definedName name="Cmp2Rents">#REF!</definedName>
    <definedName name="Cmp3Rents">#REF!</definedName>
    <definedName name="Cmp4Rents">#REF!</definedName>
    <definedName name="Cmp5Rents">#REF!</definedName>
    <definedName name="Cmp6Rents">#REF!</definedName>
    <definedName name="Cmp7Rents">#REF!</definedName>
    <definedName name="CmpArea_0">#REF!</definedName>
    <definedName name="CmpArea_1">#REF!</definedName>
    <definedName name="CmpArea_2">#REF!</definedName>
    <definedName name="CmpArea_3">#REF!</definedName>
    <definedName name="CmpEff">#REF!</definedName>
    <definedName name="CmpFooter">#REF!</definedName>
    <definedName name="CmpOne">#REF!</definedName>
    <definedName name="CmpRef">#REF!</definedName>
    <definedName name="CmpThree">#REF!</definedName>
    <definedName name="CmpTwo">#REF!</definedName>
    <definedName name="co">#REF!</definedName>
    <definedName name="COE_at_Purchase">#REF!</definedName>
    <definedName name="COE_Expiry_Date">#REF!</definedName>
    <definedName name="COGS">[1]VALUE2_1.XLS!#REF!</definedName>
    <definedName name="COL">#REF!</definedName>
    <definedName name="Collection">#REF!</definedName>
    <definedName name="combined1">#REF!</definedName>
    <definedName name="combined1_1">#REF!</definedName>
    <definedName name="combined1_1_1">#REF!</definedName>
    <definedName name="combined1_1_2">#REF!</definedName>
    <definedName name="combined1_1_3">#REF!</definedName>
    <definedName name="combined1_1_4">#REF!</definedName>
    <definedName name="combined1_1_5">#REF!</definedName>
    <definedName name="combined1_2">#REF!</definedName>
    <definedName name="combined1_3">#REF!</definedName>
    <definedName name="combined1_4">#REF!</definedName>
    <definedName name="combined1_5">#REF!</definedName>
    <definedName name="Company">#REF!</definedName>
    <definedName name="CompanyTotal">#REF!</definedName>
    <definedName name="CompanyTurnover">#REF!</definedName>
    <definedName name="Comparison_GRI">#REF!</definedName>
    <definedName name="Comparison_No.">#REF!</definedName>
    <definedName name="Comparison_No_Units">#REF!</definedName>
    <definedName name="Comparison_Rent">#REF!</definedName>
    <definedName name="Comparison_Totals">#REF!</definedName>
    <definedName name="Comparison_Type">#REF!</definedName>
    <definedName name="Comparison_Units">#REF!</definedName>
    <definedName name="computer">[7]!computer</definedName>
    <definedName name="Connection">#REF!</definedName>
    <definedName name="CONSOLIDA">#REF!</definedName>
    <definedName name="const_period">#REF!</definedName>
    <definedName name="CONSTANT">[1]VALUE2_1.XLS!#REF!</definedName>
    <definedName name="ConstrPer">#REF!</definedName>
    <definedName name="ConstrTaxes">#REF!</definedName>
    <definedName name="construction">#REF!</definedName>
    <definedName name="ContactName">#REF!</definedName>
    <definedName name="Contracted_Cap_Cost">#REF!</definedName>
    <definedName name="convrate">#REF!</definedName>
    <definedName name="CONVRATES">#REF!</definedName>
    <definedName name="COO">#REF!</definedName>
    <definedName name="cooper2">#REF!</definedName>
    <definedName name="cooper2_1">#REF!</definedName>
    <definedName name="cooper2_1_1">#REF!</definedName>
    <definedName name="cooper2_1_2">#REF!</definedName>
    <definedName name="cooper2_1_3">#REF!</definedName>
    <definedName name="cooper2_1_4">#REF!</definedName>
    <definedName name="cooper2_1_5">#REF!</definedName>
    <definedName name="cooper2_2">#REF!</definedName>
    <definedName name="cooper2_3">#REF!</definedName>
    <definedName name="cooper2_4">#REF!</definedName>
    <definedName name="cooper2_5">#REF!</definedName>
    <definedName name="Copies">#REF!</definedName>
    <definedName name="Cost_Based_Rent">#REF!</definedName>
    <definedName name="CostDirect">#REF!</definedName>
    <definedName name="CostIndirect">#REF!</definedName>
    <definedName name="CostSumm">#REF!</definedName>
    <definedName name="CostTot">#REF!</definedName>
    <definedName name="Cottage">#REF!</definedName>
    <definedName name="COTTONWOOD_A_B">#REF!</definedName>
    <definedName name="COTTONWOOD_C_D">#REF!</definedName>
    <definedName name="Crystal_1_1_WEBI_DataGrid">#REF!</definedName>
    <definedName name="Crystal_1_1_WEBI_HHeading">#REF!</definedName>
    <definedName name="Crystal_1_1_WEBI_Table">#REF!</definedName>
    <definedName name="CSA">#REF!</definedName>
    <definedName name="CTR">#REF!</definedName>
    <definedName name="curable_functional">#REF!</definedName>
    <definedName name="Current_Book_Value">#REF!</definedName>
    <definedName name="Current_Borrowing_Base">#REF!</definedName>
    <definedName name="Current_Date">#REF!</definedName>
    <definedName name="Current_Lease_Balance">#REF!</definedName>
    <definedName name="Current_Mileage">#REF!</definedName>
    <definedName name="Current_Status">#REF!</definedName>
    <definedName name="cv">#REF!</definedName>
    <definedName name="cv_1">#REF!</definedName>
    <definedName name="cv_1_1">#REF!</definedName>
    <definedName name="cv_1_2">#REF!</definedName>
    <definedName name="cv_1_3">#REF!</definedName>
    <definedName name="cv_1_4">#REF!</definedName>
    <definedName name="cv_1_5">#REF!</definedName>
    <definedName name="cv_2">#REF!</definedName>
    <definedName name="cv_3">#REF!</definedName>
    <definedName name="cv_4">#REF!</definedName>
    <definedName name="cv_5">#REF!</definedName>
    <definedName name="cvn">#REF!</definedName>
    <definedName name="cvn_1">#REF!</definedName>
    <definedName name="cvn_1_1">#REF!</definedName>
    <definedName name="cvn_1_2">#REF!</definedName>
    <definedName name="cvn_1_3">#REF!</definedName>
    <definedName name="cvn_1_4">#REF!</definedName>
    <definedName name="cvn_1_5">#REF!</definedName>
    <definedName name="cvn_2">#REF!</definedName>
    <definedName name="cvn_3">#REF!</definedName>
    <definedName name="cvn_4">#REF!</definedName>
    <definedName name="cvn_5">#REF!</definedName>
    <definedName name="Cwvu.GREY_ALL.">#REF!</definedName>
    <definedName name="d">#REF!</definedName>
    <definedName name="da">#REF!</definedName>
    <definedName name="dafadfafadfa">#REF!</definedName>
    <definedName name="Daily_Rate">#REF!</definedName>
    <definedName name="dasda">#REF!</definedName>
    <definedName name="dasdas">#REF!</definedName>
    <definedName name="DAT">#REF!</definedName>
    <definedName name="DATA_01">#REF!</definedName>
    <definedName name="Data_FooterType" hidden="1">"INTERNAL"</definedName>
    <definedName name="data1">#REF!</definedName>
    <definedName name="data2">#REF!</definedName>
    <definedName name="data3">#REF!</definedName>
    <definedName name="dataerror">#REF!</definedName>
    <definedName name="dataseries4">OFFSET([13]c1!$G$12,0,0,COUNTA([13]c1!$G$12:$G$31),1)</definedName>
    <definedName name="DATE">#REF!</definedName>
    <definedName name="DateDue">#REF!</definedName>
    <definedName name="DateRR">#REF!</definedName>
    <definedName name="Days">[12]IPO_!$D$5</definedName>
    <definedName name="Days_Past_Due">#REF!</definedName>
    <definedName name="dc">#REF!</definedName>
    <definedName name="DCF_exp_rows">#REF!</definedName>
    <definedName name="DCF_Schedule">#REF!</definedName>
    <definedName name="DCF_Vac_Rate">#REF!</definedName>
    <definedName name="DCR">#REF!</definedName>
    <definedName name="DCRcalc">#REF!</definedName>
    <definedName name="dd">#REF!</definedName>
    <definedName name="ddd">#REF!</definedName>
    <definedName name="ddd_1">#REF!</definedName>
    <definedName name="ddd_1_1">#REF!</definedName>
    <definedName name="ddd_1_2">#REF!</definedName>
    <definedName name="ddd_1_3">#REF!</definedName>
    <definedName name="ddd_1_4">#REF!</definedName>
    <definedName name="ddd_1_5">#REF!</definedName>
    <definedName name="ddd_2">#REF!</definedName>
    <definedName name="ddd_3">#REF!</definedName>
    <definedName name="ddd_4">#REF!</definedName>
    <definedName name="ddd_5">#REF!</definedName>
    <definedName name="dddd">#REF!</definedName>
    <definedName name="dddddd">#REF!</definedName>
    <definedName name="ddddddd">#REF!</definedName>
    <definedName name="dddddddddd">#REF!</definedName>
    <definedName name="dddddddddd_1">#REF!</definedName>
    <definedName name="dddddddddd_2">#REF!</definedName>
    <definedName name="dddddddddddddddddd">#REF!</definedName>
    <definedName name="dddddddsssssssssweefe">#REF!</definedName>
    <definedName name="ddssfvv">#REF!</definedName>
    <definedName name="de">#REF!</definedName>
    <definedName name="dea">#REF!</definedName>
    <definedName name="Dealer">#REF!</definedName>
    <definedName name="DEBUT">#REF!</definedName>
    <definedName name="def">#REF!</definedName>
    <definedName name="DeferredRent">#REF!</definedName>
    <definedName name="DeferredRentLT">#REF!</definedName>
    <definedName name="DeferredRentLTR">#REF!</definedName>
    <definedName name="DeferredRentR">#REF!</definedName>
    <definedName name="DeleteThis2">#REF!</definedName>
    <definedName name="DeleteThis3">#REF!</definedName>
    <definedName name="DeleteThis4">#REF!</definedName>
    <definedName name="DeleteThis5">#REF!</definedName>
    <definedName name="DeleteThis6">#REF!</definedName>
    <definedName name="DELME">#REF!</definedName>
    <definedName name="DELME_condo">#REF!</definedName>
    <definedName name="DELME2">#REF!</definedName>
    <definedName name="DELME2_Condo">#REF!</definedName>
    <definedName name="DELME3">#REF!</definedName>
    <definedName name="DELME3_Condo">#REF!</definedName>
    <definedName name="DELME4">#REF!</definedName>
    <definedName name="DELME4_Condo">#REF!</definedName>
    <definedName name="DELME5">#REF!</definedName>
    <definedName name="DELME5_Condo">#REF!</definedName>
    <definedName name="DELME7">#REF!</definedName>
    <definedName name="DELME7_Condo">#REF!</definedName>
    <definedName name="depn">#REF!</definedName>
    <definedName name="DepPICost">#REF!</definedName>
    <definedName name="DepPIPct">#REF!</definedName>
    <definedName name="DEPRECIATION">[1]VALUE2_1.XLS!#REF!</definedName>
    <definedName name="DepTot">#REF!</definedName>
    <definedName name="desk">[7]!desk</definedName>
    <definedName name="dew">#REF!</definedName>
    <definedName name="dewwf">#REF!</definedName>
    <definedName name="df">#REF!</definedName>
    <definedName name="df_1">#REF!</definedName>
    <definedName name="df_1_1">#REF!</definedName>
    <definedName name="df_1_1_1">#REF!</definedName>
    <definedName name="df_1_1_2">#REF!</definedName>
    <definedName name="df_1_1_3">#REF!</definedName>
    <definedName name="df_1_1_4">#REF!</definedName>
    <definedName name="df_1_1_5">#REF!</definedName>
    <definedName name="df_1_2">#REF!</definedName>
    <definedName name="df_1_3">#REF!</definedName>
    <definedName name="df_1_4">#REF!</definedName>
    <definedName name="df_1_5">#REF!</definedName>
    <definedName name="df_2">#REF!</definedName>
    <definedName name="df_2_1">#REF!</definedName>
    <definedName name="df_2_2">#REF!</definedName>
    <definedName name="df_2_3">#REF!</definedName>
    <definedName name="df_2_4">#REF!</definedName>
    <definedName name="df_2_5">#REF!</definedName>
    <definedName name="df_3">#REF!</definedName>
    <definedName name="df_4">#REF!</definedName>
    <definedName name="df_5">#REF!</definedName>
    <definedName name="dfadfdafdafdafd">#REF!</definedName>
    <definedName name="dfd">#REF!</definedName>
    <definedName name="dfd_1">#REF!</definedName>
    <definedName name="dfd_1_1">#REF!</definedName>
    <definedName name="dfd_1_2">#REF!</definedName>
    <definedName name="dfd_1_3">#REF!</definedName>
    <definedName name="dfd_1_4">#REF!</definedName>
    <definedName name="dfd_1_5">#REF!</definedName>
    <definedName name="dfd_2">#REF!</definedName>
    <definedName name="dfd_3">#REF!</definedName>
    <definedName name="dfd_4">#REF!</definedName>
    <definedName name="dfd_5">#REF!</definedName>
    <definedName name="dfdfasdfdasfdsfadasfdsfadsfdsf">[7]!dfdfasdfdasfdsfadasfdsfadsfdsf</definedName>
    <definedName name="DFG">#REF!</definedName>
    <definedName name="DFG_1">#REF!</definedName>
    <definedName name="DFG_2">#REF!</definedName>
    <definedName name="dfgf">#REF!</definedName>
    <definedName name="dfgnbdfn">#REF!</definedName>
    <definedName name="dfgnbdfn_1">#REF!</definedName>
    <definedName name="dfgnbdfn_1_1">#REF!</definedName>
    <definedName name="dfgnbdfn_1_2">#REF!</definedName>
    <definedName name="dfgnbdfn_1_3">#REF!</definedName>
    <definedName name="dfgnbdfn_1_4">#REF!</definedName>
    <definedName name="dfgnbdfn_1_5">#REF!</definedName>
    <definedName name="dfgnbdfn_2">#REF!</definedName>
    <definedName name="dfgnbdfn_3">#REF!</definedName>
    <definedName name="dfgnbdfn_4">#REF!</definedName>
    <definedName name="dfgnbdfn_5">#REF!</definedName>
    <definedName name="dfnj">#REF!</definedName>
    <definedName name="dfnj_1">#REF!</definedName>
    <definedName name="dfnj_1_1">#REF!</definedName>
    <definedName name="dfnj_1_2">#REF!</definedName>
    <definedName name="dfnj_1_3">#REF!</definedName>
    <definedName name="dfnj_1_4">#REF!</definedName>
    <definedName name="dfnj_1_5">#REF!</definedName>
    <definedName name="dfnj_2">#REF!</definedName>
    <definedName name="dfnj_3">#REF!</definedName>
    <definedName name="dfnj_4">#REF!</definedName>
    <definedName name="dfnj_5">#REF!</definedName>
    <definedName name="dftdrfd">#REF!</definedName>
    <definedName name="dfvbfbfb">[7]!dfvbfbfb</definedName>
    <definedName name="dfyudnhhj">#REF!</definedName>
    <definedName name="dgfbdfyj">#REF!</definedName>
    <definedName name="dgfbdfyj_1">#REF!</definedName>
    <definedName name="dgfbdfyj_1_1">#REF!</definedName>
    <definedName name="dgfbdfyj_1_2">#REF!</definedName>
    <definedName name="dgfbdfyj_1_3">#REF!</definedName>
    <definedName name="dgfbdfyj_1_4">#REF!</definedName>
    <definedName name="dgfbdfyj_1_5">#REF!</definedName>
    <definedName name="dgfbdfyj_2">#REF!</definedName>
    <definedName name="dgfbdfyj_3">#REF!</definedName>
    <definedName name="dgfbdfyj_4">#REF!</definedName>
    <definedName name="dgfbdfyj_5">#REF!</definedName>
    <definedName name="dgfsfg">#REF!</definedName>
    <definedName name="dghbrtrgj">#REF!</definedName>
    <definedName name="Did">#REF!</definedName>
    <definedName name="Did_1">#REF!</definedName>
    <definedName name="Did_1_1">#REF!</definedName>
    <definedName name="Did_1_2">#REF!</definedName>
    <definedName name="Did_1_3">#REF!</definedName>
    <definedName name="Did_1_4">#REF!</definedName>
    <definedName name="Did_1_5">#REF!</definedName>
    <definedName name="Did_2">#REF!</definedName>
    <definedName name="Did_3">#REF!</definedName>
    <definedName name="Did_4">#REF!</definedName>
    <definedName name="Did_5">#REF!</definedName>
    <definedName name="DIR">#REF!</definedName>
    <definedName name="Dir_Cap_Schedule">#REF!</definedName>
    <definedName name="Dir_Cap_Value">#REF!</definedName>
    <definedName name="DirectCost">#REF!</definedName>
    <definedName name="DIRECTORY">[1]VALUE2_1.XLS!#REF!</definedName>
    <definedName name="DiscRate">#REF!</definedName>
    <definedName name="DIXON_LAND">#REF!</definedName>
    <definedName name="dk">#REF!</definedName>
    <definedName name="DKS">#REF!</definedName>
    <definedName name="DocType">Word</definedName>
    <definedName name="dog">#REF!</definedName>
    <definedName name="dog_1">#REF!</definedName>
    <definedName name="dog_1_1">#REF!</definedName>
    <definedName name="dog_1_2">#REF!</definedName>
    <definedName name="dog_1_3">#REF!</definedName>
    <definedName name="dog_1_4">#REF!</definedName>
    <definedName name="dog_1_5">#REF!</definedName>
    <definedName name="dog_2">#REF!</definedName>
    <definedName name="dog_3">#REF!</definedName>
    <definedName name="dog_4">#REF!</definedName>
    <definedName name="dog_5">#REF!</definedName>
    <definedName name="done">#REF!</definedName>
    <definedName name="dp">#REF!</definedName>
    <definedName name="ds">#REF!</definedName>
    <definedName name="ds_1">#REF!</definedName>
    <definedName name="ds_1_1">#REF!</definedName>
    <definedName name="ds_1_2">#REF!</definedName>
    <definedName name="ds_1_3">#REF!</definedName>
    <definedName name="ds_1_4">#REF!</definedName>
    <definedName name="ds_1_5">#REF!</definedName>
    <definedName name="ds_2">#REF!</definedName>
    <definedName name="ds_3">#REF!</definedName>
    <definedName name="ds_4">#REF!</definedName>
    <definedName name="ds_5">#REF!</definedName>
    <definedName name="dsefwwasdfdew">#REF!</definedName>
    <definedName name="dsklgjdfgjrenbori">#REF!</definedName>
    <definedName name="dssdsdsd">#REF!</definedName>
    <definedName name="dsss">#REF!</definedName>
    <definedName name="dsswfff">#REF!</definedName>
    <definedName name="dtuk">#REF!</definedName>
    <definedName name="dtuk_1">#REF!</definedName>
    <definedName name="dtuk_1_1">#REF!</definedName>
    <definedName name="dtuk_1_2">#REF!</definedName>
    <definedName name="dtuk_1_3">#REF!</definedName>
    <definedName name="dtuk_1_4">#REF!</definedName>
    <definedName name="dtuk_1_5">#REF!</definedName>
    <definedName name="dtuk_2">#REF!</definedName>
    <definedName name="dtuk_3">#REF!</definedName>
    <definedName name="dtuk_4">#REF!</definedName>
    <definedName name="dtuk_5">#REF!</definedName>
    <definedName name="dtyk">#REF!</definedName>
    <definedName name="dtyk_1">#REF!</definedName>
    <definedName name="dtyk_1_1">#REF!</definedName>
    <definedName name="dtyk_1_2">#REF!</definedName>
    <definedName name="dtyk_1_3">#REF!</definedName>
    <definedName name="dtyk_1_4">#REF!</definedName>
    <definedName name="dtyk_1_5">#REF!</definedName>
    <definedName name="dtyk_2">#REF!</definedName>
    <definedName name="dtyk_3">#REF!</definedName>
    <definedName name="dtyk_4">#REF!</definedName>
    <definedName name="dtyk_5">#REF!</definedName>
    <definedName name="dud">#REF!</definedName>
    <definedName name="duplicate123A">#REF!</definedName>
    <definedName name="DYNO">"TARGET"</definedName>
    <definedName name="dzbvx">#REF!</definedName>
    <definedName name="dzbvx_1">#REF!</definedName>
    <definedName name="dzbvx_1_1">#REF!</definedName>
    <definedName name="dzbvx_1_2">#REF!</definedName>
    <definedName name="dzbvx_1_3">#REF!</definedName>
    <definedName name="dzbvx_1_4">#REF!</definedName>
    <definedName name="dzbvx_1_5">#REF!</definedName>
    <definedName name="dzbvx_2">#REF!</definedName>
    <definedName name="dzbvx_3">#REF!</definedName>
    <definedName name="dzbvx_4">#REF!</definedName>
    <definedName name="dzbvx_5">#REF!</definedName>
    <definedName name="e">#REF!</definedName>
    <definedName name="ea">#REF!</definedName>
    <definedName name="EBITDAMonth">#REF!</definedName>
    <definedName name="EBITDAYTD">#REF!</definedName>
    <definedName name="EconLife">#REF!</definedName>
    <definedName name="eddie">#REF!</definedName>
    <definedName name="edp">#REF!</definedName>
    <definedName name="edp_1">#REF!</definedName>
    <definedName name="edp_1_1">#REF!</definedName>
    <definedName name="edp_1_2">#REF!</definedName>
    <definedName name="edp_1_3">#REF!</definedName>
    <definedName name="edp_1_4">#REF!</definedName>
    <definedName name="edp_1_5">#REF!</definedName>
    <definedName name="edp_2">#REF!</definedName>
    <definedName name="edp_3">#REF!</definedName>
    <definedName name="edp_4">#REF!</definedName>
    <definedName name="edp_5">#REF!</definedName>
    <definedName name="edwintest">#REF!</definedName>
    <definedName name="ee">#REF!</definedName>
    <definedName name="eee">#REF!</definedName>
    <definedName name="eeee">#REF!</definedName>
    <definedName name="eerw">#REF!</definedName>
    <definedName name="EffRents">#REF!</definedName>
    <definedName name="efi">#REF!</definedName>
    <definedName name="efi_1">#REF!</definedName>
    <definedName name="efi_1_1">#REF!</definedName>
    <definedName name="efi_1_2">#REF!</definedName>
    <definedName name="efi_1_3">#REF!</definedName>
    <definedName name="efi_1_4">#REF!</definedName>
    <definedName name="efi_1_5">#REF!</definedName>
    <definedName name="efi_2">#REF!</definedName>
    <definedName name="efi_3">#REF!</definedName>
    <definedName name="efi_4">#REF!</definedName>
    <definedName name="efi_5">#REF!</definedName>
    <definedName name="EGI">#REF!</definedName>
    <definedName name="EGI_Unit">#REF!</definedName>
    <definedName name="EGIMDat0Dst1">#REF!</definedName>
    <definedName name="EGIMDat0Dst2">#REF!</definedName>
    <definedName name="EGIMDat0Src">#REF!</definedName>
    <definedName name="EGIMDat1">#REF!</definedName>
    <definedName name="EGIMDat1Dst">#REF!</definedName>
    <definedName name="EGIMDat1Src">#REF!</definedName>
    <definedName name="EGIMDat2">#REF!</definedName>
    <definedName name="EGIMDat2Dst">#REF!</definedName>
    <definedName name="EGIMDat2Src">#REF!</definedName>
    <definedName name="EGIMGrid">#REF!</definedName>
    <definedName name="EGIMMax">#REF!</definedName>
    <definedName name="EGIMMin">#REF!</definedName>
    <definedName name="EGIMSaleDst1">#REF!</definedName>
    <definedName name="EGIMSaleDst2">#REF!</definedName>
    <definedName name="EGIMSaleSrc">#REF!</definedName>
    <definedName name="EGISF">#REF!</definedName>
    <definedName name="EGISumm">#REF!</definedName>
    <definedName name="EGIUnit">#REF!</definedName>
    <definedName name="END">#REF!</definedName>
    <definedName name="energy">#REF!</definedName>
    <definedName name="energy_1">#REF!</definedName>
    <definedName name="energy_1_1">#REF!</definedName>
    <definedName name="energy_1_2">#REF!</definedName>
    <definedName name="energy_1_3">#REF!</definedName>
    <definedName name="energy_1_4">#REF!</definedName>
    <definedName name="energy_1_5">#REF!</definedName>
    <definedName name="energy_2">#REF!</definedName>
    <definedName name="energy_3">#REF!</definedName>
    <definedName name="energy_4">#REF!</definedName>
    <definedName name="energy_5">#REF!</definedName>
    <definedName name="Engine_Capacity">#REF!</definedName>
    <definedName name="Engine_No">#REF!</definedName>
    <definedName name="enrgy">#REF!</definedName>
    <definedName name="enrgy_1">#REF!</definedName>
    <definedName name="enrgy_1_1">#REF!</definedName>
    <definedName name="enrgy_1_2">#REF!</definedName>
    <definedName name="enrgy_1_3">#REF!</definedName>
    <definedName name="enrgy_1_4">#REF!</definedName>
    <definedName name="enrgy_1_5">#REF!</definedName>
    <definedName name="enrgy_2">#REF!</definedName>
    <definedName name="enrgy_3">#REF!</definedName>
    <definedName name="enrgy_4">#REF!</definedName>
    <definedName name="enrgy_5">#REF!</definedName>
    <definedName name="Entity">#REF!</definedName>
    <definedName name="entrepr_profit">#REF!</definedName>
    <definedName name="eper">#REF!</definedName>
    <definedName name="EquityAdjustments">0</definedName>
    <definedName name="EquityEmployeeStockOwnershipPlan">0</definedName>
    <definedName name="EquityPaidInCapital">0</definedName>
    <definedName name="EquityTreasuryStock">0</definedName>
    <definedName name="ertherj">#REF!</definedName>
    <definedName name="ertherj_1">#REF!</definedName>
    <definedName name="ertherj_1_1">#REF!</definedName>
    <definedName name="ertherj_1_2">#REF!</definedName>
    <definedName name="ertherj_1_3">#REF!</definedName>
    <definedName name="ertherj_1_4">#REF!</definedName>
    <definedName name="ertherj_1_5">#REF!</definedName>
    <definedName name="ertherj_2">#REF!</definedName>
    <definedName name="ertherj_3">#REF!</definedName>
    <definedName name="ertherj_4">#REF!</definedName>
    <definedName name="ertherj_5">#REF!</definedName>
    <definedName name="es">#REF!</definedName>
    <definedName name="esnrc100c1_values" hidden="1">{"FTSE100","COMPANIES",TRUE}</definedName>
    <definedName name="esnrc33c1_values" hidden="1">{"EUMOT","COMPANIES",TRUE}</definedName>
    <definedName name="esnrc56c1_values" hidden="1">{"ASCONGRP","COMPANIES",TRUE}</definedName>
    <definedName name="esnrc63c1_values" hidden="1">{"EUUTIGRP","COMPANIES",TRUE}</definedName>
    <definedName name="esnrc91c1_values" hidden="1">{"EUUTI","COMPANIES",TRUE}</definedName>
    <definedName name="esrgsbg">#REF!</definedName>
    <definedName name="esrgsbg_1">#REF!</definedName>
    <definedName name="esrgsbg_1_1">#REF!</definedName>
    <definedName name="esrgsbg_1_2">#REF!</definedName>
    <definedName name="esrgsbg_1_3">#REF!</definedName>
    <definedName name="esrgsbg_1_4">#REF!</definedName>
    <definedName name="esrgsbg_1_5">#REF!</definedName>
    <definedName name="esrgsbg_2">#REF!</definedName>
    <definedName name="esrgsbg_3">#REF!</definedName>
    <definedName name="esrgsbg_4">#REF!</definedName>
    <definedName name="esrgsbg_5">#REF!</definedName>
    <definedName name="ESTHB">#REF!</definedName>
    <definedName name="ESTHB_1">#REF!</definedName>
    <definedName name="ESTHB_1_1">#REF!</definedName>
    <definedName name="ESTHB_1_2">#REF!</definedName>
    <definedName name="ESTHB_1_3">#REF!</definedName>
    <definedName name="ESTHB_1_4">#REF!</definedName>
    <definedName name="ESTHB_1_5">#REF!</definedName>
    <definedName name="ESTHB_2">#REF!</definedName>
    <definedName name="ESTHB_3">#REF!</definedName>
    <definedName name="ESTHB_4">#REF!</definedName>
    <definedName name="ESTHB_5">#REF!</definedName>
    <definedName name="ethg" hidden="1">{"'RCIM'!$E$128"}</definedName>
    <definedName name="etyjdtuk">#REF!</definedName>
    <definedName name="etyjdtuk_1">#REF!</definedName>
    <definedName name="etyjdtuk_1_1">#REF!</definedName>
    <definedName name="etyjdtuk_1_2">#REF!</definedName>
    <definedName name="etyjdtuk_1_3">#REF!</definedName>
    <definedName name="etyjdtuk_1_4">#REF!</definedName>
    <definedName name="etyjdtuk_1_5">#REF!</definedName>
    <definedName name="etyjdtuk_2">#REF!</definedName>
    <definedName name="etyjdtuk_3">#REF!</definedName>
    <definedName name="etyjdtuk_4">#REF!</definedName>
    <definedName name="etyjdtuk_5">#REF!</definedName>
    <definedName name="EV">[1]VALUE2_1.XLS!#REF!</definedName>
    <definedName name="ev.Calculation" hidden="1">-4135</definedName>
    <definedName name="ev.Initialized" hidden="1">FALSE</definedName>
    <definedName name="evgfrtdtb">#REF!</definedName>
    <definedName name="evgfrtdtb_1">#REF!</definedName>
    <definedName name="evgfrtdtb_1_1">#REF!</definedName>
    <definedName name="evgfrtdtb_1_2">#REF!</definedName>
    <definedName name="evgfrtdtb_1_3">#REF!</definedName>
    <definedName name="evgfrtdtb_1_4">#REF!</definedName>
    <definedName name="evgfrtdtb_1_5">#REF!</definedName>
    <definedName name="evgfrtdtb_2">#REF!</definedName>
    <definedName name="evgfrtdtb_3">#REF!</definedName>
    <definedName name="evgfrtdtb_4">#REF!</definedName>
    <definedName name="evgfrtdtb_5">#REF!</definedName>
    <definedName name="ew">#REF!</definedName>
    <definedName name="ewa">#REF!</definedName>
    <definedName name="ewa_1">#REF!</definedName>
    <definedName name="ewa_1_1">#REF!</definedName>
    <definedName name="ewa_1_2">#REF!</definedName>
    <definedName name="ewa_1_3">#REF!</definedName>
    <definedName name="ewa_1_4">#REF!</definedName>
    <definedName name="ewa_1_5">#REF!</definedName>
    <definedName name="ewa_2">#REF!</definedName>
    <definedName name="ewa_3">#REF!</definedName>
    <definedName name="ewa_4">#REF!</definedName>
    <definedName name="ewa_5">#REF!</definedName>
    <definedName name="ewfwe">#REF!</definedName>
    <definedName name="ewgf">#REF!</definedName>
    <definedName name="ewgf_1">#REF!</definedName>
    <definedName name="ewgf_1_1">#REF!</definedName>
    <definedName name="ewgf_1_2">#REF!</definedName>
    <definedName name="ewgf_1_3">#REF!</definedName>
    <definedName name="ewgf_1_4">#REF!</definedName>
    <definedName name="ewgf_1_5">#REF!</definedName>
    <definedName name="ewgf_2">#REF!</definedName>
    <definedName name="ewgf_3">#REF!</definedName>
    <definedName name="ewgf_4">#REF!</definedName>
    <definedName name="ewgf_5">#REF!</definedName>
    <definedName name="Excel_BuiltIn_Print_Area_1">#REF!</definedName>
    <definedName name="Exch">" Sheet2!$F$2"</definedName>
    <definedName name="EXE">#REF!</definedName>
    <definedName name="Exp_Cat_1">#REF!</definedName>
    <definedName name="Exp_Cat_2">#REF!</definedName>
    <definedName name="Exp_Cat_3">#REF!</definedName>
    <definedName name="Exp_Cat_4">#REF!</definedName>
    <definedName name="Exp_Cat_5">#REF!</definedName>
    <definedName name="Exp_Cat_6">#REF!</definedName>
    <definedName name="Exp_Cat_7">#REF!</definedName>
    <definedName name="Exp_Cat_8">#REF!</definedName>
    <definedName name="Exp_Cat_9">#REF!</definedName>
    <definedName name="Exp_Comparison_Value">#REF!</definedName>
    <definedName name="Exp_Prof">#REF!</definedName>
    <definedName name="Exp_Reimb_Row">#REF!</definedName>
    <definedName name="Exp_Rows">#REF!</definedName>
    <definedName name="Exp_Unit">#REF!</definedName>
    <definedName name="Exp_Unit_Cells">#REF!</definedName>
    <definedName name="Exp_Unit_Val">#REF!</definedName>
    <definedName name="ExpBdgt03">#REF!</definedName>
    <definedName name="ExpBdgt19">#REF!</definedName>
    <definedName name="ExpBdgt21">#REF!</definedName>
    <definedName name="ExpBdgt23">#REF!</definedName>
    <definedName name="ExpBdgt30">#REF!</definedName>
    <definedName name="ExpBdgt40">#REF!</definedName>
    <definedName name="ExpBdgt54">#REF!</definedName>
    <definedName name="ExpBdgt59">#REF!</definedName>
    <definedName name="ExpBdgt60">#REF!</definedName>
    <definedName name="ExpCmp01">#REF!</definedName>
    <definedName name="ExpCmp03">#REF!</definedName>
    <definedName name="ExpCmp19">#REF!</definedName>
    <definedName name="ExpCmp21">#REF!</definedName>
    <definedName name="ExpCmp23">#REF!</definedName>
    <definedName name="ExpCmp30">#REF!</definedName>
    <definedName name="ExpCmp40">#REF!</definedName>
    <definedName name="ExpCmp52">#REF!</definedName>
    <definedName name="ExpCmp54">#REF!</definedName>
    <definedName name="ExpCmp59">#REF!</definedName>
    <definedName name="ExpComp">#REF!</definedName>
    <definedName name="ExpCompTotSF">#REF!</definedName>
    <definedName name="Expenses">#REF!</definedName>
    <definedName name="ExpensesSF">#REF!</definedName>
    <definedName name="ExpensesUnit">#REF!</definedName>
    <definedName name="Exposure">#REF!</definedName>
    <definedName name="ExpPF03">#REF!</definedName>
    <definedName name="ExpPF03SF">#REF!</definedName>
    <definedName name="ExpPF19">#REF!</definedName>
    <definedName name="ExpPF19SF">#REF!</definedName>
    <definedName name="ExpPF21">#REF!</definedName>
    <definedName name="ExpPF21SF">#REF!</definedName>
    <definedName name="ExpPF23">#REF!</definedName>
    <definedName name="ExpPF23SF">#REF!</definedName>
    <definedName name="ExpPF30">#REF!</definedName>
    <definedName name="ExpPF30SF">#REF!</definedName>
    <definedName name="ExpPF40">#REF!</definedName>
    <definedName name="ExpPF40SF">#REF!</definedName>
    <definedName name="ExpPF54">#REF!</definedName>
    <definedName name="ExpPF54SF">#REF!</definedName>
    <definedName name="ExpPF59">#REF!</definedName>
    <definedName name="ExpPF59SF">#REF!</definedName>
    <definedName name="ExpSFAvg">#REF!</definedName>
    <definedName name="ExpSFMax">#REF!</definedName>
    <definedName name="ExpSFMin">#REF!</definedName>
    <definedName name="ExpSumm">#REF!</definedName>
    <definedName name="ExpTblAdm">#REF!</definedName>
    <definedName name="ExpTblClean">#REF!</definedName>
    <definedName name="ExpTblIns">#REF!</definedName>
    <definedName name="ExpTblMaint">#REF!</definedName>
    <definedName name="ExpTblMgmt">#REF!</definedName>
    <definedName name="ExpTblMisc">#REF!</definedName>
    <definedName name="ExpTblPay">#REF!</definedName>
    <definedName name="ExpTblUtl">#REF!</definedName>
    <definedName name="external_obs">#REF!</definedName>
    <definedName name="eynetn">#REF!</definedName>
    <definedName name="eynetn_1">#REF!</definedName>
    <definedName name="eynetn_1_1">#REF!</definedName>
    <definedName name="eynetn_1_2">#REF!</definedName>
    <definedName name="eynetn_1_3">#REF!</definedName>
    <definedName name="eynetn_1_4">#REF!</definedName>
    <definedName name="eynetn_1_5">#REF!</definedName>
    <definedName name="eynetn_2">#REF!</definedName>
    <definedName name="eynetn_3">#REF!</definedName>
    <definedName name="eynetn_4">#REF!</definedName>
    <definedName name="eynetn_5">#REF!</definedName>
    <definedName name="F.P.LABEL">#REF!</definedName>
    <definedName name="f_1">#REF!</definedName>
    <definedName name="f_1_1">#REF!</definedName>
    <definedName name="f_1_1_1">#REF!</definedName>
    <definedName name="f_1_1_2">#REF!</definedName>
    <definedName name="f_1_1_3">#REF!</definedName>
    <definedName name="f_1_1_4">#REF!</definedName>
    <definedName name="f_1_1_5">#REF!</definedName>
    <definedName name="f_1_2">#REF!</definedName>
    <definedName name="f_1_3">#REF!</definedName>
    <definedName name="f_1_4">#REF!</definedName>
    <definedName name="f_1_5">#REF!</definedName>
    <definedName name="f_roic">[1]VALUE2_1.XLS!#REF!</definedName>
    <definedName name="fa">#REF!</definedName>
    <definedName name="fair_value">22</definedName>
    <definedName name="FAR">#REF!</definedName>
    <definedName name="fasdfadf">#REF!</definedName>
    <definedName name="FBASE">[1]VALUE2_1.XLS!#REF!</definedName>
    <definedName name="FCASHTAX">[1]VALUE2_1.XLS!#REF!</definedName>
    <definedName name="fchynd">#REF!</definedName>
    <definedName name="FcnCategory">#REF!</definedName>
    <definedName name="FCOGS">[1]VALUE2_1.XLS!#REF!</definedName>
    <definedName name="FCONSTANT">[1]VALUE2_1.XLS!#REF!</definedName>
    <definedName name="fd">#REF!</definedName>
    <definedName name="FDEPRECIATION">[1]VALUE2_1.XLS!#REF!</definedName>
    <definedName name="fdf">#REF!</definedName>
    <definedName name="fdf_1">#REF!</definedName>
    <definedName name="fdf_1_1">#REF!</definedName>
    <definedName name="fdf_1_2">#REF!</definedName>
    <definedName name="fdf_1_3">#REF!</definedName>
    <definedName name="fdf_1_4">#REF!</definedName>
    <definedName name="fdf_1_5">#REF!</definedName>
    <definedName name="fdf_2">#REF!</definedName>
    <definedName name="fdf_3">#REF!</definedName>
    <definedName name="fdf_4">#REF!</definedName>
    <definedName name="fdf_5">#REF!</definedName>
    <definedName name="fdfdfd">#REF!</definedName>
    <definedName name="fdfdfdf">#REF!</definedName>
    <definedName name="fdgn">#REF!</definedName>
    <definedName name="fdgn_1">#REF!</definedName>
    <definedName name="fdgn_1_1">#REF!</definedName>
    <definedName name="fdgn_1_2">#REF!</definedName>
    <definedName name="fdgn_1_3">#REF!</definedName>
    <definedName name="fdgn_1_4">#REF!</definedName>
    <definedName name="fdgn_1_5">#REF!</definedName>
    <definedName name="fdgn_2">#REF!</definedName>
    <definedName name="fdgn_3">#REF!</definedName>
    <definedName name="fdgn_4">#REF!</definedName>
    <definedName name="fdgn_5">#REF!</definedName>
    <definedName name="fdhtrthr">#REF!</definedName>
    <definedName name="FDP_1_1_aDrv">#REF!</definedName>
    <definedName name="FDP_10_1_aUrv">#REF!</definedName>
    <definedName name="FDP_12_1_aUrv">#REF!</definedName>
    <definedName name="FDP_13_1_aUrv">#REF!</definedName>
    <definedName name="FDP_2_1_aUrv">#REF!</definedName>
    <definedName name="FDP_20_1_aUrv">#REF!</definedName>
    <definedName name="FDP_21_1_aUrv">#REF!</definedName>
    <definedName name="FDP_24_1_aSrv">#REF!</definedName>
    <definedName name="FDP_25_1_aUrv">#REF!</definedName>
    <definedName name="FDP_26_1_aUrv">#REF!</definedName>
    <definedName name="FDP_274_1_aSrv">#REF!</definedName>
    <definedName name="FDP_275_1_aSrv">#REF!</definedName>
    <definedName name="FDP_276_1_aSrv">#REF!</definedName>
    <definedName name="FDP_277_1_aSrv">#REF!</definedName>
    <definedName name="FDP_278_1_aSrv">#REF!</definedName>
    <definedName name="FDP_279_1_aSrv">#REF!</definedName>
    <definedName name="FDP_28_1_aUrv">#REF!</definedName>
    <definedName name="FDP_285_1_aSrv">#REF!</definedName>
    <definedName name="FDP_286_1_aSrv">#REF!</definedName>
    <definedName name="FDP_287_1_aSrv">#REF!</definedName>
    <definedName name="FDP_29_1_aUrv">#REF!</definedName>
    <definedName name="FDP_30_1_aSrv">#REF!</definedName>
    <definedName name="FDP_31_1_aSrv">#REF!</definedName>
    <definedName name="FDP_318_1_aUrv">#REF!</definedName>
    <definedName name="FDP_319_1_aUrv">#REF!</definedName>
    <definedName name="FDP_32_1_aUrv">#REF!</definedName>
    <definedName name="FDP_320_1_aUrv">#REF!</definedName>
    <definedName name="FDP_321_1_aUrv">#REF!</definedName>
    <definedName name="FDP_322_1_aUrv">#REF!</definedName>
    <definedName name="FDP_323_1_aUrv">#REF!</definedName>
    <definedName name="FDP_324_1_aUrv">#REF!</definedName>
    <definedName name="FDP_325_1_aUrv">#REF!</definedName>
    <definedName name="FDP_326_1_aUrv">#REF!</definedName>
    <definedName name="FDP_327_1_aUrv">#REF!</definedName>
    <definedName name="FDP_328_1_aUrv">#REF!</definedName>
    <definedName name="FDP_329_1_aUrv">#REF!</definedName>
    <definedName name="FDP_330_1_aUrv">#REF!</definedName>
    <definedName name="FDP_331_1_aUrv">#REF!</definedName>
    <definedName name="FDP_332_1_aUrv">#REF!</definedName>
    <definedName name="FDP_333_1_aUrv">#REF!</definedName>
    <definedName name="FDP_334_1_aSrv">#REF!</definedName>
    <definedName name="FDP_335_1_aSrv">#REF!</definedName>
    <definedName name="FDP_336_1_aUrv">#REF!</definedName>
    <definedName name="FDP_337_1_aUrv">#REF!</definedName>
    <definedName name="FDP_338_1_aUrv">#REF!</definedName>
    <definedName name="FDP_339_1_aSrv">#REF!</definedName>
    <definedName name="FDP_34_1_aUrv">#REF!</definedName>
    <definedName name="FDP_342_1_aUrv">#REF!</definedName>
    <definedName name="FDP_343_1_aUrv">#REF!</definedName>
    <definedName name="FDP_344_1_aUrv">#REF!</definedName>
    <definedName name="FDP_345_1_aUrv">#REF!</definedName>
    <definedName name="FDP_346_1_aUrv">#REF!</definedName>
    <definedName name="FDP_347_1_aSrv">#REF!</definedName>
    <definedName name="FDP_348_1_aUrv">#REF!</definedName>
    <definedName name="FDP_349_1_aUrv">#REF!</definedName>
    <definedName name="FDP_35_1_aUrv">#REF!</definedName>
    <definedName name="FDP_350_1_aUrv">#REF!</definedName>
    <definedName name="FDP_351_1_aUrv">#REF!</definedName>
    <definedName name="FDP_352_1_aUrv">#REF!</definedName>
    <definedName name="FDP_353_1_aSrv">#REF!</definedName>
    <definedName name="FDP_354_1_aSrv">#REF!</definedName>
    <definedName name="FDP_355_1_aUrv">#REF!</definedName>
    <definedName name="FDP_356_1_aUrv">#REF!</definedName>
    <definedName name="FDP_357_1_aUrv">#REF!</definedName>
    <definedName name="FDP_358_1_aUrv">#REF!</definedName>
    <definedName name="FDP_359_1_aUrv">#REF!</definedName>
    <definedName name="FDP_36_1_aUrv">#REF!</definedName>
    <definedName name="FDP_360_1_aSrv">#REF!</definedName>
    <definedName name="FDP_361_1_aUrv">#REF!</definedName>
    <definedName name="FDP_362_1_aUrv">#REF!</definedName>
    <definedName name="FDP_363_1_aUrv">#REF!</definedName>
    <definedName name="FDP_364_1_aUrv">#REF!</definedName>
    <definedName name="FDP_365_1_aUrv">#REF!</definedName>
    <definedName name="FDP_366_1_aUrv">#REF!</definedName>
    <definedName name="FDP_367_1_aUrv">#REF!</definedName>
    <definedName name="FDP_368_1_aUrv">#REF!</definedName>
    <definedName name="FDP_369_1_aUrv">#REF!</definedName>
    <definedName name="FDP_37_1_aSrv">#REF!</definedName>
    <definedName name="FDP_370_1_aUrv">#REF!</definedName>
    <definedName name="FDP_371_1_aUrv">#REF!</definedName>
    <definedName name="FDP_372_1_aUrv">#REF!</definedName>
    <definedName name="FDP_373_1_aSrv">#REF!</definedName>
    <definedName name="FDP_374_1_aSrv">#REF!</definedName>
    <definedName name="FDP_375_1_aSrv">#REF!</definedName>
    <definedName name="FDP_376_1_aSrv">#REF!</definedName>
    <definedName name="FDP_377_1_aUrv">#REF!</definedName>
    <definedName name="FDP_378_1_aUrv">#REF!</definedName>
    <definedName name="FDP_379_1_aSrv">#REF!</definedName>
    <definedName name="FDP_38_1_aUrv">#REF!</definedName>
    <definedName name="FDP_380_1_aUrv">#REF!</definedName>
    <definedName name="FDP_381_1_aUrv">#REF!</definedName>
    <definedName name="FDP_382_1_aSrv">#REF!</definedName>
    <definedName name="FDP_383_1_aUrv">#REF!</definedName>
    <definedName name="FDP_384_1_aUrv">#REF!</definedName>
    <definedName name="FDP_385_1_aUrv">#REF!</definedName>
    <definedName name="FDP_386_1_aUrv">#REF!</definedName>
    <definedName name="FDP_387_1_aUrv">#REF!</definedName>
    <definedName name="FDP_388_1_aSrv">#REF!</definedName>
    <definedName name="FDP_389_1_aUrv">#REF!</definedName>
    <definedName name="FDP_39_1_aUrv">#REF!</definedName>
    <definedName name="FDP_390_1_aSrv">#REF!</definedName>
    <definedName name="FDP_391_1_aUrv">#REF!</definedName>
    <definedName name="FDP_392_1_aUrv">#REF!</definedName>
    <definedName name="FDP_393_1_aUrv">#REF!</definedName>
    <definedName name="FDP_394_1_aSrv">#REF!</definedName>
    <definedName name="FDP_395_1_aSrv">#REF!</definedName>
    <definedName name="FDP_396_1_aSrv">#REF!</definedName>
    <definedName name="FDP_397_1_aUrv">#REF!</definedName>
    <definedName name="FDP_398_1_aSrv">#REF!</definedName>
    <definedName name="FDP_399_1_aUrv">#REF!</definedName>
    <definedName name="FDP_4_1_aUrv">#REF!</definedName>
    <definedName name="FDP_40_1_aUrv">#REF!</definedName>
    <definedName name="FDP_400_1_aUrv">#REF!</definedName>
    <definedName name="FDP_401_1_aUrv">#REF!</definedName>
    <definedName name="FDP_407_1_aUrv">#REF!</definedName>
    <definedName name="FDP_41_1_aUrv">#REF!</definedName>
    <definedName name="FDP_413_1_aUrv">#REF!</definedName>
    <definedName name="FDP_414_1_aUrv">#REF!</definedName>
    <definedName name="FDP_415_1_aUrv">#REF!</definedName>
    <definedName name="FDP_416_1_aUrv">#REF!</definedName>
    <definedName name="FDP_417_1_aUrv">#REF!</definedName>
    <definedName name="FDP_418_1_aUrv">#REF!</definedName>
    <definedName name="FDP_419_1_aUrv">#REF!</definedName>
    <definedName name="FDP_42_1_aUrv">#REF!</definedName>
    <definedName name="FDP_420_1_aUrv">#REF!</definedName>
    <definedName name="FDP_421_1_aUrv">#REF!</definedName>
    <definedName name="FDP_422_1_aUrv">#REF!</definedName>
    <definedName name="FDP_423_1_aUrv">#REF!</definedName>
    <definedName name="FDP_424_1_aUrv">#REF!</definedName>
    <definedName name="FDP_425_1_aUrv">#REF!</definedName>
    <definedName name="FDP_426_1_aUrv">#REF!</definedName>
    <definedName name="FDP_427_1_aUrv">#REF!</definedName>
    <definedName name="FDP_428_1_aUrv">#REF!</definedName>
    <definedName name="FDP_429_1_aUrv">#REF!</definedName>
    <definedName name="FDP_43_1_aUrv">#REF!</definedName>
    <definedName name="FDP_430_1_aUrv">#REF!</definedName>
    <definedName name="FDP_431_1_aUrv">#REF!</definedName>
    <definedName name="FDP_432_1_aUrv">#REF!</definedName>
    <definedName name="FDP_433_1_aUrv">#REF!</definedName>
    <definedName name="FDP_434_1_aUrv">#REF!</definedName>
    <definedName name="FDP_435_1_aUrv">#REF!</definedName>
    <definedName name="FDP_436_1_aUrv">#REF!</definedName>
    <definedName name="FDP_437_1_aUrv">#REF!</definedName>
    <definedName name="FDP_438_1_aUrv">#REF!</definedName>
    <definedName name="FDP_439_1_aUrv">#REF!</definedName>
    <definedName name="FDP_440_1_aSrv">#REF!</definedName>
    <definedName name="FDP_441_1_aUrv">#REF!</definedName>
    <definedName name="FDP_442_1_aUrv">#REF!</definedName>
    <definedName name="FDP_443_1_aUrv">#REF!</definedName>
    <definedName name="FDP_444_1_aSrv">#REF!</definedName>
    <definedName name="FDP_448_1_aSrv">#REF!</definedName>
    <definedName name="FDP_449_1_aUrv">#REF!</definedName>
    <definedName name="FDP_450_1_aUrv">#REF!</definedName>
    <definedName name="FDP_451_1_aUrv">#REF!</definedName>
    <definedName name="FDP_452_1_aSrv">#REF!</definedName>
    <definedName name="FDP_453_1_aSrv">#REF!</definedName>
    <definedName name="FDP_454_1_aSrv">#REF!</definedName>
    <definedName name="FDP_455_1_aSrv">#REF!</definedName>
    <definedName name="FDP_457_1_aSrv">#REF!</definedName>
    <definedName name="FDP_459_1_aSrv">#REF!</definedName>
    <definedName name="FDP_460_1_aSrv">#REF!</definedName>
    <definedName name="FDP_461_1_aSrv">#REF!</definedName>
    <definedName name="FDP_462_1_aSrv">#REF!</definedName>
    <definedName name="FDP_463_1_aSrv">#REF!</definedName>
    <definedName name="FDP_464_1_aSrv">#REF!</definedName>
    <definedName name="FDP_465_1_aSrv">#REF!</definedName>
    <definedName name="FDP_466_1_aSrv">#REF!</definedName>
    <definedName name="FDP_467_1_aSrv">#REF!</definedName>
    <definedName name="FDP_473_1_aSrv">#REF!</definedName>
    <definedName name="FDP_474_1_aSrv">#REF!</definedName>
    <definedName name="FDP_475_1_aSrv">#REF!</definedName>
    <definedName name="FDP_476_1_aSrv">#REF!</definedName>
    <definedName name="FDP_5_1_aUrv">#REF!</definedName>
    <definedName name="FDP_50_1_aSrv">#REF!</definedName>
    <definedName name="FDP_51_1_aSrv">#REF!</definedName>
    <definedName name="FDP_52_1_aUrv">#REF!</definedName>
    <definedName name="FDP_53_1_aUrv">#REF!</definedName>
    <definedName name="FDP_54_1_aUrv">#REF!</definedName>
    <definedName name="FDP_55_1_aUrv">#REF!</definedName>
    <definedName name="FDP_555_1_aUrv">#REF!</definedName>
    <definedName name="FDP_556_1_aUrv">#REF!</definedName>
    <definedName name="FDP_557_1_aSrv">#REF!</definedName>
    <definedName name="FDP_558_1_aSrv">#REF!</definedName>
    <definedName name="FDP_559_1_aSrv">#REF!</definedName>
    <definedName name="FDP_560_1_aSrv">#REF!</definedName>
    <definedName name="FDP_561_1_aSrv">#REF!</definedName>
    <definedName name="FDP_562_1_aSrv">#REF!</definedName>
    <definedName name="FDP_563_1_aSrv">#REF!</definedName>
    <definedName name="FDP_564_1_aSrv">#REF!</definedName>
    <definedName name="FDP_565_1_aSrv">#REF!</definedName>
    <definedName name="FDP_566_1_aSrv">#REF!</definedName>
    <definedName name="FDP_567_1_aSrv">#REF!</definedName>
    <definedName name="FDP_568_1_aSrv">#REF!</definedName>
    <definedName name="FDP_569_1_aSrv">#REF!</definedName>
    <definedName name="FDP_570_1_aSrv">#REF!</definedName>
    <definedName name="FDP_571_1_aSrv">#REF!</definedName>
    <definedName name="FDP_572_1_aSrv">#REF!</definedName>
    <definedName name="FDP_573_1_aSrv">#REF!</definedName>
    <definedName name="FDP_574_1_aSrv">#REF!</definedName>
    <definedName name="FDP_575_1_aSrv">#REF!</definedName>
    <definedName name="FDP_576_1_aSrv">#REF!</definedName>
    <definedName name="FDP_577_1_aSrv">#REF!</definedName>
    <definedName name="FDP_578_1_aSrv">#REF!</definedName>
    <definedName name="FDP_579_1_aSrv">#REF!</definedName>
    <definedName name="FDP_580_1_aSrv">#REF!</definedName>
    <definedName name="FDP_581_1_aSrv">#REF!</definedName>
    <definedName name="FDP_582_1_aSrv">#REF!</definedName>
    <definedName name="FDP_583_1_aSrv">#REF!</definedName>
    <definedName name="FDP_584_1_aSrv">#REF!</definedName>
    <definedName name="FDP_585_1_aUrv">#REF!</definedName>
    <definedName name="FDP_586_1_aUrv">#REF!</definedName>
    <definedName name="FDP_587_1_aUrv">#REF!</definedName>
    <definedName name="FDP_588_1_aUdv">#REF!</definedName>
    <definedName name="FDP_589_1_aUdv">#REF!</definedName>
    <definedName name="FDP_590_1_aUdv">#REF!</definedName>
    <definedName name="FDP_591_1_aUdv">#REF!</definedName>
    <definedName name="FDP_592_1_aUdv">#REF!</definedName>
    <definedName name="FDP_593_1_aUdv">#REF!</definedName>
    <definedName name="FDP_594_1_aUdv">#REF!</definedName>
    <definedName name="FDP_595_1_aUdv">#REF!</definedName>
    <definedName name="FDP_596_1_aUdv">#REF!</definedName>
    <definedName name="FDP_597_1_aUdv">#REF!</definedName>
    <definedName name="FDP_598_1_aUdv">#REF!</definedName>
    <definedName name="FDP_599_1_aUdv">#REF!</definedName>
    <definedName name="FDP_6_1_aUrv">#REF!</definedName>
    <definedName name="FDP_600_1_aUdv">#REF!</definedName>
    <definedName name="FDP_601_1_aUdv">#REF!</definedName>
    <definedName name="FDP_602_1_aUdv">#REF!</definedName>
    <definedName name="FDP_603_1_aUdv">#REF!</definedName>
    <definedName name="FDP_604_1_aUdv">#REF!</definedName>
    <definedName name="FDP_605_1_aUdv">#REF!</definedName>
    <definedName name="FDP_606_1_aUdv">#REF!</definedName>
    <definedName name="FDP_607_1_aUdv">#REF!</definedName>
    <definedName name="FDP_608_1_aUrv">#REF!</definedName>
    <definedName name="FDP_611_1_aSrv">#REF!</definedName>
    <definedName name="FDP_621_1_aUrv">#REF!</definedName>
    <definedName name="FDP_622_1_aUrv">#REF!</definedName>
    <definedName name="FDP_623_1_aSrv">#REF!</definedName>
    <definedName name="FDP_8_1_aUrv">#REF!</definedName>
    <definedName name="FDP_9_1_aUrv">#REF!</definedName>
    <definedName name="fds">#REF!</definedName>
    <definedName name="fds_1">#REF!</definedName>
    <definedName name="fds_1_1">#REF!</definedName>
    <definedName name="fds_1_2">#REF!</definedName>
    <definedName name="fds_1_3">#REF!</definedName>
    <definedName name="fds_1_4">#REF!</definedName>
    <definedName name="fds_1_5">#REF!</definedName>
    <definedName name="fds_2">#REF!</definedName>
    <definedName name="fds_3">#REF!</definedName>
    <definedName name="fds_4">#REF!</definedName>
    <definedName name="fds_5">#REF!</definedName>
    <definedName name="Feature1">#REF!</definedName>
    <definedName name="Feature2">#REF!</definedName>
    <definedName name="Feature3">#REF!</definedName>
    <definedName name="Feature4">#REF!</definedName>
    <definedName name="Fee">#REF!</definedName>
    <definedName name="fff">#REF!</definedName>
    <definedName name="fgfgf">#REF!</definedName>
    <definedName name="fghgf">#REF!</definedName>
    <definedName name="FGROWTH">[1]VALUE2_1.XLS!#REF!</definedName>
    <definedName name="FILE">[1]VALUE2_1.XLS!#REF!</definedName>
    <definedName name="FileNo">#REF!</definedName>
    <definedName name="FILL2">#REF!</definedName>
    <definedName name="filler">#REF!</definedName>
    <definedName name="filler2">#REF!</definedName>
    <definedName name="filler3">#REF!</definedName>
    <definedName name="FIN">#REF!</definedName>
    <definedName name="FinCost">#REF!</definedName>
    <definedName name="FINCREASED">[1]VALUE2_1.XLS!#REF!</definedName>
    <definedName name="findingss">#REF!</definedName>
    <definedName name="FINETOTHER">[1]VALUE2_1.XLS!#REF!</definedName>
    <definedName name="FINETPPE">[1]VALUE2_1.XLS!#REF!</definedName>
    <definedName name="FinPct">#REF!</definedName>
    <definedName name="FINTENSITY">[1]VALUE2_1.XLS!#REF!</definedName>
    <definedName name="FINVESTMENT">[1]VALUE2_1.XLS!#REF!</definedName>
    <definedName name="FINVESTYEARS">[1]VALUE2_1.XLS!#REF!</definedName>
    <definedName name="First_Payment_Date">#REF!</definedName>
    <definedName name="FIWORKING">[1]VALUE2_1.XLS!#REF!</definedName>
    <definedName name="Fixed.Assets">#REF!</definedName>
    <definedName name="fjdks">#REF!</definedName>
    <definedName name="Floorplan_1">#REF!</definedName>
    <definedName name="Floorplans">#REF!</definedName>
    <definedName name="Floorplans_2">#REF!</definedName>
    <definedName name="Floorplans_3">#REF!</definedName>
    <definedName name="FMARGIN">[1]VALUE2_1.XLS!#REF!</definedName>
    <definedName name="FNETPPE">[1]VALUE2_1.XLS!#REF!</definedName>
    <definedName name="FNOPLAT">[1]VALUE2_1.XLS!#REF!</definedName>
    <definedName name="foo">#REF!</definedName>
    <definedName name="foo_1">#REF!</definedName>
    <definedName name="foo_1_1">#REF!</definedName>
    <definedName name="foo_1_2">#REF!</definedName>
    <definedName name="foo_1_3">#REF!</definedName>
    <definedName name="foo_1_4">#REF!</definedName>
    <definedName name="foo_1_5">#REF!</definedName>
    <definedName name="foo_2">#REF!</definedName>
    <definedName name="foo_3">#REF!</definedName>
    <definedName name="foo_4">#REF!</definedName>
    <definedName name="foo_5">#REF!</definedName>
    <definedName name="fordgoodtimes">#REF!</definedName>
    <definedName name="Foreign">#REF!</definedName>
    <definedName name="Foreign.Info">#REF!</definedName>
    <definedName name="forget">#REF!</definedName>
    <definedName name="forget_1">#REF!</definedName>
    <definedName name="forget_1_1">#REF!</definedName>
    <definedName name="forget_1_2">#REF!</definedName>
    <definedName name="forget_1_3">#REF!</definedName>
    <definedName name="forget_1_4">#REF!</definedName>
    <definedName name="forget_1_5">#REF!</definedName>
    <definedName name="forget_2">#REF!</definedName>
    <definedName name="forget_3">#REF!</definedName>
    <definedName name="forget_4">#REF!</definedName>
    <definedName name="forget_5">#REF!</definedName>
    <definedName name="FOTHER">[1]VALUE2_1.XLS!#REF!</definedName>
    <definedName name="four">#REF!</definedName>
    <definedName name="FPREROIC">[1]VALUE2_1.XLS!#REF!</definedName>
    <definedName name="FRENCH_ROAD">#REF!</definedName>
    <definedName name="FRESNO_I">#REF!</definedName>
    <definedName name="FRESNO_II">#REF!</definedName>
    <definedName name="FROIC">[1]VALUE2_1.XLS!#REF!</definedName>
    <definedName name="FROICYEARS">[1]VALUE2_1.XLS!#REF!</definedName>
    <definedName name="FSG_A">[1]VALUE2_1.XLS!#REF!</definedName>
    <definedName name="FTURNOVER">[1]VALUE2_1.XLS!#REF!</definedName>
    <definedName name="fuckface">#REF!</definedName>
    <definedName name="Function">#REF!</definedName>
    <definedName name="functional_depreciation">#REF!</definedName>
    <definedName name="fvbgfchj">#REF!</definedName>
    <definedName name="fvbgfchj_1">#REF!</definedName>
    <definedName name="fvbgfchj_1_1">#REF!</definedName>
    <definedName name="fvbgfchj_1_2">#REF!</definedName>
    <definedName name="fvbgfchj_1_3">#REF!</definedName>
    <definedName name="fvbgfchj_1_4">#REF!</definedName>
    <definedName name="fvbgfchj_1_5">#REF!</definedName>
    <definedName name="fvbgfchj_2">#REF!</definedName>
    <definedName name="fvbgfchj_3">#REF!</definedName>
    <definedName name="fvbgfchj_4">#REF!</definedName>
    <definedName name="fvbgfchj_5">#REF!</definedName>
    <definedName name="FWORKING">[1]VALUE2_1.XLS!#REF!</definedName>
    <definedName name="fxdghsfgh">#REF!</definedName>
    <definedName name="fxdghsfgh_1">#REF!</definedName>
    <definedName name="fxdghsfgh_1_1">#REF!</definedName>
    <definedName name="fxdghsfgh_1_1_1">#REF!</definedName>
    <definedName name="fxdghsfgh_1_1_2">#REF!</definedName>
    <definedName name="fxdghsfgh_1_1_3">#REF!</definedName>
    <definedName name="fxdghsfgh_1_1_4">#REF!</definedName>
    <definedName name="fxdghsfgh_1_1_5">#REF!</definedName>
    <definedName name="fxdghsfgh_1_2">#REF!</definedName>
    <definedName name="fxdghsfgh_1_3">#REF!</definedName>
    <definedName name="fxdghsfgh_1_4">#REF!</definedName>
    <definedName name="fxdghsfgh_1_5">#REF!</definedName>
    <definedName name="fxdghsfgh_2">#REF!</definedName>
    <definedName name="fxdghsfgh_2_1">#REF!</definedName>
    <definedName name="fxdghsfgh_2_2">#REF!</definedName>
    <definedName name="fxdghsfgh_2_3">#REF!</definedName>
    <definedName name="fxdghsfgh_2_4">#REF!</definedName>
    <definedName name="fxdghsfgh_2_5">#REF!</definedName>
    <definedName name="fxdghsfgh_3">#REF!</definedName>
    <definedName name="fxdghsfgh_4">#REF!</definedName>
    <definedName name="fxdghsfgh_5">#REF!</definedName>
    <definedName name="fyeryer">#REF!</definedName>
    <definedName name="ga">#REF!</definedName>
    <definedName name="GATEWAY_IP">#REF!</definedName>
    <definedName name="gdfgjj">#REF!</definedName>
    <definedName name="gdsassd">#REF!</definedName>
    <definedName name="gdwl2">#REF!</definedName>
    <definedName name="gdwl2_1">#REF!</definedName>
    <definedName name="gdwl2_1_1">#REF!</definedName>
    <definedName name="gdwl2_1_2">#REF!</definedName>
    <definedName name="gdwl2_1_3">#REF!</definedName>
    <definedName name="gdwl2_1_4">#REF!</definedName>
    <definedName name="gdwl2_1_5">#REF!</definedName>
    <definedName name="gdwl2_2">#REF!</definedName>
    <definedName name="gdwl2_3">#REF!</definedName>
    <definedName name="gdwl2_4">#REF!</definedName>
    <definedName name="gdwl2_5">#REF!</definedName>
    <definedName name="GeoMkt">#REF!</definedName>
    <definedName name="GERBER_IV">#REF!</definedName>
    <definedName name="gf">#REF!</definedName>
    <definedName name="gfad">#REF!</definedName>
    <definedName name="GFORECAST">[1]VALUE2_1.XLS!#REF!</definedName>
    <definedName name="gfsdhgsfdhjggsdh">#REF!</definedName>
    <definedName name="gg">#REF!</definedName>
    <definedName name="GGG">#REF!</definedName>
    <definedName name="GGG_1">#REF!</definedName>
    <definedName name="GGG_1_1">#REF!</definedName>
    <definedName name="GGG_1_2">#REF!</definedName>
    <definedName name="GGG_1_3">#REF!</definedName>
    <definedName name="GGG_1_4">#REF!</definedName>
    <definedName name="GGG_1_5">#REF!</definedName>
    <definedName name="GGG_2">#REF!</definedName>
    <definedName name="GGG_3">#REF!</definedName>
    <definedName name="GGG_4">#REF!</definedName>
    <definedName name="GGG_5">#REF!</definedName>
    <definedName name="gggg">#REF!</definedName>
    <definedName name="GIIP">#REF!</definedName>
    <definedName name="GINPUT">[1]VALUE2_1.XLS!#REF!</definedName>
    <definedName name="glad">[7]!glad</definedName>
    <definedName name="GlideChartMarker" hidden="1">"Chart!A1"</definedName>
    <definedName name="GlideDataMarker" hidden="1">"Data!A1"</definedName>
    <definedName name="GlideHiddenMarker" hidden="1">"Costcurvedata!A1"</definedName>
    <definedName name="GlideMaxCharts" hidden="1">7</definedName>
    <definedName name="GOLDEN_HILLS">#REF!</definedName>
    <definedName name="Goodwill_Amortization">25</definedName>
    <definedName name="Goodwill_Revenues">'[14]BS &amp; CFS'!#REF!</definedName>
    <definedName name="GPR">#REF!</definedName>
    <definedName name="GPRDiff">#REF!</definedName>
    <definedName name="GPRMo">#REF!</definedName>
    <definedName name="GPRRR">#REF!</definedName>
    <definedName name="GPRVct">#REF!</definedName>
    <definedName name="grd">#REF!</definedName>
    <definedName name="grd_1">#REF!</definedName>
    <definedName name="grd_1_1">#REF!</definedName>
    <definedName name="grd_1_2">#REF!</definedName>
    <definedName name="grd_1_3">#REF!</definedName>
    <definedName name="grd_1_4">#REF!</definedName>
    <definedName name="grd_1_5">#REF!</definedName>
    <definedName name="grd_2">#REF!</definedName>
    <definedName name="grd_3">#REF!</definedName>
    <definedName name="grd_4">#REF!</definedName>
    <definedName name="grd_5">#REF!</definedName>
    <definedName name="GREEN_ISLAND">#REF!</definedName>
    <definedName name="GRI">#REF!</definedName>
    <definedName name="grwvfs">#REF!</definedName>
    <definedName name="grwvfs_1">#REF!</definedName>
    <definedName name="grwvfs_1_1">#REF!</definedName>
    <definedName name="grwvfs_1_2">#REF!</definedName>
    <definedName name="grwvfs_1_3">#REF!</definedName>
    <definedName name="grwvfs_1_4">#REF!</definedName>
    <definedName name="grwvfs_1_5">#REF!</definedName>
    <definedName name="grwvfs_2">#REF!</definedName>
    <definedName name="grwvfs_3">#REF!</definedName>
    <definedName name="grwvfs_4">#REF!</definedName>
    <definedName name="grwvfs_5">#REF!</definedName>
    <definedName name="GS_Capitalized_Cost_at_Purchase_over_65K">#REF!</definedName>
    <definedName name="GS_Car_GT_10_Year_Old">#REF!</definedName>
    <definedName name="GS_Car_Model_Rank">#REF!</definedName>
    <definedName name="GS_Current_ARF_Dep_Pct">#REF!</definedName>
    <definedName name="GS_Current_ARF_Value">#REF!</definedName>
    <definedName name="GS_Depreciation_Value">#REF!</definedName>
    <definedName name="GS_Monthly_Swap_Test">#REF!</definedName>
    <definedName name="GS_Residual_Value_Test">#REF!</definedName>
    <definedName name="GS_Top_2_Manufactures">#REF!</definedName>
    <definedName name="GS_Top_3_Manufactures">#REF!</definedName>
    <definedName name="GS_Top_Manufacture">#REF!</definedName>
    <definedName name="GS_Top_State">#REF!</definedName>
    <definedName name="GuideRoundNumber">5</definedName>
    <definedName name="GVALUE">[1]VALUE2_1.XLS!#REF!</definedName>
    <definedName name="GWyears">40</definedName>
    <definedName name="h">#REF!</definedName>
    <definedName name="hard_cost">#REF!</definedName>
    <definedName name="HARRAH_S">#REF!</definedName>
    <definedName name="HARRAH_S_TIS">#REF!</definedName>
    <definedName name="hbhbhj">#REF!</definedName>
    <definedName name="Hds_Exec">[15]Hds!$DX:$DX</definedName>
    <definedName name="Hds_Other">[15]Hds!$DY:$DY</definedName>
    <definedName name="Hds_Sales">[15]Hds!$DZ:$DZ</definedName>
    <definedName name="hdtm">#REF!</definedName>
    <definedName name="hdtm_1">#REF!</definedName>
    <definedName name="hdtm_1_1">#REF!</definedName>
    <definedName name="hdtm_1_2">#REF!</definedName>
    <definedName name="hdtm_1_3">#REF!</definedName>
    <definedName name="hdtm_1_4">#REF!</definedName>
    <definedName name="hdtm_1_5">#REF!</definedName>
    <definedName name="hdtm_2">#REF!</definedName>
    <definedName name="hdtm_3">#REF!</definedName>
    <definedName name="hdtm_4">#REF!</definedName>
    <definedName name="hdtm_5">#REF!</definedName>
    <definedName name="Headings_Added_Columns">"R4C2:R4CE"</definedName>
    <definedName name="Hello">#REF!</definedName>
    <definedName name="help" hidden="1">{"'RCIM'!$E$128"}</definedName>
    <definedName name="hfjm">#REF!</definedName>
    <definedName name="hfjm_1">#REF!</definedName>
    <definedName name="hfjm_1_1">#REF!</definedName>
    <definedName name="hfjm_1_2">#REF!</definedName>
    <definedName name="hfjm_1_3">#REF!</definedName>
    <definedName name="hfjm_1_4">#REF!</definedName>
    <definedName name="hfjm_1_5">#REF!</definedName>
    <definedName name="hfjm_2">#REF!</definedName>
    <definedName name="hfjm_3">#REF!</definedName>
    <definedName name="hfjm_4">#REF!</definedName>
    <definedName name="hfjm_5">#REF!</definedName>
    <definedName name="hhh">#REF!</definedName>
    <definedName name="hhh_1">#REF!</definedName>
    <definedName name="hhh_1_1">#REF!</definedName>
    <definedName name="hhh_1_1_1">#REF!</definedName>
    <definedName name="hhh_1_1_2">#REF!</definedName>
    <definedName name="hhh_1_1_3">#REF!</definedName>
    <definedName name="hhh_1_1_4">#REF!</definedName>
    <definedName name="hhh_1_1_5">#REF!</definedName>
    <definedName name="hhh_1_2">#REF!</definedName>
    <definedName name="hhh_1_3">#REF!</definedName>
    <definedName name="hhh_1_4">#REF!</definedName>
    <definedName name="hhh_1_5">#REF!</definedName>
    <definedName name="hhh_2">#REF!</definedName>
    <definedName name="hhh_2_1">#REF!</definedName>
    <definedName name="hhh_2_2">#REF!</definedName>
    <definedName name="hhh_2_3">#REF!</definedName>
    <definedName name="hhh_2_4">#REF!</definedName>
    <definedName name="hhh_2_5">#REF!</definedName>
    <definedName name="hhh_3">#REF!</definedName>
    <definedName name="hhh_4">#REF!</definedName>
    <definedName name="hhh_5">#REF!</definedName>
    <definedName name="hhhsdf">#REF!</definedName>
    <definedName name="hhhsdf_1">#REF!</definedName>
    <definedName name="hhhsdf_1_1">#REF!</definedName>
    <definedName name="hhhsdf_1_2">#REF!</definedName>
    <definedName name="hhhsdf_1_3">#REF!</definedName>
    <definedName name="hhhsdf_1_4">#REF!</definedName>
    <definedName name="hhhsdf_1_5">#REF!</definedName>
    <definedName name="hhhsdf_2">#REF!</definedName>
    <definedName name="hhhsdf_3">#REF!</definedName>
    <definedName name="hhhsdf_4">#REF!</definedName>
    <definedName name="hhhsdf_5">#REF!</definedName>
    <definedName name="HHIhs">#REF!</definedName>
    <definedName name="HHIhs_1">#REF!</definedName>
    <definedName name="HHIhs_1_1">#REF!</definedName>
    <definedName name="HHIhs_1_2">#REF!</definedName>
    <definedName name="HHIhs_1_3">#REF!</definedName>
    <definedName name="HHIhs_1_4">#REF!</definedName>
    <definedName name="HHIhs_1_5">#REF!</definedName>
    <definedName name="HHIhs_2">#REF!</definedName>
    <definedName name="HHIhs_3">#REF!</definedName>
    <definedName name="HHIhs_4">#REF!</definedName>
    <definedName name="HHIhs_5">#REF!</definedName>
    <definedName name="HI">#REF!</definedName>
    <definedName name="hjhjhj">#REF!</definedName>
    <definedName name="hjjjh">#REF!</definedName>
    <definedName name="hjk">#REF!</definedName>
    <definedName name="hjk_1">#REF!</definedName>
    <definedName name="hjk_1_1">#REF!</definedName>
    <definedName name="hjk_1_2">#REF!</definedName>
    <definedName name="hjk_1_3">#REF!</definedName>
    <definedName name="hjk_1_4">#REF!</definedName>
    <definedName name="hjk_1_5">#REF!</definedName>
    <definedName name="hjk_2">#REF!</definedName>
    <definedName name="hjk_3">#REF!</definedName>
    <definedName name="hjk_4">#REF!</definedName>
    <definedName name="hjk_5">#REF!</definedName>
    <definedName name="hklkl">[7]!hklkl</definedName>
    <definedName name="hmngf">#REF!</definedName>
    <definedName name="hmngf_1">#REF!</definedName>
    <definedName name="hmngf_1_1">#REF!</definedName>
    <definedName name="hmngf_1_2">#REF!</definedName>
    <definedName name="hmngf_1_3">#REF!</definedName>
    <definedName name="hmngf_1_4">#REF!</definedName>
    <definedName name="hmngf_1_5">#REF!</definedName>
    <definedName name="hmngf_2">#REF!</definedName>
    <definedName name="hmngf_3">#REF!</definedName>
    <definedName name="hmngf_4">#REF!</definedName>
    <definedName name="hmngf_5">#REF!</definedName>
    <definedName name="hn.ModelVersion" hidden="1">1</definedName>
    <definedName name="hn.NoUpload" hidden="1">0</definedName>
    <definedName name="holding_cost">#REF!</definedName>
    <definedName name="hope">#REF!</definedName>
    <definedName name="hope_condo">#REF!</definedName>
    <definedName name="hoppner">#REF!</definedName>
    <definedName name="Hourly_vs._Weekly_Rental">#REF!</definedName>
    <definedName name="HQ">#REF!</definedName>
    <definedName name="HTML_CodePage" hidden="1">1252</definedName>
    <definedName name="HTML_Control" hidden="1">{"'Asm'!$E$1:$AX$53"}</definedName>
    <definedName name="HTML_Description" hidden="1">""</definedName>
    <definedName name="HTML_Email" hidden="1">""</definedName>
    <definedName name="HTML_Header" hidden="1">"Asm"</definedName>
    <definedName name="HTML_LastUpdate" hidden="1">"10/12/98"</definedName>
    <definedName name="HTML_LineAfter" hidden="1">FALSE</definedName>
    <definedName name="HTML_LineBefore" hidden="1">FALSE</definedName>
    <definedName name="HTML_Name" hidden="1">"Tom Stone"</definedName>
    <definedName name="HTML_OBDlg2" hidden="1">TRUE</definedName>
    <definedName name="HTML_OBDlg4" hidden="1">TRUE</definedName>
    <definedName name="HTML_OS" hidden="1">0</definedName>
    <definedName name="HTML_PathFile" hidden="1">"f:\Finance\MyHTML.htm"</definedName>
    <definedName name="HTML_Title" hidden="1">"PlanRpts220"</definedName>
    <definedName name="HTML1_10" hidden="1">""</definedName>
    <definedName name="HTML1_11" hidden="1">1</definedName>
    <definedName name="HTML1_12" hidden="1">"C:\AUCTION\FLASH\MYHTML.HTM"</definedName>
    <definedName name="HTML1_2" hidden="1">1</definedName>
    <definedName name="HTML1_3" hidden="1">"FLASH"</definedName>
    <definedName name="HTML1_4" hidden="1">"Flash Round 74"</definedName>
    <definedName name="HTML1_5" hidden="1">"Wednesday April 3, 1996"</definedName>
    <definedName name="HTML1_6" hidden="1">1</definedName>
    <definedName name="HTML1_7" hidden="1">1</definedName>
    <definedName name="HTML1_8" hidden="1">"4/3/96"</definedName>
    <definedName name="HTML1_9" hidden="1">"Ken Hamel"</definedName>
    <definedName name="HTMLCount" hidden="1">1</definedName>
    <definedName name="huh">#REF!</definedName>
    <definedName name="ia">#REF!</definedName>
    <definedName name="IG_Manufacturer__Y_N">#REF!</definedName>
    <definedName name="iklutilk">#REF!</definedName>
    <definedName name="iklutilk_1">#REF!</definedName>
    <definedName name="iklutilk_1_1">#REF!</definedName>
    <definedName name="iklutilk_1_2">#REF!</definedName>
    <definedName name="iklutilk_1_3">#REF!</definedName>
    <definedName name="iklutilk_1_4">#REF!</definedName>
    <definedName name="iklutilk_1_5">#REF!</definedName>
    <definedName name="iklutilk_2">#REF!</definedName>
    <definedName name="iklutilk_3">#REF!</definedName>
    <definedName name="iklutilk_4">#REF!</definedName>
    <definedName name="iklutilk_5">#REF!</definedName>
    <definedName name="ImpAV1">#REF!</definedName>
    <definedName name="ImpAV2">#REF!</definedName>
    <definedName name="Inc00EGI">#REF!</definedName>
    <definedName name="Inc97EGI">#REF!</definedName>
    <definedName name="Inc98EGI">#REF!</definedName>
    <definedName name="Inc99EGI">#REF!</definedName>
    <definedName name="IncBdgtEGI">#REF!</definedName>
    <definedName name="IncCmp00">#REF!</definedName>
    <definedName name="IncIREMEGI">#REF!</definedName>
    <definedName name="IncomeEPSFullyDiluted">0</definedName>
    <definedName name="IncomeEPSPrimary">0</definedName>
    <definedName name="IncomeEPSRegular">0</definedName>
    <definedName name="IncomeOther">#REF!</definedName>
    <definedName name="INCREASED">[1]VALUE2_1.XLS!#REF!</definedName>
    <definedName name="incurable_functional">#REF!</definedName>
    <definedName name="IndCostTot">#REF!</definedName>
    <definedName name="IndEGIM">#REF!</definedName>
    <definedName name="Index">[16]Lookup!$D$2:$D$4</definedName>
    <definedName name="IndNOIUnit">#REF!</definedName>
    <definedName name="IndPSF">#REF!</definedName>
    <definedName name="IndPUnit">#REF!</definedName>
    <definedName name="Ineligible_Contract_Flag">#REF!</definedName>
    <definedName name="INETOTHER">[1]VALUE2_1.XLS!#REF!</definedName>
    <definedName name="INETPPE">[1]VALUE2_1.XLS!#REF!</definedName>
    <definedName name="Infgod">#REF!</definedName>
    <definedName name="Infgod_1">#REF!</definedName>
    <definedName name="Infgod_1_1">#REF!</definedName>
    <definedName name="Infgod_1_2">#REF!</definedName>
    <definedName name="Infgod_1_3">#REF!</definedName>
    <definedName name="Infgod_1_4">#REF!</definedName>
    <definedName name="Infgod_1_5">#REF!</definedName>
    <definedName name="Infgod_2">#REF!</definedName>
    <definedName name="Infgod_3">#REF!</definedName>
    <definedName name="Infgod_4">#REF!</definedName>
    <definedName name="Infgod_5">#REF!</definedName>
    <definedName name="Infl">#REF!</definedName>
    <definedName name="Infosed">#REF!</definedName>
    <definedName name="Infosed_1">#REF!</definedName>
    <definedName name="Infosed_1_1">#REF!</definedName>
    <definedName name="Infosed_1_2">#REF!</definedName>
    <definedName name="Infosed_1_3">#REF!</definedName>
    <definedName name="Infosed_1_4">#REF!</definedName>
    <definedName name="Infosed_1_5">#REF!</definedName>
    <definedName name="Infosed_2">#REF!</definedName>
    <definedName name="Infosed_3">#REF!</definedName>
    <definedName name="Infosed_4">#REF!</definedName>
    <definedName name="Infosed_5">#REF!</definedName>
    <definedName name="Initial_ARF_Value">#REF!</definedName>
    <definedName name="Initial_Mileage">#REF!</definedName>
    <definedName name="Initial2007Stats">"Formulas:199318|Constants:27233|ErrorCells:338"</definedName>
    <definedName name="input">{"0.614608629108408";"0.089";"0.07";"0.036";"0.09";"0.39";"0.177761404547907";"0.116071428571429";"0.708";"0.0556964285714285";"0.127160714285714"}</definedName>
    <definedName name="InsurPct">#REF!</definedName>
    <definedName name="InsurSumm">#REF!</definedName>
    <definedName name="Int_exp">8%</definedName>
    <definedName name="IntCarry">#REF!</definedName>
    <definedName name="interestoverall">#REF!</definedName>
    <definedName name="IntRate">#REF!</definedName>
    <definedName name="IntRateConstr">#REF!</definedName>
    <definedName name="INTRO">#REF!</definedName>
    <definedName name="IntroPrintArea">#REF!</definedName>
    <definedName name="Investments">BS_LongTermInvestments</definedName>
    <definedName name="InvSt">#REF!</definedName>
    <definedName name="InvStage">#REF!</definedName>
    <definedName name="iogui">#REF!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ING_STANDARD" hidden="1">"c4539"</definedName>
    <definedName name="IQ_ACCOUNTING_STANDARD_CIQ" hidden="1">"c5092"</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ENCY" hidden="1">"c8960"</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ALYST_DET_EST" hidden="1">"c12043"</definedName>
    <definedName name="IQ_ANALYST_DET_EST_THOM" hidden="1">"c12071"</definedName>
    <definedName name="IQ_ANALYST_NON_PER_DET_EST" hidden="1">"c12755"</definedName>
    <definedName name="IQ_ANALYST_NON_PER_DET_EST_THOM" hidden="1">"c12759"</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NO" hidden="1">"c4454"</definedName>
    <definedName name="IQ_AVG_INDUSTRY_REC_NO_CIQ" hidden="1">"c4983"</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EST_CIQ" hidden="1">"c4541"</definedName>
    <definedName name="IQ_BASIC_OUTSTANDING_CURRENT_HIGH_EST" hidden="1">"c4129"</definedName>
    <definedName name="IQ_BASIC_OUTSTANDING_CURRENT_HIGH_EST_CIQ" hidden="1">"c4542"</definedName>
    <definedName name="IQ_BASIC_OUTSTANDING_CURRENT_LOW_EST" hidden="1">"c4130"</definedName>
    <definedName name="IQ_BASIC_OUTSTANDING_CURRENT_LOW_EST_CIQ" hidden="1">"c4543"</definedName>
    <definedName name="IQ_BASIC_OUTSTANDING_CURRENT_MEDIAN_EST" hidden="1">"c4131"</definedName>
    <definedName name="IQ_BASIC_OUTSTANDING_CURRENT_MEDIAN_EST_CIQ" hidden="1">"c4544"</definedName>
    <definedName name="IQ_BASIC_OUTSTANDING_CURRENT_NUM_EST" hidden="1">"c4132"</definedName>
    <definedName name="IQ_BASIC_OUTSTANDING_CURRENT_NUM_EST_CIQ" hidden="1">"c4545"</definedName>
    <definedName name="IQ_BASIC_OUTSTANDING_CURRENT_STDDEV_EST" hidden="1">"c4133"</definedName>
    <definedName name="IQ_BASIC_OUTSTANDING_CURRENT_STDDEV_EST_CIQ" hidden="1">"c4546"</definedName>
    <definedName name="IQ_BASIC_OUTSTANDING_EST" hidden="1">"c4134"</definedName>
    <definedName name="IQ_BASIC_OUTSTANDING_EST_CIQ" hidden="1">"c4547"</definedName>
    <definedName name="IQ_BASIC_OUTSTANDING_HIGH_EST" hidden="1">"c4135"</definedName>
    <definedName name="IQ_BASIC_OUTSTANDING_HIGH_EST_CIQ" hidden="1">"c4548"</definedName>
    <definedName name="IQ_BASIC_OUTSTANDING_LOW_EST" hidden="1">"c4136"</definedName>
    <definedName name="IQ_BASIC_OUTSTANDING_LOW_EST_CIQ" hidden="1">"c4549"</definedName>
    <definedName name="IQ_BASIC_OUTSTANDING_MEDIAN_EST" hidden="1">"c4137"</definedName>
    <definedName name="IQ_BASIC_OUTSTANDING_MEDIAN_EST_CIQ" hidden="1">"c4550"</definedName>
    <definedName name="IQ_BASIC_OUTSTANDING_NUM_EST" hidden="1">"c4138"</definedName>
    <definedName name="IQ_BASIC_OUTSTANDING_NUM_EST_CIQ" hidden="1">"c4551"</definedName>
    <definedName name="IQ_BASIC_OUTSTANDING_STDDEV_EST" hidden="1">"c4139"</definedName>
    <definedName name="IQ_BASIC_OUTSTANDING_STDDEV_EST_CIQ" hidden="1">"c4552"</definedName>
    <definedName name="IQ_BASIC_WEIGHT" hidden="1">"c87"</definedName>
    <definedName name="IQ_BASIC_WEIGHT_EST" hidden="1">"c4140"</definedName>
    <definedName name="IQ_BASIC_WEIGHT_EST_CIQ" hidden="1">"c4553"</definedName>
    <definedName name="IQ_BASIC_WEIGHT_GUIDANCE" hidden="1">"c4141"</definedName>
    <definedName name="IQ_BASIC_WEIGHT_HIGH_EST" hidden="1">"c4142"</definedName>
    <definedName name="IQ_BASIC_WEIGHT_HIGH_EST_CIQ" hidden="1">"c4554"</definedName>
    <definedName name="IQ_BASIC_WEIGHT_LOW_EST" hidden="1">"c4143"</definedName>
    <definedName name="IQ_BASIC_WEIGHT_LOW_EST_CIQ" hidden="1">"c4555"</definedName>
    <definedName name="IQ_BASIC_WEIGHT_MEDIAN_EST" hidden="1">"c4144"</definedName>
    <definedName name="IQ_BASIC_WEIGHT_MEDIAN_EST_CIQ" hidden="1">"c4556"</definedName>
    <definedName name="IQ_BASIC_WEIGHT_NUM_EST" hidden="1">"c4145"</definedName>
    <definedName name="IQ_BASIC_WEIGHT_NUM_EST_CIQ" hidden="1">"c4557"</definedName>
    <definedName name="IQ_BASIC_WEIGHT_STDDEV_EST" hidden="1">"c4146"</definedName>
    <definedName name="IQ_BASIC_WEIGHT_STDDEV_EST_CIQ" hidden="1">"c4558"</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CIQ" hidden="1">"c5068"</definedName>
    <definedName name="IQ_BV_EST" hidden="1">"c5624"</definedName>
    <definedName name="IQ_BV_EST_CIQ" hidden="1">"c4737"</definedName>
    <definedName name="IQ_BV_HIGH_EST" hidden="1">"c5626"</definedName>
    <definedName name="IQ_BV_HIGH_EST_CIQ" hidden="1">"c4739"</definedName>
    <definedName name="IQ_BV_LOW_EST" hidden="1">"c5627"</definedName>
    <definedName name="IQ_BV_LOW_EST_CIQ" hidden="1">"c4740"</definedName>
    <definedName name="IQ_BV_MEDIAN_EST" hidden="1">"c5625"</definedName>
    <definedName name="IQ_BV_MEDIAN_EST_CIQ" hidden="1">"c4738"</definedName>
    <definedName name="IQ_BV_NUM_EST" hidden="1">"c5628"</definedName>
    <definedName name="IQ_BV_NUM_EST_CIQ" hidden="1">"c4741"</definedName>
    <definedName name="IQ_BV_OVER_SHARES" hidden="1">"c1349"</definedName>
    <definedName name="IQ_BV_SHARE" hidden="1">"c100"</definedName>
    <definedName name="IQ_BV_SHARE_ACT_OR_EST" hidden="1">"c3587"</definedName>
    <definedName name="IQ_BV_SHARE_ACT_OR_EST_CIQ" hidden="1">"c5072"</definedName>
    <definedName name="IQ_BV_SHARE_ACT_OR_EST_THOM" hidden="1">"c5312"</definedName>
    <definedName name="IQ_BV_SHARE_DET_EST" hidden="1">"c12047"</definedName>
    <definedName name="IQ_BV_SHARE_DET_EST_CURRENCY" hidden="1">"c12456"</definedName>
    <definedName name="IQ_BV_SHARE_DET_EST_CURRENCY_THOM" hidden="1">"c12476"</definedName>
    <definedName name="IQ_BV_SHARE_DET_EST_DATE" hidden="1">"c12200"</definedName>
    <definedName name="IQ_BV_SHARE_DET_EST_DATE_THOM" hidden="1">"c12225"</definedName>
    <definedName name="IQ_BV_SHARE_DET_EST_INCL" hidden="1">"c12339"</definedName>
    <definedName name="IQ_BV_SHARE_DET_EST_INCL_THOM" hidden="1">"c12359"</definedName>
    <definedName name="IQ_BV_SHARE_DET_EST_ORIGIN" hidden="1">"c12573"</definedName>
    <definedName name="IQ_BV_SHARE_DET_EST_ORIGIN_THOM" hidden="1">"c12595"</definedName>
    <definedName name="IQ_BV_SHARE_DET_EST_THOM" hidden="1">"c12075"</definedName>
    <definedName name="IQ_BV_SHARE_EST" hidden="1">"c3541"</definedName>
    <definedName name="IQ_BV_SHARE_EST_CIQ" hidden="1">"c3800"</definedName>
    <definedName name="IQ_BV_SHARE_EST_THOM" hidden="1">"c4020"</definedName>
    <definedName name="IQ_BV_SHARE_HIGH_EST" hidden="1">"c3542"</definedName>
    <definedName name="IQ_BV_SHARE_HIGH_EST_CIQ" hidden="1">"c3802"</definedName>
    <definedName name="IQ_BV_SHARE_HIGH_EST_THOM" hidden="1">"c4022"</definedName>
    <definedName name="IQ_BV_SHARE_LOW_EST" hidden="1">"c3543"</definedName>
    <definedName name="IQ_BV_SHARE_LOW_EST_CIQ" hidden="1">"c3803"</definedName>
    <definedName name="IQ_BV_SHARE_LOW_EST_THOM" hidden="1">"c4023"</definedName>
    <definedName name="IQ_BV_SHARE_MEDIAN_EST" hidden="1">"c3544"</definedName>
    <definedName name="IQ_BV_SHARE_MEDIAN_EST_CIQ" hidden="1">"c3801"</definedName>
    <definedName name="IQ_BV_SHARE_MEDIAN_EST_THOM" hidden="1">"c4021"</definedName>
    <definedName name="IQ_BV_SHARE_NUM_EST" hidden="1">"c3539"</definedName>
    <definedName name="IQ_BV_SHARE_NUM_EST_CIQ" hidden="1">"c3804"</definedName>
    <definedName name="IQ_BV_SHARE_NUM_EST_THOM" hidden="1">"c4024"</definedName>
    <definedName name="IQ_BV_SHARE_STDDEV_EST" hidden="1">"c3540"</definedName>
    <definedName name="IQ_BV_SHARE_STDDEV_EST_CIQ" hidden="1">"c3805"</definedName>
    <definedName name="IQ_BV_SHARE_STDDEV_EST_THOM" hidden="1">"c4025"</definedName>
    <definedName name="IQ_BV_STDDEV_EST" hidden="1">"c5629"</definedName>
    <definedName name="IQ_BV_STDDEV_EST_CIQ" hidden="1">"c4742"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Q_EST_THOM" hidden="1">"c6804"</definedName>
    <definedName name="IQ_CAL_Y" hidden="1">"c102"</definedName>
    <definedName name="IQ_CAL_Y_EST" hidden="1">"c6797"</definedName>
    <definedName name="IQ_CAL_Y_EST_CIQ" hidden="1">"c6809"</definedName>
    <definedName name="IQ_CAL_Y_EST_REUT" hidden="1">"c6801"</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 hidden="1">"c5071"</definedName>
    <definedName name="IQ_CAPEX_ACT_OR_EST_THOM" hidden="1">"c5546"</definedName>
    <definedName name="IQ_CAPEX_BNK" hidden="1">"c110"</definedName>
    <definedName name="IQ_CAPEX_BR" hidden="1">"c111"</definedName>
    <definedName name="IQ_CAPEX_DET_EST" hidden="1">"c12048"</definedName>
    <definedName name="IQ_CAPEX_DET_EST_CURRENCY" hidden="1">"c12457"</definedName>
    <definedName name="IQ_CAPEX_DET_EST_CURRENCY_THOM" hidden="1">"c12477"</definedName>
    <definedName name="IQ_CAPEX_DET_EST_DATE" hidden="1">"c12201"</definedName>
    <definedName name="IQ_CAPEX_DET_EST_DATE_THOM" hidden="1">"c12226"</definedName>
    <definedName name="IQ_CAPEX_DET_EST_INCL" hidden="1">"c12340"</definedName>
    <definedName name="IQ_CAPEX_DET_EST_INCL_THOM" hidden="1">"c12360"</definedName>
    <definedName name="IQ_CAPEX_DET_EST_ORIGIN" hidden="1">"c12765"</definedName>
    <definedName name="IQ_CAPEX_DET_EST_ORIGIN_THOM" hidden="1">"c12596"</definedName>
    <definedName name="IQ_CAPEX_DET_EST_THOM" hidden="1">"c12076"</definedName>
    <definedName name="IQ_CAPEX_EST" hidden="1">"c3523"</definedName>
    <definedName name="IQ_CAPEX_EST_CIQ" hidden="1">"c3807"</definedName>
    <definedName name="IQ_CAPEX_EST_THOM" hidden="1">"c5502"</definedName>
    <definedName name="IQ_CAPEX_FIN" hidden="1">"c112"</definedName>
    <definedName name="IQ_CAPEX_GUIDANCE" hidden="1">"c4150"</definedName>
    <definedName name="IQ_CAPEX_GUIDANCE_CIQ" hidden="1">"c4562"</definedName>
    <definedName name="IQ_CAPEX_HIGH_EST" hidden="1">"c3524"</definedName>
    <definedName name="IQ_CAPEX_HIGH_EST_CIQ" hidden="1">"c3809"</definedName>
    <definedName name="IQ_CAPEX_HIGH_EST_THOM" hidden="1">"c5504"</definedName>
    <definedName name="IQ_CAPEX_HIGH_GUIDANCE" hidden="1">"c4180"</definedName>
    <definedName name="IQ_CAPEX_HIGH_GUIDANCE_CIQ" hidden="1">"c4592"</definedName>
    <definedName name="IQ_CAPEX_INS" hidden="1">"c113"</definedName>
    <definedName name="IQ_CAPEX_LOW_EST" hidden="1">"c3525"</definedName>
    <definedName name="IQ_CAPEX_LOW_EST_CIQ" hidden="1">"c3810"</definedName>
    <definedName name="IQ_CAPEX_LOW_EST_THOM" hidden="1">"c5505"</definedName>
    <definedName name="IQ_CAPEX_LOW_GUIDANCE" hidden="1">"c4220"</definedName>
    <definedName name="IQ_CAPEX_LOW_GUIDANCE_CIQ" hidden="1">"c4632"</definedName>
    <definedName name="IQ_CAPEX_MEDIAN_EST" hidden="1">"c3526"</definedName>
    <definedName name="IQ_CAPEX_MEDIAN_EST_CIQ" hidden="1">"c3808"</definedName>
    <definedName name="IQ_CAPEX_MEDIAN_EST_THOM" hidden="1">"c5503"</definedName>
    <definedName name="IQ_CAPEX_NUM_EST" hidden="1">"c3521"</definedName>
    <definedName name="IQ_CAPEX_NUM_EST_CIQ" hidden="1">"c3811"</definedName>
    <definedName name="IQ_CAPEX_NUM_EST_THOM" hidden="1">"c5506"</definedName>
    <definedName name="IQ_CAPEX_STDDEV_EST" hidden="1">"c3522"</definedName>
    <definedName name="IQ_CAPEX_STDDEV_EST_CIQ" hidden="1">"c3812"</definedName>
    <definedName name="IQ_CAPEX_STDDEV_EST_THOM" hidden="1">"c5507"</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1"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PS_ACT_OR_EST" hidden="1">"c5638"</definedName>
    <definedName name="IQ_CASH_EPS_ACT_OR_EST_THOM" hidden="1">"c5646"</definedName>
    <definedName name="IQ_CASH_EPS_DET_EST_CURRENCY_THOM" hidden="1">"c12478"</definedName>
    <definedName name="IQ_CASH_EPS_DET_EST_DATE_THOM" hidden="1">"c12227"</definedName>
    <definedName name="IQ_CASH_EPS_DET_EST_INCL_THOM" hidden="1">"c12361"</definedName>
    <definedName name="IQ_CASH_EPS_DET_EST_ORIGIN_THOM" hidden="1">"c12597"</definedName>
    <definedName name="IQ_CASH_EPS_DET_EST_THOM" hidden="1">"c12077"</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EST" hidden="1">"c4153"</definedName>
    <definedName name="IQ_CASH_FLOW_EST_CIQ" hidden="1">"c4565"</definedName>
    <definedName name="IQ_CASH_FLOW_GUIDANCE" hidden="1">"c4155"</definedName>
    <definedName name="IQ_CASH_FLOW_GUIDANCE_CIQ" hidden="1">"c4567"</definedName>
    <definedName name="IQ_CASH_FLOW_HIGH_EST" hidden="1">"c4156"</definedName>
    <definedName name="IQ_CASH_FLOW_HIGH_EST_CIQ" hidden="1">"c4568"</definedName>
    <definedName name="IQ_CASH_FLOW_HIGH_GUIDANCE" hidden="1">"c4201"</definedName>
    <definedName name="IQ_CASH_FLOW_HIGH_GUIDANCE_CIQ" hidden="1">"c4613"</definedName>
    <definedName name="IQ_CASH_FLOW_LOW_EST" hidden="1">"c4157"</definedName>
    <definedName name="IQ_CASH_FLOW_LOW_EST_CIQ" hidden="1">"c4569"</definedName>
    <definedName name="IQ_CASH_FLOW_LOW_GUIDANCE" hidden="1">"c4241"</definedName>
    <definedName name="IQ_CASH_FLOW_LOW_GUIDANCE_CIQ" hidden="1">"c4653"</definedName>
    <definedName name="IQ_CASH_FLOW_MEDIAN_EST" hidden="1">"c4158"</definedName>
    <definedName name="IQ_CASH_FLOW_MEDIAN_EST_CIQ" hidden="1">"c4570"</definedName>
    <definedName name="IQ_CASH_FLOW_NUM_EST" hidden="1">"c4159"</definedName>
    <definedName name="IQ_CASH_FLOW_NUM_EST_CIQ" hidden="1">"c4571"</definedName>
    <definedName name="IQ_CASH_FLOW_STDDEV_EST" hidden="1">"c4160"</definedName>
    <definedName name="IQ_CASH_FLOW_STDDEV_EST_CIQ" hidden="1">"c4572"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EST_CIQ" hidden="1">"c4575"</definedName>
    <definedName name="IQ_CASH_OPER_GUIDANCE" hidden="1">"c4165"</definedName>
    <definedName name="IQ_CASH_OPER_GUIDANCE_CIQ" hidden="1">"c4577"</definedName>
    <definedName name="IQ_CASH_OPER_HIGH_EST" hidden="1">"c4166"</definedName>
    <definedName name="IQ_CASH_OPER_HIGH_EST_CIQ" hidden="1">"c4578"</definedName>
    <definedName name="IQ_CASH_OPER_HIGH_GUIDANCE" hidden="1">"c4185"</definedName>
    <definedName name="IQ_CASH_OPER_HIGH_GUIDANCE_CIQ" hidden="1">"c4597"</definedName>
    <definedName name="IQ_CASH_OPER_LOW_EST" hidden="1">"c4244"</definedName>
    <definedName name="IQ_CASH_OPER_LOW_EST_CIQ" hidden="1">"c4768"</definedName>
    <definedName name="IQ_CASH_OPER_LOW_GUIDANCE" hidden="1">"c4225"</definedName>
    <definedName name="IQ_CASH_OPER_LOW_GUIDANCE_CIQ" hidden="1">"c4637"</definedName>
    <definedName name="IQ_CASH_OPER_MEDIAN_EST" hidden="1">"c4245"</definedName>
    <definedName name="IQ_CASH_OPER_MEDIAN_EST_CIQ" hidden="1">"c4771"</definedName>
    <definedName name="IQ_CASH_OPER_NAME_AP" hidden="1">"c8926"</definedName>
    <definedName name="IQ_CASH_OPER_NAME_AP_ABS" hidden="1">"c8945"</definedName>
    <definedName name="IQ_CASH_OPER_NUM_EST" hidden="1">"c4246"</definedName>
    <definedName name="IQ_CASH_OPER_NUM_EST_CIQ" hidden="1">"c4772"</definedName>
    <definedName name="IQ_CASH_OPER_STDDEV_EST" hidden="1">"c4247"</definedName>
    <definedName name="IQ_CASH_OPER_STDDEV_EST_CIQ" hidden="1">"c4773"</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EST_CIQ" hidden="1">"c4775"</definedName>
    <definedName name="IQ_CASH_ST_INVEST_GUIDANCE" hidden="1">"c4250"</definedName>
    <definedName name="IQ_CASH_ST_INVEST_GUIDANCE_CIQ" hidden="1">"c4776"</definedName>
    <definedName name="IQ_CASH_ST_INVEST_HIGH_EST" hidden="1">"c4251"</definedName>
    <definedName name="IQ_CASH_ST_INVEST_HIGH_EST_CIQ" hidden="1">"c4777"</definedName>
    <definedName name="IQ_CASH_ST_INVEST_HIGH_GUIDANCE" hidden="1">"c4195"</definedName>
    <definedName name="IQ_CASH_ST_INVEST_HIGH_GUIDANCE_CIQ" hidden="1">"c4607"</definedName>
    <definedName name="IQ_CASH_ST_INVEST_LOW_EST" hidden="1">"c4252"</definedName>
    <definedName name="IQ_CASH_ST_INVEST_LOW_EST_CIQ" hidden="1">"c4778"</definedName>
    <definedName name="IQ_CASH_ST_INVEST_LOW_GUIDANCE" hidden="1">"c4235"</definedName>
    <definedName name="IQ_CASH_ST_INVEST_LOW_GUIDANCE_CIQ" hidden="1">"c4647"</definedName>
    <definedName name="IQ_CASH_ST_INVEST_MEDIAN_EST" hidden="1">"c4253"</definedName>
    <definedName name="IQ_CASH_ST_INVEST_MEDIAN_EST_CIQ" hidden="1">"c4779"</definedName>
    <definedName name="IQ_CASH_ST_INVEST_NUM_EST" hidden="1">"c4254"</definedName>
    <definedName name="IQ_CASH_ST_INVEST_NUM_EST_CIQ" hidden="1">"c4780"</definedName>
    <definedName name="IQ_CASH_ST_INVEST_STDDEV_EST" hidden="1">"c4255"</definedName>
    <definedName name="IQ_CASH_ST_INVEST_STDDEV_EST_CIQ" hidden="1">"c4781"</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ACT_OR_EST_CIQ" hidden="1">"c5061"</definedName>
    <definedName name="IQ_CFPS_ACT_OR_EST_THOM" hidden="1">"c5301"</definedName>
    <definedName name="IQ_CFPS_DET_EST" hidden="1">"c12049"</definedName>
    <definedName name="IQ_CFPS_DET_EST_CURRENCY" hidden="1">"c12458"</definedName>
    <definedName name="IQ_CFPS_DET_EST_CURRENCY_THOM" hidden="1">"c12479"</definedName>
    <definedName name="IQ_CFPS_DET_EST_DATE" hidden="1">"c12202"</definedName>
    <definedName name="IQ_CFPS_DET_EST_DATE_THOM" hidden="1">"c12228"</definedName>
    <definedName name="IQ_CFPS_DET_EST_INCL" hidden="1">"c12341"</definedName>
    <definedName name="IQ_CFPS_DET_EST_INCL_THOM" hidden="1">"c12362"</definedName>
    <definedName name="IQ_CFPS_DET_EST_ORIGIN" hidden="1">"c12575"</definedName>
    <definedName name="IQ_CFPS_DET_EST_ORIGIN_THOM" hidden="1">"c12598"</definedName>
    <definedName name="IQ_CFPS_DET_EST_THOM" hidden="1">"c12078"</definedName>
    <definedName name="IQ_CFPS_EST" hidden="1">"c1667"</definedName>
    <definedName name="IQ_CFPS_EST_CIQ" hidden="1">"c3675"</definedName>
    <definedName name="IQ_CFPS_EST_THOM" hidden="1">"c4006"</definedName>
    <definedName name="IQ_CFPS_GUIDANCE" hidden="1">"c4256"</definedName>
    <definedName name="IQ_CFPS_GUIDANCE_CIQ" hidden="1">"c4782"</definedName>
    <definedName name="IQ_CFPS_HIGH_EST" hidden="1">"c1669"</definedName>
    <definedName name="IQ_CFPS_HIGH_EST_CIQ" hidden="1">"c3677"</definedName>
    <definedName name="IQ_CFPS_HIGH_EST_THOM" hidden="1">"c4008"</definedName>
    <definedName name="IQ_CFPS_HIGH_GUIDANCE" hidden="1">"c4167"</definedName>
    <definedName name="IQ_CFPS_HIGH_GUIDANCE_CIQ" hidden="1">"c4579"</definedName>
    <definedName name="IQ_CFPS_LOW_EST" hidden="1">"c1670"</definedName>
    <definedName name="IQ_CFPS_LOW_EST_CIQ" hidden="1">"c3678"</definedName>
    <definedName name="IQ_CFPS_LOW_EST_THOM" hidden="1">"c4009"</definedName>
    <definedName name="IQ_CFPS_LOW_GUIDANCE" hidden="1">"c4207"</definedName>
    <definedName name="IQ_CFPS_LOW_GUIDANCE_CIQ" hidden="1">"c4619"</definedName>
    <definedName name="IQ_CFPS_MEDIAN_EST" hidden="1">"c1668"</definedName>
    <definedName name="IQ_CFPS_MEDIAN_EST_CIQ" hidden="1">"c3676"</definedName>
    <definedName name="IQ_CFPS_MEDIAN_EST_THOM" hidden="1">"c4007"</definedName>
    <definedName name="IQ_CFPS_NUM_EST" hidden="1">"c1671"</definedName>
    <definedName name="IQ_CFPS_NUM_EST_CIQ" hidden="1">"c3679"</definedName>
    <definedName name="IQ_CFPS_NUM_EST_THOM" hidden="1">"c4010"</definedName>
    <definedName name="IQ_CFPS_STDDEV_EST" hidden="1">"c1672"</definedName>
    <definedName name="IQ_CFPS_STDDEV_EST_CIQ" hidden="1">"c3680"</definedName>
    <definedName name="IQ_CFPS_STDDEV_EST_THOM" hidden="1">"c4011"</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ATERAL_TYPE" hidden="1">"c8954"</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TRIB_ID_DET_EST" hidden="1">"c12045"</definedName>
    <definedName name="IQ_CONTRIB_ID_DET_EST_THOM" hidden="1">"c12073"</definedName>
    <definedName name="IQ_CONTRIB_NAME_DET_EST" hidden="1">"c12046"</definedName>
    <definedName name="IQ_CONTRIB_NAME_DET_EST_THOM" hidden="1">"c12074"</definedName>
    <definedName name="IQ_CONTRIB_NAME_NON_PER_DET_EST" hidden="1">"c12760"</definedName>
    <definedName name="IQ_CONTRIB_NAME_NON_PER_DET_EST_THOM" hidden="1">"c12764"</definedName>
    <definedName name="IQ_CONTRIB_REC_DET_EST" hidden="1">"c12051"</definedName>
    <definedName name="IQ_CONTRIB_REC_DET_EST_DATE" hidden="1">"c12204"</definedName>
    <definedName name="IQ_CONTRIB_REC_DET_EST_DATE_THOM" hidden="1">"c12230"</definedName>
    <definedName name="IQ_CONTRIB_REC_DET_EST_ORIGIN" hidden="1">"c12577"</definedName>
    <definedName name="IQ_CONTRIB_REC_DET_EST_ORIGIN_THOM" hidden="1">"c12600"</definedName>
    <definedName name="IQ_CONTRIB_REC_DET_EST_THOM" hidden="1">"c12080"</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500000</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 hidden="1">"c4257"</definedName>
    <definedName name="IQ_DEBT_EQUITY_EST_CIQ" hidden="1">"c4783"</definedName>
    <definedName name="IQ_DEBT_EQUITY_HIGH_EST" hidden="1">"c4258"</definedName>
    <definedName name="IQ_DEBT_EQUITY_HIGH_EST_CIQ" hidden="1">"c4784"</definedName>
    <definedName name="IQ_DEBT_EQUITY_LOW_EST" hidden="1">"c4259"</definedName>
    <definedName name="IQ_DEBT_EQUITY_LOW_EST_CIQ" hidden="1">"c4785"</definedName>
    <definedName name="IQ_DEBT_EQUITY_MEDIAN_EST" hidden="1">"c4260"</definedName>
    <definedName name="IQ_DEBT_EQUITY_MEDIAN_EST_CIQ" hidden="1">"c4786"</definedName>
    <definedName name="IQ_DEBT_EQUITY_NUM_EST" hidden="1">"c4261"</definedName>
    <definedName name="IQ_DEBT_EQUITY_NUM_EST_CIQ" hidden="1">"c4787"</definedName>
    <definedName name="IQ_DEBT_EQUITY_STDDEV_EST" hidden="1">"c4262"</definedName>
    <definedName name="IQ_DEBT_EQUITY_STDDEV_EST_CIQ" hidden="1">"c4788"</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CIQ" hidden="1">"c4767"</definedName>
    <definedName name="IQ_DIFF_LASTCLOSE_TARGET_PRICE_THOM" hidden="1">"c5278"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EST_CIQ" hidden="1">"c4789"</definedName>
    <definedName name="IQ_DILUT_OUTSTANDING_CURRENT_HIGH_EST" hidden="1">"c4264"</definedName>
    <definedName name="IQ_DILUT_OUTSTANDING_CURRENT_HIGH_EST_CIQ" hidden="1">"c4790"</definedName>
    <definedName name="IQ_DILUT_OUTSTANDING_CURRENT_LOW_EST" hidden="1">"c4265"</definedName>
    <definedName name="IQ_DILUT_OUTSTANDING_CURRENT_LOW_EST_CIQ" hidden="1">"c4791"</definedName>
    <definedName name="IQ_DILUT_OUTSTANDING_CURRENT_MEDIAN_EST" hidden="1">"c4266"</definedName>
    <definedName name="IQ_DILUT_OUTSTANDING_CURRENT_MEDIAN_EST_CIQ" hidden="1">"c4792"</definedName>
    <definedName name="IQ_DILUT_OUTSTANDING_CURRENT_NUM_EST" hidden="1">"c4267"</definedName>
    <definedName name="IQ_DILUT_OUTSTANDING_CURRENT_NUM_EST_CIQ" hidden="1">"c4793"</definedName>
    <definedName name="IQ_DILUT_OUTSTANDING_CURRENT_STDDEV_EST" hidden="1">"c4268"</definedName>
    <definedName name="IQ_DILUT_OUTSTANDING_CURRENT_STDDEV_EST_CIQ" hidden="1">"c4794"</definedName>
    <definedName name="IQ_DILUT_WEIGHT" hidden="1">"c326"</definedName>
    <definedName name="IQ_DILUT_WEIGHT_EST" hidden="1">"c4269"</definedName>
    <definedName name="IQ_DILUT_WEIGHT_EST_CIQ" hidden="1">"c4795"</definedName>
    <definedName name="IQ_DILUT_WEIGHT_GUIDANCE" hidden="1">"c4270"</definedName>
    <definedName name="IQ_DILUT_WEIGHT_HIGH_EST" hidden="1">"c4271"</definedName>
    <definedName name="IQ_DILUT_WEIGHT_HIGH_EST_CIQ" hidden="1">"c4796"</definedName>
    <definedName name="IQ_DILUT_WEIGHT_LOW_EST" hidden="1">"c4272"</definedName>
    <definedName name="IQ_DILUT_WEIGHT_LOW_EST_CIQ" hidden="1">"c4797"</definedName>
    <definedName name="IQ_DILUT_WEIGHT_MEDIAN_EST" hidden="1">"c4273"</definedName>
    <definedName name="IQ_DILUT_WEIGHT_MEDIAN_EST_CIQ" hidden="1">"c4798"</definedName>
    <definedName name="IQ_DILUT_WEIGHT_NUM_EST" hidden="1">"c4274"</definedName>
    <definedName name="IQ_DILUT_WEIGHT_NUM_EST_CIQ" hidden="1">"c4799"</definedName>
    <definedName name="IQ_DILUT_WEIGHT_STDDEV_EST" hidden="1">"c4275"</definedName>
    <definedName name="IQ_DILUT_WEIGHT_STDDEV_EST_CIQ" hidden="1">"c4800"</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EST" hidden="1">"c4277"</definedName>
    <definedName name="IQ_DISTRIBUTABLE_CASH_EST_CIQ" hidden="1">"c4802"</definedName>
    <definedName name="IQ_DISTRIBUTABLE_CASH_GUIDANCE" hidden="1">"c4279"</definedName>
    <definedName name="IQ_DISTRIBUTABLE_CASH_GUIDANCE_CIQ" hidden="1">"c4804"</definedName>
    <definedName name="IQ_DISTRIBUTABLE_CASH_HIGH_EST" hidden="1">"c4280"</definedName>
    <definedName name="IQ_DISTRIBUTABLE_CASH_HIGH_EST_CIQ" hidden="1">"c4805"</definedName>
    <definedName name="IQ_DISTRIBUTABLE_CASH_HIGH_GUIDANCE" hidden="1">"c4198"</definedName>
    <definedName name="IQ_DISTRIBUTABLE_CASH_HIGH_GUIDANCE_CIQ" hidden="1">"c4610"</definedName>
    <definedName name="IQ_DISTRIBUTABLE_CASH_LOW_EST" hidden="1">"c4281"</definedName>
    <definedName name="IQ_DISTRIBUTABLE_CASH_LOW_EST_CIQ" hidden="1">"c4806"</definedName>
    <definedName name="IQ_DISTRIBUTABLE_CASH_LOW_GUIDANCE" hidden="1">"c4238"</definedName>
    <definedName name="IQ_DISTRIBUTABLE_CASH_LOW_GUIDANCE_CIQ" hidden="1">"c4650"</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GUIDANCE_CIQ" hidden="1">"c4812"</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HIGH_GUIDANCE_CIQ" hidden="1">"c4611"</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LOW_GUIDANCE_CIQ" hidden="1">"c4651"</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TDDEV_EST" hidden="1">"c4294"</definedName>
    <definedName name="IQ_DISTRIBUTABLE_CASH_STDDEV_EST_CIQ" hidden="1">"c4819"</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EST_CIQ" hidden="1">"c4821"</definedName>
    <definedName name="IQ_DIVIDEND_HIGH_EST" hidden="1">"c4297"</definedName>
    <definedName name="IQ_DIVIDEND_HIGH_EST_CIQ" hidden="1">"c4822"</definedName>
    <definedName name="IQ_DIVIDEND_LOW_EST" hidden="1">"c4298"</definedName>
    <definedName name="IQ_DIVIDEND_LOW_EST_CIQ" hidden="1">"c4823"</definedName>
    <definedName name="IQ_DIVIDEND_MEDIAN_EST" hidden="1">"c4299"</definedName>
    <definedName name="IQ_DIVIDEND_MEDIAN_EST_CIQ" hidden="1">"c4824"</definedName>
    <definedName name="IQ_DIVIDEND_NUM_EST" hidden="1">"c4300"</definedName>
    <definedName name="IQ_DIVIDEND_NUM_EST_CIQ" hidden="1">"c4825"</definedName>
    <definedName name="IQ_DIVIDEND_STDDEV_EST" hidden="1">"c4301"</definedName>
    <definedName name="IQ_DIVIDEND_STDDEV_EST_CIQ" hidden="1">"c4826"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 hidden="1">"c5062"</definedName>
    <definedName name="IQ_DPS_ACT_OR_EST_THOM" hidden="1">"c5302"</definedName>
    <definedName name="IQ_DPS_DET_EST" hidden="1">"c12052"</definedName>
    <definedName name="IQ_DPS_DET_EST_CURRENCY" hidden="1">"c12459"</definedName>
    <definedName name="IQ_DPS_DET_EST_CURRENCY_THOM" hidden="1">"c12480"</definedName>
    <definedName name="IQ_DPS_DET_EST_DATE" hidden="1">"c12205"</definedName>
    <definedName name="IQ_DPS_DET_EST_DATE_THOM" hidden="1">"c12231"</definedName>
    <definedName name="IQ_DPS_DET_EST_INCL" hidden="1">"c12342"</definedName>
    <definedName name="IQ_DPS_DET_EST_INCL_THOM" hidden="1">"c12363"</definedName>
    <definedName name="IQ_DPS_DET_EST_ORIGIN" hidden="1">"c12578"</definedName>
    <definedName name="IQ_DPS_DET_EST_ORIGIN_THOM" hidden="1">"c12601"</definedName>
    <definedName name="IQ_DPS_DET_EST_THOM" hidden="1">"c12081"</definedName>
    <definedName name="IQ_DPS_EST" hidden="1">"c1674"</definedName>
    <definedName name="IQ_DPS_EST_BOTTOM_UP" hidden="1">"c5493"</definedName>
    <definedName name="IQ_DPS_EST_BOTTOM_UP_CIQ" hidden="1">"c12030"</definedName>
    <definedName name="IQ_DPS_EST_CIQ" hidden="1">"c3682"</definedName>
    <definedName name="IQ_DPS_EST_THOM" hidden="1">"c4013"</definedName>
    <definedName name="IQ_DPS_GUIDANCE" hidden="1">"c4302"</definedName>
    <definedName name="IQ_DPS_GUIDANCE_CIQ" hidden="1">"c4827"</definedName>
    <definedName name="IQ_DPS_HIGH_EST" hidden="1">"c1676"</definedName>
    <definedName name="IQ_DPS_HIGH_EST_CIQ" hidden="1">"c3684"</definedName>
    <definedName name="IQ_DPS_HIGH_EST_THOM" hidden="1">"c4015"</definedName>
    <definedName name="IQ_DPS_HIGH_GUIDANCE" hidden="1">"c4168"</definedName>
    <definedName name="IQ_DPS_HIGH_GUIDANCE_CIQ" hidden="1">"c4580"</definedName>
    <definedName name="IQ_DPS_LOW_EST" hidden="1">"c1677"</definedName>
    <definedName name="IQ_DPS_LOW_EST_CIQ" hidden="1">"c3685"</definedName>
    <definedName name="IQ_DPS_LOW_EST_THOM" hidden="1">"c4016"</definedName>
    <definedName name="IQ_DPS_LOW_GUIDANCE" hidden="1">"c4208"</definedName>
    <definedName name="IQ_DPS_LOW_GUIDANCE_CIQ" hidden="1">"c4620"</definedName>
    <definedName name="IQ_DPS_MEDIAN_EST" hidden="1">"c1675"</definedName>
    <definedName name="IQ_DPS_MEDIAN_EST_CIQ" hidden="1">"c3683"</definedName>
    <definedName name="IQ_DPS_MEDIAN_EST_THOM" hidden="1">"c4014"</definedName>
    <definedName name="IQ_DPS_NUM_EST" hidden="1">"c1678"</definedName>
    <definedName name="IQ_DPS_NUM_EST_CIQ" hidden="1">"c3686"</definedName>
    <definedName name="IQ_DPS_NUM_EST_THOM" hidden="1">"c4017"</definedName>
    <definedName name="IQ_DPS_STDDEV_EST" hidden="1">"c1679"</definedName>
    <definedName name="IQ_DPS_STDDEV_EST_CIQ" hidden="1">"c3687"</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 hidden="1">"c5063"</definedName>
    <definedName name="IQ_EBIT_ACT_OR_EST_THOM" hidden="1">"c5303"</definedName>
    <definedName name="IQ_EBIT_DET_EST" hidden="1">"c12053"</definedName>
    <definedName name="IQ_EBIT_DET_EST_CURRENCY" hidden="1">"c12460"</definedName>
    <definedName name="IQ_EBIT_DET_EST_CURRENCY_THOM" hidden="1">"c12481"</definedName>
    <definedName name="IQ_EBIT_DET_EST_DATE" hidden="1">"c12206"</definedName>
    <definedName name="IQ_EBIT_DET_EST_DATE_THOM" hidden="1">"c12232"</definedName>
    <definedName name="IQ_EBIT_DET_EST_INCL" hidden="1">"c12343"</definedName>
    <definedName name="IQ_EBIT_DET_EST_INCL_THOM" hidden="1">"c12364"</definedName>
    <definedName name="IQ_EBIT_DET_EST_ORIGIN" hidden="1">"c12579"</definedName>
    <definedName name="IQ_EBIT_DET_EST_ORIGIN_THOM" hidden="1">"c12602"</definedName>
    <definedName name="IQ_EBIT_DET_EST_THOM" hidden="1">"c12082"</definedName>
    <definedName name="IQ_EBIT_EQ_INC" hidden="1">"c3498"</definedName>
    <definedName name="IQ_EBIT_EQ_INC_EXCL_SBC" hidden="1">"c3502"</definedName>
    <definedName name="IQ_EBIT_EST" hidden="1">"c1681"</definedName>
    <definedName name="IQ_EBIT_EST_CIQ" hidden="1">"c4674"</definedName>
    <definedName name="IQ_EBIT_EST_THOM" hidden="1">"c5105"</definedName>
    <definedName name="IQ_EBIT_EXCL_SBC" hidden="1">"c3082"</definedName>
    <definedName name="IQ_EBIT_GUIDANCE" hidden="1">"c4303"</definedName>
    <definedName name="IQ_EBIT_GUIDANCE_CIQ" hidden="1">"c4828"</definedName>
    <definedName name="IQ_EBIT_GW_ACT_OR_EST" hidden="1">"c4306"</definedName>
    <definedName name="IQ_EBIT_GW_ACT_OR_EST_CIQ" hidden="1">"c4831"</definedName>
    <definedName name="IQ_EBIT_GW_EST" hidden="1">"c4305"</definedName>
    <definedName name="IQ_EBIT_GW_EST_CIQ" hidden="1">"c4830"</definedName>
    <definedName name="IQ_EBIT_GW_GUIDANCE" hidden="1">"c4307"</definedName>
    <definedName name="IQ_EBIT_GW_GUIDANCE_CIQ" hidden="1">"c4832"</definedName>
    <definedName name="IQ_EBIT_GW_HIGH_EST" hidden="1">"c4308"</definedName>
    <definedName name="IQ_EBIT_GW_HIGH_EST_CIQ" hidden="1">"c4833"</definedName>
    <definedName name="IQ_EBIT_GW_HIGH_GUIDANCE" hidden="1">"c4171"</definedName>
    <definedName name="IQ_EBIT_GW_HIGH_GUIDANCE_CIQ" hidden="1">"c4583"</definedName>
    <definedName name="IQ_EBIT_GW_LOW_EST" hidden="1">"c4309"</definedName>
    <definedName name="IQ_EBIT_GW_LOW_EST_CIQ" hidden="1">"c4834"</definedName>
    <definedName name="IQ_EBIT_GW_LOW_GUIDANCE" hidden="1">"c4211"</definedName>
    <definedName name="IQ_EBIT_GW_LOW_GUIDANCE_CIQ" hidden="1">"c4623"</definedName>
    <definedName name="IQ_EBIT_GW_MEDIAN_EST" hidden="1">"c4310"</definedName>
    <definedName name="IQ_EBIT_GW_MEDIAN_EST_CIQ" hidden="1">"c4835"</definedName>
    <definedName name="IQ_EBIT_GW_NUM_EST" hidden="1">"c4311"</definedName>
    <definedName name="IQ_EBIT_GW_NUM_EST_CIQ" hidden="1">"c4836"</definedName>
    <definedName name="IQ_EBIT_GW_STDDEV_EST" hidden="1">"c4312"</definedName>
    <definedName name="IQ_EBIT_GW_STDDEV_EST_CIQ" hidden="1">"c4837"</definedName>
    <definedName name="IQ_EBIT_HIGH_EST" hidden="1">"c1683"</definedName>
    <definedName name="IQ_EBIT_HIGH_EST_CIQ" hidden="1">"c4676"</definedName>
    <definedName name="IQ_EBIT_HIGH_EST_THOM" hidden="1">"c5107"</definedName>
    <definedName name="IQ_EBIT_HIGH_GUIDANCE" hidden="1">"c4172"</definedName>
    <definedName name="IQ_EBIT_HIGH_GUIDANCE_CIQ" hidden="1">"c4584"</definedName>
    <definedName name="IQ_EBIT_INT" hidden="1">"c360"</definedName>
    <definedName name="IQ_EBIT_LOW_EST" hidden="1">"c1684"</definedName>
    <definedName name="IQ_EBIT_LOW_EST_CIQ" hidden="1">"c4677"</definedName>
    <definedName name="IQ_EBIT_LOW_EST_THOM" hidden="1">"c5108"</definedName>
    <definedName name="IQ_EBIT_LOW_GUIDANCE" hidden="1">"c4212"</definedName>
    <definedName name="IQ_EBIT_LOW_GUIDANCE_CIQ" hidden="1">"c4624"</definedName>
    <definedName name="IQ_EBIT_MARGIN" hidden="1">"c359"</definedName>
    <definedName name="IQ_EBIT_MEDIAN_EST" hidden="1">"c1682"</definedName>
    <definedName name="IQ_EBIT_MEDIAN_EST_CIQ" hidden="1">"c4675"</definedName>
    <definedName name="IQ_EBIT_MEDIAN_EST_THOM" hidden="1">"c5106"</definedName>
    <definedName name="IQ_EBIT_NUM_EST" hidden="1">"c1685"</definedName>
    <definedName name="IQ_EBIT_NUM_EST_CIQ" hidden="1">"c4678"</definedName>
    <definedName name="IQ_EBIT_NUM_EST_THOM" hidden="1">"c5109"</definedName>
    <definedName name="IQ_EBIT_OVER_IE" hidden="1">"c1369"</definedName>
    <definedName name="IQ_EBIT_SBC_ACT_OR_EST" hidden="1">"c4316"</definedName>
    <definedName name="IQ_EBIT_SBC_ACT_OR_EST_CIQ" hidden="1">"c4841"</definedName>
    <definedName name="IQ_EBIT_SBC_EST" hidden="1">"c4315"</definedName>
    <definedName name="IQ_EBIT_SBC_EST_CIQ" hidden="1">"c4840"</definedName>
    <definedName name="IQ_EBIT_SBC_GUIDANCE" hidden="1">"c4317"</definedName>
    <definedName name="IQ_EBIT_SBC_GUIDANCE_CIQ" hidden="1">"c4842"</definedName>
    <definedName name="IQ_EBIT_SBC_GW_ACT_OR_EST" hidden="1">"c4320"</definedName>
    <definedName name="IQ_EBIT_SBC_GW_ACT_OR_EST_CIQ" hidden="1">"c4845"</definedName>
    <definedName name="IQ_EBIT_SBC_GW_EST" hidden="1">"c4319"</definedName>
    <definedName name="IQ_EBIT_SBC_GW_EST_CIQ" hidden="1">"c4844"</definedName>
    <definedName name="IQ_EBIT_SBC_GW_GUIDANCE" hidden="1">"c4321"</definedName>
    <definedName name="IQ_EBIT_SBC_GW_GUIDANCE_CIQ" hidden="1">"c4846"</definedName>
    <definedName name="IQ_EBIT_SBC_GW_HIGH_EST" hidden="1">"c4322"</definedName>
    <definedName name="IQ_EBIT_SBC_GW_HIGH_EST_CIQ" hidden="1">"c4847"</definedName>
    <definedName name="IQ_EBIT_SBC_GW_HIGH_GUIDANCE" hidden="1">"c4193"</definedName>
    <definedName name="IQ_EBIT_SBC_GW_HIGH_GUIDANCE_CIQ" hidden="1">"c4605"</definedName>
    <definedName name="IQ_EBIT_SBC_GW_LOW_EST" hidden="1">"c4323"</definedName>
    <definedName name="IQ_EBIT_SBC_GW_LOW_EST_CIQ" hidden="1">"c4848"</definedName>
    <definedName name="IQ_EBIT_SBC_GW_LOW_GUIDANCE" hidden="1">"c4233"</definedName>
    <definedName name="IQ_EBIT_SBC_GW_LOW_GUIDANCE_CIQ" hidden="1">"c4645"</definedName>
    <definedName name="IQ_EBIT_SBC_GW_MEDIAN_EST" hidden="1">"c4324"</definedName>
    <definedName name="IQ_EBIT_SBC_GW_MEDIAN_EST_CIQ" hidden="1">"c4849"</definedName>
    <definedName name="IQ_EBIT_SBC_GW_NUM_EST" hidden="1">"c4325"</definedName>
    <definedName name="IQ_EBIT_SBC_GW_NUM_EST_CIQ" hidden="1">"c4850"</definedName>
    <definedName name="IQ_EBIT_SBC_GW_STDDEV_EST" hidden="1">"c4326"</definedName>
    <definedName name="IQ_EBIT_SBC_GW_STDDEV_EST_CIQ" hidden="1">"c4851"</definedName>
    <definedName name="IQ_EBIT_SBC_HIGH_EST" hidden="1">"c4328"</definedName>
    <definedName name="IQ_EBIT_SBC_HIGH_EST_CIQ" hidden="1">"c4853"</definedName>
    <definedName name="IQ_EBIT_SBC_HIGH_GUIDANCE" hidden="1">"c4192"</definedName>
    <definedName name="IQ_EBIT_SBC_HIGH_GUIDANCE_CIQ" hidden="1">"c4604"</definedName>
    <definedName name="IQ_EBIT_SBC_LOW_EST" hidden="1">"c4329"</definedName>
    <definedName name="IQ_EBIT_SBC_LOW_EST_CIQ" hidden="1">"c4854"</definedName>
    <definedName name="IQ_EBIT_SBC_LOW_GUIDANCE" hidden="1">"c4232"</definedName>
    <definedName name="IQ_EBIT_SBC_LOW_GUIDANCE_CIQ" hidden="1">"c4644"</definedName>
    <definedName name="IQ_EBIT_SBC_MEDIAN_EST" hidden="1">"c4330"</definedName>
    <definedName name="IQ_EBIT_SBC_MEDIAN_EST_CIQ" hidden="1">"c4855"</definedName>
    <definedName name="IQ_EBIT_SBC_NUM_EST" hidden="1">"c4331"</definedName>
    <definedName name="IQ_EBIT_SBC_NUM_EST_CIQ" hidden="1">"c4856"</definedName>
    <definedName name="IQ_EBIT_SBC_STDDEV_EST" hidden="1">"c4332"</definedName>
    <definedName name="IQ_EBIT_SBC_STDDEV_EST_CIQ" hidden="1">"c4857"</definedName>
    <definedName name="IQ_EBIT_STDDEV_EST" hidden="1">"c1686"</definedName>
    <definedName name="IQ_EBIT_STDDEV_EST_CIQ" hidden="1">"c4679"</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THOM" hidden="1">"c5300"</definedName>
    <definedName name="IQ_EBITDA_CAPEX_INT" hidden="1">"c368"</definedName>
    <definedName name="IQ_EBITDA_CAPEX_OVER_TOTAL_IE" hidden="1">"c1370"</definedName>
    <definedName name="IQ_EBITDA_DET_EST" hidden="1">"c12054"</definedName>
    <definedName name="IQ_EBITDA_DET_EST_CURRENCY" hidden="1">"c12461"</definedName>
    <definedName name="IQ_EBITDA_DET_EST_CURRENCY_THOM" hidden="1">"c12482"</definedName>
    <definedName name="IQ_EBITDA_DET_EST_DATE" hidden="1">"c12207"</definedName>
    <definedName name="IQ_EBITDA_DET_EST_DATE_THOM" hidden="1">"c12233"</definedName>
    <definedName name="IQ_EBITDA_DET_EST_INCL" hidden="1">"c12344"</definedName>
    <definedName name="IQ_EBITDA_DET_EST_INCL_THOM" hidden="1">"c12365"</definedName>
    <definedName name="IQ_EBITDA_DET_EST_ORIGIN" hidden="1">"c12580"</definedName>
    <definedName name="IQ_EBITDA_DET_EST_ORIGIN_THOM" hidden="1">"c12603"</definedName>
    <definedName name="IQ_EBITDA_DET_EST_THOM" hidden="1">"c12083"</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ST_THOM" hidden="1">"c3658"</definedName>
    <definedName name="IQ_EBITDA_EXCL_SBC" hidden="1">"c3081"</definedName>
    <definedName name="IQ_EBITDA_GUIDANCE" hidden="1">"c4334"</definedName>
    <definedName name="IQ_EBITDA_GUIDANCE_CIQ" hidden="1">"c4859"</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HIGH_GUIDANCE" hidden="1">"c4170"</definedName>
    <definedName name="IQ_EBITDA_HIGH_GUIDANCE_CIQ" hidden="1">"c4582"</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LOW_GUIDANCE" hidden="1">"c4210"</definedName>
    <definedName name="IQ_EBITDA_LOW_GUIDANCE_CIQ" hidden="1">"c4622"</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SBC_ACT_OR_EST" hidden="1">"c4337"</definedName>
    <definedName name="IQ_EBITDA_SBC_ACT_OR_EST_CIQ" hidden="1">"c4862"</definedName>
    <definedName name="IQ_EBITDA_SBC_EST" hidden="1">"c4336"</definedName>
    <definedName name="IQ_EBITDA_SBC_EST_CIQ" hidden="1">"c4861"</definedName>
    <definedName name="IQ_EBITDA_SBC_GUIDANCE" hidden="1">"c4338"</definedName>
    <definedName name="IQ_EBITDA_SBC_GUIDANCE_CIQ" hidden="1">"c4863"</definedName>
    <definedName name="IQ_EBITDA_SBC_HIGH_EST" hidden="1">"c4339"</definedName>
    <definedName name="IQ_EBITDA_SBC_HIGH_EST_CIQ" hidden="1">"c4864"</definedName>
    <definedName name="IQ_EBITDA_SBC_HIGH_GUIDANCE" hidden="1">"c4194"</definedName>
    <definedName name="IQ_EBITDA_SBC_HIGH_GUIDANCE_CIQ" hidden="1">"c4606"</definedName>
    <definedName name="IQ_EBITDA_SBC_LOW_EST" hidden="1">"c4340"</definedName>
    <definedName name="IQ_EBITDA_SBC_LOW_EST_CIQ" hidden="1">"c4865"</definedName>
    <definedName name="IQ_EBITDA_SBC_LOW_GUIDANCE" hidden="1">"c4234"</definedName>
    <definedName name="IQ_EBITDA_SBC_LOW_GUIDANCE_CIQ" hidden="1">"c4646"</definedName>
    <definedName name="IQ_EBITDA_SBC_MEDIAN_EST" hidden="1">"c4341"</definedName>
    <definedName name="IQ_EBITDA_SBC_MEDIAN_EST_CIQ" hidden="1">"c4866"</definedName>
    <definedName name="IQ_EBITDA_SBC_NUM_EST" hidden="1">"c4342"</definedName>
    <definedName name="IQ_EBITDA_SBC_NUM_EST_CIQ" hidden="1">"c4867"</definedName>
    <definedName name="IQ_EBITDA_SBC_STDDEV_EST" hidden="1">"c4343"</definedName>
    <definedName name="IQ_EBITDA_SBC_STDDEV_EST_CIQ" hidden="1">"c4868"</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 hidden="1">"c4345"</definedName>
    <definedName name="IQ_EBT_GAAP_GUIDANCE_CIQ" hidden="1">"c4870"</definedName>
    <definedName name="IQ_EBT_GAAP_HIGH_GUIDANCE" hidden="1">"c4174"</definedName>
    <definedName name="IQ_EBT_GAAP_HIGH_GUIDANCE_CIQ" hidden="1">"c4586"</definedName>
    <definedName name="IQ_EBT_GAAP_LOW_GUIDANCE" hidden="1">"c4214"</definedName>
    <definedName name="IQ_EBT_GAAP_LOW_GUIDANCE_CIQ" hidden="1">"c4626"</definedName>
    <definedName name="IQ_EBT_GUIDANCE" hidden="1">"c4346"</definedName>
    <definedName name="IQ_EBT_GUIDANCE_CIQ" hidden="1">"c4871"</definedName>
    <definedName name="IQ_EBT_GW_GUIDANCE" hidden="1">"c4347"</definedName>
    <definedName name="IQ_EBT_GW_GUIDANCE_CIQ" hidden="1">"c4872"</definedName>
    <definedName name="IQ_EBT_GW_HIGH_GUIDANCE" hidden="1">"c4175"</definedName>
    <definedName name="IQ_EBT_GW_HIGH_GUIDANCE_CIQ" hidden="1">"c4587"</definedName>
    <definedName name="IQ_EBT_GW_LOW_GUIDANCE" hidden="1">"c4215"</definedName>
    <definedName name="IQ_EBT_GW_LOW_GUIDANCE_CIQ" hidden="1">"c4627"</definedName>
    <definedName name="IQ_EBT_HIGH_GUIDANCE" hidden="1">"c4173"</definedName>
    <definedName name="IQ_EBT_HIGH_GUIDANCE_CIQ" hidden="1">"c4585"</definedName>
    <definedName name="IQ_EBT_INCL_MARGIN" hidden="1">"c387"</definedName>
    <definedName name="IQ_EBT_INS" hidden="1">"c388"</definedName>
    <definedName name="IQ_EBT_LOW_GUIDANCE" hidden="1">"c4213"</definedName>
    <definedName name="IQ_EBT_LOW_GUIDANCE_CIQ" hidden="1">"c4625"</definedName>
    <definedName name="IQ_EBT_RE" hidden="1">"c6215"</definedName>
    <definedName name="IQ_EBT_REIT" hidden="1">"c389"</definedName>
    <definedName name="IQ_EBT_SBC_ACT_OR_EST" hidden="1">"c4350"</definedName>
    <definedName name="IQ_EBT_SBC_ACT_OR_EST_CIQ" hidden="1">"c4875"</definedName>
    <definedName name="IQ_EBT_SBC_EST" hidden="1">"c4349"</definedName>
    <definedName name="IQ_EBT_SBC_EST_CIQ" hidden="1">"c4874"</definedName>
    <definedName name="IQ_EBT_SBC_GUIDANCE" hidden="1">"c4351"</definedName>
    <definedName name="IQ_EBT_SBC_GUIDANCE_CIQ" hidden="1">"c4876"</definedName>
    <definedName name="IQ_EBT_SBC_GW_ACT_OR_EST" hidden="1">"c4354"</definedName>
    <definedName name="IQ_EBT_SBC_GW_ACT_OR_EST_CIQ" hidden="1">"c4879"</definedName>
    <definedName name="IQ_EBT_SBC_GW_EST" hidden="1">"c4353"</definedName>
    <definedName name="IQ_EBT_SBC_GW_EST_CIQ" hidden="1">"c4878"</definedName>
    <definedName name="IQ_EBT_SBC_GW_GUIDANCE" hidden="1">"c4355"</definedName>
    <definedName name="IQ_EBT_SBC_GW_GUIDANCE_CIQ" hidden="1">"c4880"</definedName>
    <definedName name="IQ_EBT_SBC_GW_HIGH_EST" hidden="1">"c4356"</definedName>
    <definedName name="IQ_EBT_SBC_GW_HIGH_EST_CIQ" hidden="1">"c4881"</definedName>
    <definedName name="IQ_EBT_SBC_GW_HIGH_GUIDANCE" hidden="1">"c4191"</definedName>
    <definedName name="IQ_EBT_SBC_GW_HIGH_GUIDANCE_CIQ" hidden="1">"c4603"</definedName>
    <definedName name="IQ_EBT_SBC_GW_LOW_EST" hidden="1">"c4357"</definedName>
    <definedName name="IQ_EBT_SBC_GW_LOW_EST_CIQ" hidden="1">"c4882"</definedName>
    <definedName name="IQ_EBT_SBC_GW_LOW_GUIDANCE" hidden="1">"c4231"</definedName>
    <definedName name="IQ_EBT_SBC_GW_LOW_GUIDANCE_CIQ" hidden="1">"c4643"</definedName>
    <definedName name="IQ_EBT_SBC_GW_MEDIAN_EST" hidden="1">"c4358"</definedName>
    <definedName name="IQ_EBT_SBC_GW_MEDIAN_EST_CIQ" hidden="1">"c4883"</definedName>
    <definedName name="IQ_EBT_SBC_GW_NUM_EST" hidden="1">"c4359"</definedName>
    <definedName name="IQ_EBT_SBC_GW_NUM_EST_CIQ" hidden="1">"c4884"</definedName>
    <definedName name="IQ_EBT_SBC_GW_STDDEV_EST" hidden="1">"c4360"</definedName>
    <definedName name="IQ_EBT_SBC_GW_STDDEV_EST_CIQ" hidden="1">"c4885"</definedName>
    <definedName name="IQ_EBT_SBC_HIGH_EST" hidden="1">"c4362"</definedName>
    <definedName name="IQ_EBT_SBC_HIGH_EST_CIQ" hidden="1">"c4887"</definedName>
    <definedName name="IQ_EBT_SBC_HIGH_GUIDANCE" hidden="1">"c4190"</definedName>
    <definedName name="IQ_EBT_SBC_HIGH_GUIDANCE_CIQ" hidden="1">"c4602"</definedName>
    <definedName name="IQ_EBT_SBC_LOW_EST" hidden="1">"c4363"</definedName>
    <definedName name="IQ_EBT_SBC_LOW_EST_CIQ" hidden="1">"c4888"</definedName>
    <definedName name="IQ_EBT_SBC_LOW_GUIDANCE" hidden="1">"c4230"</definedName>
    <definedName name="IQ_EBT_SBC_LOW_GUIDANCE_CIQ" hidden="1">"c4642"</definedName>
    <definedName name="IQ_EBT_SBC_MEDIAN_EST" hidden="1">"c4364"</definedName>
    <definedName name="IQ_EBT_SBC_MEDIAN_EST_CIQ" hidden="1">"c4889"</definedName>
    <definedName name="IQ_EBT_SBC_NUM_EST" hidden="1">"c4365"</definedName>
    <definedName name="IQ_EBT_SBC_NUM_EST_CIQ" hidden="1">"c4890"</definedName>
    <definedName name="IQ_EBT_SBC_STDDEV_EST" hidden="1">"c4366"</definedName>
    <definedName name="IQ_EBT_SBC_STDDEV_EST_CIQ" hidden="1">"c4891"</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ITLEMENT_DET_EST" hidden="1">"c12044"</definedName>
    <definedName name="IQ_ENTITLEMENT_DET_EST_THOM" hidden="1">"c12072"</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THOM" hidden="1">"c5298"</definedName>
    <definedName name="IQ_EPS_AP" hidden="1">"c8880"</definedName>
    <definedName name="IQ_EPS_AP_ABS" hidden="1">"c8899"</definedName>
    <definedName name="IQ_EPS_DET_EST_CURRENCY_THOM" hidden="1">"c12484"</definedName>
    <definedName name="IQ_EPS_DET_EST_DATE_THOM" hidden="1">"c12235"</definedName>
    <definedName name="IQ_EPS_DET_EST_INCL_THOM" hidden="1">"c12367"</definedName>
    <definedName name="IQ_EPS_DET_EST_ORIGIN_THOM" hidden="1">"c12605"</definedName>
    <definedName name="IQ_EPS_DET_EST_THOM" hidden="1">"c12085"</definedName>
    <definedName name="IQ_EPS_EST" hidden="1">"c399"</definedName>
    <definedName name="IQ_EPS_EST_BOTTOM_UP" hidden="1">"c5489"</definedName>
    <definedName name="IQ_EPS_EST_BOTTOM_UP_CIQ" hidden="1">"c12026"</definedName>
    <definedName name="IQ_EPS_EST_BOTTOM_UP_THOM" hidden="1">"c5647"</definedName>
    <definedName name="IQ_EPS_EST_CIQ" hidden="1">"c4994"</definedName>
    <definedName name="IQ_EPS_EST_REUT" hidden="1">"c5453"</definedName>
    <definedName name="IQ_EPS_EST_THOM" hidden="1">"c5290"</definedName>
    <definedName name="IQ_EPS_EXCL_GUIDANCE" hidden="1">"c4368"</definedName>
    <definedName name="IQ_EPS_EXCL_GUIDANCE_CIQ" hidden="1">"c4893"</definedName>
    <definedName name="IQ_EPS_EXCL_HIGH_GUIDANCE" hidden="1">"c4369"</definedName>
    <definedName name="IQ_EPS_EXCL_HIGH_GUIDANCE_CIQ" hidden="1">"c4894"</definedName>
    <definedName name="IQ_EPS_EXCL_LOW_GUIDANCE" hidden="1">"c4204"</definedName>
    <definedName name="IQ_EPS_EXCL_LOW_GUIDANCE_CIQ" hidden="1">"c4616"</definedName>
    <definedName name="IQ_EPS_GAAP_GUIDANCE" hidden="1">"c4370"</definedName>
    <definedName name="IQ_EPS_GAAP_GUIDANCE_CIQ" hidden="1">"c4895"</definedName>
    <definedName name="IQ_EPS_GAAP_HIGH_GUIDANCE" hidden="1">"c4371"</definedName>
    <definedName name="IQ_EPS_GAAP_HIGH_GUIDANCE_CIQ" hidden="1">"c4896"</definedName>
    <definedName name="IQ_EPS_GAAP_LOW_GUIDANCE" hidden="1">"c4205"</definedName>
    <definedName name="IQ_EPS_GAAP_LOW_GUIDANCE_CIQ" hidden="1">"c4617"</definedName>
    <definedName name="IQ_EPS_GW_ACT_OR_EST" hidden="1">"c2223"</definedName>
    <definedName name="IQ_EPS_GW_ACT_OR_EST_CIQ" hidden="1">"c5066"</definedName>
    <definedName name="IQ_EPS_GW_DET_EST" hidden="1">"c12056"</definedName>
    <definedName name="IQ_EPS_GW_DET_EST_CURRENCY" hidden="1">"c12463"</definedName>
    <definedName name="IQ_EPS_GW_DET_EST_CURRENCY_THOM" hidden="1">"c12485"</definedName>
    <definedName name="IQ_EPS_GW_DET_EST_DATE" hidden="1">"c12209"</definedName>
    <definedName name="IQ_EPS_GW_DET_EST_DATE_THOM" hidden="1">"c12236"</definedName>
    <definedName name="IQ_EPS_GW_DET_EST_INCL" hidden="1">"c12346"</definedName>
    <definedName name="IQ_EPS_GW_DET_EST_INCL_THOM" hidden="1">"c12368"</definedName>
    <definedName name="IQ_EPS_GW_DET_EST_ORIGIN" hidden="1">"c12582"</definedName>
    <definedName name="IQ_EPS_GW_DET_EST_ORIGIN_THOM" hidden="1">"c12606"</definedName>
    <definedName name="IQ_EPS_GW_DET_EST_THOM" hidden="1">"c12086"</definedName>
    <definedName name="IQ_EPS_GW_EST" hidden="1">"c1737"</definedName>
    <definedName name="IQ_EPS_GW_EST_BOTTOM_UP" hidden="1">"c5491"</definedName>
    <definedName name="IQ_EPS_GW_EST_BOTTOM_UP_CIQ" hidden="1">"c12028"</definedName>
    <definedName name="IQ_EPS_GW_EST_CIQ" hidden="1">"c4723"</definedName>
    <definedName name="IQ_EPS_GW_EST_REUT" hidden="1">"c5389"</definedName>
    <definedName name="IQ_EPS_GW_EST_THOM" hidden="1">"c5133"</definedName>
    <definedName name="IQ_EPS_GW_GUIDANCE" hidden="1">"c4372"</definedName>
    <definedName name="IQ_EPS_GW_GUIDANCE_CIQ" hidden="1">"c4897"</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HIGH_GUIDANCE" hidden="1">"c4373"</definedName>
    <definedName name="IQ_EPS_GW_HIGH_GUIDANCE_CIQ" hidden="1">"c4898"</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LOW_GUIDANCE" hidden="1">"c4206"</definedName>
    <definedName name="IQ_EPS_GW_LOW_GUIDANCE_CIQ" hidden="1">"c4618"</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RM" hidden="1">"c1902"</definedName>
    <definedName name="IQ_EPS_NORM_DET_EST" hidden="1">"c12058"</definedName>
    <definedName name="IQ_EPS_NORM_DET_EST_CURRENCY" hidden="1">"c12465"</definedName>
    <definedName name="IQ_EPS_NORM_DET_EST_DATE" hidden="1">"c12211"</definedName>
    <definedName name="IQ_EPS_NORM_DET_EST_INCL" hidden="1">"c12348"</definedName>
    <definedName name="IQ_EPS_NORM_DET_EST_ORIGIN" hidden="1">"c12583"</definedName>
    <definedName name="IQ_EPS_NORM_EST" hidden="1">"c2226"</definedName>
    <definedName name="IQ_EPS_NORM_EST_BOTTOM_UP" hidden="1">"c5490"</definedName>
    <definedName name="IQ_EPS_NORM_EST_BOTTOM_UP_CIQ" hidden="1">"c12027"</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REPORT_ACT_OR_EST" hidden="1">"c2224"</definedName>
    <definedName name="IQ_EPS_REPORT_ACT_OR_EST_CIQ" hidden="1">"c5067"</definedName>
    <definedName name="IQ_EPS_REPORT_ACT_OR_EST_THOM" hidden="1">"c5307"</definedName>
    <definedName name="IQ_EPS_REPORTED_DET_EST" hidden="1">"c12057"</definedName>
    <definedName name="IQ_EPS_REPORTED_DET_EST_CURRENCY" hidden="1">"c12464"</definedName>
    <definedName name="IQ_EPS_REPORTED_DET_EST_CURRENCY_THOM" hidden="1">"c12486"</definedName>
    <definedName name="IQ_EPS_REPORTED_DET_EST_DATE" hidden="1">"c12210"</definedName>
    <definedName name="IQ_EPS_REPORTED_DET_EST_DATE_THOM" hidden="1">"c12237"</definedName>
    <definedName name="IQ_EPS_REPORTED_DET_EST_INCL" hidden="1">"c12347"</definedName>
    <definedName name="IQ_EPS_REPORTED_DET_EST_INCL_THOM" hidden="1">"c12369"</definedName>
    <definedName name="IQ_EPS_REPORTED_DET_EST_ORIGIN" hidden="1">"c12772"</definedName>
    <definedName name="IQ_EPS_REPORTED_DET_EST_ORIGIN_THOM" hidden="1">"c12607"</definedName>
    <definedName name="IQ_EPS_REPORTED_DET_EST_THOM" hidden="1">"c12087"</definedName>
    <definedName name="IQ_EPS_REPORTED_EST" hidden="1">"c1744"</definedName>
    <definedName name="IQ_EPS_REPORTED_EST_BOTTOM_UP" hidden="1">"c5492"</definedName>
    <definedName name="IQ_EPS_REPORTED_EST_BOTTOM_UP_CIQ" hidden="1">"c12029"</definedName>
    <definedName name="IQ_EPS_REPORTED_EST_CIQ" hidden="1">"c4730"</definedName>
    <definedName name="IQ_EPS_REPORTED_EST_REUT" hidden="1">"c5396"</definedName>
    <definedName name="IQ_EPS_REPORTED_EST_THOM" hidden="1">"c5140"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EST" hidden="1">"c4375"</definedName>
    <definedName name="IQ_EPS_SBC_EST_CIQ" hidden="1">"c4900"</definedName>
    <definedName name="IQ_EPS_SBC_GUIDANCE" hidden="1">"c4377"</definedName>
    <definedName name="IQ_EPS_SBC_GUIDANCE_CIQ" hidden="1">"c4902"</definedName>
    <definedName name="IQ_EPS_SBC_GW_ACT_OR_EST" hidden="1">"c4380"</definedName>
    <definedName name="IQ_EPS_SBC_GW_ACT_OR_EST_CIQ" hidden="1">"c4905"</definedName>
    <definedName name="IQ_EPS_SBC_GW_EST" hidden="1">"c4379"</definedName>
    <definedName name="IQ_EPS_SBC_GW_EST_CIQ" hidden="1">"c4904"</definedName>
    <definedName name="IQ_EPS_SBC_GW_GUIDANCE" hidden="1">"c4381"</definedName>
    <definedName name="IQ_EPS_SBC_GW_GUIDANCE_CIQ" hidden="1">"c4906"</definedName>
    <definedName name="IQ_EPS_SBC_GW_HIGH_EST" hidden="1">"c4382"</definedName>
    <definedName name="IQ_EPS_SBC_GW_HIGH_EST_CIQ" hidden="1">"c4907"</definedName>
    <definedName name="IQ_EPS_SBC_GW_HIGH_GUIDANCE" hidden="1">"c4189"</definedName>
    <definedName name="IQ_EPS_SBC_GW_HIGH_GUIDANCE_CIQ" hidden="1">"c4601"</definedName>
    <definedName name="IQ_EPS_SBC_GW_LOW_EST" hidden="1">"c4383"</definedName>
    <definedName name="IQ_EPS_SBC_GW_LOW_EST_CIQ" hidden="1">"c4908"</definedName>
    <definedName name="IQ_EPS_SBC_GW_LOW_GUIDANCE" hidden="1">"c4229"</definedName>
    <definedName name="IQ_EPS_SBC_GW_LOW_GUIDANCE_CIQ" hidden="1">"c4641"</definedName>
    <definedName name="IQ_EPS_SBC_GW_MEDIAN_EST" hidden="1">"c4384"</definedName>
    <definedName name="IQ_EPS_SBC_GW_MEDIAN_EST_CIQ" hidden="1">"c4909"</definedName>
    <definedName name="IQ_EPS_SBC_GW_NUM_EST" hidden="1">"c4385"</definedName>
    <definedName name="IQ_EPS_SBC_GW_NUM_EST_CIQ" hidden="1">"c4910"</definedName>
    <definedName name="IQ_EPS_SBC_GW_STDDEV_EST" hidden="1">"c4386"</definedName>
    <definedName name="IQ_EPS_SBC_GW_STDDEV_EST_CIQ" hidden="1">"c4911"</definedName>
    <definedName name="IQ_EPS_SBC_HIGH_EST" hidden="1">"c4388"</definedName>
    <definedName name="IQ_EPS_SBC_HIGH_EST_CIQ" hidden="1">"c4913"</definedName>
    <definedName name="IQ_EPS_SBC_HIGH_GUIDANCE" hidden="1">"c4188"</definedName>
    <definedName name="IQ_EPS_SBC_HIGH_GUIDANCE_CIQ" hidden="1">"c4600"</definedName>
    <definedName name="IQ_EPS_SBC_LOW_EST" hidden="1">"c4389"</definedName>
    <definedName name="IQ_EPS_SBC_LOW_EST_CIQ" hidden="1">"c4914"</definedName>
    <definedName name="IQ_EPS_SBC_LOW_GUIDANCE" hidden="1">"c4228"</definedName>
    <definedName name="IQ_EPS_SBC_LOW_GUIDANCE_CIQ" hidden="1">"c4640"</definedName>
    <definedName name="IQ_EPS_SBC_MEDIAN_EST" hidden="1">"c4390"</definedName>
    <definedName name="IQ_EPS_SBC_MEDIAN_EST_CIQ" hidden="1">"c4915"</definedName>
    <definedName name="IQ_EPS_SBC_NUM_EST" hidden="1">"c4391"</definedName>
    <definedName name="IQ_EPS_SBC_NUM_EST_CIQ" hidden="1">"c4916"</definedName>
    <definedName name="IQ_EPS_SBC_STDDEV_EST" hidden="1">"c4392"</definedName>
    <definedName name="IQ_EPS_SBC_STDDEV_EST_CIQ" hidden="1">"c4917"</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 hidden="1">"c5630"</definedName>
    <definedName name="IQ_EST_ACT_BV_CIQ" hidden="1">"c4743"</definedName>
    <definedName name="IQ_EST_ACT_BV_SHARE" hidden="1">"c3549"</definedName>
    <definedName name="IQ_EST_ACT_BV_SHARE_CIQ" hidden="1">"c3806"</definedName>
    <definedName name="IQ_EST_ACT_BV_SHARE_THOM" hidden="1">"c4026"</definedName>
    <definedName name="IQ_EST_ACT_CAPEX" hidden="1">"c3546"</definedName>
    <definedName name="IQ_EST_ACT_CAPEX_CIQ" hidden="1">"c3813"</definedName>
    <definedName name="IQ_EST_ACT_CAPEX_THOM" hidden="1">"c5508"</definedName>
    <definedName name="IQ_EST_ACT_CASH_EPS" hidden="1">"c5637"</definedName>
    <definedName name="IQ_EST_ACT_CASH_EPS_THOM" hidden="1">"c5645"</definedName>
    <definedName name="IQ_EST_ACT_CASH_FLOW" hidden="1">"c4394"</definedName>
    <definedName name="IQ_EST_ACT_CASH_FLOW_CIQ" hidden="1">"c4919"</definedName>
    <definedName name="IQ_EST_ACT_CASH_OPER" hidden="1">"c4395"</definedName>
    <definedName name="IQ_EST_ACT_CASH_OPER_CIQ" hidden="1">"c4920"</definedName>
    <definedName name="IQ_EST_ACT_CFPS" hidden="1">"c1673"</definedName>
    <definedName name="IQ_EST_ACT_CFPS_CIQ" hidden="1">"c3681"</definedName>
    <definedName name="IQ_EST_ACT_CFPS_THOM" hidden="1">"c4012"</definedName>
    <definedName name="IQ_EST_ACT_DISTRIBUTABLE_CASH" hidden="1">"c4396"</definedName>
    <definedName name="IQ_EST_ACT_DISTRIBUTABLE_CASH_CIQ" hidden="1">"c4921"</definedName>
    <definedName name="IQ_EST_ACT_DISTRIBUTABLE_CASH_SHARE" hidden="1">"c4397"</definedName>
    <definedName name="IQ_EST_ACT_DISTRIBUTABLE_CASH_SHARE_CIQ" hidden="1">"c4922"</definedName>
    <definedName name="IQ_EST_ACT_DPS" hidden="1">"c1680"</definedName>
    <definedName name="IQ_EST_ACT_DPS_CIQ" hidden="1">"c3688"</definedName>
    <definedName name="IQ_EST_ACT_DPS_THOM" hidden="1">"c4019"</definedName>
    <definedName name="IQ_EST_ACT_EBIT" hidden="1">"c1687"</definedName>
    <definedName name="IQ_EST_ACT_EBIT_CIQ" hidden="1">"c4680"</definedName>
    <definedName name="IQ_EST_ACT_EBIT_GW" hidden="1">"c4398"</definedName>
    <definedName name="IQ_EST_ACT_EBIT_GW_CIQ" hidden="1">"c4923"</definedName>
    <definedName name="IQ_EST_ACT_EBIT_SBC" hidden="1">"c4399"</definedName>
    <definedName name="IQ_EST_ACT_EBIT_SBC_CIQ" hidden="1">"c4924"</definedName>
    <definedName name="IQ_EST_ACT_EBIT_SBC_GW" hidden="1">"c4400"</definedName>
    <definedName name="IQ_EST_ACT_EBIT_SBC_GW_CIQ" hidden="1">"c4925"</definedName>
    <definedName name="IQ_EST_ACT_EBIT_THOM" hidden="1">"c5111"</definedName>
    <definedName name="IQ_EST_ACT_EBITDA" hidden="1">"c1664"</definedName>
    <definedName name="IQ_EST_ACT_EBITDA_CIQ" hidden="1">"c3667"</definedName>
    <definedName name="IQ_EST_ACT_EBITDA_SBC" hidden="1">"c4401"</definedName>
    <definedName name="IQ_EST_ACT_EBITDA_SBC_CIQ" hidden="1">"c4926"</definedName>
    <definedName name="IQ_EST_ACT_EBITDA_THOM" hidden="1">"c3998"</definedName>
    <definedName name="IQ_EST_ACT_EBT_SBC" hidden="1">"c4402"</definedName>
    <definedName name="IQ_EST_ACT_EBT_SBC_CIQ" hidden="1">"c4927"</definedName>
    <definedName name="IQ_EST_ACT_EBT_SBC_GW" hidden="1">"c4403"</definedName>
    <definedName name="IQ_EST_ACT_EBT_SBC_GW_CIQ" hidden="1">"c4928"</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SBC" hidden="1">"c4404"</definedName>
    <definedName name="IQ_EST_ACT_EPS_SBC_CIQ" hidden="1">"c4929"</definedName>
    <definedName name="IQ_EST_ACT_EPS_SBC_GW" hidden="1">"c4405"</definedName>
    <definedName name="IQ_EST_ACT_EPS_SBC_GW_CIQ" hidden="1">"c4930"</definedName>
    <definedName name="IQ_EST_ACT_EPS_THOM" hidden="1">"c5294"</definedName>
    <definedName name="IQ_EST_ACT_FFO" hidden="1">"c1666"</definedName>
    <definedName name="IQ_EST_ACT_FFO_ADJ" hidden="1">"c4406"</definedName>
    <definedName name="IQ_EST_ACT_FFO_ADJ_CIQ" hidden="1">"c4931"</definedName>
    <definedName name="IQ_EST_ACT_FFO_CIQ" hidden="1">"c3674"</definedName>
    <definedName name="IQ_EST_ACT_FFO_SHARE" hidden="1">"c4407"</definedName>
    <definedName name="IQ_EST_ACT_FFO_SHARE_CIQ" hidden="1">"c4932"</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MAINT_CAPEX_CIQ" hidden="1">"c4933"</definedName>
    <definedName name="IQ_EST_ACT_NAV" hidden="1">"c1757"</definedName>
    <definedName name="IQ_EST_ACT_NAV_SHARE" hidden="1">"c5608"</definedName>
    <definedName name="IQ_EST_ACT_NAV_SHARE_CIQ" hidden="1">"c12031"</definedName>
    <definedName name="IQ_EST_ACT_NAV_THOM" hidden="1">"c5600"</definedName>
    <definedName name="IQ_EST_ACT_NET_DEBT" hidden="1">"c3545"</definedName>
    <definedName name="IQ_EST_ACT_NET_DEBT_CIQ" hidden="1">"c3820"</definedName>
    <definedName name="IQ_EST_ACT_NET_DEBT_THOM" hidden="1">"c4033"</definedName>
    <definedName name="IQ_EST_ACT_NI" hidden="1">"c1722"</definedName>
    <definedName name="IQ_EST_ACT_NI_CIQ" hidden="1">"c4708"</definedName>
    <definedName name="IQ_EST_ACT_NI_GW" hidden="1">"c1729"</definedName>
    <definedName name="IQ_EST_ACT_NI_GW_CIQ" hidden="1">"c4715"</definedName>
    <definedName name="IQ_EST_ACT_NI_REPORTED" hidden="1">"c1736"</definedName>
    <definedName name="IQ_EST_ACT_NI_REPORTED_CIQ" hidden="1">"c4722"</definedName>
    <definedName name="IQ_EST_ACT_NI_SBC" hidden="1">"c4409"</definedName>
    <definedName name="IQ_EST_ACT_NI_SBC_CIQ" hidden="1">"c4934"</definedName>
    <definedName name="IQ_EST_ACT_NI_SBC_GW" hidden="1">"c4410"</definedName>
    <definedName name="IQ_EST_ACT_NI_SBC_GW_CIQ" hidden="1">"c4935"</definedName>
    <definedName name="IQ_EST_ACT_NI_THOM" hidden="1">"c5132"</definedName>
    <definedName name="IQ_EST_ACT_OPER_INC" hidden="1">"c1694"</definedName>
    <definedName name="IQ_EST_ACT_OPER_INC_CIQ" hidden="1">"c12016"</definedName>
    <definedName name="IQ_EST_ACT_OPER_INC_THOM" hidden="1">"c5118"</definedName>
    <definedName name="IQ_EST_ACT_PRETAX_GW_INC" hidden="1">"c1708"</definedName>
    <definedName name="IQ_EST_ACT_PRETAX_GW_INC_CIQ" hidden="1">"c4694"</definedName>
    <definedName name="IQ_EST_ACT_PRETAX_INC" hidden="1">"c1701"</definedName>
    <definedName name="IQ_EST_ACT_PRETAX_INC_CIQ" hidden="1">"c4687"</definedName>
    <definedName name="IQ_EST_ACT_PRETAX_INC_THOM" hidden="1">"c5125"</definedName>
    <definedName name="IQ_EST_ACT_PRETAX_REPORT_INC" hidden="1">"c1715"</definedName>
    <definedName name="IQ_EST_ACT_PRETAX_REPORT_INC_CIQ" hidden="1">"c4701"</definedName>
    <definedName name="IQ_EST_ACT_RECURRING_PROFIT" hidden="1">"c4411"</definedName>
    <definedName name="IQ_EST_ACT_RECURRING_PROFIT_CIQ" hidden="1">"c4936"</definedName>
    <definedName name="IQ_EST_ACT_RECURRING_PROFIT_SHARE" hidden="1">"c4412"</definedName>
    <definedName name="IQ_EST_ACT_RECURRING_PROFIT_SHARE_CIQ" hidden="1">"c4937"</definedName>
    <definedName name="IQ_EST_ACT_RETURN_ASSETS" hidden="1">"c3547"</definedName>
    <definedName name="IQ_EST_ACT_RETURN_ASSETS_THOM" hidden="1">"c4040"</definedName>
    <definedName name="IQ_EST_ACT_RETURN_EQUITY" hidden="1">"c3548"</definedName>
    <definedName name="IQ_EST_ACT_RETURN_EQUITY_THOM" hidden="1">"c5287"</definedName>
    <definedName name="IQ_EST_ACT_REV" hidden="1">"c2113"</definedName>
    <definedName name="IQ_EST_ACT_REV_CIQ" hidden="1">"c3666"</definedName>
    <definedName name="IQ_EST_ACT_REV_THOM" hidden="1">"c3997"</definedName>
    <definedName name="IQ_EST_BV_SHARE_DIFF" hidden="1">"c4147"</definedName>
    <definedName name="IQ_EST_BV_SHARE_DIFF_CIQ" hidden="1">"c4559"</definedName>
    <definedName name="IQ_EST_BV_SHARE_SURPRISE_PERCENT" hidden="1">"c4148"</definedName>
    <definedName name="IQ_EST_BV_SHARE_SURPRISE_PERCENT_CIQ" hidden="1">"c4560"</definedName>
    <definedName name="IQ_EST_CAPEX_DIFF" hidden="1">"c4149"</definedName>
    <definedName name="IQ_EST_CAPEX_DIFF_CIQ" hidden="1">"c4561"</definedName>
    <definedName name="IQ_EST_CAPEX_GROWTH_1YR" hidden="1">"c3588"</definedName>
    <definedName name="IQ_EST_CAPEX_GROWTH_1YR_CIQ" hidden="1">"c4972"</definedName>
    <definedName name="IQ_EST_CAPEX_GROWTH_1YR_THOM" hidden="1">"c5542"</definedName>
    <definedName name="IQ_EST_CAPEX_GROWTH_2YR" hidden="1">"c3589"</definedName>
    <definedName name="IQ_EST_CAPEX_GROWTH_2YR_CIQ" hidden="1">"c4973"</definedName>
    <definedName name="IQ_EST_CAPEX_GROWTH_2YR_THOM" hidden="1">"c5543"</definedName>
    <definedName name="IQ_EST_CAPEX_GROWTH_Q_1YR" hidden="1">"c3590"</definedName>
    <definedName name="IQ_EST_CAPEX_GROWTH_Q_1YR_CIQ" hidden="1">"c4974"</definedName>
    <definedName name="IQ_EST_CAPEX_GROWTH_Q_1YR_THOM" hidden="1">"c5544"</definedName>
    <definedName name="IQ_EST_CAPEX_SEQ_GROWTH_Q" hidden="1">"c3591"</definedName>
    <definedName name="IQ_EST_CAPEX_SEQ_GROWTH_Q_CIQ" hidden="1">"c4975"</definedName>
    <definedName name="IQ_EST_CAPEX_SEQ_GROWTH_Q_THOM" hidden="1">"c5545"</definedName>
    <definedName name="IQ_EST_CAPEX_SURPRISE_PERCENT" hidden="1">"c4151"</definedName>
    <definedName name="IQ_EST_CAPEX_SURPRISE_PERCENT_CIQ" hidden="1">"c4563"</definedName>
    <definedName name="IQ_EST_CASH_FLOW_DIFF" hidden="1">"c4152"</definedName>
    <definedName name="IQ_EST_CASH_FLOW_DIFF_CIQ" hidden="1">"c4564"</definedName>
    <definedName name="IQ_EST_CASH_FLOW_SURPRISE_PERCENT" hidden="1">"c4161"</definedName>
    <definedName name="IQ_EST_CASH_FLOW_SURPRISE_PERCENT_CIQ" hidden="1">"c4573"</definedName>
    <definedName name="IQ_EST_CASH_OPER_DIFF" hidden="1">"c4162"</definedName>
    <definedName name="IQ_EST_CASH_OPER_DIFF_CIQ" hidden="1">"c4574"</definedName>
    <definedName name="IQ_EST_CASH_OPER_SURPRISE_PERCENT" hidden="1">"c4248"</definedName>
    <definedName name="IQ_EST_CASH_OPER_SURPRISE_PERCENT_CIQ" hidden="1">"c4774"</definedName>
    <definedName name="IQ_EST_CFPS_DIFF" hidden="1">"c1871"</definedName>
    <definedName name="IQ_EST_CFPS_DIFF_CIQ" hidden="1">"c3723"</definedName>
    <definedName name="IQ_EST_CFPS_DIFF_THOM" hidden="1">"c5188"</definedName>
    <definedName name="IQ_EST_CFPS_GROWTH_1YR" hidden="1">"c1774"</definedName>
    <definedName name="IQ_EST_CFPS_GROWTH_1YR_CIQ" hidden="1">"c3709"</definedName>
    <definedName name="IQ_EST_CFPS_GROWTH_1YR_THOM" hidden="1">"c5174"</definedName>
    <definedName name="IQ_EST_CFPS_GROWTH_2YR" hidden="1">"c1775"</definedName>
    <definedName name="IQ_EST_CFPS_GROWTH_2YR_CIQ" hidden="1">"c3710"</definedName>
    <definedName name="IQ_EST_CFPS_GROWTH_2YR_THOM" hidden="1">"c5175"</definedName>
    <definedName name="IQ_EST_CFPS_GROWTH_Q_1YR" hidden="1">"c1776"</definedName>
    <definedName name="IQ_EST_CFPS_GROWTH_Q_1YR_CIQ" hidden="1">"c3711"</definedName>
    <definedName name="IQ_EST_CFPS_GROWTH_Q_1YR_THOM" hidden="1">"c5176"</definedName>
    <definedName name="IQ_EST_CFPS_SEQ_GROWTH_Q" hidden="1">"c1777"</definedName>
    <definedName name="IQ_EST_CFPS_SEQ_GROWTH_Q_CIQ" hidden="1">"c3712"</definedName>
    <definedName name="IQ_EST_CFPS_SEQ_GROWTH_Q_THOM" hidden="1">"c5177"</definedName>
    <definedName name="IQ_EST_CFPS_SURPRISE_PERCENT" hidden="1">"c1872"</definedName>
    <definedName name="IQ_EST_CFPS_SURPRISE_PERCENT_CIQ" hidden="1">"c3724"</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ISTRIBUTABLE_CASH_DIFF" hidden="1">"c4276"</definedName>
    <definedName name="IQ_EST_DISTRIBUTABLE_CASH_DIFF_CIQ" hidden="1">"c4801"</definedName>
    <definedName name="IQ_EST_DISTRIBUTABLE_CASH_GROWTH_1YR" hidden="1">"c4413"</definedName>
    <definedName name="IQ_EST_DISTRIBUTABLE_CASH_GROWTH_1YR_CIQ" hidden="1">"c4938"</definedName>
    <definedName name="IQ_EST_DISTRIBUTABLE_CASH_GROWTH_2YR" hidden="1">"c4414"</definedName>
    <definedName name="IQ_EST_DISTRIBUTABLE_CASH_GROWTH_2YR_CIQ" hidden="1">"c4939"</definedName>
    <definedName name="IQ_EST_DISTRIBUTABLE_CASH_GROWTH_Q_1YR" hidden="1">"c4415"</definedName>
    <definedName name="IQ_EST_DISTRIBUTABLE_CASH_GROWTH_Q_1YR_CIQ" hidden="1">"c4940"</definedName>
    <definedName name="IQ_EST_DISTRIBUTABLE_CASH_SEQ_GROWTH_Q" hidden="1">"c4416"</definedName>
    <definedName name="IQ_EST_DISTRIBUTABLE_CASH_SEQ_GROWTH_Q_CIQ" hidden="1">"c4941"</definedName>
    <definedName name="IQ_EST_DISTRIBUTABLE_CASH_SHARE_DIFF" hidden="1">"c4284"</definedName>
    <definedName name="IQ_EST_DISTRIBUTABLE_CASH_SHARE_DIFF_CIQ" hidden="1">"c4809"</definedName>
    <definedName name="IQ_EST_DISTRIBUTABLE_CASH_SHARE_GROWTH_1YR" hidden="1">"c4417"</definedName>
    <definedName name="IQ_EST_DISTRIBUTABLE_CASH_SHARE_GROWTH_1YR_CIQ" hidden="1">"c4942"</definedName>
    <definedName name="IQ_EST_DISTRIBUTABLE_CASH_SHARE_GROWTH_2YR" hidden="1">"c4418"</definedName>
    <definedName name="IQ_EST_DISTRIBUTABLE_CASH_SHARE_GROWTH_2YR_CIQ" hidden="1">"c4943"</definedName>
    <definedName name="IQ_EST_DISTRIBUTABLE_CASH_SHARE_GROWTH_Q_1YR" hidden="1">"c4419"</definedName>
    <definedName name="IQ_EST_DISTRIBUTABLE_CASH_SHARE_GROWTH_Q_1YR_CIQ" hidden="1">"c4944"</definedName>
    <definedName name="IQ_EST_DISTRIBUTABLE_CASH_SHARE_SEQ_GROWTH_Q" hidden="1">"c4420"</definedName>
    <definedName name="IQ_EST_DISTRIBUTABLE_CASH_SHARE_SEQ_GROWTH_Q_CIQ" hidden="1">"c4945"</definedName>
    <definedName name="IQ_EST_DISTRIBUTABLE_CASH_SHARE_SURPRISE_PERCENT" hidden="1">"c4293"</definedName>
    <definedName name="IQ_EST_DISTRIBUTABLE_CASH_SHARE_SURPRISE_PERCENT_CIQ" hidden="1">"c4818"</definedName>
    <definedName name="IQ_EST_DISTRIBUTABLE_CASH_SURPRISE_PERCENT" hidden="1">"c4295"</definedName>
    <definedName name="IQ_EST_DISTRIBUTABLE_CASH_SURPRISE_PERCENT_CIQ" hidden="1">"c4820"</definedName>
    <definedName name="IQ_EST_DPS_DIFF" hidden="1">"c1873"</definedName>
    <definedName name="IQ_EST_DPS_DIFF_CIQ" hidden="1">"c3725"</definedName>
    <definedName name="IQ_EST_DPS_DIFF_THOM" hidden="1">"c5190"</definedName>
    <definedName name="IQ_EST_DPS_GROWTH_1YR" hidden="1">"c1778"</definedName>
    <definedName name="IQ_EST_DPS_GROWTH_1YR_CIQ" hidden="1">"c3713"</definedName>
    <definedName name="IQ_EST_DPS_GROWTH_1YR_THOM" hidden="1">"c5178"</definedName>
    <definedName name="IQ_EST_DPS_GROWTH_2YR" hidden="1">"c1779"</definedName>
    <definedName name="IQ_EST_DPS_GROWTH_2YR_CIQ" hidden="1">"c3714"</definedName>
    <definedName name="IQ_EST_DPS_GROWTH_2YR_THOM" hidden="1">"c5179"</definedName>
    <definedName name="IQ_EST_DPS_GROWTH_Q_1YR" hidden="1">"c1780"</definedName>
    <definedName name="IQ_EST_DPS_GROWTH_Q_1YR_CIQ" hidden="1">"c3715"</definedName>
    <definedName name="IQ_EST_DPS_GROWTH_Q_1YR_THOM" hidden="1">"c5180"</definedName>
    <definedName name="IQ_EST_DPS_SEQ_GROWTH_Q" hidden="1">"c1781"</definedName>
    <definedName name="IQ_EST_DPS_SEQ_GROWTH_Q_CIQ" hidden="1">"c3716"</definedName>
    <definedName name="IQ_EST_DPS_SEQ_GROWTH_Q_THOM" hidden="1">"c5181"</definedName>
    <definedName name="IQ_EST_DPS_SURPRISE_PERCENT" hidden="1">"c1874"</definedName>
    <definedName name="IQ_EST_DPS_SURPRISE_PERCENT_CIQ" hidden="1">"c3726"</definedName>
    <definedName name="IQ_EST_DPS_SURPRISE_PERCENT_THOM" hidden="1">"c5191"</definedName>
    <definedName name="IQ_EST_EBIT_DIFF" hidden="1">"c1875"</definedName>
    <definedName name="IQ_EST_EBIT_DIFF_CIQ" hidden="1">"c4747"</definedName>
    <definedName name="IQ_EST_EBIT_DIFF_THOM" hidden="1">"c5192"</definedName>
    <definedName name="IQ_EST_EBIT_GW_DIFF" hidden="1">"c4304"</definedName>
    <definedName name="IQ_EST_EBIT_GW_DIFF_CIQ" hidden="1">"c4829"</definedName>
    <definedName name="IQ_EST_EBIT_GW_SURPRISE_PERCENT" hidden="1">"c4313"</definedName>
    <definedName name="IQ_EST_EBIT_GW_SURPRISE_PERCENT_CIQ" hidden="1">"c4838"</definedName>
    <definedName name="IQ_EST_EBIT_SBC_DIFF" hidden="1">"c4314"</definedName>
    <definedName name="IQ_EST_EBIT_SBC_DIFF_CIQ" hidden="1">"c4839"</definedName>
    <definedName name="IQ_EST_EBIT_SBC_GW_DIFF" hidden="1">"c4318"</definedName>
    <definedName name="IQ_EST_EBIT_SBC_GW_DIFF_CIQ" hidden="1">"c4843"</definedName>
    <definedName name="IQ_EST_EBIT_SBC_GW_SURPRISE_PERCENT" hidden="1">"c4327"</definedName>
    <definedName name="IQ_EST_EBIT_SBC_GW_SURPRISE_PERCENT_CIQ" hidden="1">"c4852"</definedName>
    <definedName name="IQ_EST_EBIT_SBC_SURPRISE_PERCENT" hidden="1">"c4333"</definedName>
    <definedName name="IQ_EST_EBIT_SBC_SURPRISE_PERCENT_CIQ" hidden="1">"c4858"</definedName>
    <definedName name="IQ_EST_EBIT_SURPRISE_PERCENT" hidden="1">"c1876"</definedName>
    <definedName name="IQ_EST_EBIT_SURPRISE_PERCENT_CIQ" hidden="1">"c4748"</definedName>
    <definedName name="IQ_EST_EBIT_SURPRISE_PERCENT_THOM" hidden="1">"c5193"</definedName>
    <definedName name="IQ_EST_EBITDA_DIFF" hidden="1">"c1867"</definedName>
    <definedName name="IQ_EST_EBITDA_DIFF_CIQ" hidden="1">"c3719"</definedName>
    <definedName name="IQ_EST_EBITDA_DIFF_THOM" hidden="1">"c5184"</definedName>
    <definedName name="IQ_EST_EBITDA_GROWTH_1YR" hidden="1">"c1766"</definedName>
    <definedName name="IQ_EST_EBITDA_GROWTH_1YR_CIQ" hidden="1">"c3695"</definedName>
    <definedName name="IQ_EST_EBITDA_GROWTH_1YR_THOM" hidden="1">"c5161"</definedName>
    <definedName name="IQ_EST_EBITDA_GROWTH_2YR" hidden="1">"c1767"</definedName>
    <definedName name="IQ_EST_EBITDA_GROWTH_2YR_CIQ" hidden="1">"c3696"</definedName>
    <definedName name="IQ_EST_EBITDA_GROWTH_2YR_THOM" hidden="1">"c5162"</definedName>
    <definedName name="IQ_EST_EBITDA_GROWTH_Q_1YR" hidden="1">"c1768"</definedName>
    <definedName name="IQ_EST_EBITDA_GROWTH_Q_1YR_CIQ" hidden="1">"c3697"</definedName>
    <definedName name="IQ_EST_EBITDA_GROWTH_Q_1YR_THOM" hidden="1">"c5163"</definedName>
    <definedName name="IQ_EST_EBITDA_SBC_DIFF" hidden="1">"c4335"</definedName>
    <definedName name="IQ_EST_EBITDA_SBC_DIFF_CIQ" hidden="1">"c4860"</definedName>
    <definedName name="IQ_EST_EBITDA_SBC_SURPRISE_PERCENT" hidden="1">"c4344"</definedName>
    <definedName name="IQ_EST_EBITDA_SBC_SURPRISE_PERCENT_CIQ" hidden="1">"c4869"</definedName>
    <definedName name="IQ_EST_EBITDA_SEQ_GROWTH_Q" hidden="1">"c1769"</definedName>
    <definedName name="IQ_EST_EBITDA_SEQ_GROWTH_Q_CIQ" hidden="1">"c3698"</definedName>
    <definedName name="IQ_EST_EBITDA_SEQ_GROWTH_Q_THOM" hidden="1">"c5164"</definedName>
    <definedName name="IQ_EST_EBITDA_SURPRISE_PERCENT" hidden="1">"c1868"</definedName>
    <definedName name="IQ_EST_EBITDA_SURPRISE_PERCENT_CIQ" hidden="1">"c3720"</definedName>
    <definedName name="IQ_EST_EBITDA_SURPRISE_PERCENT_THOM" hidden="1">"c5185"</definedName>
    <definedName name="IQ_EST_EBT_SBC_DIFF" hidden="1">"c4348"</definedName>
    <definedName name="IQ_EST_EBT_SBC_DIFF_CIQ" hidden="1">"c4873"</definedName>
    <definedName name="IQ_EST_EBT_SBC_GW_DIFF" hidden="1">"c4352"</definedName>
    <definedName name="IQ_EST_EBT_SBC_GW_DIFF_CIQ" hidden="1">"c4877"</definedName>
    <definedName name="IQ_EST_EBT_SBC_GW_SURPRISE_PERCENT" hidden="1">"c4361"</definedName>
    <definedName name="IQ_EST_EBT_SBC_GW_SURPRISE_PERCENT_CIQ" hidden="1">"c4886"</definedName>
    <definedName name="IQ_EST_EBT_SBC_SURPRISE_PERCENT" hidden="1">"c4367"</definedName>
    <definedName name="IQ_EST_EBT_SBC_SURPRISE_PERCENT_CIQ" hidden="1">"c4892"</definedName>
    <definedName name="IQ_EST_EPS_DIFF" hidden="1">"c1864"</definedName>
    <definedName name="IQ_EST_EPS_DIFF_CIQ" hidden="1">"c4999"</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CIQ" hidden="1">"c3689"</definedName>
    <definedName name="IQ_EST_EPS_GROWTH_2YR_THOM" hidden="1">"c5154"</definedName>
    <definedName name="IQ_EST_EPS_GROWTH_5YR" hidden="1">"c1655"</definedName>
    <definedName name="IQ_EST_EPS_GROWTH_5YR_BOTTOM_UP" hidden="1">"c5487"</definedName>
    <definedName name="IQ_EST_EPS_GROWTH_5YR_BOTTOM_UP_CIQ" hidden="1">"c12024"</definedName>
    <definedName name="IQ_EST_EPS_GROWTH_5YR_CIQ" hidden="1">"c3615"</definedName>
    <definedName name="IQ_EST_EPS_GROWTH_5YR_HIGH" hidden="1">"c1657"</definedName>
    <definedName name="IQ_EST_EPS_GROWTH_5YR_HIGH_CIQ" hidden="1">"c4663"</definedName>
    <definedName name="IQ_EST_EPS_GROWTH_5YR_HIGH_THOM" hidden="1">"c5101"</definedName>
    <definedName name="IQ_EST_EPS_GROWTH_5YR_LOW" hidden="1">"c1658"</definedName>
    <definedName name="IQ_EST_EPS_GROWTH_5YR_LOW_CIQ" hidden="1">"c4664"</definedName>
    <definedName name="IQ_EST_EPS_GROWTH_5YR_LOW_THOM" hidden="1">"c5102"</definedName>
    <definedName name="IQ_EST_EPS_GROWTH_5YR_MEDIAN" hidden="1">"c1656"</definedName>
    <definedName name="IQ_EST_EPS_GROWTH_5YR_MEDIAN_CIQ" hidden="1">"c5480"</definedName>
    <definedName name="IQ_EST_EPS_GROWTH_5YR_MEDIAN_THOM" hidden="1">"c5100"</definedName>
    <definedName name="IQ_EST_EPS_GROWTH_5YR_NUM" hidden="1">"c1659"</definedName>
    <definedName name="IQ_EST_EPS_GROWTH_5YR_NUM_CIQ" hidden="1">"c4665"</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BC_DIFF" hidden="1">"c4374"</definedName>
    <definedName name="IQ_EST_EPS_SBC_DIFF_CIQ" hidden="1">"c4899"</definedName>
    <definedName name="IQ_EST_EPS_SBC_GW_DIFF" hidden="1">"c4378"</definedName>
    <definedName name="IQ_EST_EPS_SBC_GW_DIFF_CIQ" hidden="1">"c4903"</definedName>
    <definedName name="IQ_EST_EPS_SBC_GW_SURPRISE_PERCENT" hidden="1">"c4387"</definedName>
    <definedName name="IQ_EST_EPS_SBC_GW_SURPRISE_PERCENT_CIQ" hidden="1">"c4912"</definedName>
    <definedName name="IQ_EST_EPS_SBC_SURPRISE_PERCENT" hidden="1">"c4393"</definedName>
    <definedName name="IQ_EST_EPS_SBC_SURPRISE_PERCENT_CIQ" hidden="1">"c4918"</definedName>
    <definedName name="IQ_EST_EPS_SEQ_GROWTH_Q" hidden="1">"c1764"</definedName>
    <definedName name="IQ_EST_EPS_SEQ_GROWTH_Q_CIQ" hidden="1">"c3690"</definedName>
    <definedName name="IQ_EST_EPS_SEQ_GROWTH_Q_THOM" hidden="1">"c5156"</definedName>
    <definedName name="IQ_EST_EPS_SURPRISE" hidden="1">"c1635"</definedName>
    <definedName name="IQ_EST_EPS_SURPRISE_PERCENT" hidden="1">"c1635"</definedName>
    <definedName name="IQ_EST_EPS_SURPRISE_PERCENT_CIQ" hidden="1">"c5000"</definedName>
    <definedName name="IQ_EST_EPS_SURPRISE_PERCENT_THOM" hidden="1">"c5296"</definedName>
    <definedName name="IQ_EST_FFO_ADJ_DIFF" hidden="1">"c4433"</definedName>
    <definedName name="IQ_EST_FFO_ADJ_DIFF_CIQ" hidden="1">"c4958"</definedName>
    <definedName name="IQ_EST_FFO_ADJ_GROWTH_1YR" hidden="1">"c4421"</definedName>
    <definedName name="IQ_EST_FFO_ADJ_GROWTH_1YR_CIQ" hidden="1">"c4946"</definedName>
    <definedName name="IQ_EST_FFO_ADJ_GROWTH_2YR" hidden="1">"c4422"</definedName>
    <definedName name="IQ_EST_FFO_ADJ_GROWTH_2YR_CIQ" hidden="1">"c4947"</definedName>
    <definedName name="IQ_EST_FFO_ADJ_GROWTH_Q_1YR" hidden="1">"c4423"</definedName>
    <definedName name="IQ_EST_FFO_ADJ_GROWTH_Q_1YR_CIQ" hidden="1">"c4948"</definedName>
    <definedName name="IQ_EST_FFO_ADJ_SEQ_GROWTH_Q" hidden="1">"c4424"</definedName>
    <definedName name="IQ_EST_FFO_ADJ_SEQ_GROWTH_Q_CIQ" hidden="1">"c4949"</definedName>
    <definedName name="IQ_EST_FFO_ADJ_SURPRISE_PERCENT" hidden="1">"c4442"</definedName>
    <definedName name="IQ_EST_FFO_ADJ_SURPRISE_PERCENT_CIQ" hidden="1">"c4967"</definedName>
    <definedName name="IQ_EST_FFO_DIFF" hidden="1">"c1869"</definedName>
    <definedName name="IQ_EST_FFO_DIFF_CIQ" hidden="1">"c3721"</definedName>
    <definedName name="IQ_EST_FFO_DIFF_THOM" hidden="1">"c5186"</definedName>
    <definedName name="IQ_EST_FFO_GROWTH_1YR" hidden="1">"c1770"</definedName>
    <definedName name="IQ_EST_FFO_GROWTH_1YR_CIQ" hidden="1">"c3705"</definedName>
    <definedName name="IQ_EST_FFO_GROWTH_1YR_THOM" hidden="1">"c5170"</definedName>
    <definedName name="IQ_EST_FFO_GROWTH_2YR" hidden="1">"c1771"</definedName>
    <definedName name="IQ_EST_FFO_GROWTH_2YR_CIQ" hidden="1">"c3706"</definedName>
    <definedName name="IQ_EST_FFO_GROWTH_2YR_THOM" hidden="1">"c5171"</definedName>
    <definedName name="IQ_EST_FFO_GROWTH_Q_1YR" hidden="1">"c1772"</definedName>
    <definedName name="IQ_EST_FFO_GROWTH_Q_1YR_CIQ" hidden="1">"c3707"</definedName>
    <definedName name="IQ_EST_FFO_GROWTH_Q_1YR_THOM" hidden="1">"c5172"</definedName>
    <definedName name="IQ_EST_FFO_SEQ_GROWTH_Q" hidden="1">"c1773"</definedName>
    <definedName name="IQ_EST_FFO_SEQ_GROWTH_Q_CIQ" hidden="1">"c3708"</definedName>
    <definedName name="IQ_EST_FFO_SEQ_GROWTH_Q_THOM" hidden="1">"c5173"</definedName>
    <definedName name="IQ_EST_FFO_SHARE_DIFF" hidden="1">"c4444"</definedName>
    <definedName name="IQ_EST_FFO_SHARE_DIFF_CIQ" hidden="1">"c4969"</definedName>
    <definedName name="IQ_EST_FFO_SHARE_GROWTH_1YR" hidden="1">"c4425"</definedName>
    <definedName name="IQ_EST_FFO_SHARE_GROWTH_1YR_CIQ" hidden="1">"c4950"</definedName>
    <definedName name="IQ_EST_FFO_SHARE_GROWTH_2YR" hidden="1">"c4426"</definedName>
    <definedName name="IQ_EST_FFO_SHARE_GROWTH_2YR_CIQ" hidden="1">"c4951"</definedName>
    <definedName name="IQ_EST_FFO_SHARE_GROWTH_Q_1YR" hidden="1">"c4427"</definedName>
    <definedName name="IQ_EST_FFO_SHARE_GROWTH_Q_1YR_CIQ" hidden="1">"c4952"</definedName>
    <definedName name="IQ_EST_FFO_SHARE_SEQ_GROWTH_Q" hidden="1">"c4428"</definedName>
    <definedName name="IQ_EST_FFO_SHARE_SEQ_GROWTH_Q_CIQ" hidden="1">"c4953"</definedName>
    <definedName name="IQ_EST_FFO_SHARE_SURPRISE_PERCENT" hidden="1">"c4453"</definedName>
    <definedName name="IQ_EST_FFO_SHARE_SURPRISE_PERCENT_CIQ" hidden="1">"c4982"</definedName>
    <definedName name="IQ_EST_FFO_SURPRISE_PERCENT" hidden="1">"c1870"</definedName>
    <definedName name="IQ_EST_FFO_SURPRISE_PERCENT_CIQ" hidden="1">"c3722"</definedName>
    <definedName name="IQ_EST_FFO_SURPRISE_PERCENT_THOM" hidden="1">"c5187"</definedName>
    <definedName name="IQ_EST_FOOTNOTE" hidden="1">"c4540"</definedName>
    <definedName name="IQ_EST_FOOTNOTE_CIQ" hidden="1">"c12022"</definedName>
    <definedName name="IQ_EST_FOOTNOTE_THOM" hidden="1">"c5313"</definedName>
    <definedName name="IQ_EST_MAINT_CAPEX_DIFF" hidden="1">"c4456"</definedName>
    <definedName name="IQ_EST_MAINT_CAPEX_DIFF_CIQ" hidden="1">"c4985"</definedName>
    <definedName name="IQ_EST_MAINT_CAPEX_GROWTH_1YR" hidden="1">"c4429"</definedName>
    <definedName name="IQ_EST_MAINT_CAPEX_GROWTH_1YR_CIQ" hidden="1">"c4954"</definedName>
    <definedName name="IQ_EST_MAINT_CAPEX_GROWTH_2YR" hidden="1">"c4430"</definedName>
    <definedName name="IQ_EST_MAINT_CAPEX_GROWTH_2YR_CIQ" hidden="1">"c4955"</definedName>
    <definedName name="IQ_EST_MAINT_CAPEX_GROWTH_Q_1YR" hidden="1">"c4431"</definedName>
    <definedName name="IQ_EST_MAINT_CAPEX_GROWTH_Q_1YR_CIQ" hidden="1">"c4956"</definedName>
    <definedName name="IQ_EST_MAINT_CAPEX_SEQ_GROWTH_Q" hidden="1">"c4432"</definedName>
    <definedName name="IQ_EST_MAINT_CAPEX_SEQ_GROWTH_Q_CIQ" hidden="1">"c4957"</definedName>
    <definedName name="IQ_EST_MAINT_CAPEX_SURPRISE_PERCENT" hidden="1">"c4465"</definedName>
    <definedName name="IQ_EST_MAINT_CAPEX_SURPRISE_PERCENT_CIQ" hidden="1">"c5003"</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DIFF_CIQ" hidden="1">"c5004"</definedName>
    <definedName name="IQ_EST_NET_DEBT_SURPRISE_PERCENT" hidden="1">"c4468"</definedName>
    <definedName name="IQ_EST_NET_DEBT_SURPRISE_PERCENT_CIQ" hidden="1">"c5006"</definedName>
    <definedName name="IQ_EST_NI_DIFF" hidden="1">"c1885"</definedName>
    <definedName name="IQ_EST_NI_DIFF_CIQ" hidden="1">"c4755"</definedName>
    <definedName name="IQ_EST_NI_DIFF_THOM" hidden="1">"c5198"</definedName>
    <definedName name="IQ_EST_NI_GW_DIFF" hidden="1">"c1887"</definedName>
    <definedName name="IQ_EST_NI_GW_DIFF_CIQ" hidden="1">"c4757"</definedName>
    <definedName name="IQ_EST_NI_GW_SURPRISE_PERCENT" hidden="1">"c1888"</definedName>
    <definedName name="IQ_EST_NI_GW_SURPRISE_PERCENT_CIQ" hidden="1">"c4758"</definedName>
    <definedName name="IQ_EST_NI_REPORT_DIFF" hidden="1">"c1889"</definedName>
    <definedName name="IQ_EST_NI_REPORT_DIFF_CIQ" hidden="1">"c4759"</definedName>
    <definedName name="IQ_EST_NI_REPORT_SURPRISE_PERCENT" hidden="1">"c1890"</definedName>
    <definedName name="IQ_EST_NI_REPORT_SURPRISE_PERCENT_CIQ" hidden="1">"c4760"</definedName>
    <definedName name="IQ_EST_NI_SBC_DIFF" hidden="1">"c4472"</definedName>
    <definedName name="IQ_EST_NI_SBC_DIFF_CIQ" hidden="1">"c5010"</definedName>
    <definedName name="IQ_EST_NI_SBC_GW_DIFF" hidden="1">"c4476"</definedName>
    <definedName name="IQ_EST_NI_SBC_GW_DIFF_CIQ" hidden="1">"c5014"</definedName>
    <definedName name="IQ_EST_NI_SBC_GW_SURPRISE_PERCENT" hidden="1">"c4485"</definedName>
    <definedName name="IQ_EST_NI_SBC_GW_SURPRISE_PERCENT_CIQ" hidden="1">"c5023"</definedName>
    <definedName name="IQ_EST_NI_SBC_SURPRISE_PERCENT" hidden="1">"c4491"</definedName>
    <definedName name="IQ_EST_NI_SBC_SURPRISE_PERCENT_CIQ" hidden="1">"c5029"</definedName>
    <definedName name="IQ_EST_NI_SURPRISE_PERCENT" hidden="1">"c1886"</definedName>
    <definedName name="IQ_EST_NI_SURPRISE_PERCENT_CIQ" hidden="1">"c4756"</definedName>
    <definedName name="IQ_EST_NI_SURPRISE_PERCENT_THOM" hidden="1">"c5199"</definedName>
    <definedName name="IQ_EST_NUM_BUY" hidden="1">"c1759"</definedName>
    <definedName name="IQ_EST_NUM_HIGH_REC" hidden="1">"c5649"</definedName>
    <definedName name="IQ_EST_NUM_HIGH_REC_CIQ" hidden="1">"c3701"</definedName>
    <definedName name="IQ_EST_NUM_HIGH_REC_THOM" hidden="1">"c5166"</definedName>
    <definedName name="IQ_EST_NUM_HIGHEST_REC" hidden="1">"c5648"</definedName>
    <definedName name="IQ_EST_NUM_HIGHEST_REC_CIQ" hidden="1">"c3700"</definedName>
    <definedName name="IQ_EST_NUM_HIGHEST_REC_THOM" hidden="1">"c5165"</definedName>
    <definedName name="IQ_EST_NUM_HOLD" hidden="1">"c1761"</definedName>
    <definedName name="IQ_EST_NUM_LOW_REC" hidden="1">"c5651"</definedName>
    <definedName name="IQ_EST_NUM_LOW_REC_CIQ" hidden="1">"c3703"</definedName>
    <definedName name="IQ_EST_NUM_LOW_REC_THOM" hidden="1">"c5168"</definedName>
    <definedName name="IQ_EST_NUM_LOWEST_REC" hidden="1">"c5652"</definedName>
    <definedName name="IQ_EST_NUM_LOWEST_REC_CIQ" hidden="1">"c3704"</definedName>
    <definedName name="IQ_EST_NUM_LOWEST_REC_THOM" hidden="1">"c5169"</definedName>
    <definedName name="IQ_EST_NUM_NEUTRAL_REC" hidden="1">"c5650"</definedName>
    <definedName name="IQ_EST_NUM_NEUTRAL_REC_CIQ" hidden="1">"c3702"</definedName>
    <definedName name="IQ_EST_NUM_NEUTRAL_REC_THOM" hidden="1">"c5167"</definedName>
    <definedName name="IQ_EST_NUM_NO_OPINION" hidden="1">"c1758"</definedName>
    <definedName name="IQ_EST_NUM_NO_OPINION_CIQ" hidden="1">"c3699"</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CIQ" hidden="1">"c12017"</definedName>
    <definedName name="IQ_EST_OPER_INC_DIFF_THOM" hidden="1">"c5194"</definedName>
    <definedName name="IQ_EST_OPER_INC_SURPRISE_PERCENT" hidden="1">"c1878"</definedName>
    <definedName name="IQ_EST_OPER_INC_SURPRISE_PERCENT_CIQ" hidden="1">"c12018"</definedName>
    <definedName name="IQ_EST_OPER_INC_SURPRISE_PERCENT_THOM" hidden="1">"c5195"</definedName>
    <definedName name="IQ_EST_PRE_TAX_DIFF" hidden="1">"c1879"</definedName>
    <definedName name="IQ_EST_PRE_TAX_DIFF_CIQ" hidden="1">"c4749"</definedName>
    <definedName name="IQ_EST_PRE_TAX_DIFF_THOM" hidden="1">"c5196"</definedName>
    <definedName name="IQ_EST_PRE_TAX_GW_DIFF" hidden="1">"c1881"</definedName>
    <definedName name="IQ_EST_PRE_TAX_GW_DIFF_CIQ" hidden="1">"c4751"</definedName>
    <definedName name="IQ_EST_PRE_TAX_GW_SURPRISE_PERCENT" hidden="1">"c1882"</definedName>
    <definedName name="IQ_EST_PRE_TAX_GW_SURPRISE_PERCENT_CIQ" hidden="1">"c4752"</definedName>
    <definedName name="IQ_EST_PRE_TAX_REPORT_DIFF" hidden="1">"c1883"</definedName>
    <definedName name="IQ_EST_PRE_TAX_REPORT_DIFF_CIQ" hidden="1">"c4753"</definedName>
    <definedName name="IQ_EST_PRE_TAX_REPORT_SURPRISE_PERCENT" hidden="1">"c1884"</definedName>
    <definedName name="IQ_EST_PRE_TAX_REPORT_SURPRISE_PERCENT_CIQ" hidden="1">"c4754"</definedName>
    <definedName name="IQ_EST_PRE_TAX_SURPRISE_PERCENT" hidden="1">"c1880"</definedName>
    <definedName name="IQ_EST_PRE_TAX_SURPRISE_PERCENT_CIQ" hidden="1">"c4750"</definedName>
    <definedName name="IQ_EST_PRE_TAX_SURPRISE_PERCENT_THOM" hidden="1">"c5197"</definedName>
    <definedName name="IQ_EST_RECURRING_PROFIT_SHARE_DIFF" hidden="1">"c4505"</definedName>
    <definedName name="IQ_EST_RECURRING_PROFIT_SHARE_DIFF_CIQ" hidden="1">"c5043"</definedName>
    <definedName name="IQ_EST_RECURRING_PROFIT_SHARE_SURPRISE_PERCENT" hidden="1">"c4515"</definedName>
    <definedName name="IQ_EST_RECURRING_PROFIT_SHARE_SURPRISE_PERCENT_CIQ" hidden="1">"c5053"</definedName>
    <definedName name="IQ_EST_REV_DIFF" hidden="1">"c1865"</definedName>
    <definedName name="IQ_EST_REV_DIFF_CIQ" hidden="1">"c3717"</definedName>
    <definedName name="IQ_EST_REV_DIFF_THOM" hidden="1">"c5182"</definedName>
    <definedName name="IQ_EST_REV_GROWTH_1YR" hidden="1">"c1638"</definedName>
    <definedName name="IQ_EST_REV_GROWTH_1YR_CIQ" hidden="1">"c3691"</definedName>
    <definedName name="IQ_EST_REV_GROWTH_1YR_THOM" hidden="1">"c5157"</definedName>
    <definedName name="IQ_EST_REV_GROWTH_2YR" hidden="1">"c1639"</definedName>
    <definedName name="IQ_EST_REV_GROWTH_2YR_CIQ" hidden="1">"c3692"</definedName>
    <definedName name="IQ_EST_REV_GROWTH_2YR_THOM" hidden="1">"c5158"</definedName>
    <definedName name="IQ_EST_REV_GROWTH_Q_1YR" hidden="1">"c1640"</definedName>
    <definedName name="IQ_EST_REV_GROWTH_Q_1YR_CIQ" hidden="1">"c3693"</definedName>
    <definedName name="IQ_EST_REV_GROWTH_Q_1YR_THOM" hidden="1">"c5159"</definedName>
    <definedName name="IQ_EST_REV_SEQ_GROWTH_Q" hidden="1">"c1765"</definedName>
    <definedName name="IQ_EST_REV_SEQ_GROWTH_Q_CIQ" hidden="1">"c3694"</definedName>
    <definedName name="IQ_EST_REV_SEQ_GROWTH_Q_THOM" hidden="1">"c5160"</definedName>
    <definedName name="IQ_EST_REV_SURPRISE_PERCENT" hidden="1">"c1866"</definedName>
    <definedName name="IQ_EST_REV_SURPRISE_PERCENT_CIQ" hidden="1">"c3718"</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9610001</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 hidden="1">"c2216"</definedName>
    <definedName name="IQ_FFO_ADJ_ACT_OR_EST" hidden="1">"c4435"</definedName>
    <definedName name="IQ_FFO_ADJ_ACT_OR_EST_CIQ" hidden="1">"c4960"</definedName>
    <definedName name="IQ_FFO_ADJ_EST" hidden="1">"c4434"</definedName>
    <definedName name="IQ_FFO_ADJ_EST_CIQ" hidden="1">"c4959"</definedName>
    <definedName name="IQ_FFO_ADJ_GUIDANCE" hidden="1">"c4436"</definedName>
    <definedName name="IQ_FFO_ADJ_GUIDANCE_CIQ" hidden="1">"c4961"</definedName>
    <definedName name="IQ_FFO_ADJ_HIGH_EST" hidden="1">"c4437"</definedName>
    <definedName name="IQ_FFO_ADJ_HIGH_EST_CIQ" hidden="1">"c4962"</definedName>
    <definedName name="IQ_FFO_ADJ_HIGH_GUIDANCE" hidden="1">"c4202"</definedName>
    <definedName name="IQ_FFO_ADJ_HIGH_GUIDANCE_CIQ" hidden="1">"c4614"</definedName>
    <definedName name="IQ_FFO_ADJ_LOW_EST" hidden="1">"c4438"</definedName>
    <definedName name="IQ_FFO_ADJ_LOW_EST_CIQ" hidden="1">"c4963"</definedName>
    <definedName name="IQ_FFO_ADJ_LOW_GUIDANCE" hidden="1">"c4242"</definedName>
    <definedName name="IQ_FFO_ADJ_LOW_GUIDANCE_CIQ" hidden="1">"c4654"</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EST" hidden="1">"c418"</definedName>
    <definedName name="IQ_FFO_EST_CIQ" hidden="1">"c3668"</definedName>
    <definedName name="IQ_FFO_EST_DET_EST" hidden="1">"c12059"</definedName>
    <definedName name="IQ_FFO_EST_DET_EST_CURRENCY" hidden="1">"c12466"</definedName>
    <definedName name="IQ_FFO_EST_DET_EST_CURRENCY_THOM" hidden="1">"c12487"</definedName>
    <definedName name="IQ_FFO_EST_DET_EST_DATE" hidden="1">"c12212"</definedName>
    <definedName name="IQ_FFO_EST_DET_EST_DATE_THOM" hidden="1">"c12238"</definedName>
    <definedName name="IQ_FFO_EST_DET_EST_INCL" hidden="1">"c12349"</definedName>
    <definedName name="IQ_FFO_EST_DET_EST_INCL_THOM" hidden="1">"c12370"</definedName>
    <definedName name="IQ_FFO_EST_DET_EST_ORIGIN" hidden="1">"c12722"</definedName>
    <definedName name="IQ_FFO_EST_DET_EST_ORIGIN_THOM" hidden="1">"c12608"</definedName>
    <definedName name="IQ_FFO_EST_DET_EST_THOM" hidden="1">"c12088"</definedName>
    <definedName name="IQ_FFO_EST_THOM" hidden="1">"c3999"</definedName>
    <definedName name="IQ_FFO_GUIDANCE" hidden="1">"c4443"</definedName>
    <definedName name="IQ_FFO_GUIDANCE_CIQ" hidden="1">"c4968"</definedName>
    <definedName name="IQ_FFO_HIGH_EST" hidden="1">"c419"</definedName>
    <definedName name="IQ_FFO_HIGH_EST_CIQ" hidden="1">"c3670"</definedName>
    <definedName name="IQ_FFO_HIGH_EST_THOM" hidden="1">"c4001"</definedName>
    <definedName name="IQ_FFO_HIGH_GUIDANCE" hidden="1">"c4184"</definedName>
    <definedName name="IQ_FFO_HIGH_GUIDANCE_CIQ" hidden="1">"c4596"</definedName>
    <definedName name="IQ_FFO_LOW_EST" hidden="1">"c420"</definedName>
    <definedName name="IQ_FFO_LOW_EST_CIQ" hidden="1">"c3671"</definedName>
    <definedName name="IQ_FFO_LOW_EST_THOM" hidden="1">"c4002"</definedName>
    <definedName name="IQ_FFO_LOW_GUIDANCE" hidden="1">"c4224"</definedName>
    <definedName name="IQ_FFO_LOW_GUIDANCE_CIQ" hidden="1">"c4636"</definedName>
    <definedName name="IQ_FFO_MEDIAN_EST" hidden="1">"c1665"</definedName>
    <definedName name="IQ_FFO_MEDIAN_EST_CIQ" hidden="1">"c3669"</definedName>
    <definedName name="IQ_FFO_MEDIAN_EST_THOM" hidden="1">"c4000"</definedName>
    <definedName name="IQ_FFO_NUM_EST" hidden="1">"c421"</definedName>
    <definedName name="IQ_FFO_NUM_EST_CIQ" hidden="1">"c3672"</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EST" hidden="1">"c4445"</definedName>
    <definedName name="IQ_FFO_SHARE_EST_CIQ" hidden="1">"c4970"</definedName>
    <definedName name="IQ_FFO_SHARE_GUIDANCE" hidden="1">"c4447"</definedName>
    <definedName name="IQ_FFO_SHARE_GUIDANCE_CIQ" hidden="1">"c4976"</definedName>
    <definedName name="IQ_FFO_SHARE_HIGH_EST" hidden="1">"c4448"</definedName>
    <definedName name="IQ_FFO_SHARE_HIGH_EST_CIQ" hidden="1">"c4977"</definedName>
    <definedName name="IQ_FFO_SHARE_HIGH_GUIDANCE" hidden="1">"c4203"</definedName>
    <definedName name="IQ_FFO_SHARE_HIGH_GUIDANCE_CIQ" hidden="1">"c4615"</definedName>
    <definedName name="IQ_FFO_SHARE_LOW_EST" hidden="1">"c4449"</definedName>
    <definedName name="IQ_FFO_SHARE_LOW_EST_CIQ" hidden="1">"c4978"</definedName>
    <definedName name="IQ_FFO_SHARE_LOW_GUIDANCE" hidden="1">"c4243"</definedName>
    <definedName name="IQ_FFO_SHARE_LOW_GUIDANCE_CIQ" hidden="1">"c4655"</definedName>
    <definedName name="IQ_FFO_SHARE_MEDIAN_EST" hidden="1">"c4450"</definedName>
    <definedName name="IQ_FFO_SHARE_MEDIAN_EST_CIQ" hidden="1">"c4979"</definedName>
    <definedName name="IQ_FFO_SHARE_NUM_EST" hidden="1">"c4451"</definedName>
    <definedName name="IQ_FFO_SHARE_NUM_EST_CIQ" hidden="1">"c4980"</definedName>
    <definedName name="IQ_FFO_SHARE_STDDEV_EST" hidden="1">"c4452"</definedName>
    <definedName name="IQ_FFO_SHARE_STDDEV_EST_CIQ" hidden="1">"c4981"</definedName>
    <definedName name="IQ_FFO_STDDEV_EST" hidden="1">"c422"</definedName>
    <definedName name="IQ_FFO_STDDEV_EST_CIQ" hidden="1">"c3673"</definedName>
    <definedName name="IQ_FFO_STDDEV_EST_THOM" hidden="1">"c4004"</definedName>
    <definedName name="IQ_FH">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Q_EST_THOM" hidden="1">"c6802"</definedName>
    <definedName name="IQ_FISCAL_Y" hidden="1">"c441"</definedName>
    <definedName name="IQ_FISCAL_Y_EST" hidden="1">"c6795"</definedName>
    <definedName name="IQ_FISCAL_Y_EST_CIQ" hidden="1">"c6807"</definedName>
    <definedName name="IQ_FISCAL_Y_EST_REUT" hidden="1">"c6799"</definedName>
    <definedName name="IQ_FISCAL_Y_EST_THOM" hidden="1">"c6803"</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ACT_OR_EST_THOM" hidden="1">"c5562"</definedName>
    <definedName name="IQ_GROSS_MARGIN_DET_EST_DATE_THOM" hidden="1">"c12239"</definedName>
    <definedName name="IQ_GROSS_MARGIN_DET_EST_INCL_THOM" hidden="1">"c12371"</definedName>
    <definedName name="IQ_GROSS_MARGIN_DET_EST_ORIGIN_THOM" hidden="1">"c12609"</definedName>
    <definedName name="IQ_GROSS_MARGIN_DET_EST_THOM" hidden="1">"c12089"</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K" hidden="1">1000</definedName>
    <definedName name="IQ_LATESTQ" hidden="1">500</definedName>
    <definedName name="IQ_LEAD_UNDERWRITER" hidden="1">"c8957"</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GROWTH_DET_EST" hidden="1">"c12060"</definedName>
    <definedName name="IQ_LT_GROWTH_DET_EST_DATE" hidden="1">"c12213"</definedName>
    <definedName name="IQ_LT_GROWTH_DET_EST_DATE_THOM" hidden="1">"c12240"</definedName>
    <definedName name="IQ_LT_GROWTH_DET_EST_INCL" hidden="1">"c12350"</definedName>
    <definedName name="IQ_LT_GROWTH_DET_EST_INCL_THOM" hidden="1">"c12372"</definedName>
    <definedName name="IQ_LT_GROWTH_DET_EST_ORIGIN" hidden="1">"c12725"</definedName>
    <definedName name="IQ_LT_GROWTH_DET_EST_ORIGIN_THOM" hidden="1">"c12610"</definedName>
    <definedName name="IQ_LT_GROWTH_DET_EST_THOM" hidden="1">"c12090"</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EST_CIQ" hidden="1">"c4986"</definedName>
    <definedName name="IQ_MAINT_CAPEX_GUIDANCE" hidden="1">"c4459"</definedName>
    <definedName name="IQ_MAINT_CAPEX_GUIDANCE_CIQ" hidden="1">"c4988"</definedName>
    <definedName name="IQ_MAINT_CAPEX_HIGH_EST" hidden="1">"c4460"</definedName>
    <definedName name="IQ_MAINT_CAPEX_HIGH_EST_CIQ" hidden="1">"c4989"</definedName>
    <definedName name="IQ_MAINT_CAPEX_HIGH_GUIDANCE" hidden="1">"c4197"</definedName>
    <definedName name="IQ_MAINT_CAPEX_HIGH_GUIDANCE_CIQ" hidden="1">"c4609"</definedName>
    <definedName name="IQ_MAINT_CAPEX_LOW_EST" hidden="1">"c4461"</definedName>
    <definedName name="IQ_MAINT_CAPEX_LOW_EST_CIQ" hidden="1">"c4990"</definedName>
    <definedName name="IQ_MAINT_CAPEX_LOW_GUIDANCE" hidden="1">"c4237"</definedName>
    <definedName name="IQ_MAINT_CAPEX_LOW_GUIDANCE_CIQ" hidden="1">"c4649"</definedName>
    <definedName name="IQ_MAINT_CAPEX_MEDIAN_EST" hidden="1">"c4462"</definedName>
    <definedName name="IQ_MAINT_CAPEX_MEDIAN_EST_CIQ" hidden="1">"c4991"</definedName>
    <definedName name="IQ_MAINT_CAPEX_NUM_EST" hidden="1">"c4463"</definedName>
    <definedName name="IQ_MAINT_CAPEX_NUM_EST_CIQ" hidden="1">"c5001"</definedName>
    <definedName name="IQ_MAINT_CAPEX_STDDEV_EST" hidden="1">"c4464"</definedName>
    <definedName name="IQ_MAINT_CAPEX_STDDEV_EST_CIQ" hidden="1">"c5002"</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15000</definedName>
    <definedName name="IQ_MOODYS_ACTION_LT" hidden="1">"c5660"</definedName>
    <definedName name="IQ_MOODYS_ACTION_ST" hidden="1">"c5663"</definedName>
    <definedName name="IQ_MOODYS_BANK_FIN_STRENGTH_ACTION_LT" hidden="1">"c5669"</definedName>
    <definedName name="IQ_MOODYS_BANK_FIN_STRENGTH_DATE_LT" hidden="1">"c5668"</definedName>
    <definedName name="IQ_MOODYS_BANK_FIN_STRENGTH_LT" hidden="1">"c5670"</definedName>
    <definedName name="IQ_MOODYS_CORP_FAMILY_ACTION_LT" hidden="1">"c5666"</definedName>
    <definedName name="IQ_MOODYS_CORP_FAMILY_DATE_LT" hidden="1">"c5665"</definedName>
    <definedName name="IQ_MOODYS_CORP_FAMILY_LT" hidden="1">"c5667"</definedName>
    <definedName name="IQ_MOODYS_DATE_LT" hidden="1">"c5659"</definedName>
    <definedName name="IQ_MOODYS_DATE_ST" hidden="1">"c5662"</definedName>
    <definedName name="IQ_MOODYS_INS_FIN_STRENGTH_ACTION_LT" hidden="1">"c5672"</definedName>
    <definedName name="IQ_MOODYS_INS_FIN_STRENGTH_ACTION_ST" hidden="1">"c5675"</definedName>
    <definedName name="IQ_MOODYS_INS_FIN_STRENGTH_DATE_LT" hidden="1">"c5671"</definedName>
    <definedName name="IQ_MOODYS_INS_FIN_STRENGTH_DATE_ST" hidden="1">"c5674"</definedName>
    <definedName name="IQ_MOODYS_INS_FIN_STRENGTH_LT" hidden="1">"c5673"</definedName>
    <definedName name="IQ_MOODYS_INS_FIN_STRENGTH_ST" hidden="1">"c5676"</definedName>
    <definedName name="IQ_MOODYS_ISSUE_ACTION_LT" hidden="1">"c5683"</definedName>
    <definedName name="IQ_MOODYS_ISSUE_ACTION_ST" hidden="1">"c6784"</definedName>
    <definedName name="IQ_MOODYS_ISSUE_DATE_LT" hidden="1">"c5682"</definedName>
    <definedName name="IQ_MOODYS_ISSUE_DATE_ST" hidden="1">"c6783"</definedName>
    <definedName name="IQ_MOODYS_ISSUE_LT" hidden="1">"c5684"</definedName>
    <definedName name="IQ_MOODYS_ISSUE_ST" hidden="1">"c6785"</definedName>
    <definedName name="IQ_MOODYS_ISSUE_WATCHLIST_DATE" hidden="1">"c5685"</definedName>
    <definedName name="IQ_MOODYS_ISSUE_WATCHLIST_INDICATOR" hidden="1">"c5687"</definedName>
    <definedName name="IQ_MOODYS_ISSUE_WATCHLIST_REASON" hidden="1">"c5686"</definedName>
    <definedName name="IQ_MOODYS_LATEST_DATE_LT" hidden="1">"c12711"</definedName>
    <definedName name="IQ_MOODYS_LATEST_DATE_ST" hidden="1">"c12715"</definedName>
    <definedName name="IQ_MOODYS_LATEST_LT" hidden="1">"c12710"</definedName>
    <definedName name="IQ_MOODYS_LATEST_ST" hidden="1">"c12714"</definedName>
    <definedName name="IQ_MOODYS_LATEST_TYPE_LT" hidden="1">"c12713"</definedName>
    <definedName name="IQ_MOODYS_LATEST_TYPE_ST" hidden="1">"c12717"</definedName>
    <definedName name="IQ_MOODYS_LT" hidden="1">"c5661"</definedName>
    <definedName name="IQ_MOODYS_OUTLOOK" hidden="1">"c5678"</definedName>
    <definedName name="IQ_MOODYS_OUTLOOK_DATE" hidden="1">"c5677"</definedName>
    <definedName name="IQ_MOODYS_ST" hidden="1">"c5664"</definedName>
    <definedName name="IQ_MOODYS_WATCHLIST_DATE" hidden="1">"c5679"</definedName>
    <definedName name="IQ_MOODYS_WATCHLIST_INDICATOR" hidden="1">"c5681"</definedName>
    <definedName name="IQ_MOODYS_WATCHLIST_REASON" hidden="1">"c5680"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43192.7089236111</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 hidden="1">"c2225"</definedName>
    <definedName name="IQ_NAV_ACT_OR_EST_THOM" hidden="1">"c5607"</definedName>
    <definedName name="IQ_NAV_DET_EST_CURRENCY_THOM" hidden="1">"c12490"</definedName>
    <definedName name="IQ_NAV_DET_EST_DATE_THOM" hidden="1">"c12241"</definedName>
    <definedName name="IQ_NAV_DET_EST_INCL_THOM" hidden="1">"c12373"</definedName>
    <definedName name="IQ_NAV_DET_EST_ORIGIN_THOM" hidden="1">"c12707"</definedName>
    <definedName name="IQ_NAV_DET_EST_THOM" hidden="1">"c12091"</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SHARE_ACT_OR_EST" hidden="1">"c2225"</definedName>
    <definedName name="IQ_NAV_SHARE_ACT_OR_EST_CIQ" hidden="1">"c12038"</definedName>
    <definedName name="IQ_NAV_SHARE_DET_EST_ORIGIN" hidden="1">"c12585"</definedName>
    <definedName name="IQ_NAV_SHARE_DET_EST_ORIGIN_THOM" hidden="1">"c12611"</definedName>
    <definedName name="IQ_NAV_SHARE_EST" hidden="1">"c5609"</definedName>
    <definedName name="IQ_NAV_SHARE_EST_CIQ" hidden="1">"c12032"</definedName>
    <definedName name="IQ_NAV_SHARE_HIGH_EST" hidden="1">"c5612"</definedName>
    <definedName name="IQ_NAV_SHARE_HIGH_EST_CIQ" hidden="1">"c12035"</definedName>
    <definedName name="IQ_NAV_SHARE_LOW_EST" hidden="1">"c5613"</definedName>
    <definedName name="IQ_NAV_SHARE_LOW_EST_CIQ" hidden="1">"c12036"</definedName>
    <definedName name="IQ_NAV_SHARE_MEDIAN_EST" hidden="1">"c5610"</definedName>
    <definedName name="IQ_NAV_SHARE_MEDIAN_EST_CIQ" hidden="1">"c12033"</definedName>
    <definedName name="IQ_NAV_SHARE_NUM_EST" hidden="1">"c5614"</definedName>
    <definedName name="IQ_NAV_SHARE_NUM_EST_CIQ" hidden="1">"c12037"</definedName>
    <definedName name="IQ_NAV_SHARE_STDDEV_EST" hidden="1">"c5611"</definedName>
    <definedName name="IQ_NAV_SHARE_STDDEV_EST_CIQ" hidden="1">"c12034"</definedName>
    <definedName name="IQ_NAV_STDDEV_EST" hidden="1">"c1756"</definedName>
    <definedName name="IQ_NAV_STDDEV_EST_THOM" hidden="1">"c5603"</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 hidden="1">"c5070"</definedName>
    <definedName name="IQ_NET_DEBT_ACT_OR_EST_THOM" hidden="1">"c5309"</definedName>
    <definedName name="IQ_NET_DEBT_DET_EST" hidden="1">"c12061"</definedName>
    <definedName name="IQ_NET_DEBT_DET_EST_CURRENCY" hidden="1">"c12468"</definedName>
    <definedName name="IQ_NET_DEBT_DET_EST_CURRENCY_THOM" hidden="1">"c12491"</definedName>
    <definedName name="IQ_NET_DEBT_DET_EST_DATE" hidden="1">"c12214"</definedName>
    <definedName name="IQ_NET_DEBT_DET_EST_DATE_THOM" hidden="1">"c12242"</definedName>
    <definedName name="IQ_NET_DEBT_DET_EST_INCL" hidden="1">"c12351"</definedName>
    <definedName name="IQ_NET_DEBT_DET_EST_INCL_THOM" hidden="1">"c12374"</definedName>
    <definedName name="IQ_NET_DEBT_DET_EST_ORIGIN" hidden="1">"c12586"</definedName>
    <definedName name="IQ_NET_DEBT_DET_EST_ORIGIN_THOM" hidden="1">"c12612"</definedName>
    <definedName name="IQ_NET_DEBT_DET_EST_THOM" hidden="1">"c12092"</definedName>
    <definedName name="IQ_NET_DEBT_EBITDA" hidden="1">"c750"</definedName>
    <definedName name="IQ_NET_DEBT_EBITDA_CAPEX" hidden="1">"c2949"</definedName>
    <definedName name="IQ_NET_DEBT_EST" hidden="1">"c3517"</definedName>
    <definedName name="IQ_NET_DEBT_EST_CIQ" hidden="1">"c3814"</definedName>
    <definedName name="IQ_NET_DEBT_EST_THOM" hidden="1">"c4027"</definedName>
    <definedName name="IQ_NET_DEBT_GUIDANCE" hidden="1">"c4467"</definedName>
    <definedName name="IQ_NET_DEBT_GUIDANCE_CIQ" hidden="1">"c5005"</definedName>
    <definedName name="IQ_NET_DEBT_HIGH_EST" hidden="1">"c3518"</definedName>
    <definedName name="IQ_NET_DEBT_HIGH_EST_CIQ" hidden="1">"c3816"</definedName>
    <definedName name="IQ_NET_DEBT_HIGH_EST_THOM" hidden="1">"c4029"</definedName>
    <definedName name="IQ_NET_DEBT_HIGH_GUIDANCE" hidden="1">"c4181"</definedName>
    <definedName name="IQ_NET_DEBT_HIGH_GUIDANCE_CIQ" hidden="1">"c4593"</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CIQ" hidden="1">"c3817"</definedName>
    <definedName name="IQ_NET_DEBT_LOW_EST_THOM" hidden="1">"c4030"</definedName>
    <definedName name="IQ_NET_DEBT_LOW_GUIDANCE" hidden="1">"c4221"</definedName>
    <definedName name="IQ_NET_DEBT_LOW_GUIDANCE_CIQ" hidden="1">"c4633"</definedName>
    <definedName name="IQ_NET_DEBT_MEDIAN_EST" hidden="1">"c3520"</definedName>
    <definedName name="IQ_NET_DEBT_MEDIAN_EST_CIQ" hidden="1">"c3815"</definedName>
    <definedName name="IQ_NET_DEBT_MEDIAN_EST_THOM" hidden="1">"c4028"</definedName>
    <definedName name="IQ_NET_DEBT_NUM_EST" hidden="1">"c3515"</definedName>
    <definedName name="IQ_NET_DEBT_NUM_EST_CIQ" hidden="1">"c3818"</definedName>
    <definedName name="IQ_NET_DEBT_NUM_EST_THOM" hidden="1">"c4031"</definedName>
    <definedName name="IQ_NET_DEBT_STDDEV_EST" hidden="1">"c3516"</definedName>
    <definedName name="IQ_NET_DEBT_STDDEV_EST_CIQ" hidden="1">"c3819"</definedName>
    <definedName name="IQ_NET_DEBT_STDDEV_EST_THOM" hidden="1">"c4032"</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 hidden="1">"c5065"</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DET_EST" hidden="1">"c12062"</definedName>
    <definedName name="IQ_NI_DET_EST_CURRENCY" hidden="1">"c12469"</definedName>
    <definedName name="IQ_NI_DET_EST_CURRENCY_THOM" hidden="1">"c12492"</definedName>
    <definedName name="IQ_NI_DET_EST_DATE" hidden="1">"c12215"</definedName>
    <definedName name="IQ_NI_DET_EST_DATE_THOM" hidden="1">"c12243"</definedName>
    <definedName name="IQ_NI_DET_EST_INCL" hidden="1">"c12352"</definedName>
    <definedName name="IQ_NI_DET_EST_INCL_THOM" hidden="1">"c12375"</definedName>
    <definedName name="IQ_NI_DET_EST_ORIGIN" hidden="1">"c12587"</definedName>
    <definedName name="IQ_NI_DET_EST_ORIGIN_THOM" hidden="1">"c12613"</definedName>
    <definedName name="IQ_NI_DET_EST_THOM" hidden="1">"c12093"</definedName>
    <definedName name="IQ_NI_EST" hidden="1">"c1716"</definedName>
    <definedName name="IQ_NI_EST_CIQ" hidden="1">"c4702"</definedName>
    <definedName name="IQ_NI_EST_THOM" hidden="1">"c5126"</definedName>
    <definedName name="IQ_NI_GAAP_GUIDANCE" hidden="1">"c4470"</definedName>
    <definedName name="IQ_NI_GAAP_GUIDANCE_CIQ" hidden="1">"c5008"</definedName>
    <definedName name="IQ_NI_GAAP_HIGH_GUIDANCE" hidden="1">"c4177"</definedName>
    <definedName name="IQ_NI_GAAP_HIGH_GUIDANCE_CIQ" hidden="1">"c4589"</definedName>
    <definedName name="IQ_NI_GAAP_LOW_GUIDANCE" hidden="1">"c4217"</definedName>
    <definedName name="IQ_NI_GAAP_LOW_GUIDANCE_CIQ" hidden="1">"c4629"</definedName>
    <definedName name="IQ_NI_GUIDANCE" hidden="1">"c4469"</definedName>
    <definedName name="IQ_NI_GUIDANCE_CIQ" hidden="1">"c5007"</definedName>
    <definedName name="IQ_NI_GW_DET_EST" hidden="1">"c12063"</definedName>
    <definedName name="IQ_NI_GW_DET_EST_CURRENCY" hidden="1">"c12470"</definedName>
    <definedName name="IQ_NI_GW_DET_EST_DATE" hidden="1">"c12216"</definedName>
    <definedName name="IQ_NI_GW_DET_EST_INCL" hidden="1">"c12353"</definedName>
    <definedName name="IQ_NI_GW_EST" hidden="1">"c1723"</definedName>
    <definedName name="IQ_NI_GW_EST_CIQ" hidden="1">"c4709"</definedName>
    <definedName name="IQ_NI_GW_GUIDANCE" hidden="1">"c4471"</definedName>
    <definedName name="IQ_NI_GW_GUIDANCE_CIQ" hidden="1">"c5009"</definedName>
    <definedName name="IQ_NI_GW_HIGH_EST" hidden="1">"c1725"</definedName>
    <definedName name="IQ_NI_GW_HIGH_EST_CIQ" hidden="1">"c4711"</definedName>
    <definedName name="IQ_NI_GW_HIGH_GUIDANCE" hidden="1">"c4178"</definedName>
    <definedName name="IQ_NI_GW_HIGH_GUIDANCE_CIQ" hidden="1">"c4590"</definedName>
    <definedName name="IQ_NI_GW_LOW_EST" hidden="1">"c1726"</definedName>
    <definedName name="IQ_NI_GW_LOW_EST_CIQ" hidden="1">"c4712"</definedName>
    <definedName name="IQ_NI_GW_LOW_GUIDANCE" hidden="1">"c4218"</definedName>
    <definedName name="IQ_NI_GW_LOW_GUIDANCE_CIQ" hidden="1">"c4630"</definedName>
    <definedName name="IQ_NI_GW_MEDIAN_EST" hidden="1">"c1724"</definedName>
    <definedName name="IQ_NI_GW_MEDIAN_EST_CIQ" hidden="1">"c4710"</definedName>
    <definedName name="IQ_NI_GW_NUM_EST" hidden="1">"c1727"</definedName>
    <definedName name="IQ_NI_GW_NUM_EST_CIQ" hidden="1">"c4713"</definedName>
    <definedName name="IQ_NI_GW_STDDEV_EST" hidden="1">"c1728"</definedName>
    <definedName name="IQ_NI_GW_STDDEV_EST_CIQ" hidden="1">"c4714"</definedName>
    <definedName name="IQ_NI_HIGH_EST" hidden="1">"c1718"</definedName>
    <definedName name="IQ_NI_HIGH_EST_CIQ" hidden="1">"c4704"</definedName>
    <definedName name="IQ_NI_HIGH_EST_THOM" hidden="1">"c5128"</definedName>
    <definedName name="IQ_NI_HIGH_GUIDANCE" hidden="1">"c4176"</definedName>
    <definedName name="IQ_NI_HIGH_GUIDANCE_CIQ" hidden="1">"c4588"</definedName>
    <definedName name="IQ_NI_LOW_EST" hidden="1">"c1719"</definedName>
    <definedName name="IQ_NI_LOW_EST_CIQ" hidden="1">"c4705"</definedName>
    <definedName name="IQ_NI_LOW_EST_THOM" hidden="1">"c5129"</definedName>
    <definedName name="IQ_NI_LOW_GUIDANCE" hidden="1">"c4216"</definedName>
    <definedName name="IQ_NI_LOW_GUIDANCE_CIQ" hidden="1">"c4628"</definedName>
    <definedName name="IQ_NI_MARGIN" hidden="1">"c794"</definedName>
    <definedName name="IQ_NI_MEDIAN_EST" hidden="1">"c1717"</definedName>
    <definedName name="IQ_NI_MEDIAN_EST_CIQ" hidden="1">"c4703"</definedName>
    <definedName name="IQ_NI_MEDIAN_EST_THOM" hidden="1">"c5127"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CIQ" hidden="1">"c4706"</definedName>
    <definedName name="IQ_NI_NUM_EST_THOM" hidden="1">"c5130"</definedName>
    <definedName name="IQ_NI_REPORTED_DET_EST_ORIGIN" hidden="1">"c12588"</definedName>
    <definedName name="IQ_NI_REPORTED_EST" hidden="1">"c1730"</definedName>
    <definedName name="IQ_NI_REPORTED_EST_CIQ" hidden="1">"c4716"</definedName>
    <definedName name="IQ_NI_REPORTED_HIGH_EST" hidden="1">"c1732"</definedName>
    <definedName name="IQ_NI_REPORTED_HIGH_EST_CIQ" hidden="1">"c4718"</definedName>
    <definedName name="IQ_NI_REPORTED_LOW_EST" hidden="1">"c1733"</definedName>
    <definedName name="IQ_NI_REPORTED_LOW_EST_CIQ" hidden="1">"c4719"</definedName>
    <definedName name="IQ_NI_REPORTED_MEDIAN_EST" hidden="1">"c1731"</definedName>
    <definedName name="IQ_NI_REPORTED_MEDIAN_EST_CIQ" hidden="1">"c4717"</definedName>
    <definedName name="IQ_NI_REPORTED_NUM_EST" hidden="1">"c1734"</definedName>
    <definedName name="IQ_NI_REPORTED_NUM_EST_CIQ" hidden="1">"c4720"</definedName>
    <definedName name="IQ_NI_REPORTED_STDDEV_EST" hidden="1">"c1735"</definedName>
    <definedName name="IQ_NI_REPORTED_STDDEV_EST_CIQ" hidden="1">"c4721"</definedName>
    <definedName name="IQ_NI_SBC_ACT_OR_EST" hidden="1">"c4474"</definedName>
    <definedName name="IQ_NI_SBC_ACT_OR_EST_CIQ" hidden="1">"c5012"</definedName>
    <definedName name="IQ_NI_SBC_EST" hidden="1">"c4473"</definedName>
    <definedName name="IQ_NI_SBC_EST_CIQ" hidden="1">"c5011"</definedName>
    <definedName name="IQ_NI_SBC_GUIDANCE" hidden="1">"c4475"</definedName>
    <definedName name="IQ_NI_SBC_GUIDANCE_CIQ" hidden="1">"c5013"</definedName>
    <definedName name="IQ_NI_SBC_GW_ACT_OR_EST" hidden="1">"c4478"</definedName>
    <definedName name="IQ_NI_SBC_GW_ACT_OR_EST_CIQ" hidden="1">"c5016"</definedName>
    <definedName name="IQ_NI_SBC_GW_EST" hidden="1">"c4477"</definedName>
    <definedName name="IQ_NI_SBC_GW_EST_CIQ" hidden="1">"c5015"</definedName>
    <definedName name="IQ_NI_SBC_GW_GUIDANCE" hidden="1">"c4479"</definedName>
    <definedName name="IQ_NI_SBC_GW_GUIDANCE_CIQ" hidden="1">"c5017"</definedName>
    <definedName name="IQ_NI_SBC_GW_HIGH_EST" hidden="1">"c4480"</definedName>
    <definedName name="IQ_NI_SBC_GW_HIGH_EST_CIQ" hidden="1">"c5018"</definedName>
    <definedName name="IQ_NI_SBC_GW_HIGH_GUIDANCE" hidden="1">"c4187"</definedName>
    <definedName name="IQ_NI_SBC_GW_HIGH_GUIDANCE_CIQ" hidden="1">"c4599"</definedName>
    <definedName name="IQ_NI_SBC_GW_LOW_EST" hidden="1">"c4481"</definedName>
    <definedName name="IQ_NI_SBC_GW_LOW_EST_CIQ" hidden="1">"c5019"</definedName>
    <definedName name="IQ_NI_SBC_GW_LOW_GUIDANCE" hidden="1">"c4227"</definedName>
    <definedName name="IQ_NI_SBC_GW_LOW_GUIDANCE_CIQ" hidden="1">"c4639"</definedName>
    <definedName name="IQ_NI_SBC_GW_MEDIAN_EST" hidden="1">"c4482"</definedName>
    <definedName name="IQ_NI_SBC_GW_MEDIAN_EST_CIQ" hidden="1">"c5020"</definedName>
    <definedName name="IQ_NI_SBC_GW_NUM_EST" hidden="1">"c4483"</definedName>
    <definedName name="IQ_NI_SBC_GW_NUM_EST_CIQ" hidden="1">"c5021"</definedName>
    <definedName name="IQ_NI_SBC_GW_STDDEV_EST" hidden="1">"c4484"</definedName>
    <definedName name="IQ_NI_SBC_GW_STDDEV_EST_CIQ" hidden="1">"c5022"</definedName>
    <definedName name="IQ_NI_SBC_HIGH_EST" hidden="1">"c4486"</definedName>
    <definedName name="IQ_NI_SBC_HIGH_EST_CIQ" hidden="1">"c5024"</definedName>
    <definedName name="IQ_NI_SBC_HIGH_GUIDANCE" hidden="1">"c4186"</definedName>
    <definedName name="IQ_NI_SBC_HIGH_GUIDANCE_CIQ" hidden="1">"c4598"</definedName>
    <definedName name="IQ_NI_SBC_LOW_EST" hidden="1">"c4487"</definedName>
    <definedName name="IQ_NI_SBC_LOW_EST_CIQ" hidden="1">"c5025"</definedName>
    <definedName name="IQ_NI_SBC_LOW_GUIDANCE" hidden="1">"c4226"</definedName>
    <definedName name="IQ_NI_SBC_LOW_GUIDANCE_CIQ" hidden="1">"c4638"</definedName>
    <definedName name="IQ_NI_SBC_MEDIAN_EST" hidden="1">"c4488"</definedName>
    <definedName name="IQ_NI_SBC_MEDIAN_EST_CIQ" hidden="1">"c5026"</definedName>
    <definedName name="IQ_NI_SBC_NUM_EST" hidden="1">"c4489"</definedName>
    <definedName name="IQ_NI_SBC_NUM_EST_CIQ" hidden="1">"c5027"</definedName>
    <definedName name="IQ_NI_SBC_STDDEV_EST" hidden="1">"c4490"</definedName>
    <definedName name="IQ_NI_SBC_STDDEV_EST_CIQ" hidden="1">"c5028"</definedName>
    <definedName name="IQ_NI_SFAS" hidden="1">"c795"</definedName>
    <definedName name="IQ_NI_STDDEV_EST" hidden="1">"c1721"</definedName>
    <definedName name="IQ_NI_STDDEV_EST_CIQ" hidden="1">"c4707"</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CIQ" hidden="1">"c12019"</definedName>
    <definedName name="IQ_OPER_INC_ACT_OR_EST_THOM" hidden="1">"c5304"</definedName>
    <definedName name="IQ_OPER_INC_BR" hidden="1">"c850"</definedName>
    <definedName name="IQ_OPER_INC_DET_EST" hidden="1">"c12064"</definedName>
    <definedName name="IQ_OPER_INC_DET_EST_CURRENCY" hidden="1">"c12471"</definedName>
    <definedName name="IQ_OPER_INC_DET_EST_CURRENCY_THOM" hidden="1">"c12494"</definedName>
    <definedName name="IQ_OPER_INC_DET_EST_DATE" hidden="1">"c12217"</definedName>
    <definedName name="IQ_OPER_INC_DET_EST_DATE_THOM" hidden="1">"c12245"</definedName>
    <definedName name="IQ_OPER_INC_DET_EST_INCL" hidden="1">"c12354"</definedName>
    <definedName name="IQ_OPER_INC_DET_EST_INCL_THOM" hidden="1">"c12377"</definedName>
    <definedName name="IQ_OPER_INC_DET_EST_ORIGIN" hidden="1">"c12589"</definedName>
    <definedName name="IQ_OPER_INC_DET_EST_ORIGIN_THOM" hidden="1">"c12615"</definedName>
    <definedName name="IQ_OPER_INC_DET_EST_THOM" hidden="1">"c12095"</definedName>
    <definedName name="IQ_OPER_INC_EST" hidden="1">"c1688"</definedName>
    <definedName name="IQ_OPER_INC_EST_CIQ" hidden="1">"c12010"</definedName>
    <definedName name="IQ_OPER_INC_EST_THOM" hidden="1">"c5112"</definedName>
    <definedName name="IQ_OPER_INC_FIN" hidden="1">"c851"</definedName>
    <definedName name="IQ_OPER_INC_HIGH_EST" hidden="1">"c1690"</definedName>
    <definedName name="IQ_OPER_INC_HIGH_EST_CIQ" hidden="1">"c12012"</definedName>
    <definedName name="IQ_OPER_INC_HIGH_EST_THOM" hidden="1">"c5114"</definedName>
    <definedName name="IQ_OPER_INC_INS" hidden="1">"c852"</definedName>
    <definedName name="IQ_OPER_INC_LOW_EST" hidden="1">"c1691"</definedName>
    <definedName name="IQ_OPER_INC_LOW_EST_CIQ" hidden="1">"c12013"</definedName>
    <definedName name="IQ_OPER_INC_LOW_EST_THOM" hidden="1">"c5115"</definedName>
    <definedName name="IQ_OPER_INC_MARGIN" hidden="1">"c1448"</definedName>
    <definedName name="IQ_OPER_INC_MEDIAN_EST" hidden="1">"c1689"</definedName>
    <definedName name="IQ_OPER_INC_MEDIAN_EST_CIQ" hidden="1">"c12011"</definedName>
    <definedName name="IQ_OPER_INC_MEDIAN_EST_THOM" hidden="1">"c5113"</definedName>
    <definedName name="IQ_OPER_INC_NUM_EST" hidden="1">"c1692"</definedName>
    <definedName name="IQ_OPER_INC_NUM_EST_CIQ" hidden="1">"c12014"</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CIQ" hidden="1">"c12015"</definedName>
    <definedName name="IQ_OPER_INC_STDDEV_EST_THOM" hidden="1">"c5117"</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THOM" hidden="1">"c5277"</definedName>
    <definedName name="IQ_PERCENT_CHANGE_EST_CFPS_12MONTHS" hidden="1">"c1812"</definedName>
    <definedName name="IQ_PERCENT_CHANGE_EST_CFPS_12MONTHS_CIQ" hidden="1">"c3755"</definedName>
    <definedName name="IQ_PERCENT_CHANGE_EST_CFPS_12MONTHS_THOM" hidden="1">"c5234"</definedName>
    <definedName name="IQ_PERCENT_CHANGE_EST_CFPS_18MONTHS" hidden="1">"c1813"</definedName>
    <definedName name="IQ_PERCENT_CHANGE_EST_CFPS_18MONTHS_CIQ" hidden="1">"c3756"</definedName>
    <definedName name="IQ_PERCENT_CHANGE_EST_CFPS_18MONTHS_THOM" hidden="1">"c5235"</definedName>
    <definedName name="IQ_PERCENT_CHANGE_EST_CFPS_3MONTHS" hidden="1">"c1809"</definedName>
    <definedName name="IQ_PERCENT_CHANGE_EST_CFPS_3MONTHS_CIQ" hidden="1">"c3752"</definedName>
    <definedName name="IQ_PERCENT_CHANGE_EST_CFPS_3MONTHS_THOM" hidden="1">"c5231"</definedName>
    <definedName name="IQ_PERCENT_CHANGE_EST_CFPS_6MONTHS" hidden="1">"c1810"</definedName>
    <definedName name="IQ_PERCENT_CHANGE_EST_CFPS_6MONTHS_CIQ" hidden="1">"c3753"</definedName>
    <definedName name="IQ_PERCENT_CHANGE_EST_CFPS_6MONTHS_THOM" hidden="1">"c5232"</definedName>
    <definedName name="IQ_PERCENT_CHANGE_EST_CFPS_9MONTHS" hidden="1">"c1811"</definedName>
    <definedName name="IQ_PERCENT_CHANGE_EST_CFPS_9MONTHS_CIQ" hidden="1">"c3754"</definedName>
    <definedName name="IQ_PERCENT_CHANGE_EST_CFPS_9MONTHS_THOM" hidden="1">"c5233"</definedName>
    <definedName name="IQ_PERCENT_CHANGE_EST_CFPS_DAY" hidden="1">"c1806"</definedName>
    <definedName name="IQ_PERCENT_CHANGE_EST_CFPS_DAY_CIQ" hidden="1">"c3750"</definedName>
    <definedName name="IQ_PERCENT_CHANGE_EST_CFPS_DAY_THOM" hidden="1">"c5229"</definedName>
    <definedName name="IQ_PERCENT_CHANGE_EST_CFPS_MONTH" hidden="1">"c1808"</definedName>
    <definedName name="IQ_PERCENT_CHANGE_EST_CFPS_MONTH_CIQ" hidden="1">"c3751"</definedName>
    <definedName name="IQ_PERCENT_CHANGE_EST_CFPS_MONTH_THOM" hidden="1">"c5230"</definedName>
    <definedName name="IQ_PERCENT_CHANGE_EST_CFPS_WEEK" hidden="1">"c1807"</definedName>
    <definedName name="IQ_PERCENT_CHANGE_EST_CFPS_WEEK_CIQ" hidden="1">"c3793"</definedName>
    <definedName name="IQ_PERCENT_CHANGE_EST_CFPS_WEEK_THOM" hidden="1">"c5272"</definedName>
    <definedName name="IQ_PERCENT_CHANGE_EST_DPS_12MONTHS" hidden="1">"c1820"</definedName>
    <definedName name="IQ_PERCENT_CHANGE_EST_DPS_12MONTHS_CIQ" hidden="1">"c3762"</definedName>
    <definedName name="IQ_PERCENT_CHANGE_EST_DPS_12MONTHS_THOM" hidden="1">"c5241"</definedName>
    <definedName name="IQ_PERCENT_CHANGE_EST_DPS_18MONTHS" hidden="1">"c1821"</definedName>
    <definedName name="IQ_PERCENT_CHANGE_EST_DPS_18MONTHS_CIQ" hidden="1">"c3763"</definedName>
    <definedName name="IQ_PERCENT_CHANGE_EST_DPS_18MONTHS_THOM" hidden="1">"c5242"</definedName>
    <definedName name="IQ_PERCENT_CHANGE_EST_DPS_3MONTHS" hidden="1">"c1817"</definedName>
    <definedName name="IQ_PERCENT_CHANGE_EST_DPS_3MONTHS_CIQ" hidden="1">"c3759"</definedName>
    <definedName name="IQ_PERCENT_CHANGE_EST_DPS_3MONTHS_THOM" hidden="1">"c5238"</definedName>
    <definedName name="IQ_PERCENT_CHANGE_EST_DPS_6MONTHS" hidden="1">"c1818"</definedName>
    <definedName name="IQ_PERCENT_CHANGE_EST_DPS_6MONTHS_CIQ" hidden="1">"c3760"</definedName>
    <definedName name="IQ_PERCENT_CHANGE_EST_DPS_6MONTHS_THOM" hidden="1">"c5239"</definedName>
    <definedName name="IQ_PERCENT_CHANGE_EST_DPS_9MONTHS" hidden="1">"c1819"</definedName>
    <definedName name="IQ_PERCENT_CHANGE_EST_DPS_9MONTHS_CIQ" hidden="1">"c3761"</definedName>
    <definedName name="IQ_PERCENT_CHANGE_EST_DPS_9MONTHS_THOM" hidden="1">"c5240"</definedName>
    <definedName name="IQ_PERCENT_CHANGE_EST_DPS_DAY" hidden="1">"c1814"</definedName>
    <definedName name="IQ_PERCENT_CHANGE_EST_DPS_DAY_CIQ" hidden="1">"c3757"</definedName>
    <definedName name="IQ_PERCENT_CHANGE_EST_DPS_DAY_THOM" hidden="1">"c5236"</definedName>
    <definedName name="IQ_PERCENT_CHANGE_EST_DPS_MONTH" hidden="1">"c1816"</definedName>
    <definedName name="IQ_PERCENT_CHANGE_EST_DPS_MONTH_CIQ" hidden="1">"c3758"</definedName>
    <definedName name="IQ_PERCENT_CHANGE_EST_DPS_MONTH_THOM" hidden="1">"c5237"</definedName>
    <definedName name="IQ_PERCENT_CHANGE_EST_DPS_WEEK" hidden="1">"c1815"</definedName>
    <definedName name="IQ_PERCENT_CHANGE_EST_DPS_WEEK_CIQ" hidden="1">"c3794"</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THOM" hidden="1">"c5207"</definedName>
    <definedName name="IQ_PERCENT_CHANGE_EST_FFO_12MONTHS" hidden="1">"c1828"</definedName>
    <definedName name="IQ_PERCENT_CHANGE_EST_FFO_12MONTHS_CIQ" hidden="1">"c3769"</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THOM" hidden="1">"c5244"</definedName>
    <definedName name="IQ_PERCENT_CHANGE_EST_FFO_WEEK" hidden="1">"c1823"</definedName>
    <definedName name="IQ_PERCENT_CHANGE_EST_FFO_WEEK_CIQ" hidden="1">"c3795"</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THOM" hidden="1">"c5215"</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OL_AMT_ORIGINAL" hidden="1">"c8970"</definedName>
    <definedName name="IQ_POOL_NAME" hidden="1">"c8967"</definedName>
    <definedName name="IQ_POOL_NUMBER" hidden="1">"c8968"</definedName>
    <definedName name="IQ_POOL_TYPE" hidden="1">"c8969"</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CIQ" hidden="1">"c5064"</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EST_CIQ" hidden="1">"c4688"</definedName>
    <definedName name="IQ_PRETAX_GW_INC_HIGH_EST" hidden="1">"c1704"</definedName>
    <definedName name="IQ_PRETAX_GW_INC_HIGH_EST_CIQ" hidden="1">"c4690"</definedName>
    <definedName name="IQ_PRETAX_GW_INC_LOW_EST" hidden="1">"c1705"</definedName>
    <definedName name="IQ_PRETAX_GW_INC_LOW_EST_CIQ" hidden="1">"c4691"</definedName>
    <definedName name="IQ_PRETAX_GW_INC_MEDIAN_EST" hidden="1">"c1703"</definedName>
    <definedName name="IQ_PRETAX_GW_INC_MEDIAN_EST_CIQ" hidden="1">"c4689"</definedName>
    <definedName name="IQ_PRETAX_GW_INC_NUM_EST" hidden="1">"c1706"</definedName>
    <definedName name="IQ_PRETAX_GW_INC_NUM_EST_CIQ" hidden="1">"c4692"</definedName>
    <definedName name="IQ_PRETAX_GW_INC_STDDEV_EST" hidden="1">"c1707"</definedName>
    <definedName name="IQ_PRETAX_GW_INC_STDDEV_EST_CIQ" hidden="1">"c4693"</definedName>
    <definedName name="IQ_PRETAX_INC_DET_EST" hidden="1">"c12055"</definedName>
    <definedName name="IQ_PRETAX_INC_DET_EST_CURRENCY" hidden="1">"c12462"</definedName>
    <definedName name="IQ_PRETAX_INC_DET_EST_CURRENCY_THOM" hidden="1">"c12483"</definedName>
    <definedName name="IQ_PRETAX_INC_DET_EST_DATE" hidden="1">"c12208"</definedName>
    <definedName name="IQ_PRETAX_INC_DET_EST_DATE_THOM" hidden="1">"c12234"</definedName>
    <definedName name="IQ_PRETAX_INC_DET_EST_INCL" hidden="1">"c12345"</definedName>
    <definedName name="IQ_PRETAX_INC_DET_EST_INCL_THOM" hidden="1">"c12366"</definedName>
    <definedName name="IQ_PRETAX_INC_DET_EST_ORIGIN" hidden="1">"c12771"</definedName>
    <definedName name="IQ_PRETAX_INC_DET_EST_ORIGIN_THOM" hidden="1">"c12604"</definedName>
    <definedName name="IQ_PRETAX_INC_DET_EST_THOM" hidden="1">"c12084"</definedName>
    <definedName name="IQ_PRETAX_INC_EST" hidden="1">"c1695"</definedName>
    <definedName name="IQ_PRETAX_INC_EST_CIQ" hidden="1">"c4681"</definedName>
    <definedName name="IQ_PRETAX_INC_EST_THOM" hidden="1">"c5119"</definedName>
    <definedName name="IQ_PRETAX_INC_HIGH_EST" hidden="1">"c1697"</definedName>
    <definedName name="IQ_PRETAX_INC_HIGH_EST_CIQ" hidden="1">"c4683"</definedName>
    <definedName name="IQ_PRETAX_INC_HIGH_EST_THOM" hidden="1">"c5121"</definedName>
    <definedName name="IQ_PRETAX_INC_LOW_EST" hidden="1">"c1698"</definedName>
    <definedName name="IQ_PRETAX_INC_LOW_EST_CIQ" hidden="1">"c4684"</definedName>
    <definedName name="IQ_PRETAX_INC_LOW_EST_THOM" hidden="1">"c5122"</definedName>
    <definedName name="IQ_PRETAX_INC_MEDIAN_EST" hidden="1">"c1696"</definedName>
    <definedName name="IQ_PRETAX_INC_MEDIAN_EST_CIQ" hidden="1">"c4682"</definedName>
    <definedName name="IQ_PRETAX_INC_MEDIAN_EST_THOM" hidden="1">"c5120"</definedName>
    <definedName name="IQ_PRETAX_INC_NUM_EST" hidden="1">"c1699"</definedName>
    <definedName name="IQ_PRETAX_INC_NUM_EST_CIQ" hidden="1">"c4685"</definedName>
    <definedName name="IQ_PRETAX_INC_NUM_EST_THOM" hidden="1">"c5123"</definedName>
    <definedName name="IQ_PRETAX_INC_STDDEV_EST" hidden="1">"c1700"</definedName>
    <definedName name="IQ_PRETAX_INC_STDDEV_EST_CIQ" hidden="1">"c4686"</definedName>
    <definedName name="IQ_PRETAX_INC_STDDEV_EST_THOM" hidden="1">"c5124"</definedName>
    <definedName name="IQ_PRETAX_REPORT_INC_EST" hidden="1">"c1709"</definedName>
    <definedName name="IQ_PRETAX_REPORT_INC_EST_CIQ" hidden="1">"c4695"</definedName>
    <definedName name="IQ_PRETAX_REPORT_INC_HIGH_EST" hidden="1">"c1711"</definedName>
    <definedName name="IQ_PRETAX_REPORT_INC_HIGH_EST_CIQ" hidden="1">"c4697"</definedName>
    <definedName name="IQ_PRETAX_REPORT_INC_LOW_EST" hidden="1">"c1712"</definedName>
    <definedName name="IQ_PRETAX_REPORT_INC_LOW_EST_CIQ" hidden="1">"c4698"</definedName>
    <definedName name="IQ_PRETAX_REPORT_INC_MEDIAN_EST" hidden="1">"c1710"</definedName>
    <definedName name="IQ_PRETAX_REPORT_INC_MEDIAN_EST_CIQ" hidden="1">"c4696"</definedName>
    <definedName name="IQ_PRETAX_REPORT_INC_NUM_EST" hidden="1">"c1713"</definedName>
    <definedName name="IQ_PRETAX_REPORT_INC_NUM_EST_CIQ" hidden="1">"c4699"</definedName>
    <definedName name="IQ_PRETAX_REPORT_INC_STDDEV_EST" hidden="1">"c1714"</definedName>
    <definedName name="IQ_PRETAX_REPORT_INC_STDDEV_EST_CIQ" hidden="1">"c4700"</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CFPS_FWD_CIQ" hidden="1">"c4046"</definedName>
    <definedName name="IQ_PRICE_CFPS_FWD_THOM" hidden="1">"c4060"</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 hidden="1">"c5486"</definedName>
    <definedName name="IQ_PRICE_TARGET_BOTTOM_UP_CIQ" hidden="1">"c12023"</definedName>
    <definedName name="IQ_PRICE_TARGET_CIQ" hidden="1">"c3613"</definedName>
    <definedName name="IQ_PRICE_TARGET_REUT" hidden="1">"c3631"</definedName>
    <definedName name="IQ_PRICE_TARGET_THOM" hidden="1">"c3649"</definedName>
    <definedName name="IQ_PRICE_VOLATILITY_EST" hidden="1">"c4492"</definedName>
    <definedName name="IQ_PRICE_VOLATILITY_EST_CIQ" hidden="1">"c5030"</definedName>
    <definedName name="IQ_PRICE_VOLATILITY_HIGH" hidden="1">"c4493"</definedName>
    <definedName name="IQ_PRICE_VOLATILITY_HIGH_CIQ" hidden="1">"c5031"</definedName>
    <definedName name="IQ_PRICE_VOLATILITY_LOW" hidden="1">"c4494"</definedName>
    <definedName name="IQ_PRICE_VOLATILITY_LOW_CIQ" hidden="1">"c5032"</definedName>
    <definedName name="IQ_PRICE_VOLATILITY_MEDIAN" hidden="1">"c4495"</definedName>
    <definedName name="IQ_PRICE_VOLATILITY_MEDIAN_CIQ" hidden="1">"c5033"</definedName>
    <definedName name="IQ_PRICE_VOLATILITY_NUM" hidden="1">"c4496"</definedName>
    <definedName name="IQ_PRICE_VOLATILITY_NUM_CIQ" hidden="1">"c5034"</definedName>
    <definedName name="IQ_PRICE_VOLATILITY_STDDEV" hidden="1">"c4497"</definedName>
    <definedName name="IQ_PRICE_VOLATILITY_STDDEV_CIQ" hidden="1">"c5035"</definedName>
    <definedName name="IQ_PRICEDATE" hidden="1">"c1069"</definedName>
    <definedName name="IQ_PRICING_DATE" hidden="1">"c1613"</definedName>
    <definedName name="IQ_PRIMARY_EPS_TYPE" hidden="1">"c4498"</definedName>
    <definedName name="IQ_PRIMARY_EPS_TYPE_CIQ" hidden="1">"c5036"</definedName>
    <definedName name="IQ_PRIMARY_INDUSTRY" hidden="1">"c1070"</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EST" hidden="1">"c4499"</definedName>
    <definedName name="IQ_RECURRING_PROFIT_EST_CIQ" hidden="1">"c5037"</definedName>
    <definedName name="IQ_RECURRING_PROFIT_GUIDANCE" hidden="1">"c4500"</definedName>
    <definedName name="IQ_RECURRING_PROFIT_GUIDANCE_CIQ" hidden="1">"c5038"</definedName>
    <definedName name="IQ_RECURRING_PROFIT_HIGH_EST" hidden="1">"c4501"</definedName>
    <definedName name="IQ_RECURRING_PROFIT_HIGH_EST_CIQ" hidden="1">"c5039"</definedName>
    <definedName name="IQ_RECURRING_PROFIT_HIGH_GUIDANCE" hidden="1">"c4179"</definedName>
    <definedName name="IQ_RECURRING_PROFIT_HIGH_GUIDANCE_CIQ" hidden="1">"c4591"</definedName>
    <definedName name="IQ_RECURRING_PROFIT_LOW_EST" hidden="1">"c4502"</definedName>
    <definedName name="IQ_RECURRING_PROFIT_LOW_EST_CIQ" hidden="1">"c5040"</definedName>
    <definedName name="IQ_RECURRING_PROFIT_LOW_GUIDANCE" hidden="1">"c4219"</definedName>
    <definedName name="IQ_RECURRING_PROFIT_LOW_GUIDANCE_CIQ" hidden="1">"c4631"</definedName>
    <definedName name="IQ_RECURRING_PROFIT_MEDIAN_EST" hidden="1">"c4503"</definedName>
    <definedName name="IQ_RECURRING_PROFIT_MEDIAN_EST_CIQ" hidden="1">"c5041"</definedName>
    <definedName name="IQ_RECURRING_PROFIT_NUM_EST" hidden="1">"c4504"</definedName>
    <definedName name="IQ_RECURRING_PROFIT_NUM_EST_CIQ" hidden="1">"c5042"</definedName>
    <definedName name="IQ_RECURRING_PROFIT_SHARE_ACT_OR_EST" hidden="1">"c4508"</definedName>
    <definedName name="IQ_RECURRING_PROFIT_SHARE_ACT_OR_EST_CIQ" hidden="1">"c5046"</definedName>
    <definedName name="IQ_RECURRING_PROFIT_SHARE_EST" hidden="1">"c4506"</definedName>
    <definedName name="IQ_RECURRING_PROFIT_SHARE_EST_CIQ" hidden="1">"c5044"</definedName>
    <definedName name="IQ_RECURRING_PROFIT_SHARE_GUIDANCE" hidden="1">"c4509"</definedName>
    <definedName name="IQ_RECURRING_PROFIT_SHARE_GUIDANCE_CIQ" hidden="1">"c5047"</definedName>
    <definedName name="IQ_RECURRING_PROFIT_SHARE_HIGH_EST" hidden="1">"c4510"</definedName>
    <definedName name="IQ_RECURRING_PROFIT_SHARE_HIGH_EST_CIQ" hidden="1">"c5048"</definedName>
    <definedName name="IQ_RECURRING_PROFIT_SHARE_HIGH_GUIDANCE" hidden="1">"c4200"</definedName>
    <definedName name="IQ_RECURRING_PROFIT_SHARE_HIGH_GUIDANCE_CIQ" hidden="1">"c4612"</definedName>
    <definedName name="IQ_RECURRING_PROFIT_SHARE_LOW_EST" hidden="1">"c4511"</definedName>
    <definedName name="IQ_RECURRING_PROFIT_SHARE_LOW_EST_CIQ" hidden="1">"c5049"</definedName>
    <definedName name="IQ_RECURRING_PROFIT_SHARE_LOW_GUIDANCE" hidden="1">"c4240"</definedName>
    <definedName name="IQ_RECURRING_PROFIT_SHARE_LOW_GUIDANCE_CIQ" hidden="1">"c4652"</definedName>
    <definedName name="IQ_RECURRING_PROFIT_SHARE_MEDIAN_EST" hidden="1">"c4512"</definedName>
    <definedName name="IQ_RECURRING_PROFIT_SHARE_MEDIAN_EST_CIQ" hidden="1">"c5050"</definedName>
    <definedName name="IQ_RECURRING_PROFIT_SHARE_NUM_EST" hidden="1">"c4513"</definedName>
    <definedName name="IQ_RECURRING_PROFIT_SHARE_NUM_EST_CIQ" hidden="1">"c5051"</definedName>
    <definedName name="IQ_RECURRING_PROFIT_SHARE_STDDEV_EST" hidden="1">"c4514"</definedName>
    <definedName name="IQ_RECURRING_PROFIT_SHARE_STDDEV_EST_CIQ" hidden="1">"c5052"</definedName>
    <definedName name="IQ_RECURRING_PROFIT_STDDEV_EST" hidden="1">"c4516"</definedName>
    <definedName name="IQ_RECURRING_PROFIT_STDDEV_EST_CIQ" hidden="1">"c5054"</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"c2903"</definedName>
    <definedName name="IQ_RETAIL_ACQUIRED_FRANCHISE_STORES_1" hidden="1">"c2895"</definedName>
    <definedName name="IQ_RETAIL_ACQUIRED_OWNED_STORES" hidden="1">"c2895"</definedName>
    <definedName name="IQ_RETAIL_ACQUIRED_OWNED_STORES_1"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 hidden="1">"c3585"</definedName>
    <definedName name="IQ_RETURN_ASSETS_ACT_OR_EST_CIQ" hidden="1">"c12020"</definedName>
    <definedName name="IQ_RETURN_ASSETS_ACT_OR_EST_THOM" hidden="1">"c5310"</definedName>
    <definedName name="IQ_RETURN_ASSETS_BANK" hidden="1">"c1114"</definedName>
    <definedName name="IQ_RETURN_ASSETS_BROK" hidden="1">"c1115"</definedName>
    <definedName name="IQ_RETURN_ASSETS_DET_EST" hidden="1">"c12066"</definedName>
    <definedName name="IQ_RETURN_ASSETS_DET_EST_DATE" hidden="1">"c12219"</definedName>
    <definedName name="IQ_RETURN_ASSETS_DET_EST_DATE_THOM" hidden="1">"c12247"</definedName>
    <definedName name="IQ_RETURN_ASSETS_DET_EST_INCL" hidden="1">"c12356"</definedName>
    <definedName name="IQ_RETURN_ASSETS_DET_EST_INCL_THOM" hidden="1">"c12379"</definedName>
    <definedName name="IQ_RETURN_ASSETS_DET_EST_ORIGIN" hidden="1">"c12591"</definedName>
    <definedName name="IQ_RETURN_ASSETS_DET_EST_ORIGIN_THOM" hidden="1">"c12617"</definedName>
    <definedName name="IQ_RETURN_ASSETS_DET_EST_THOM" hidden="1">"c12097"</definedName>
    <definedName name="IQ_RETURN_ASSETS_EST" hidden="1">"c3529"</definedName>
    <definedName name="IQ_RETURN_ASSETS_EST_CIQ" hidden="1">"c3828"</definedName>
    <definedName name="IQ_RETURN_ASSETS_EST_THOM" hidden="1">"c4034"</definedName>
    <definedName name="IQ_RETURN_ASSETS_FDIC" hidden="1">"c6730"</definedName>
    <definedName name="IQ_RETURN_ASSETS_FS" hidden="1">"c1116"</definedName>
    <definedName name="IQ_RETURN_ASSETS_GUIDANCE" hidden="1">"c4517"</definedName>
    <definedName name="IQ_RETURN_ASSETS_GUIDANCE_CIQ" hidden="1">"c5055"</definedName>
    <definedName name="IQ_RETURN_ASSETS_HIGH_EST" hidden="1">"c3530"</definedName>
    <definedName name="IQ_RETURN_ASSETS_HIGH_EST_CIQ" hidden="1">"c3830"</definedName>
    <definedName name="IQ_RETURN_ASSETS_HIGH_EST_THOM" hidden="1">"c4036"</definedName>
    <definedName name="IQ_RETURN_ASSETS_HIGH_GUIDANCE" hidden="1">"c4183"</definedName>
    <definedName name="IQ_RETURN_ASSETS_HIGH_GUIDANCE_CIQ" hidden="1">"c4595"</definedName>
    <definedName name="IQ_RETURN_ASSETS_LOW_EST" hidden="1">"c3531"</definedName>
    <definedName name="IQ_RETURN_ASSETS_LOW_EST_CIQ" hidden="1">"c3831"</definedName>
    <definedName name="IQ_RETURN_ASSETS_LOW_EST_THOM" hidden="1">"c4037"</definedName>
    <definedName name="IQ_RETURN_ASSETS_LOW_GUIDANCE" hidden="1">"c4223"</definedName>
    <definedName name="IQ_RETURN_ASSETS_LOW_GUIDANCE_CIQ" hidden="1">"c4635"</definedName>
    <definedName name="IQ_RETURN_ASSETS_MEDIAN_EST" hidden="1">"c3532"</definedName>
    <definedName name="IQ_RETURN_ASSETS_MEDIAN_EST_CIQ" hidden="1">"c3829"</definedName>
    <definedName name="IQ_RETURN_ASSETS_MEDIAN_EST_THOM" hidden="1">"c4035"</definedName>
    <definedName name="IQ_RETURN_ASSETS_NUM_EST" hidden="1">"c3527"</definedName>
    <definedName name="IQ_RETURN_ASSETS_NUM_EST_CIQ" hidden="1">"c3832"</definedName>
    <definedName name="IQ_RETURN_ASSETS_NUM_EST_THOM" hidden="1">"c4038"</definedName>
    <definedName name="IQ_RETURN_ASSETS_STDDEV_EST" hidden="1">"c3528"</definedName>
    <definedName name="IQ_RETURN_ASSETS_STDDEV_EST_CIQ" hidden="1">"c3833"</definedName>
    <definedName name="IQ_RETURN_ASSETS_STDDEV_EST_THOM" hidden="1">"c4039"</definedName>
    <definedName name="IQ_RETURN_CAPITAL" hidden="1">"c1117"</definedName>
    <definedName name="IQ_RETURN_EMBEDDED_VALUE" hidden="1">"c9974"</definedName>
    <definedName name="IQ_RETURN_EQUITY" hidden="1">"c1118"</definedName>
    <definedName name="IQ_RETURN_EQUITY_ACT_OR_EST" hidden="1">"c3586"</definedName>
    <definedName name="IQ_RETURN_EQUITY_ACT_OR_EST_CIQ" hidden="1">"c12021"</definedName>
    <definedName name="IQ_RETURN_EQUITY_ACT_OR_EST_THOM" hidden="1">"c5311"</definedName>
    <definedName name="IQ_RETURN_EQUITY_BANK" hidden="1">"c1119"</definedName>
    <definedName name="IQ_RETURN_EQUITY_BROK" hidden="1">"c1120"</definedName>
    <definedName name="IQ_RETURN_EQUITY_DET_EST" hidden="1">"c12067"</definedName>
    <definedName name="IQ_RETURN_EQUITY_DET_EST_DATE" hidden="1">"c12220"</definedName>
    <definedName name="IQ_RETURN_EQUITY_DET_EST_DATE_THOM" hidden="1">"c12248"</definedName>
    <definedName name="IQ_RETURN_EQUITY_DET_EST_INCL" hidden="1">"c12357"</definedName>
    <definedName name="IQ_RETURN_EQUITY_DET_EST_INCL_THOM" hidden="1">"c12380"</definedName>
    <definedName name="IQ_RETURN_EQUITY_DET_EST_ORIGIN" hidden="1">"c12592"</definedName>
    <definedName name="IQ_RETURN_EQUITY_DET_EST_ORIGIN_THOM" hidden="1">"c12618"</definedName>
    <definedName name="IQ_RETURN_EQUITY_DET_EST_THOM" hidden="1">"c12098"</definedName>
    <definedName name="IQ_RETURN_EQUITY_EST" hidden="1">"c3535"</definedName>
    <definedName name="IQ_RETURN_EQUITY_EST_CIQ" hidden="1">"c3821"</definedName>
    <definedName name="IQ_RETURN_EQUITY_EST_THOM" hidden="1">"c5479"</definedName>
    <definedName name="IQ_RETURN_EQUITY_FDIC" hidden="1">"c6732"</definedName>
    <definedName name="IQ_RETURN_EQUITY_FS" hidden="1">"c1121"</definedName>
    <definedName name="IQ_RETURN_EQUITY_GUIDANCE" hidden="1">"c4518"</definedName>
    <definedName name="IQ_RETURN_EQUITY_GUIDANCE_CIQ" hidden="1">"c5056"</definedName>
    <definedName name="IQ_RETURN_EQUITY_HIGH_EST" hidden="1">"c3536"</definedName>
    <definedName name="IQ_RETURN_EQUITY_HIGH_EST_CIQ" hidden="1">"c3823"</definedName>
    <definedName name="IQ_RETURN_EQUITY_HIGH_EST_THOM" hidden="1">"c5283"</definedName>
    <definedName name="IQ_RETURN_EQUITY_HIGH_GUIDANCE" hidden="1">"c4182"</definedName>
    <definedName name="IQ_RETURN_EQUITY_HIGH_GUIDANCE_CIQ" hidden="1">"c4594"</definedName>
    <definedName name="IQ_RETURN_EQUITY_LOW_EST" hidden="1">"c3537"</definedName>
    <definedName name="IQ_RETURN_EQUITY_LOW_EST_CIQ" hidden="1">"c3824"</definedName>
    <definedName name="IQ_RETURN_EQUITY_LOW_EST_THOM" hidden="1">"c5284"</definedName>
    <definedName name="IQ_RETURN_EQUITY_LOW_GUIDANCE" hidden="1">"c4222"</definedName>
    <definedName name="IQ_RETURN_EQUITY_LOW_GUIDANCE_CIQ" hidden="1">"c4634"</definedName>
    <definedName name="IQ_RETURN_EQUITY_MEDIAN_EST" hidden="1">"c3538"</definedName>
    <definedName name="IQ_RETURN_EQUITY_MEDIAN_EST_CIQ" hidden="1">"c3822"</definedName>
    <definedName name="IQ_RETURN_EQUITY_MEDIAN_EST_THOM" hidden="1">"c5282"</definedName>
    <definedName name="IQ_RETURN_EQUITY_NUM_EST" hidden="1">"c3533"</definedName>
    <definedName name="IQ_RETURN_EQUITY_NUM_EST_CIQ" hidden="1">"c3825"</definedName>
    <definedName name="IQ_RETURN_EQUITY_NUM_EST_THOM" hidden="1">"c5285"</definedName>
    <definedName name="IQ_RETURN_EQUITY_STDDEV_EST" hidden="1">"c3534"</definedName>
    <definedName name="IQ_RETURN_EQUITY_STDDEV_EST_CIQ" hidden="1">"c3826"</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DET_EST" hidden="1">"c12065"</definedName>
    <definedName name="IQ_REV_DET_EST_CURRENCY" hidden="1">"c12472"</definedName>
    <definedName name="IQ_REV_DET_EST_CURRENCY_THOM" hidden="1">"c12495"</definedName>
    <definedName name="IQ_REV_DET_EST_DATE" hidden="1">"c12218"</definedName>
    <definedName name="IQ_REV_DET_EST_DATE_THOM" hidden="1">"c12246"</definedName>
    <definedName name="IQ_REV_DET_EST_INCL" hidden="1">"c12355"</definedName>
    <definedName name="IQ_REV_DET_EST_INCL_THOM" hidden="1">"c12378"</definedName>
    <definedName name="IQ_REV_DET_EST_ORIGIN" hidden="1">"c12590"</definedName>
    <definedName name="IQ_REV_DET_EST_ORIGIN_THOM" hidden="1">"c12616"</definedName>
    <definedName name="IQ_REV_DET_EST_THOM" hidden="1">"c12096"</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ACT_OR_EST_CIQ" hidden="1">"c5059"</definedName>
    <definedName name="IQ_REVENUE_ACT_OR_EST_THOM" hidden="1">"c5299"</definedName>
    <definedName name="IQ_REVENUE_EST" hidden="1">"c1126"</definedName>
    <definedName name="IQ_REVENUE_EST_BOTTOM_UP" hidden="1">"c5488"</definedName>
    <definedName name="IQ_REVENUE_EST_BOTTOM_UP_CIQ" hidden="1">"c12025"</definedName>
    <definedName name="IQ_REVENUE_EST_CIQ" hidden="1">"c3616"</definedName>
    <definedName name="IQ_REVENUE_EST_REUT" hidden="1">"c3634"</definedName>
    <definedName name="IQ_REVENUE_EST_THOM" hidden="1">"c3652"</definedName>
    <definedName name="IQ_REVENUE_GUIDANCE" hidden="1">"c4519"</definedName>
    <definedName name="IQ_REVENUE_GUIDANCE_CIQ" hidden="1">"c5057"</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HIGH_GUIDANCE" hidden="1">"c4169"</definedName>
    <definedName name="IQ_REVENUE_HIGH_GUIDANCE_CIQ" hidden="1">"c4581"</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LOW_GUIDANCE" hidden="1">"c4209"</definedName>
    <definedName name="IQ_REVENUE_LOW_GUIDANCE_CIQ" hidden="1">"c4621"</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ISION_DATE_" hidden="1">39065.4105439815</definedName>
    <definedName name="IQ_REVISION_DATE__1" hidden="1">39358.4284837963</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ERVICE_FEE" hidden="1">"c8951"</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ND_REC_DET_EST" hidden="1">"c12069"</definedName>
    <definedName name="IQ_STAND_REC_DET_EST_DATE" hidden="1">"c12222"</definedName>
    <definedName name="IQ_STAND_REC_DET_EST_DATE_THOM" hidden="1">"c12250"</definedName>
    <definedName name="IQ_STAND_REC_DET_EST_ORIGIN" hidden="1">"c12594"</definedName>
    <definedName name="IQ_STAND_REC_DET_EST_ORIGIN_THOM" hidden="1">"c12620"</definedName>
    <definedName name="IQ_STAND_REC_DET_EST_THOM" hidden="1">"c12100"</definedName>
    <definedName name="IQ_STAND_REC_NUM_DET_EST" hidden="1">"c12068"</definedName>
    <definedName name="IQ_STAND_REC_NUM_DET_EST_DATE" hidden="1">"c12221"</definedName>
    <definedName name="IQ_STAND_REC_NUM_DET_EST_DATE_THOM" hidden="1">"c12249"</definedName>
    <definedName name="IQ_STAND_REC_NUM_DET_EST_ORIGIN" hidden="1">"c12593"</definedName>
    <definedName name="IQ_STAND_REC_NUM_DET_EST_ORIGIN_THOM" hidden="1">"c12619"</definedName>
    <definedName name="IQ_STAND_REC_NUM_DET_EST_THOM" hidden="1">"c12099"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ST_CIQ" hidden="1">"c5073"</definedName>
    <definedName name="IQ_STOCK_BASED_GA" hidden="1">"c2993"</definedName>
    <definedName name="IQ_STOCK_BASED_HIGH_EST" hidden="1">"c4521"</definedName>
    <definedName name="IQ_STOCK_BASED_HIGH_EST_CIQ" hidden="1">"c5074"</definedName>
    <definedName name="IQ_STOCK_BASED_LOW_EST" hidden="1">"c4522"</definedName>
    <definedName name="IQ_STOCK_BASED_LOW_EST_CIQ" hidden="1">"c5075"</definedName>
    <definedName name="IQ_STOCK_BASED_MEDIAN_EST" hidden="1">"c4523"</definedName>
    <definedName name="IQ_STOCK_BASED_MEDIAN_EST_CIQ" hidden="1">"c5076"</definedName>
    <definedName name="IQ_STOCK_BASED_NUM_EST" hidden="1">"c4524"</definedName>
    <definedName name="IQ_STOCK_BASED_NUM_EST_CIQ" hidden="1">"c5077"</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STDDEV_EST_CIQ" hidden="1">"c5078"</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UCT_FIN_CLASS" hidden="1">"c8950"</definedName>
    <definedName name="IQ_STRUCT_FIN_SERIES" hidden="1">"c8956"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DET_EST" hidden="1">"c12070"</definedName>
    <definedName name="IQ_TARGET_PRICE_DET_EST_CURRENCY" hidden="1">"c12475"</definedName>
    <definedName name="IQ_TARGET_PRICE_DET_EST_CURRENCY_THOM" hidden="1">"c12498"</definedName>
    <definedName name="IQ_TARGET_PRICE_DET_EST_DATE" hidden="1">"c12223"</definedName>
    <definedName name="IQ_TARGET_PRICE_DET_EST_DATE_THOM" hidden="1">"c12251"</definedName>
    <definedName name="IQ_TARGET_PRICE_DET_EST_INCL" hidden="1">"c12358"</definedName>
    <definedName name="IQ_TARGET_PRICE_DET_EST_INCL_THOM" hidden="1">"c12381"</definedName>
    <definedName name="IQ_TARGET_PRICE_DET_EST_ORIGIN" hidden="1">"c12729"</definedName>
    <definedName name="IQ_TARGET_PRICE_DET_EST_ORIGIN_THOM" hidden="1">"c12621"</definedName>
    <definedName name="IQ_TARGET_PRICE_DET_EST_THOM" hidden="1">"c12101"</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DET_EST_CURRENCY_THOM" hidden="1">"c12499"</definedName>
    <definedName name="IQ_TEV_DET_EST_DATE_THOM" hidden="1">"c12252"</definedName>
    <definedName name="IQ_TEV_DET_EST_INCL_THOM" hidden="1">"c12382"</definedName>
    <definedName name="IQ_TEV_DET_EST_ORIGIN_THOM" hidden="1">"c12709"</definedName>
    <definedName name="IQ_TEV_DET_EST_THOM" hidden="1">"c12102"</definedName>
    <definedName name="IQ_TEV_EBIT" hidden="1">"c1220"</definedName>
    <definedName name="IQ_TEV_EBIT_AVG" hidden="1">"c1221"</definedName>
    <definedName name="IQ_TEV_EBIT_FWD" hidden="1">"c2238"</definedName>
    <definedName name="IQ_TEV_EBIT_FWD_CIQ" hidden="1">"c4047"</definedName>
    <definedName name="IQ_TEV_EBIT_FWD_THOM" hidden="1">"c4061"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CIQ" hidden="1">"c5079"</definedName>
    <definedName name="IQ_TEV_EST_THOM" hidden="1">"c5529"</definedName>
    <definedName name="IQ_TEV_HIGH_EST" hidden="1">"c4527"</definedName>
    <definedName name="IQ_TEV_HIGH_EST_CIQ" hidden="1">"c5080"</definedName>
    <definedName name="IQ_TEV_HIGH_EST_THOM" hidden="1">"c5530"</definedName>
    <definedName name="IQ_TEV_LOW_EST" hidden="1">"c4528"</definedName>
    <definedName name="IQ_TEV_LOW_EST_CIQ" hidden="1">"c5081"</definedName>
    <definedName name="IQ_TEV_LOW_EST_THOM" hidden="1">"c5531"</definedName>
    <definedName name="IQ_TEV_MEDIAN_EST" hidden="1">"c4529"</definedName>
    <definedName name="IQ_TEV_MEDIAN_EST_CIQ" hidden="1">"c5082"</definedName>
    <definedName name="IQ_TEV_MEDIAN_EST_THOM" hidden="1">"c5532"</definedName>
    <definedName name="IQ_TEV_NUM_EST" hidden="1">"c4530"</definedName>
    <definedName name="IQ_TEV_NUM_EST_CIQ" hidden="1">"c5083"</definedName>
    <definedName name="IQ_TEV_NUM_EST_THOM" hidden="1">"c5533"</definedName>
    <definedName name="IQ_TEV_STDDEV_EST" hidden="1">"c4531"</definedName>
    <definedName name="IQ_TEV_STDDEV_EST_CIQ" hidden="1">"c5084"</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ST_CIQ" hidden="1">"c5085"</definedName>
    <definedName name="IQ_TOTAL_DEBT_EXCL_FIN" hidden="1">"c2937"</definedName>
    <definedName name="IQ_TOTAL_DEBT_GUIDANCE" hidden="1">"c4533"</definedName>
    <definedName name="IQ_TOTAL_DEBT_GUIDANCE_CIQ" hidden="1">"c5086"</definedName>
    <definedName name="IQ_TOTAL_DEBT_HIGH_EST" hidden="1">"c4534"</definedName>
    <definedName name="IQ_TOTAL_DEBT_HIGH_EST_CIQ" hidden="1">"c5087"</definedName>
    <definedName name="IQ_TOTAL_DEBT_HIGH_GUIDANCE" hidden="1">"c4196"</definedName>
    <definedName name="IQ_TOTAL_DEBT_HIGH_GUIDANCE_CIQ" hidden="1">"c4608"</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EST_CIQ" hidden="1">"c5088"</definedName>
    <definedName name="IQ_TOTAL_DEBT_LOW_GUIDANCE" hidden="1">"c4236"</definedName>
    <definedName name="IQ_TOTAL_DEBT_LOW_GUIDANCE_CIQ" hidden="1">"c4648"</definedName>
    <definedName name="IQ_TOTAL_DEBT_MEDIAN_EST" hidden="1">"c4536"</definedName>
    <definedName name="IQ_TOTAL_DEBT_MEDIAN_EST_CIQ" hidden="1">"c5089"</definedName>
    <definedName name="IQ_TOTAL_DEBT_NON_CURRENT" hidden="1">"c6191"</definedName>
    <definedName name="IQ_TOTAL_DEBT_NUM_EST" hidden="1">"c4537"</definedName>
    <definedName name="IQ_TOTAL_DEBT_NUM_EST_CIQ" hidden="1">"c5090"</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BT_STDDEV_EST_CIQ" hidden="1">"c5091"</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ITEM_CIQID" hidden="1">"c8949"</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1</definedName>
    <definedName name="IQRChartA6" hidden="1">[17]Chart!$A$7:$A$760</definedName>
    <definedName name="IQRControlPanelG95">#REF!</definedName>
    <definedName name="IQRControlPanelG96">#REF!</definedName>
    <definedName name="IQRDataA1">#REF!</definedName>
    <definedName name="IQRSheet1A1">#REF!</definedName>
    <definedName name="IREMMedian">#REF!</definedName>
    <definedName name="IREMProNo">#REF!</definedName>
    <definedName name="IREMSize">#REF!</definedName>
    <definedName name="IRR">#REF!</definedName>
    <definedName name="ISalesSumm">#REF!</definedName>
    <definedName name="ISG">#REF!</definedName>
    <definedName name="Ismael">#REF!</definedName>
    <definedName name="ITREE">[1]VALUE2_1.XLS!#REF!</definedName>
    <definedName name="IWJJJJ">#REF!</definedName>
    <definedName name="IWORKING">[1]VALUE2_1.XLS!#REF!</definedName>
    <definedName name="j">#REF!</definedName>
    <definedName name="j_1">#REF!</definedName>
    <definedName name="j_1_1">#REF!</definedName>
    <definedName name="j_1_2">#REF!</definedName>
    <definedName name="j_1_3">#REF!</definedName>
    <definedName name="j_1_4">#REF!</definedName>
    <definedName name="j_1_5">#REF!</definedName>
    <definedName name="j_2">#REF!</definedName>
    <definedName name="j_3">#REF!</definedName>
    <definedName name="j_4">#REF!</definedName>
    <definedName name="j_5">#REF!</definedName>
    <definedName name="jackass">#REF!</definedName>
    <definedName name="JaS">#REF!</definedName>
    <definedName name="jen" hidden="1">{TRUE,TRUE,-1.25,-15.5,456.75,279.75,FALSE,FALSE,TRUE,TRUE,0,1,8,1,4,6,3,4,TRUE,TRUE,3,TRUE,1,TRUE,100,"Swvu.turnover.","ACwvu.turnover.",1,FALSE,FALSE,0.511811023622047,0.511811023622047,0.511811023622047,0.511811023622047,1,"","",FALSE,FALSE,FALSE,FALSE,1,#N/A,1,1,#DIV/0!,FALSE,"Rwvu.turnover.",#N/A,FALSE,FALSE}</definedName>
    <definedName name="JHBGVC">#REF!</definedName>
    <definedName name="JHBGVC_1">#REF!</definedName>
    <definedName name="JHBGVC_1_1">#REF!</definedName>
    <definedName name="JHBGVC_1_2">#REF!</definedName>
    <definedName name="JHBGVC_1_3">#REF!</definedName>
    <definedName name="JHBGVC_1_4">#REF!</definedName>
    <definedName name="JHBGVC_1_5">#REF!</definedName>
    <definedName name="JHBGVC_2">#REF!</definedName>
    <definedName name="JHBGVC_3">#REF!</definedName>
    <definedName name="JHBGVC_4">#REF!</definedName>
    <definedName name="JHBGVC_5">#REF!</definedName>
    <definedName name="jhfg">#REF!</definedName>
    <definedName name="jhfg_1">#REF!</definedName>
    <definedName name="jhfg_1_1">#REF!</definedName>
    <definedName name="jhfg_1_2">#REF!</definedName>
    <definedName name="jhfg_1_3">#REF!</definedName>
    <definedName name="jhfg_1_4">#REF!</definedName>
    <definedName name="jhfg_1_5">#REF!</definedName>
    <definedName name="jhfg_2">#REF!</definedName>
    <definedName name="jhfg_3">#REF!</definedName>
    <definedName name="jhfg_4">#REF!</definedName>
    <definedName name="jhfg_5">#REF!</definedName>
    <definedName name="jhiuh" hidden="1">{"'RCIM'!$E$128"}</definedName>
    <definedName name="jim">#REF!</definedName>
    <definedName name="jimmy">#REF!</definedName>
    <definedName name="jjj">#REF!</definedName>
    <definedName name="jjj_1">#REF!</definedName>
    <definedName name="jjj_1_1">#REF!</definedName>
    <definedName name="jjj_1_1_1">#REF!</definedName>
    <definedName name="jjj_1_1_2">#REF!</definedName>
    <definedName name="jjj_1_1_3">#REF!</definedName>
    <definedName name="jjj_1_1_4">#REF!</definedName>
    <definedName name="jjj_1_1_5">#REF!</definedName>
    <definedName name="jjj_1_2">#REF!</definedName>
    <definedName name="jjj_1_3">#REF!</definedName>
    <definedName name="jjj_1_4">#REF!</definedName>
    <definedName name="jjj_1_5">#REF!</definedName>
    <definedName name="jjj_2">#REF!</definedName>
    <definedName name="jjj_2_1">#REF!</definedName>
    <definedName name="jjj_2_2">#REF!</definedName>
    <definedName name="jjj_2_3">#REF!</definedName>
    <definedName name="jjj_2_4">#REF!</definedName>
    <definedName name="jjj_2_5">#REF!</definedName>
    <definedName name="jjj_3">#REF!</definedName>
    <definedName name="jjj_4">#REF!</definedName>
    <definedName name="jjj_5">#REF!</definedName>
    <definedName name="jkhjfghkjfc">#REF!</definedName>
    <definedName name="jkj">#REF!</definedName>
    <definedName name="jkj_1">#REF!</definedName>
    <definedName name="jkj_1_1">#REF!</definedName>
    <definedName name="jkj_1_1_1">#REF!</definedName>
    <definedName name="jkj_1_1_2">#REF!</definedName>
    <definedName name="jkj_1_1_3">#REF!</definedName>
    <definedName name="jkj_1_1_4">#REF!</definedName>
    <definedName name="jkj_1_1_5">#REF!</definedName>
    <definedName name="jkj_1_2">#REF!</definedName>
    <definedName name="jkj_1_3">#REF!</definedName>
    <definedName name="jkj_1_4">#REF!</definedName>
    <definedName name="jkj_1_5">#REF!</definedName>
    <definedName name="jkj_2">#REF!</definedName>
    <definedName name="jkj_2_1">#REF!</definedName>
    <definedName name="jkj_2_2">#REF!</definedName>
    <definedName name="jkj_2_3">#REF!</definedName>
    <definedName name="jkj_2_4">#REF!</definedName>
    <definedName name="jkj_2_5">#REF!</definedName>
    <definedName name="jkj_3">#REF!</definedName>
    <definedName name="jkj_4">#REF!</definedName>
    <definedName name="jkj_5">#REF!</definedName>
    <definedName name="jkyuk">#REF!</definedName>
    <definedName name="jkyuk_1">#REF!</definedName>
    <definedName name="jkyuk_1_1">#REF!</definedName>
    <definedName name="jkyuk_1_2">#REF!</definedName>
    <definedName name="jkyuk_1_3">#REF!</definedName>
    <definedName name="jkyuk_1_4">#REF!</definedName>
    <definedName name="jkyuk_1_5">#REF!</definedName>
    <definedName name="jkyuk_2">#REF!</definedName>
    <definedName name="jkyuk_3">#REF!</definedName>
    <definedName name="jkyuk_4">#REF!</definedName>
    <definedName name="jkyuk_5">#REF!</definedName>
    <definedName name="jllk">#REF!</definedName>
    <definedName name="jllk_1">#REF!</definedName>
    <definedName name="jllk_1_1">#REF!</definedName>
    <definedName name="jllk_1_1_1">#REF!</definedName>
    <definedName name="jllk_1_1_2">#REF!</definedName>
    <definedName name="jllk_1_1_3">#REF!</definedName>
    <definedName name="jllk_1_1_4">#REF!</definedName>
    <definedName name="jllk_1_1_5">#REF!</definedName>
    <definedName name="jllk_1_2">#REF!</definedName>
    <definedName name="jllk_1_3">#REF!</definedName>
    <definedName name="jllk_1_4">#REF!</definedName>
    <definedName name="jllk_1_5">#REF!</definedName>
    <definedName name="jllk_2">#REF!</definedName>
    <definedName name="jllk_2_1">#REF!</definedName>
    <definedName name="jllk_2_2">#REF!</definedName>
    <definedName name="jllk_2_3">#REF!</definedName>
    <definedName name="jllk_2_4">#REF!</definedName>
    <definedName name="jllk_2_5">#REF!</definedName>
    <definedName name="jllk_3">#REF!</definedName>
    <definedName name="jllk_4">#REF!</definedName>
    <definedName name="jllk_5">#REF!</definedName>
    <definedName name="JNPRpublish">#REF!</definedName>
    <definedName name="JobLvl">#REF!</definedName>
    <definedName name="joimnf" hidden="1">{"'RCIM'!$E$128"}</definedName>
    <definedName name="Js">#REF!</definedName>
    <definedName name="jtdy">#REF!</definedName>
    <definedName name="jtdy_1">#REF!</definedName>
    <definedName name="jtdy_1_1">#REF!</definedName>
    <definedName name="jtdy_1_2">#REF!</definedName>
    <definedName name="jtdy_1_3">#REF!</definedName>
    <definedName name="jtdy_1_4">#REF!</definedName>
    <definedName name="jtdy_1_5">#REF!</definedName>
    <definedName name="jtdy_2">#REF!</definedName>
    <definedName name="jtdy_3">#REF!</definedName>
    <definedName name="jtdy_4">#REF!</definedName>
    <definedName name="jtdy_5">#REF!</definedName>
    <definedName name="Julian_Month">#REF!</definedName>
    <definedName name="JUNK">#REF!</definedName>
    <definedName name="Junk_condo">#REF!</definedName>
    <definedName name="JUNK2">#REF!</definedName>
    <definedName name="k">#REF!</definedName>
    <definedName name="kaminami">#REF!</definedName>
    <definedName name="kaminami_1">#REF!</definedName>
    <definedName name="kaminami_1_1">#REF!</definedName>
    <definedName name="kaminami_1_2">#REF!</definedName>
    <definedName name="kaminami_1_3">#REF!</definedName>
    <definedName name="kaminami_1_4">#REF!</definedName>
    <definedName name="kaminami_1_5">#REF!</definedName>
    <definedName name="kaminami_2">#REF!</definedName>
    <definedName name="kaminami_3">#REF!</definedName>
    <definedName name="kaminami_4">#REF!</definedName>
    <definedName name="kaminami_5">#REF!</definedName>
    <definedName name="KIDSMART">#REF!</definedName>
    <definedName name="kjh">#REF!</definedName>
    <definedName name="kjh_1">#REF!</definedName>
    <definedName name="kjh_1_1">#REF!</definedName>
    <definedName name="kjh_1_2">#REF!</definedName>
    <definedName name="kjh_1_3">#REF!</definedName>
    <definedName name="kjh_1_4">#REF!</definedName>
    <definedName name="kjh_1_5">#REF!</definedName>
    <definedName name="kjh_2">#REF!</definedName>
    <definedName name="kjh_3">#REF!</definedName>
    <definedName name="kjh_4">#REF!</definedName>
    <definedName name="kjh_5">#REF!</definedName>
    <definedName name="KJHG">#REF!</definedName>
    <definedName name="KJHG_1">#REF!</definedName>
    <definedName name="KJHG_1_1">#REF!</definedName>
    <definedName name="KJHG_1_2">#REF!</definedName>
    <definedName name="KJHG_1_3">#REF!</definedName>
    <definedName name="KJHG_1_4">#REF!</definedName>
    <definedName name="KJHG_1_5">#REF!</definedName>
    <definedName name="KJHG_2">#REF!</definedName>
    <definedName name="KJHG_3">#REF!</definedName>
    <definedName name="KJHG_4">#REF!</definedName>
    <definedName name="KJHG_5">#REF!</definedName>
    <definedName name="kkk">[7]!kkk</definedName>
    <definedName name="kkkk">#REF!</definedName>
    <definedName name="klklklkl">#REF!</definedName>
    <definedName name="ko">#REF!</definedName>
    <definedName name="krutnh">#REF!</definedName>
    <definedName name="krutnh_1">#REF!</definedName>
    <definedName name="krutnh_1_1">#REF!</definedName>
    <definedName name="krutnh_1_2">#REF!</definedName>
    <definedName name="krutnh_1_3">#REF!</definedName>
    <definedName name="krutnh_1_4">#REF!</definedName>
    <definedName name="krutnh_1_5">#REF!</definedName>
    <definedName name="krutnh_2">#REF!</definedName>
    <definedName name="krutnh_3">#REF!</definedName>
    <definedName name="krutnh_4">#REF!</definedName>
    <definedName name="krutnh_5">#REF!</definedName>
    <definedName name="kw" hidden="1">{"fdsup://Directions/FactSet Auditing Viewer?action=AUDIT_VALUE&amp;DB=129&amp;ID1=03783310&amp;VALUEID=02001&amp;SDATE=2009&amp;PERIODTYPE=ANN_STD&amp;window=popup_no_bar&amp;width=385&amp;height=120&amp;START_MAXIMIZED=FALSE&amp;creator=factset&amp;display_string=Audit"}</definedName>
    <definedName name="l">#REF!</definedName>
    <definedName name="lamp">[7]!lamp</definedName>
    <definedName name="land_file">#REF!</definedName>
    <definedName name="land_rpt">#REF!</definedName>
    <definedName name="land_value">#REF!</definedName>
    <definedName name="Land2">#REF!</definedName>
    <definedName name="LandAV">#REF!</definedName>
    <definedName name="LandAV1">#REF!</definedName>
    <definedName name="LandAV2">#REF!</definedName>
    <definedName name="lank">#REF!</definedName>
    <definedName name="LaundryMonth">#REF!</definedName>
    <definedName name="LaundryYTD">#REF!</definedName>
    <definedName name="Lease_Chart">#REF!</definedName>
    <definedName name="Lease_End">#REF!</definedName>
    <definedName name="lease_up_period">#REF!</definedName>
    <definedName name="Leased">#REF!</definedName>
    <definedName name="leek">#REF!</definedName>
    <definedName name="les">#REF!</definedName>
    <definedName name="LiabilitiesCurrentAccruedLiabilities">0</definedName>
    <definedName name="LiabilitiesCurrentNotesPayable">0</definedName>
    <definedName name="LiabilitiesDeferredIncomeTaxes">0</definedName>
    <definedName name="LiabilitiesOther">0</definedName>
    <definedName name="LiabilitiesUnamortizedInvestmentTaxCredits">0</definedName>
    <definedName name="limcount" hidden="1">1</definedName>
    <definedName name="LineEot">[11]JCF!$A$9:$IV$9</definedName>
    <definedName name="Linking_10">[7]Preview!$B$7:$H$56</definedName>
    <definedName name="Linking_11">[7]QTR2!$B$35:$F$50</definedName>
    <definedName name="Linking_12">[7]QTR2!$B$8:$F$28</definedName>
    <definedName name="Linking_13">[7]Preview!$B$7:$J$56</definedName>
    <definedName name="Linking_16">#REF!</definedName>
    <definedName name="Linking_4">[7]QTR!$B$6:$O$56</definedName>
    <definedName name="Linking_9">#REF!</definedName>
    <definedName name="Linking_Range_67">'[7]Initiation Tables'!$B$3:$K$30</definedName>
    <definedName name="Linking_Range_68">'[7]Initiation Tables'!$B$33:$M$38</definedName>
    <definedName name="Linking_Range_69">'[7]Initiation Tables'!$B$34:$K$38</definedName>
    <definedName name="Linking_Range_70">'[7]Initiation Tables'!$L$46:$U$51</definedName>
    <definedName name="Linking_Range_71">'[7]Initiation Tables'!$AG$138:$AN$143</definedName>
    <definedName name="Linking_Range_72">'[7]Delivery - Unit Economics'!$B$4:$K$13</definedName>
    <definedName name="Linking_Range_73">'[7]Incremental Margins'!$I$45:$EJ$52</definedName>
    <definedName name="Linking_Range_74">#REF!</definedName>
    <definedName name="Linking_Range_81">'[7]Baseline Analysis'!$B$3:$V$54</definedName>
    <definedName name="Linking_Range_82">'[7]Baseline Analysis'!$Q$40:$V$73</definedName>
    <definedName name="Linking_Range_83">#REF!</definedName>
    <definedName name="Linking_Range_85">[7]QTR!$B$7:$O$56</definedName>
    <definedName name="Linking_Range_86">[7]QTR2!$B$8:$H$28</definedName>
    <definedName name="lisahuang">[7]!lisahuang</definedName>
    <definedName name="lkhkgj">#REF!</definedName>
    <definedName name="lkj">#REF!</definedName>
    <definedName name="lkmn">#REF!</definedName>
    <definedName name="lkmn_1">#REF!</definedName>
    <definedName name="lkmn_1_1">#REF!</definedName>
    <definedName name="lkmn_1_2">#REF!</definedName>
    <definedName name="lkmn_1_3">#REF!</definedName>
    <definedName name="lkmn_1_4">#REF!</definedName>
    <definedName name="lkmn_1_5">#REF!</definedName>
    <definedName name="lkmn_2">#REF!</definedName>
    <definedName name="lkmn_3">#REF!</definedName>
    <definedName name="lkmn_4">#REF!</definedName>
    <definedName name="lkmn_5">#REF!</definedName>
    <definedName name="ll">#REF!</definedName>
    <definedName name="llc.Info">#REF!</definedName>
    <definedName name="LLL">#REF!</definedName>
    <definedName name="llll">#REF!</definedName>
    <definedName name="loan_number">#REF!</definedName>
    <definedName name="LoanAmt">#REF!</definedName>
    <definedName name="LoanCnstnt">#REF!</definedName>
    <definedName name="LoanPmt">#REF!</definedName>
    <definedName name="LOC">#REF!</definedName>
    <definedName name="lokm">#REF!</definedName>
    <definedName name="lokm_1">#REF!</definedName>
    <definedName name="lokm_1_1">#REF!</definedName>
    <definedName name="lokm_1_2">#REF!</definedName>
    <definedName name="lokm_1_3">#REF!</definedName>
    <definedName name="lokm_1_4">#REF!</definedName>
    <definedName name="lokm_1_5">#REF!</definedName>
    <definedName name="lokm_2">#REF!</definedName>
    <definedName name="lokm_3">#REF!</definedName>
    <definedName name="lokm_4">#REF!</definedName>
    <definedName name="lokm_5">#REF!</definedName>
    <definedName name="Louvers">#REF!</definedName>
    <definedName name="Louversa">#REF!</definedName>
    <definedName name="Lprice">#REF!</definedName>
    <definedName name="LSaleLU">#REF!</definedName>
    <definedName name="LSalesSumm">#REF!</definedName>
    <definedName name="LseCommNew">#REF!</definedName>
    <definedName name="LseCommRen">#REF!</definedName>
    <definedName name="LseDowntime">#REF!</definedName>
    <definedName name="LseTerm">#REF!</definedName>
    <definedName name="ltv">#REF!</definedName>
    <definedName name="ltvcalc">#REF!</definedName>
    <definedName name="ltvConstr">#REF!</definedName>
    <definedName name="lui">#REF!</definedName>
    <definedName name="m">#REF!</definedName>
    <definedName name="M_PlaceofPath" hidden="1">"F:\CMOTZ\excel\ati\ATI_VDF.XLS"</definedName>
    <definedName name="MACROS">[1]VALUE2_1.XLS!#REF!</definedName>
    <definedName name="MAIN">[1]VALUE2_1.XLS!#REF!</definedName>
    <definedName name="Main_5">#REF!</definedName>
    <definedName name="MaintenanceMonth">#REF!</definedName>
    <definedName name="MaintenanceYTD">#REF!</definedName>
    <definedName name="MAN">#REF!</definedName>
    <definedName name="manager">#REF!</definedName>
    <definedName name="Manufacture_Rank">#REF!</definedName>
    <definedName name="map">#REF!</definedName>
    <definedName name="MapsCo">#REF!</definedName>
    <definedName name="MARGIN">[1]VALUE2_1.XLS!#REF!</definedName>
    <definedName name="Marginal_Tax_Rate">'[14]BS &amp; CFS'!#REF!</definedName>
    <definedName name="Market">#REF!</definedName>
    <definedName name="marketadjustment">#REF!</definedName>
    <definedName name="marketing_cost">#REF!</definedName>
    <definedName name="Master">#REF!</definedName>
    <definedName name="Master_1">#REF!</definedName>
    <definedName name="Master_1_1">#REF!</definedName>
    <definedName name="Master_1_2">#REF!</definedName>
    <definedName name="Master_1_3">#REF!</definedName>
    <definedName name="Master_1_4">#REF!</definedName>
    <definedName name="Master_1_5">#REF!</definedName>
    <definedName name="Master_2">#REF!</definedName>
    <definedName name="Master_3">#REF!</definedName>
    <definedName name="Master_4">#REF!</definedName>
    <definedName name="Master_5">#REF!</definedName>
    <definedName name="Mauritius">#REF!</definedName>
    <definedName name="max">#REF!</definedName>
    <definedName name="max_1">#REF!</definedName>
    <definedName name="max_1_1">#REF!</definedName>
    <definedName name="max_1_2">#REF!</definedName>
    <definedName name="max_1_3">#REF!</definedName>
    <definedName name="max_1_4">#REF!</definedName>
    <definedName name="max_1_5">#REF!</definedName>
    <definedName name="max_2">#REF!</definedName>
    <definedName name="max_3">#REF!</definedName>
    <definedName name="max_4">#REF!</definedName>
    <definedName name="max_5">#REF!</definedName>
    <definedName name="MBASE">[1]VALUE2_1.XLS!#REF!</definedName>
    <definedName name="MCASHTAX">[1]VALUE2_1.XLS!#REF!</definedName>
    <definedName name="MCOGS">[1]VALUE2_1.XLS!#REF!</definedName>
    <definedName name="MCONSTANT">[1]VALUE2_1.XLS!#REF!</definedName>
    <definedName name="MCOST_CAP">[1]VALUE2_1.XLS!#REF!</definedName>
    <definedName name="MDATA_FILE">[1]VALUE2_1.XLS!#REF!</definedName>
    <definedName name="MDEPRECIATION">[1]VALUE2_1.XLS!#REF!</definedName>
    <definedName name="METH_HOSPITAL">#REF!</definedName>
    <definedName name="MFORECAST">[1]VALUE2_1.XLS!#REF!</definedName>
    <definedName name="mfpoerjf" hidden="1">{"'RCIM'!$E$128"}</definedName>
    <definedName name="Mgmt">#REF!</definedName>
    <definedName name="MGOTO">[1]VALUE2_1.XLS!#REF!</definedName>
    <definedName name="MGRATIOS">[1]VALUE2_1.XLS!#REF!</definedName>
    <definedName name="MGROWTH">[1]VALUE2_1.XLS!#REF!</definedName>
    <definedName name="MHELP">[1]VALUE2_1.XLS!#REF!</definedName>
    <definedName name="MHIST_RATIOS">[1]VALUE2_1.XLS!#REF!</definedName>
    <definedName name="MHISTORICAL">[1]VALUE2_1.XLS!#REF!</definedName>
    <definedName name="MINCREASED">[1]VALUE2_1.XLS!#REF!</definedName>
    <definedName name="MINETOTHER">[1]VALUE2_1.XLS!#REF!</definedName>
    <definedName name="MINETPPE">[1]VALUE2_1.XLS!#REF!</definedName>
    <definedName name="MINIT">[1]VALUE2_1.XLS!#REF!</definedName>
    <definedName name="MINPUT">[1]VALUE2_1.XLS!#REF!</definedName>
    <definedName name="MINTENSITY">[1]VALUE2_1.XLS!#REF!</definedName>
    <definedName name="MINVESTMENT">[1]VALUE2_1.XLS!#REF!</definedName>
    <definedName name="MINVESTYEARS">[1]VALUE2_1.XLS!#REF!</definedName>
    <definedName name="Misc">#REF!</definedName>
    <definedName name="misc2">1</definedName>
    <definedName name="MIWORKING">[1]VALUE2_1.XLS!#REF!</definedName>
    <definedName name="MKT_COMP">[1]VALUE2_1.XLS!#REF!</definedName>
    <definedName name="Mkt_Rnt_PSF">#REF!</definedName>
    <definedName name="MktCondAdj">#REF!</definedName>
    <definedName name="MktCondAdjLand">#REF!</definedName>
    <definedName name="MktRent">#REF!</definedName>
    <definedName name="MMAIN">[1]VALUE2_1.XLS!#REF!</definedName>
    <definedName name="MMARGIN">[1]VALUE2_1.XLS!#REF!</definedName>
    <definedName name="mmm">#REF!</definedName>
    <definedName name="mmmmmmmm">#REF!</definedName>
    <definedName name="MNETPPE">[1]VALUE2_1.XLS!#REF!</definedName>
    <definedName name="MNOPLAT">[1]VALUE2_1.XLS!#REF!</definedName>
    <definedName name="Mo_Mkt_Rent">#REF!</definedName>
    <definedName name="MobileExpense">#REF!</definedName>
    <definedName name="Model">#REF!</definedName>
    <definedName name="model_case">1</definedName>
    <definedName name="Model_Year">#REF!</definedName>
    <definedName name="MOGOTO">[1]VALUE2_1.XLS!#REF!</definedName>
    <definedName name="mois">#REF!</definedName>
    <definedName name="Month_Collections">#REF!</definedName>
    <definedName name="Monthly_Swap_Test_Diff">#REF!</definedName>
    <definedName name="MOO">#REF!</definedName>
    <definedName name="MOO_1">#REF!</definedName>
    <definedName name="MOO_1_1">#REF!</definedName>
    <definedName name="MOO_1_2">#REF!</definedName>
    <definedName name="MOO_1_3">#REF!</definedName>
    <definedName name="MOO_1_4">#REF!</definedName>
    <definedName name="MOO_1_5">#REF!</definedName>
    <definedName name="MOO_2">#REF!</definedName>
    <definedName name="MOO_3">#REF!</definedName>
    <definedName name="MOO_4">#REF!</definedName>
    <definedName name="MOO_5">#REF!</definedName>
    <definedName name="MOTHER">[1]VALUE2_1.XLS!#REF!</definedName>
    <definedName name="MOW">#REF!</definedName>
    <definedName name="MOW_1">#REF!</definedName>
    <definedName name="MOW_1_1">#REF!</definedName>
    <definedName name="MOW_1_2">#REF!</definedName>
    <definedName name="MOW_1_3">#REF!</definedName>
    <definedName name="MOW_1_4">#REF!</definedName>
    <definedName name="MOW_1_5">#REF!</definedName>
    <definedName name="MOW_2">#REF!</definedName>
    <definedName name="MOW_3">#REF!</definedName>
    <definedName name="MOW_4">#REF!</definedName>
    <definedName name="MOW_5">#REF!</definedName>
    <definedName name="MPREROIC">[1]VALUE2_1.XLS!#REF!</definedName>
    <definedName name="MPRI">#REF!</definedName>
    <definedName name="MPRINT">[1]VALUE2_1.XLS!#REF!</definedName>
    <definedName name="MR">#REF!</definedName>
    <definedName name="MROIC">[1]VALUE2_1.XLS!#REF!</definedName>
    <definedName name="MROICYEARS">[1]VALUE2_1.XLS!#REF!</definedName>
    <definedName name="MRTREE">[1]VALUE2_1.XLS!#REF!</definedName>
    <definedName name="MS">[1]VALUE2_1.XLS!#REF!</definedName>
    <definedName name="MSG_A">[1]VALUE2_1.XLS!#REF!</definedName>
    <definedName name="MTREE_INVEST">[1]VALUE2_1.XLS!#REF!</definedName>
    <definedName name="MTURNOVER">[1]VALUE2_1.XLS!#REF!</definedName>
    <definedName name="muhsnr">#REF!</definedName>
    <definedName name="muhsnr_1">#REF!</definedName>
    <definedName name="muhsnr_1_1">#REF!</definedName>
    <definedName name="muhsnr_1_2">#REF!</definedName>
    <definedName name="muhsnr_1_3">#REF!</definedName>
    <definedName name="muhsnr_1_4">#REF!</definedName>
    <definedName name="muhsnr_1_5">#REF!</definedName>
    <definedName name="muhsnr_2">#REF!</definedName>
    <definedName name="muhsnr_3">#REF!</definedName>
    <definedName name="muhsnr_4">#REF!</definedName>
    <definedName name="muhsnr_5">#REF!</definedName>
    <definedName name="MultArea">#REF!</definedName>
    <definedName name="MultCur">#REF!</definedName>
    <definedName name="Multiple">[9]DCF!$J$8</definedName>
    <definedName name="MultLoc">#REF!</definedName>
    <definedName name="MVALUE">[1]VALUE2_1.XLS!#REF!</definedName>
    <definedName name="mvropemld" hidden="1">{"'RCIM'!$E$128"}</definedName>
    <definedName name="MWACC">[1]VALUE2_1.XLS!#REF!</definedName>
    <definedName name="MWINDOW">[1]VALUE2_1.XLS!#REF!</definedName>
    <definedName name="MWORKING">[1]VALUE2_1.XLS!#REF!</definedName>
    <definedName name="mynameis">[7]!mynameis</definedName>
    <definedName name="n">#REF!</definedName>
    <definedName name="NA">#REF!</definedName>
    <definedName name="NADA_Value___Average">#REF!</definedName>
    <definedName name="NADA_Value___Product">#REF!</definedName>
    <definedName name="NADA_Value___Rough">#REF!</definedName>
    <definedName name="NAME">#REF!</definedName>
    <definedName name="Name1">#REF!</definedName>
    <definedName name="name3">#REF!</definedName>
    <definedName name="nameconf1">#REF!</definedName>
    <definedName name="NameFirst">#REF!</definedName>
    <definedName name="NameLast">#REF!</definedName>
    <definedName name="NamePosition">#REF!</definedName>
    <definedName name="NameTitle">#REF!</definedName>
    <definedName name="nb">#REF!</definedName>
    <definedName name="nblgjk">#REF!</definedName>
    <definedName name="NBV">#REF!</definedName>
    <definedName name="NBV_1">#REF!</definedName>
    <definedName name="NBV_1_1">#REF!</definedName>
    <definedName name="NBV_1_2">#REF!</definedName>
    <definedName name="NBV_1_3">#REF!</definedName>
    <definedName name="NBV_1_4">#REF!</definedName>
    <definedName name="NBV_1_5">#REF!</definedName>
    <definedName name="NBV_2">#REF!</definedName>
    <definedName name="NBV_3">#REF!</definedName>
    <definedName name="NBV_4">#REF!</definedName>
    <definedName name="NBV_5">#REF!</definedName>
    <definedName name="ncowe" hidden="1">{"'RCIM'!$E$128"}</definedName>
    <definedName name="Net_PPE_etc_Revenues">'[14]BS &amp; CFS'!#REF!</definedName>
    <definedName name="NETPPE">[1]VALUE2_1.XLS!#REF!</definedName>
    <definedName name="new">#REF!</definedName>
    <definedName name="new_1">#REF!</definedName>
    <definedName name="newer">#REF!</definedName>
    <definedName name="newer_1">#REF!</definedName>
    <definedName name="newer_1_1">#REF!</definedName>
    <definedName name="newer_1_2">#REF!</definedName>
    <definedName name="newer_1_3">#REF!</definedName>
    <definedName name="newer_1_4">#REF!</definedName>
    <definedName name="newer_1_5">#REF!</definedName>
    <definedName name="newer_2">#REF!</definedName>
    <definedName name="newer_3">#REF!</definedName>
    <definedName name="newer_4">#REF!</definedName>
    <definedName name="newer_5">#REF!</definedName>
    <definedName name="newers">#REF!</definedName>
    <definedName name="newers_1">#REF!</definedName>
    <definedName name="newers_1_1">#REF!</definedName>
    <definedName name="newers_1_2">#REF!</definedName>
    <definedName name="newers_1_3">#REF!</definedName>
    <definedName name="newers_1_4">#REF!</definedName>
    <definedName name="newers_1_5">#REF!</definedName>
    <definedName name="newers_2">#REF!</definedName>
    <definedName name="newers_3">#REF!</definedName>
    <definedName name="newers_4">#REF!</definedName>
    <definedName name="newers_5">#REF!</definedName>
    <definedName name="newpdt">#REF!</definedName>
    <definedName name="newstuff">[7]!newstuff</definedName>
    <definedName name="njhteg">#REF!</definedName>
    <definedName name="njhteg_1">#REF!</definedName>
    <definedName name="njhteg_1_1">#REF!</definedName>
    <definedName name="njhteg_1_2">#REF!</definedName>
    <definedName name="njhteg_1_3">#REF!</definedName>
    <definedName name="njhteg_1_4">#REF!</definedName>
    <definedName name="njhteg_1_5">#REF!</definedName>
    <definedName name="njhteg_2">#REF!</definedName>
    <definedName name="njhteg_3">#REF!</definedName>
    <definedName name="njhteg_4">#REF!</definedName>
    <definedName name="njhteg_5">#REF!</definedName>
    <definedName name="NLGEUR">2.20371</definedName>
    <definedName name="nmbv">#REF!</definedName>
    <definedName name="nmbv_1">#REF!</definedName>
    <definedName name="nmbv_1_1">#REF!</definedName>
    <definedName name="nmbv_1_2">#REF!</definedName>
    <definedName name="nmbv_1_3">#REF!</definedName>
    <definedName name="nmbv_1_4">#REF!</definedName>
    <definedName name="nmbv_1_5">#REF!</definedName>
    <definedName name="nmbv_2">#REF!</definedName>
    <definedName name="nmbv_3">#REF!</definedName>
    <definedName name="nmbv_4">#REF!</definedName>
    <definedName name="nmbv_5">#REF!</definedName>
    <definedName name="nmnmm">#REF!</definedName>
    <definedName name="nmnmm1">#REF!</definedName>
    <definedName name="NOI">#REF!</definedName>
    <definedName name="NOI_Unit">#REF!</definedName>
    <definedName name="noidea">#REF!</definedName>
    <definedName name="noidea_1">#REF!</definedName>
    <definedName name="noidea_1_1">#REF!</definedName>
    <definedName name="noidea_1_2">#REF!</definedName>
    <definedName name="noidea_1_3">#REF!</definedName>
    <definedName name="noidea_1_4">#REF!</definedName>
    <definedName name="noidea_1_5">#REF!</definedName>
    <definedName name="noidea_2">#REF!</definedName>
    <definedName name="noidea_3">#REF!</definedName>
    <definedName name="noidea_4">#REF!</definedName>
    <definedName name="noidea_5">#REF!</definedName>
    <definedName name="NOIDEA2">#REF!</definedName>
    <definedName name="NOIDEA2_1">#REF!</definedName>
    <definedName name="NOIDEA2_1_1">#REF!</definedName>
    <definedName name="NOIDEA2_1_2">#REF!</definedName>
    <definedName name="NOIDEA2_1_3">#REF!</definedName>
    <definedName name="NOIDEA2_1_4">#REF!</definedName>
    <definedName name="NOIDEA2_1_5">#REF!</definedName>
    <definedName name="NOIDEA2_2">#REF!</definedName>
    <definedName name="NOIDEA2_3">#REF!</definedName>
    <definedName name="NOIDEA2_4">#REF!</definedName>
    <definedName name="NOIDEA2_5">#REF!</definedName>
    <definedName name="NOISF">#REF!</definedName>
    <definedName name="NOISFAvg">#REF!</definedName>
    <definedName name="NOISFGrid">#REF!</definedName>
    <definedName name="NOISFMax">#REF!</definedName>
    <definedName name="NOISFMin">#REF!</definedName>
    <definedName name="NOIUnit">#REF!</definedName>
    <definedName name="nol">#REF!</definedName>
    <definedName name="nol_1">#REF!</definedName>
    <definedName name="nol_1_1">#REF!</definedName>
    <definedName name="nol_1_2">#REF!</definedName>
    <definedName name="nol_1_3">#REF!</definedName>
    <definedName name="nol_1_4">#REF!</definedName>
    <definedName name="nol_1_5">#REF!</definedName>
    <definedName name="nol_2">#REF!</definedName>
    <definedName name="nol_3">#REF!</definedName>
    <definedName name="nol_4">#REF!</definedName>
    <definedName name="nol_5">#REF!</definedName>
    <definedName name="none">#REF!</definedName>
    <definedName name="Normalized_Income_Statement">"IS_Annual"</definedName>
    <definedName name="Not_Toyota_Manufacture_Flag">#REF!</definedName>
    <definedName name="Notes">#REF!</definedName>
    <definedName name="Now">#REF!</definedName>
    <definedName name="NRI">#REF!</definedName>
    <definedName name="NTRO">#REF!</definedName>
    <definedName name="Number_of_Shares_Avg">'[14]BS &amp; CFS'!#REF!</definedName>
    <definedName name="NumberArea">#REF!</definedName>
    <definedName name="NvsASD">"V2000-09-08"</definedName>
    <definedName name="NvsAutoDrillOk">"VN"</definedName>
    <definedName name="NvsElapsedTime">0.000234143517445773</definedName>
    <definedName name="NvsEndTime">36707.2948738426</definedName>
    <definedName name="NvsInstSpec">"%,FMI_ALT_BU,TCA_ALTBU_CORPS,NCONSOLIDATING"</definedName>
    <definedName name="NvsLayoutType">"M3"</definedName>
    <definedName name="NvsNplSpec">"%,X,RZF..,CZF.."</definedName>
    <definedName name="NvsPanelEffdt">"V9999-01-01"</definedName>
    <definedName name="NvsPanelSetid">"VMIDIV"</definedName>
    <definedName name="NvsReqBU">"V52"</definedName>
    <definedName name="NvsReqBUOnly">"VN"</definedName>
    <definedName name="NvsTransLed">"VN"</definedName>
    <definedName name="NvsTreeASD">"V2000-09-08"</definedName>
    <definedName name="NvsValTbl.PRODUCT">"MI_GL_PRODCT_VW"</definedName>
    <definedName name="NW">#REF!</definedName>
    <definedName name="o_case">[18]Control!$E$9</definedName>
    <definedName name="Occup">#REF!</definedName>
    <definedName name="OccupCompAvg">#REF!</definedName>
    <definedName name="OccupCompMax">#REF!</definedName>
    <definedName name="OccupCompMin">#REF!</definedName>
    <definedName name="OER">#REF!</definedName>
    <definedName name="ohjn">#REF!</definedName>
    <definedName name="ohjn_1">#REF!</definedName>
    <definedName name="ohjn_1_1">#REF!</definedName>
    <definedName name="ohjn_1_2">#REF!</definedName>
    <definedName name="ohjn_1_3">#REF!</definedName>
    <definedName name="ohjn_1_4">#REF!</definedName>
    <definedName name="ohjn_1_5">#REF!</definedName>
    <definedName name="ohjn_2">#REF!</definedName>
    <definedName name="ohjn_3">#REF!</definedName>
    <definedName name="ohjn_4">#REF!</definedName>
    <definedName name="ohjn_5">#REF!</definedName>
    <definedName name="oiu">#REF!</definedName>
    <definedName name="OIUYT">#REF!</definedName>
    <definedName name="OIUYT_1">#REF!</definedName>
    <definedName name="OIUYT_1_1">#REF!</definedName>
    <definedName name="OIUYT_1_2">#REF!</definedName>
    <definedName name="OIUYT_1_3">#REF!</definedName>
    <definedName name="OIUYT_1_4">#REF!</definedName>
    <definedName name="OIUYT_1_5">#REF!</definedName>
    <definedName name="OIUYT_2">#REF!</definedName>
    <definedName name="OIUYT_3">#REF!</definedName>
    <definedName name="OIUYT_4">#REF!</definedName>
    <definedName name="OIUYT_5">#REF!</definedName>
    <definedName name="OKAY">#REF!</definedName>
    <definedName name="okkkkk">#REF!</definedName>
    <definedName name="old">#REF!</definedName>
    <definedName name="old_1">#REF!</definedName>
    <definedName name="old_1_1">#REF!</definedName>
    <definedName name="old_1_2">#REF!</definedName>
    <definedName name="old_1_3">#REF!</definedName>
    <definedName name="old_1_4">#REF!</definedName>
    <definedName name="old_1_5">#REF!</definedName>
    <definedName name="old_2">#REF!</definedName>
    <definedName name="old_3">#REF!</definedName>
    <definedName name="old_4">#REF!</definedName>
    <definedName name="old_5">#REF!</definedName>
    <definedName name="oldstuff">[7]!oldstuff</definedName>
    <definedName name="on">#REF!</definedName>
    <definedName name="one">#REF!</definedName>
    <definedName name="OneBRData">#REF!</definedName>
    <definedName name="OneBRRents">#REF!</definedName>
    <definedName name="oo">#REF!</definedName>
    <definedName name="OpDataMos">#REF!</definedName>
    <definedName name="Open_Market_Value">#REF!</definedName>
    <definedName name="operating_losses">#REF!</definedName>
    <definedName name="OperMargin">'[14]BS &amp; CFS'!#REF!</definedName>
    <definedName name="OpExAmortization">0</definedName>
    <definedName name="OpExBeforeDepreciationAmortizationExtraordinariesOther">0</definedName>
    <definedName name="OpExBeforeDepreciationAmortizationExtraordinariesTotal">0</definedName>
    <definedName name="OpExCostOfEquipment">0</definedName>
    <definedName name="OpExDepreciation">0</definedName>
    <definedName name="OpExGeneralAdministrative">0</definedName>
    <definedName name="OpExSellingMarketing">0</definedName>
    <definedName name="OpExTotal">0</definedName>
    <definedName name="OpHistory">#REF!</definedName>
    <definedName name="opiuyt">#REF!</definedName>
    <definedName name="orange">#REF!</definedName>
    <definedName name="OrgGrth">#REF!</definedName>
    <definedName name="Original_Term__weeks">#REF!</definedName>
    <definedName name="Origination_Date">#REF!</definedName>
    <definedName name="OTHER">#REF!</definedName>
    <definedName name="Other_Non_Interest_Liabilities_Revenues">'[14]BS &amp; CFS'!#REF!</definedName>
    <definedName name="other1590">#REF!</definedName>
    <definedName name="OtherExEquityIncome">0</definedName>
    <definedName name="OtherExGainOnSale">0</definedName>
    <definedName name="OtherExInterestIncome">0</definedName>
    <definedName name="OtherExMinorityInterest">0</definedName>
    <definedName name="OtherExTotal">0</definedName>
    <definedName name="others">#REF!</definedName>
    <definedName name="others_1">#REF!</definedName>
    <definedName name="others_1_1">#REF!</definedName>
    <definedName name="others_1_2">#REF!</definedName>
    <definedName name="others_1_3">#REF!</definedName>
    <definedName name="others_1_4">#REF!</definedName>
    <definedName name="others_1_5">#REF!</definedName>
    <definedName name="others_2">#REF!</definedName>
    <definedName name="others_3">#REF!</definedName>
    <definedName name="others_4">#REF!</definedName>
    <definedName name="others_5">#REF!</definedName>
    <definedName name="p">#REF!</definedName>
    <definedName name="PACIFIC_RICE">#REF!</definedName>
    <definedName name="ParcelNo">#REF!</definedName>
    <definedName name="ParkingReq">#REF!</definedName>
    <definedName name="ParkingSur">#REF!</definedName>
    <definedName name="PBASE">[1]VALUE2_1.XLS!#REF!</definedName>
    <definedName name="PCASHTAX">[1]VALUE2_1.XLS!#REF!</definedName>
    <definedName name="PCOGS">[1]VALUE2_1.XLS!#REF!</definedName>
    <definedName name="PCONSTANT">[1]VALUE2_1.XLS!#REF!</definedName>
    <definedName name="Pdate">35902</definedName>
    <definedName name="PDEPRECIATION">[1]VALUE2_1.XLS!#REF!</definedName>
    <definedName name="PEC">by [19]techno!$C$33:$N$90</definedName>
    <definedName name="Pel">#REF!</definedName>
    <definedName name="perc">{"0.85","0.875","0.9","0.925","0.95","0.975","1","1.025","1.05","1.075","1.1","1.125","1.15"}</definedName>
    <definedName name="percent_soft_cost">#REF!</definedName>
    <definedName name="Perf">#REF!</definedName>
    <definedName name="Period1">#REF!</definedName>
    <definedName name="Period10">#REF!</definedName>
    <definedName name="Period11">#REF!</definedName>
    <definedName name="Period12">#REF!</definedName>
    <definedName name="Period13">#REF!</definedName>
    <definedName name="Period14">#REF!</definedName>
    <definedName name="Period15">#REF!</definedName>
    <definedName name="Period16">#REF!</definedName>
    <definedName name="Period17">#REF!</definedName>
    <definedName name="Period18">#REF!</definedName>
    <definedName name="Period19">#REF!</definedName>
    <definedName name="Period2">#REF!</definedName>
    <definedName name="Period20">#REF!</definedName>
    <definedName name="Period21">#REF!</definedName>
    <definedName name="Period22">#REF!</definedName>
    <definedName name="Period23">#REF!</definedName>
    <definedName name="Period24">#REF!</definedName>
    <definedName name="Period25">#REF!</definedName>
    <definedName name="Period26">#REF!</definedName>
    <definedName name="Period27">#REF!</definedName>
    <definedName name="Period28">#REF!</definedName>
    <definedName name="Period29">#REF!</definedName>
    <definedName name="Period3">#REF!</definedName>
    <definedName name="Period30">#REF!</definedName>
    <definedName name="Period31">#REF!</definedName>
    <definedName name="Period32">#REF!</definedName>
    <definedName name="Period33">#REF!</definedName>
    <definedName name="Period34">#REF!</definedName>
    <definedName name="Period35">#REF!</definedName>
    <definedName name="Period36">#REF!</definedName>
    <definedName name="Period37">#REF!</definedName>
    <definedName name="Period38">#REF!</definedName>
    <definedName name="Period39">#REF!</definedName>
    <definedName name="Period4">#REF!</definedName>
    <definedName name="Period40">#REF!</definedName>
    <definedName name="Period41">#REF!</definedName>
    <definedName name="Period42">#REF!</definedName>
    <definedName name="Period43">#REF!</definedName>
    <definedName name="Period44">#REF!</definedName>
    <definedName name="Period45">#REF!</definedName>
    <definedName name="Period46">#REF!</definedName>
    <definedName name="Period47">#REF!</definedName>
    <definedName name="Period48">#REF!</definedName>
    <definedName name="Period5">#REF!</definedName>
    <definedName name="Period6">#REF!</definedName>
    <definedName name="Period7">#REF!</definedName>
    <definedName name="Period8">#REF!</definedName>
    <definedName name="Period9">#REF!</definedName>
    <definedName name="pes">#REF!</definedName>
    <definedName name="pete">#REF!</definedName>
    <definedName name="pete_1">#REF!</definedName>
    <definedName name="pete_1_1">#REF!</definedName>
    <definedName name="pete_1_2">#REF!</definedName>
    <definedName name="pete_1_3">#REF!</definedName>
    <definedName name="pete_1_4">#REF!</definedName>
    <definedName name="pete_1_5">#REF!</definedName>
    <definedName name="pete_2">#REF!</definedName>
    <definedName name="pete_3">#REF!</definedName>
    <definedName name="pete_4">#REF!</definedName>
    <definedName name="pete_5">#REF!</definedName>
    <definedName name="PftCost">#REF!</definedName>
    <definedName name="PftPct">#REF!</definedName>
    <definedName name="PGI">#REF!</definedName>
    <definedName name="PGISF">#REF!</definedName>
    <definedName name="PGIUnit">#REF!</definedName>
    <definedName name="PGROWTH">[1]VALUE2_1.XLS!#REF!</definedName>
    <definedName name="PHISTORICAL">[1]VALUE2_1.XLS!#REF!</definedName>
    <definedName name="phone">[7]!phone</definedName>
    <definedName name="physical_curable">#REF!</definedName>
    <definedName name="physical_depreciation">#REF!</definedName>
    <definedName name="physical_incurable">#REF!</definedName>
    <definedName name="physical_longlife">#REF!</definedName>
    <definedName name="pier90">#REF!</definedName>
    <definedName name="pii">#REF!</definedName>
    <definedName name="PINCREASED">[1]VALUE2_1.XLS!#REF!</definedName>
    <definedName name="PINETOTHER">[1]VALUE2_1.XLS!#REF!</definedName>
    <definedName name="PINETPPE">[1]VALUE2_1.XLS!#REF!</definedName>
    <definedName name="PINTENSITY">[1]VALUE2_1.XLS!#REF!</definedName>
    <definedName name="PINVESTMENT">[1]VALUE2_1.XLS!#REF!</definedName>
    <definedName name="PINVESTYEARS">[1]VALUE2_1.XLS!#REF!</definedName>
    <definedName name="pio">#REF!</definedName>
    <definedName name="PIONEER_TIRE">#REF!</definedName>
    <definedName name="PIWORKING">[1]VALUE2_1.XLS!#REF!</definedName>
    <definedName name="pky">#REF!</definedName>
    <definedName name="pl">#REF!</definedName>
    <definedName name="Plan_info_FooterType" hidden="1">"INTERNAL"</definedName>
    <definedName name="platform">#REF!</definedName>
    <definedName name="platforma">#REF!</definedName>
    <definedName name="please">#REF!</definedName>
    <definedName name="pm">#REF!</definedName>
    <definedName name="PMARGIN">[1]VALUE2_1.XLS!#REF!</definedName>
    <definedName name="PNETPPE">[1]VALUE2_1.XLS!#REF!</definedName>
    <definedName name="PNOPLAT">[1]VALUE2_1.XLS!#REF!</definedName>
    <definedName name="po">#REF!</definedName>
    <definedName name="po_1">#REF!</definedName>
    <definedName name="po_1_1">#REF!</definedName>
    <definedName name="po_1_1_1">#REF!</definedName>
    <definedName name="po_1_1_2">#REF!</definedName>
    <definedName name="po_1_1_3">#REF!</definedName>
    <definedName name="po_1_1_4">#REF!</definedName>
    <definedName name="po_1_1_5">#REF!</definedName>
    <definedName name="po_1_2">#REF!</definedName>
    <definedName name="po_1_3">#REF!</definedName>
    <definedName name="po_1_4">#REF!</definedName>
    <definedName name="po_1_5">#REF!</definedName>
    <definedName name="po_2">#REF!</definedName>
    <definedName name="po_2_1">#REF!</definedName>
    <definedName name="po_2_2">#REF!</definedName>
    <definedName name="po_2_3">#REF!</definedName>
    <definedName name="po_2_4">#REF!</definedName>
    <definedName name="po_2_5">#REF!</definedName>
    <definedName name="po_3">#REF!</definedName>
    <definedName name="po_4">#REF!</definedName>
    <definedName name="po_5">#REF!</definedName>
    <definedName name="poiu">#REF!</definedName>
    <definedName name="poiu_1">#REF!</definedName>
    <definedName name="poiu_1_1">#REF!</definedName>
    <definedName name="poiu_1_2">#REF!</definedName>
    <definedName name="poiu_1_3">#REF!</definedName>
    <definedName name="poiu_1_4">#REF!</definedName>
    <definedName name="poiu_1_5">#REF!</definedName>
    <definedName name="poiu_2">#REF!</definedName>
    <definedName name="poiu_3">#REF!</definedName>
    <definedName name="poiu_4">#REF!</definedName>
    <definedName name="poiu_5">#REF!</definedName>
    <definedName name="pooling_Premium">25%</definedName>
    <definedName name="Potential_Days_on_Road">#REF!</definedName>
    <definedName name="Potential_Earnings">#REF!</definedName>
    <definedName name="POTHER">[1]VALUE2_1.XLS!#REF!</definedName>
    <definedName name="pou">#REF!</definedName>
    <definedName name="PP">#REF!</definedName>
    <definedName name="pppppppppppppppppppppppppppppppppppp">#REF!</definedName>
    <definedName name="PPREROIC">[1]VALUE2_1.XLS!#REF!</definedName>
    <definedName name="Preferred_Dividends">'[14]BS &amp; CFS'!#REF!</definedName>
    <definedName name="PREROIC">[1]VALUE2_1.XLS!#REF!</definedName>
    <definedName name="Pres">#REF!</definedName>
    <definedName name="Pres_1">#REF!</definedName>
    <definedName name="Pres_1_1">#REF!</definedName>
    <definedName name="Pres_1_2">#REF!</definedName>
    <definedName name="Pres_1_3">#REF!</definedName>
    <definedName name="Pres_1_4">#REF!</definedName>
    <definedName name="Pres_1_5">#REF!</definedName>
    <definedName name="Pres_2">#REF!</definedName>
    <definedName name="Pres_3">#REF!</definedName>
    <definedName name="Pres_4">#REF!</definedName>
    <definedName name="Pres_5">#REF!</definedName>
    <definedName name="PresentationNormalA4">#REF!</definedName>
    <definedName name="PreTaxROICinclGoodwill">'[14]BS &amp; CFS'!#REF!</definedName>
    <definedName name="Prev_Age_at_Purchase">#REF!</definedName>
    <definedName name="Prev_ARF_at_Purchase">#REF!</definedName>
    <definedName name="Prev_ARF_Var">#REF!</definedName>
    <definedName name="Prev_Asset_Value_Var">#REF!</definedName>
    <definedName name="Prev_Billed_Earnings">#REF!</definedName>
    <definedName name="Prev_Book_Metal_Value_at_Purchase">#REF!</definedName>
    <definedName name="Prev_Casualty_Flag">#REF!</definedName>
    <definedName name="Prev_COE_at_Purchase">#REF!</definedName>
    <definedName name="Prev_COE_Expiry_Date">#REF!</definedName>
    <definedName name="Prev_Current_Age">#REF!</definedName>
    <definedName name="Prev_Current_Borrowing_Base">#REF!</definedName>
    <definedName name="Prev_Current_Status">#REF!</definedName>
    <definedName name="Prev_Daily_Rate">#REF!</definedName>
    <definedName name="Prev_Engine_Capacity">#REF!</definedName>
    <definedName name="Prev_Engine_No">#REF!</definedName>
    <definedName name="Prev_GS_Capitalized_Cost">#REF!</definedName>
    <definedName name="Prev_GS_Capitalized_Cost_at_Purchase_over_65K">#REF!</definedName>
    <definedName name="Prev_GS_Car_GT_10_Year_Old">#REF!</definedName>
    <definedName name="Prev_GS_Casualty">#REF!</definedName>
    <definedName name="Prev_GS_Current_ARF_Dep_Pct">#REF!</definedName>
    <definedName name="Prev_GS_Current_ARF_Value">#REF!</definedName>
    <definedName name="Prev_GS_Depreciation_Value">#REF!</definedName>
    <definedName name="Prev_GS_IG_Manufacturer">#REF!</definedName>
    <definedName name="Prev_GS_Initial_COE_Value_Over_150">#REF!</definedName>
    <definedName name="Prev_GS_Manufacturer_Rank">#REF!</definedName>
    <definedName name="Prev_GS_Non_IG_Manuf_Rank">#REF!</definedName>
    <definedName name="Prev_GS_Off_Peak">#REF!</definedName>
    <definedName name="Prev_Hourly_vs._Weekly_Rental">#REF!</definedName>
    <definedName name="Prev_Initial_ARF_Value">#REF!</definedName>
    <definedName name="Prev_Initial_COE_Value">#REF!</definedName>
    <definedName name="Prev_Off_Peak_Flag">#REF!</definedName>
    <definedName name="Prev_Open_Market_Value">#REF!</definedName>
    <definedName name="Prev_Potential_Earnings">#REF!</definedName>
    <definedName name="Prev_Propellant">#REF!</definedName>
    <definedName name="Prev_Purchased_Date">#REF!</definedName>
    <definedName name="Prev_Purchased_Price">#REF!</definedName>
    <definedName name="Prev_Registered_Owner">#REF!</definedName>
    <definedName name="Prev_Registration_Date">#REF!</definedName>
    <definedName name="Prev_Salvage">#REF!</definedName>
    <definedName name="Prev_Transmission">#REF!</definedName>
    <definedName name="Prev_Utilization">#REF!</definedName>
    <definedName name="Prev_Vehicle_Color">#REF!</definedName>
    <definedName name="Prev_Vehicle_ID">#REF!</definedName>
    <definedName name="Prev_Vehicle_Make">#REF!</definedName>
    <definedName name="Prev_Vehicle_Model">#REF!</definedName>
    <definedName name="Prev_Vehicle_No">#REF!</definedName>
    <definedName name="Prev_Vehicle_Scheme">#REF!</definedName>
    <definedName name="Prev_Vehicle_Type">#REF!</definedName>
    <definedName name="Prev_Weekly_Rate">#REF!</definedName>
    <definedName name="price_date">36098</definedName>
    <definedName name="principal">#REF!</definedName>
    <definedName name="principal_and_interest">#REF!</definedName>
    <definedName name="Principal_plus_Interest">#REF!</definedName>
    <definedName name="_xlnm.Print_Area" localSheetId="3">'Balance Sheet'!$A$1:$AY$39</definedName>
    <definedName name="_xlnm.Print_Area" localSheetId="4">'Cash Flow'!$A$1:$AZ$36</definedName>
    <definedName name="_xlnm.Print_Area" localSheetId="1">'Income Statement'!$A$1:$AF$122</definedName>
    <definedName name="_xlnm.Print_Area">"Formula removed, name can be deleted."</definedName>
    <definedName name="Print_Area_MI">#REF!</definedName>
    <definedName name="Print_Cover_Tabs">[7]!Print_Cover_Tabs</definedName>
    <definedName name="Print_Document">[7]!Print_Document</definedName>
    <definedName name="Print_Titles_MI">[1]VALUE2_1.XLS!$A$1:$B$65536,[1]VALUE2_1.XLS!$A$1:$IV$7</definedName>
    <definedName name="product_set2">#REF!</definedName>
    <definedName name="product_set2_1">#REF!</definedName>
    <definedName name="product_set2_1_1">#REF!</definedName>
    <definedName name="product_set2_1_2">#REF!</definedName>
    <definedName name="product_set2_1_3">#REF!</definedName>
    <definedName name="product_set2_1_4">#REF!</definedName>
    <definedName name="product_set2_1_5">#REF!</definedName>
    <definedName name="product_set2_2">#REF!</definedName>
    <definedName name="product_set2_3">#REF!</definedName>
    <definedName name="product_set2_4">#REF!</definedName>
    <definedName name="product_set2_5">#REF!</definedName>
    <definedName name="ProForma">#REF!</definedName>
    <definedName name="PROIC">[1]VALUE2_1.XLS!#REF!</definedName>
    <definedName name="PROICF">[1]VALUE2_1.XLS!#REF!</definedName>
    <definedName name="PROICYEARS">[1]VALUE2_1.XLS!#REF!</definedName>
    <definedName name="PROJ">#REF!</definedName>
    <definedName name="PROJ2">#REF!</definedName>
    <definedName name="ProjectName">{"Client Name or Project Name"}</definedName>
    <definedName name="promte">#REF!</definedName>
    <definedName name="Propellant">#REF!</definedName>
    <definedName name="PSG_A">[1]VALUE2_1.XLS!#REF!</definedName>
    <definedName name="PTURNOVER">[1]VALUE2_1.XLS!#REF!</definedName>
    <definedName name="PUB_UserID" hidden="1">"MAYERX"</definedName>
    <definedName name="puiiouipt">#REF!</definedName>
    <definedName name="Purchase">#REF!</definedName>
    <definedName name="Purchase_Premium_A">25%</definedName>
    <definedName name="Purchase_Premium_B">0.25</definedName>
    <definedName name="PurchaseCapRate">#REF!</definedName>
    <definedName name="Purchased_Date">#REF!</definedName>
    <definedName name="Purchased_Price">#REF!</definedName>
    <definedName name="PurchaseNOI">#REF!</definedName>
    <definedName name="PurchasePrice">#REF!</definedName>
    <definedName name="PurchasePriceUnit">#REF!</definedName>
    <definedName name="puui">#REF!</definedName>
    <definedName name="puui_1">#REF!</definedName>
    <definedName name="puui_1_1">#REF!</definedName>
    <definedName name="puui_1_1_1">#REF!</definedName>
    <definedName name="puui_1_1_2">#REF!</definedName>
    <definedName name="puui_1_1_3">#REF!</definedName>
    <definedName name="puui_1_1_4">#REF!</definedName>
    <definedName name="puui_1_1_5">#REF!</definedName>
    <definedName name="puui_1_2">#REF!</definedName>
    <definedName name="puui_1_3">#REF!</definedName>
    <definedName name="puui_1_4">#REF!</definedName>
    <definedName name="puui_1_5">#REF!</definedName>
    <definedName name="puui_2">#REF!</definedName>
    <definedName name="puui_2_1">#REF!</definedName>
    <definedName name="puui_2_2">#REF!</definedName>
    <definedName name="puui_2_3">#REF!</definedName>
    <definedName name="puui_2_4">#REF!</definedName>
    <definedName name="puui_2_5">#REF!</definedName>
    <definedName name="puui_3">#REF!</definedName>
    <definedName name="puui_4">#REF!</definedName>
    <definedName name="puui_5">#REF!</definedName>
    <definedName name="PWORKING">[1]VALUE2_1.XLS!#REF!</definedName>
    <definedName name="q_1">#REF!</definedName>
    <definedName name="q_2">#REF!</definedName>
    <definedName name="Q2EP">#REF!</definedName>
    <definedName name="Q2EP_1">#REF!</definedName>
    <definedName name="Q2EP_1_1">#REF!</definedName>
    <definedName name="Q2EP_1_2">#REF!</definedName>
    <definedName name="Q2EP_1_3">#REF!</definedName>
    <definedName name="Q2EP_1_4">#REF!</definedName>
    <definedName name="Q2EP_1_5">#REF!</definedName>
    <definedName name="Q2EP_2">#REF!</definedName>
    <definedName name="Q2EP_3">#REF!</definedName>
    <definedName name="Q2EP_4">#REF!</definedName>
    <definedName name="Q2EP_5">#REF!</definedName>
    <definedName name="qa">#REF!</definedName>
    <definedName name="qkrk">#REF!</definedName>
    <definedName name="qkrtnwls">#REF!</definedName>
    <definedName name="qq">#REF!</definedName>
    <definedName name="qqq">#REF!</definedName>
    <definedName name="qqqq">#REF!</definedName>
    <definedName name="Quoted_Rents">#REF!</definedName>
    <definedName name="qw">#REF!</definedName>
    <definedName name="qwerdngf">#REF!</definedName>
    <definedName name="qwerdngf_1">#REF!</definedName>
    <definedName name="qwerdngf_1_1">#REF!</definedName>
    <definedName name="qwerdngf_1_2">#REF!</definedName>
    <definedName name="qwerdngf_1_3">#REF!</definedName>
    <definedName name="qwerdngf_1_4">#REF!</definedName>
    <definedName name="qwerdngf_1_5">#REF!</definedName>
    <definedName name="qwerdngf_2">#REF!</definedName>
    <definedName name="qwerdngf_3">#REF!</definedName>
    <definedName name="qwerdngf_4">#REF!</definedName>
    <definedName name="qwerdngf_5">#REF!</definedName>
    <definedName name="qwqe">#REF!</definedName>
    <definedName name="RALEY_A_D">#REF!</definedName>
    <definedName name="RALEY_I">#REF!</definedName>
    <definedName name="RALEY_II">#REF!</definedName>
    <definedName name="RAMALLAH">#REF!</definedName>
    <definedName name="Rating">#REF!</definedName>
    <definedName name="RCN">#REF!</definedName>
    <definedName name="rcn_site">#REF!</definedName>
    <definedName name="RCN_Tax">#REF!</definedName>
    <definedName name="RCN_Tax_2">#REF!</definedName>
    <definedName name="RCNDep">#REF!</definedName>
    <definedName name="RCNLD_Tax">#REF!</definedName>
    <definedName name="RCNSF">#REF!</definedName>
    <definedName name="re">#REF!</definedName>
    <definedName name="Real_Estate_Taxes">#REF!</definedName>
    <definedName name="Realized_Value">#REF!</definedName>
    <definedName name="Rebate">#REF!</definedName>
    <definedName name="_xlnm.Recorder">#REF!</definedName>
    <definedName name="redux">1</definedName>
    <definedName name="Registered_Owner">#REF!</definedName>
    <definedName name="Registration_Date">#REF!</definedName>
    <definedName name="remaining_warrants">#REF!</definedName>
    <definedName name="RenCost">#REF!</definedName>
    <definedName name="RenProb">#REF!</definedName>
    <definedName name="Rent_Roll">#REF!</definedName>
    <definedName name="RENT601">#REF!</definedName>
    <definedName name="RentalAdjGrid">#REF!</definedName>
    <definedName name="RentAvgSF">#REF!</definedName>
    <definedName name="RentCompAvg">#REF!</definedName>
    <definedName name="RentCompMax">#REF!</definedName>
    <definedName name="RentCompMin">#REF!</definedName>
    <definedName name="RentDelta">#REF!</definedName>
    <definedName name="RentLU">#REF!</definedName>
    <definedName name="RentMarket">#REF!</definedName>
    <definedName name="RentMaxSF">#REF!</definedName>
    <definedName name="RentMinSF">#REF!</definedName>
    <definedName name="RentMktAvgSF">#REF!</definedName>
    <definedName name="RentQuoteAvg">#REF!</definedName>
    <definedName name="RentQuoteAvgSF">#REF!</definedName>
    <definedName name="RentRoll">#REF!</definedName>
    <definedName name="RentSumm">#REF!</definedName>
    <definedName name="RepCurrency">'[11]Input Data'!$D$1003</definedName>
    <definedName name="RepCurrencyFrom">'[11]Input Data'!$F$1003</definedName>
    <definedName name="Repo_Date">#REF!</definedName>
    <definedName name="Repo_Flag">#REF!</definedName>
    <definedName name="report">#REF!</definedName>
    <definedName name="Report_Version_3">"A1"</definedName>
    <definedName name="ReportAdd1">#REF!</definedName>
    <definedName name="ReportAdd2">#REF!</definedName>
    <definedName name="ReportCity">#REF!</definedName>
    <definedName name="ReportState">#REF!</definedName>
    <definedName name="ReportZip">#REF!</definedName>
    <definedName name="ReproCN_Tax">#REF!</definedName>
    <definedName name="Reserve">#REF!</definedName>
    <definedName name="Reserves">#REF!</definedName>
    <definedName name="reset">#REF!</definedName>
    <definedName name="Residual">#REF!</definedName>
    <definedName name="Results">#REF!</definedName>
    <definedName name="Results1_FooterType" hidden="1">"INTERNAL"</definedName>
    <definedName name="Results2_FooterType" hidden="1">"INTERNAL"</definedName>
    <definedName name="Results3_FooterType" hidden="1">"INTERNAL"</definedName>
    <definedName name="retail">#REF!</definedName>
    <definedName name="retail_1">#REF!</definedName>
    <definedName name="retail_1_1">#REF!</definedName>
    <definedName name="retail_1_2">#REF!</definedName>
    <definedName name="retail_1_3">#REF!</definedName>
    <definedName name="retail_1_4">#REF!</definedName>
    <definedName name="retail_1_5">#REF!</definedName>
    <definedName name="retail_2">#REF!</definedName>
    <definedName name="retail_3">#REF!</definedName>
    <definedName name="retail_4">#REF!</definedName>
    <definedName name="retail_5">#REF!</definedName>
    <definedName name="retail_CC">#REF!</definedName>
    <definedName name="retail_CC_1">#REF!</definedName>
    <definedName name="retail_CC_1_1">#REF!</definedName>
    <definedName name="retail_CC_1_2">#REF!</definedName>
    <definedName name="retail_CC_1_3">#REF!</definedName>
    <definedName name="retail_CC_1_4">#REF!</definedName>
    <definedName name="retail_CC_1_5">#REF!</definedName>
    <definedName name="retail_CC_2">#REF!</definedName>
    <definedName name="retail_CC_3">#REF!</definedName>
    <definedName name="retail_CC_4">#REF!</definedName>
    <definedName name="retail_CC_5">#REF!</definedName>
    <definedName name="retail_CC1">#REF!</definedName>
    <definedName name="retail_CC1_1">#REF!</definedName>
    <definedName name="retail_CC1_1_1">#REF!</definedName>
    <definedName name="retail_CC1_1_2">#REF!</definedName>
    <definedName name="retail_CC1_1_3">#REF!</definedName>
    <definedName name="retail_CC1_1_4">#REF!</definedName>
    <definedName name="retail_CC1_1_5">#REF!</definedName>
    <definedName name="retail_CC1_2">#REF!</definedName>
    <definedName name="retail_CC1_3">#REF!</definedName>
    <definedName name="retail_CC1_4">#REF!</definedName>
    <definedName name="retail_CC1_5">#REF!</definedName>
    <definedName name="Rev_Cat_1">#REF!</definedName>
    <definedName name="Rev_Comparison_Value">#REF!</definedName>
    <definedName name="Rev_Rows">#REF!</definedName>
    <definedName name="Rev_Unit_Cells">#REF!</definedName>
    <definedName name="Rev_Unit_Val">#REF!</definedName>
    <definedName name="RevenueDrivers">OFFSET(#REF!,1,0,COUNTA(#REF!)-1,1)</definedName>
    <definedName name="RevenuesCellularEquipment">0</definedName>
    <definedName name="RevenuesCellularOther">0</definedName>
    <definedName name="RevenuesCellularService">0</definedName>
    <definedName name="RevenuesCellularTotal">0</definedName>
    <definedName name="RevenuesOverIC">'[14]BS &amp; CFS'!#REF!</definedName>
    <definedName name="RevenuesPagingEquipment">0</definedName>
    <definedName name="RevenuesPagingOther">0</definedName>
    <definedName name="RevenuesPagingService">0</definedName>
    <definedName name="RevenuesPagingTotal">0</definedName>
    <definedName name="RevenuesWirelessEquipment">0</definedName>
    <definedName name="RevenuesWirelessOther">0</definedName>
    <definedName name="RevenuesWirelessService">0</definedName>
    <definedName name="rewq">#REF!</definedName>
    <definedName name="rewq_1">#REF!</definedName>
    <definedName name="rewq_1_1">#REF!</definedName>
    <definedName name="rewq_1_2">#REF!</definedName>
    <definedName name="rewq_1_3">#REF!</definedName>
    <definedName name="rewq_1_4">#REF!</definedName>
    <definedName name="rewq_1_5">#REF!</definedName>
    <definedName name="rewq_2">#REF!</definedName>
    <definedName name="rewq_3">#REF!</definedName>
    <definedName name="rewq_4">#REF!</definedName>
    <definedName name="rewq_5">#REF!</definedName>
    <definedName name="rfbn">#REF!</definedName>
    <definedName name="rfbn_1">#REF!</definedName>
    <definedName name="rfbn_1_1">#REF!</definedName>
    <definedName name="rfbn_1_2">#REF!</definedName>
    <definedName name="rfbn_1_3">#REF!</definedName>
    <definedName name="rfbn_1_4">#REF!</definedName>
    <definedName name="rfbn_1_5">#REF!</definedName>
    <definedName name="rfbn_2">#REF!</definedName>
    <definedName name="rfbn_3">#REF!</definedName>
    <definedName name="rfbn_4">#REF!</definedName>
    <definedName name="rfbn_5">#REF!</definedName>
    <definedName name="RG">#REF!</definedName>
    <definedName name="ri7yk">#REF!</definedName>
    <definedName name="ri7yk_1">#REF!</definedName>
    <definedName name="ri7yk_1_1">#REF!</definedName>
    <definedName name="ri7yk_1_2">#REF!</definedName>
    <definedName name="ri7yk_1_3">#REF!</definedName>
    <definedName name="ri7yk_1_4">#REF!</definedName>
    <definedName name="ri7yk_1_5">#REF!</definedName>
    <definedName name="ri7yk_2">#REF!</definedName>
    <definedName name="ri7yk_3">#REF!</definedName>
    <definedName name="ri7yk_4">#REF!</definedName>
    <definedName name="ri7yk_5">#REF!</definedName>
    <definedName name="RNAO">#REF!</definedName>
    <definedName name="rnarh">#REF!</definedName>
    <definedName name="rnarh_1">#REF!</definedName>
    <definedName name="rnarh_1_1">#REF!</definedName>
    <definedName name="rnarh_1_2">#REF!</definedName>
    <definedName name="rnarh_1_3">#REF!</definedName>
    <definedName name="rnarh_1_4">#REF!</definedName>
    <definedName name="rnarh_1_5">#REF!</definedName>
    <definedName name="rnarh_2">#REF!</definedName>
    <definedName name="rnarh_3">#REF!</definedName>
    <definedName name="rnarh_4">#REF!</definedName>
    <definedName name="rnarh_5">#REF!</definedName>
    <definedName name="ROADproforma">[7]!ROADproforma</definedName>
    <definedName name="roic">[1]VALUE2_1.XLS!#REF!</definedName>
    <definedName name="roic_print">[1]VALUE2_1.XLS!#REF!</definedName>
    <definedName name="ROICF">[1]VALUE2_1.XLS!#REF!</definedName>
    <definedName name="ROICYEARS">[1]VALUE2_1.XLS!#REF!</definedName>
    <definedName name="RoomRevenueYTD">#REF!</definedName>
    <definedName name="RoomRevMonth">#REF!</definedName>
    <definedName name="RRROIC">[1]VALUE2_1.XLS!#REF!</definedName>
    <definedName name="rrrr">#REF!</definedName>
    <definedName name="rrrrrrrr" hidden="1">{"'RCIM'!$E$128"}</definedName>
    <definedName name="RRSummary">#REF!</definedName>
    <definedName name="rtiirj">#REF!</definedName>
    <definedName name="RTREE">[1]VALUE2_1.XLS!#REF!</definedName>
    <definedName name="rtukytk">#REF!</definedName>
    <definedName name="rtukytk_1">#REF!</definedName>
    <definedName name="rtukytk_1_1">#REF!</definedName>
    <definedName name="rtukytk_1_2">#REF!</definedName>
    <definedName name="rtukytk_1_3">#REF!</definedName>
    <definedName name="rtukytk_1_4">#REF!</definedName>
    <definedName name="rtukytk_1_5">#REF!</definedName>
    <definedName name="rtukytk_2">#REF!</definedName>
    <definedName name="rtukytk_3">#REF!</definedName>
    <definedName name="rtukytk_4">#REF!</definedName>
    <definedName name="rtukytk_5">#REF!</definedName>
    <definedName name="rtyu">#REF!</definedName>
    <definedName name="rtyu_1">#REF!</definedName>
    <definedName name="rtyu_1_1">#REF!</definedName>
    <definedName name="rtyu_1_2">#REF!</definedName>
    <definedName name="rtyu_1_3">#REF!</definedName>
    <definedName name="rtyu_1_4">#REF!</definedName>
    <definedName name="rtyu_1_5">#REF!</definedName>
    <definedName name="rtyu_2">#REF!</definedName>
    <definedName name="rtyu_3">#REF!</definedName>
    <definedName name="rtyu_4">#REF!</definedName>
    <definedName name="rtyu_5">#REF!</definedName>
    <definedName name="RV_10">#REF!</definedName>
    <definedName name="RV_15">#REF!</definedName>
    <definedName name="RV_20">#REF!</definedName>
    <definedName name="RV_25">#REF!</definedName>
    <definedName name="RV_30">#REF!</definedName>
    <definedName name="RV_35">#REF!</definedName>
    <definedName name="Rwvu.Sommaire.">#REF!</definedName>
    <definedName name="rydhn">#REF!</definedName>
    <definedName name="rydhn_1">#REF!</definedName>
    <definedName name="rydhn_1_1">#REF!</definedName>
    <definedName name="rydhn_1_2">#REF!</definedName>
    <definedName name="rydhn_1_3">#REF!</definedName>
    <definedName name="rydhn_1_4">#REF!</definedName>
    <definedName name="rydhn_1_5">#REF!</definedName>
    <definedName name="rydhn_2">#REF!</definedName>
    <definedName name="rydhn_3">#REF!</definedName>
    <definedName name="rydhn_4">#REF!</definedName>
    <definedName name="rydhn_5">#REF!</definedName>
    <definedName name="ryik">#REF!</definedName>
    <definedName name="ryik_1">#REF!</definedName>
    <definedName name="ryik_1_1">#REF!</definedName>
    <definedName name="ryik_1_2">#REF!</definedName>
    <definedName name="ryik_1_3">#REF!</definedName>
    <definedName name="ryik_1_4">#REF!</definedName>
    <definedName name="ryik_1_5">#REF!</definedName>
    <definedName name="ryik_2">#REF!</definedName>
    <definedName name="ryik_3">#REF!</definedName>
    <definedName name="ryik_4">#REF!</definedName>
    <definedName name="ryik_5">#REF!</definedName>
    <definedName name="ryjhn">#REF!</definedName>
    <definedName name="ryjhn_1">#REF!</definedName>
    <definedName name="ryjhn_1_1">#REF!</definedName>
    <definedName name="ryjhn_1_2">#REF!</definedName>
    <definedName name="ryjhn_1_3">#REF!</definedName>
    <definedName name="ryjhn_1_4">#REF!</definedName>
    <definedName name="ryjhn_1_5">#REF!</definedName>
    <definedName name="ryjhn_2">#REF!</definedName>
    <definedName name="ryjhn_3">#REF!</definedName>
    <definedName name="ryjhn_4">#REF!</definedName>
    <definedName name="ryjhn_5">#REF!</definedName>
    <definedName name="ryjhtyj">#REF!</definedName>
    <definedName name="ryjhtyj_1">#REF!</definedName>
    <definedName name="ryjhtyj_1_1">#REF!</definedName>
    <definedName name="ryjhtyj_1_2">#REF!</definedName>
    <definedName name="ryjhtyj_1_3">#REF!</definedName>
    <definedName name="ryjhtyj_1_4">#REF!</definedName>
    <definedName name="ryjhtyj_1_5">#REF!</definedName>
    <definedName name="ryjhtyj_2">#REF!</definedName>
    <definedName name="ryjhtyj_3">#REF!</definedName>
    <definedName name="ryjhtyj_4">#REF!</definedName>
    <definedName name="ryjhtyj_5">#REF!</definedName>
    <definedName name="ryjyj">#REF!</definedName>
    <definedName name="ryjyj_1">#REF!</definedName>
    <definedName name="ryjyj_1_1">#REF!</definedName>
    <definedName name="ryjyj_1_2">#REF!</definedName>
    <definedName name="ryjyj_1_3">#REF!</definedName>
    <definedName name="ryjyj_1_4">#REF!</definedName>
    <definedName name="ryjyj_1_5">#REF!</definedName>
    <definedName name="ryjyj_2">#REF!</definedName>
    <definedName name="ryjyj_3">#REF!</definedName>
    <definedName name="ryjyj_4">#REF!</definedName>
    <definedName name="ryjyj_5">#REF!</definedName>
    <definedName name="s">#REF!</definedName>
    <definedName name="sa">#REF!</definedName>
    <definedName name="sad">[7]!sad</definedName>
    <definedName name="SaleCost">#REF!</definedName>
    <definedName name="SaleExport">#REF!</definedName>
    <definedName name="SaleLU">#REF!</definedName>
    <definedName name="Sales">'[14]BS &amp; CFS'!#REF!</definedName>
    <definedName name="Salvage">#REF!</definedName>
    <definedName name="SAPBEXhrIndnt" hidden="1">"Wide"</definedName>
    <definedName name="SAPBEXrevision" hidden="1">6</definedName>
    <definedName name="SAPBEXsysID" hidden="1">"PQ1"</definedName>
    <definedName name="SAPBEXwbID" hidden="1">"4205W2W3XTUXND5VZ777QEPCP"</definedName>
    <definedName name="SAPFuncF4Help" hidden="1">Main.SAPF4Help()</definedName>
    <definedName name="SAPsysID" hidden="1">"708C5W7SBKP804JT78WJ0JNKI"</definedName>
    <definedName name="SAPwbID" hidden="1">"ARS"</definedName>
    <definedName name="sasa">#REF!</definedName>
    <definedName name="Scale">#REF!</definedName>
    <definedName name="sdaddsa">#REF!</definedName>
    <definedName name="sdafdadfad">#REF!</definedName>
    <definedName name="sdf">#REF!</definedName>
    <definedName name="sdf_1">#REF!</definedName>
    <definedName name="sdf_1_1">#REF!</definedName>
    <definedName name="sdf_1_2">#REF!</definedName>
    <definedName name="sdf_1_3">#REF!</definedName>
    <definedName name="sdf_1_4">#REF!</definedName>
    <definedName name="sdf_1_5">#REF!</definedName>
    <definedName name="sdf_2">#REF!</definedName>
    <definedName name="sdf_3">#REF!</definedName>
    <definedName name="sdf_4">#REF!</definedName>
    <definedName name="sdf_5">#REF!</definedName>
    <definedName name="sdfa">#REF!</definedName>
    <definedName name="sdfdf">#REF!</definedName>
    <definedName name="sdfdf_1">#REF!</definedName>
    <definedName name="sdfdf_1_1">#REF!</definedName>
    <definedName name="sdfdf_1_2">#REF!</definedName>
    <definedName name="sdfdf_1_3">#REF!</definedName>
    <definedName name="sdfdf_1_4">#REF!</definedName>
    <definedName name="sdfdf_1_5">#REF!</definedName>
    <definedName name="sdfdf_2">#REF!</definedName>
    <definedName name="sdfdf_3">#REF!</definedName>
    <definedName name="sdfdf_4">#REF!</definedName>
    <definedName name="sdfdf_5">#REF!</definedName>
    <definedName name="sdfg">#REF!</definedName>
    <definedName name="sdfg_1">#REF!</definedName>
    <definedName name="sdfg_1_1">#REF!</definedName>
    <definedName name="sdfg_1_1_1">#REF!</definedName>
    <definedName name="sdfg_1_1_2">#REF!</definedName>
    <definedName name="sdfg_1_1_3">#REF!</definedName>
    <definedName name="sdfg_1_1_4">#REF!</definedName>
    <definedName name="sdfg_1_1_5">#REF!</definedName>
    <definedName name="sdfg_1_2">#REF!</definedName>
    <definedName name="sdfg_1_3">#REF!</definedName>
    <definedName name="sdfg_1_4">#REF!</definedName>
    <definedName name="sdfg_1_5">#REF!</definedName>
    <definedName name="sdfg_2">#REF!</definedName>
    <definedName name="sdfg_2_1">#REF!</definedName>
    <definedName name="sdfg_2_2">#REF!</definedName>
    <definedName name="sdfg_2_3">#REF!</definedName>
    <definedName name="sdfg_2_4">#REF!</definedName>
    <definedName name="sdfg_2_5">#REF!</definedName>
    <definedName name="sdfg_3">#REF!</definedName>
    <definedName name="sdfg_4">#REF!</definedName>
    <definedName name="sdfg_5">#REF!</definedName>
    <definedName name="sdfgdsggfsg">#REF!</definedName>
    <definedName name="sdfgfds">#REF!</definedName>
    <definedName name="sdfgsdfg">#REF!</definedName>
    <definedName name="sdfgsdg">#REF!</definedName>
    <definedName name="sdfsadf">#REF!</definedName>
    <definedName name="sdfsadf_1">#REF!</definedName>
    <definedName name="sdfsadf_1_1">#REF!</definedName>
    <definedName name="sdfsadf_1_2">#REF!</definedName>
    <definedName name="sdfsadf_1_3">#REF!</definedName>
    <definedName name="sdfsadf_1_4">#REF!</definedName>
    <definedName name="sdfsadf_1_5">#REF!</definedName>
    <definedName name="sdfsadf_2">#REF!</definedName>
    <definedName name="sdfsadf_3">#REF!</definedName>
    <definedName name="sdfsadf_4">#REF!</definedName>
    <definedName name="sdfsadf_5">#REF!</definedName>
    <definedName name="sdfsdf">#REF!</definedName>
    <definedName name="sdfsdf_1">#REF!</definedName>
    <definedName name="sdfsdf_1_1">#REF!</definedName>
    <definedName name="sdfsdf_1_2">#REF!</definedName>
    <definedName name="sdfsdf_1_3">#REF!</definedName>
    <definedName name="sdfsdf_1_4">#REF!</definedName>
    <definedName name="sdfsdf_1_5">#REF!</definedName>
    <definedName name="sdfsdf_2">#REF!</definedName>
    <definedName name="sdfsdf_3">#REF!</definedName>
    <definedName name="sdfsdf_4">#REF!</definedName>
    <definedName name="sdfsdf_5">#REF!</definedName>
    <definedName name="sdfsdfsdf">#REF!</definedName>
    <definedName name="sdfstf">#REF!</definedName>
    <definedName name="sdfv">#REF!</definedName>
    <definedName name="sdfv_1">#REF!</definedName>
    <definedName name="sdfv_1_1">#REF!</definedName>
    <definedName name="sdfv_1_2">#REF!</definedName>
    <definedName name="sdfv_1_3">#REF!</definedName>
    <definedName name="sdfv_1_4">#REF!</definedName>
    <definedName name="sdfv_1_5">#REF!</definedName>
    <definedName name="sdfv_2">#REF!</definedName>
    <definedName name="sdfv_3">#REF!</definedName>
    <definedName name="sdfv_4">#REF!</definedName>
    <definedName name="sdfv_5">#REF!</definedName>
    <definedName name="sdtertaer">#REF!</definedName>
    <definedName name="sdvdewff">#REF!</definedName>
    <definedName name="se">#REF!</definedName>
    <definedName name="secondaries">#REF!</definedName>
    <definedName name="sencount" hidden="1">1</definedName>
    <definedName name="seniorRate">"SrRate"</definedName>
    <definedName name="sergse">#REF!</definedName>
    <definedName name="sergse_1">#REF!</definedName>
    <definedName name="sergse_1_1">#REF!</definedName>
    <definedName name="sergse_1_2">#REF!</definedName>
    <definedName name="sergse_1_3">#REF!</definedName>
    <definedName name="sergse_1_4">#REF!</definedName>
    <definedName name="sergse_1_5">#REF!</definedName>
    <definedName name="sergse_2">#REF!</definedName>
    <definedName name="sergse_3">#REF!</definedName>
    <definedName name="sergse_4">#REF!</definedName>
    <definedName name="sergse_5">#REF!</definedName>
    <definedName name="serjhs">#REF!</definedName>
    <definedName name="serjhs_1">#REF!</definedName>
    <definedName name="serjhs_1_1">#REF!</definedName>
    <definedName name="serjhs_1_2">#REF!</definedName>
    <definedName name="serjhs_1_3">#REF!</definedName>
    <definedName name="serjhs_1_4">#REF!</definedName>
    <definedName name="serjhs_1_5">#REF!</definedName>
    <definedName name="serjhs_2">#REF!</definedName>
    <definedName name="serjhs_3">#REF!</definedName>
    <definedName name="serjhs_4">#REF!</definedName>
    <definedName name="serjhs_5">#REF!</definedName>
    <definedName name="serthtj">#REF!</definedName>
    <definedName name="serthtj_1">#REF!</definedName>
    <definedName name="serthtj_1_1">#REF!</definedName>
    <definedName name="serthtj_1_2">#REF!</definedName>
    <definedName name="serthtj_1_3">#REF!</definedName>
    <definedName name="serthtj_1_4">#REF!</definedName>
    <definedName name="serthtj_1_5">#REF!</definedName>
    <definedName name="serthtj_2">#REF!</definedName>
    <definedName name="serthtj_3">#REF!</definedName>
    <definedName name="serthtj_4">#REF!</definedName>
    <definedName name="serthtj_5">#REF!</definedName>
    <definedName name="sertxk">#REF!</definedName>
    <definedName name="sertxk_1">#REF!</definedName>
    <definedName name="sertxk_1_1">#REF!</definedName>
    <definedName name="sertxk_1_2">#REF!</definedName>
    <definedName name="sertxk_1_3">#REF!</definedName>
    <definedName name="sertxk_1_4">#REF!</definedName>
    <definedName name="sertxk_1_5">#REF!</definedName>
    <definedName name="sertxk_2">#REF!</definedName>
    <definedName name="sertxk_3">#REF!</definedName>
    <definedName name="sertxk_4">#REF!</definedName>
    <definedName name="sertxk_5">#REF!</definedName>
    <definedName name="Setup">"EQ_Journaal.xla"</definedName>
    <definedName name="sewaz">#REF!</definedName>
    <definedName name="SFDG">#REF!</definedName>
    <definedName name="sfds">#REF!</definedName>
    <definedName name="SG_A">[1]VALUE2_1.XLS!#REF!</definedName>
    <definedName name="sgsdfgsd">#REF!</definedName>
    <definedName name="sharecreep">#REF!</definedName>
    <definedName name="SharesConvertibleSecurities">0</definedName>
    <definedName name="SharesFullyDiluted">0</definedName>
    <definedName name="SharesOptions">0</definedName>
    <definedName name="SharesOutstandingLatestDate">0</definedName>
    <definedName name="SharesOutstandingOther">0</definedName>
    <definedName name="SharesOutstandingSenior">0</definedName>
    <definedName name="SharesOutstandingSubordinate">0</definedName>
    <definedName name="SharesPrimary">0</definedName>
    <definedName name="SharesWarrants">0</definedName>
    <definedName name="Sheet1_BNE_MESSAGES">#REF!</definedName>
    <definedName name="Sheet1_BNE_MESSAGES_HIDDEN">#REF!</definedName>
    <definedName name="Sheet1_BNE_MESSAGES_LAMP">#REF!</definedName>
    <definedName name="Sheet1_BNE_UPLOAD">#REF!</definedName>
    <definedName name="Sheet1_GL_INTERFACE_ACCOUNTING_DATE">#REF!</definedName>
    <definedName name="Sheet1_GL_INTERFACE_ACTUAL_FLAG">#REF!</definedName>
    <definedName name="Sheet1_GL_INTERFACE_CURRENCY_CODE">#REF!</definedName>
    <definedName name="Sheet1_GL_INTERFACE_CURRENCY_CONVERSION_DATE">#REF!</definedName>
    <definedName name="Sheet1_GL_INTERFACE_CURRENCY_CONVERSION_RATE">#REF!</definedName>
    <definedName name="Sheet1_GL_INTERFACE_DATABASE">#REF!</definedName>
    <definedName name="Sheet1_GL_INTERFACE_ENTERED_CR">#REF!</definedName>
    <definedName name="Sheet1_GL_INTERFACE_ENTERED_DR">#REF!</definedName>
    <definedName name="Sheet1_GL_INTERFACE_REFERENCE10">#REF!</definedName>
    <definedName name="Sheet1_GL_INTERFACE_REFERENCE22">#REF!</definedName>
    <definedName name="Sheet1_GL_INTERFACE_REFERENCE23">#REF!</definedName>
    <definedName name="Sheet1_GL_INTERFACE_REFERENCE4">#REF!</definedName>
    <definedName name="Sheet1_GL_INTERFACE_REFERENCE5">#REF!</definedName>
    <definedName name="Sheet1_GL_INTERFACE_REFERENCE7">#REF!</definedName>
    <definedName name="Sheet1_GL_INTERFACE_REFERENCE8">#REF!</definedName>
    <definedName name="Sheet1_GL_INTERFACE_SEGMENT1">#REF!</definedName>
    <definedName name="Sheet1_GL_INTERFACE_SEGMENT2">#REF!</definedName>
    <definedName name="Sheet1_GL_INTERFACE_SEGMENT3">#REF!</definedName>
    <definedName name="Sheet1_GL_INTERFACE_SEGMENT4">#REF!</definedName>
    <definedName name="Sheet1_GL_INTERFACE_SEGMENT5">#REF!</definedName>
    <definedName name="Sheet1_GL_INTERFACE_SET_OF_BOOKS_ID">#REF!</definedName>
    <definedName name="Sheet1_GL_INTERFACE_USER_CURRENCY_CONVERSION_TYPE">#REF!</definedName>
    <definedName name="Sheet1_GL_INTERFACE_USER_JE_CATEGORY_NAME">#REF!</definedName>
    <definedName name="Sheet1_GL_INTERFACE_USER_JE_SOURCE_NAME">#REF!</definedName>
    <definedName name="sheet2">#REF!</definedName>
    <definedName name="shtName">#REF!</definedName>
    <definedName name="SI_FV">#REF!</definedName>
    <definedName name="SI_RCNLD">#REF!</definedName>
    <definedName name="SI_RV10">#REF!</definedName>
    <definedName name="SI_RV15">#REF!</definedName>
    <definedName name="SI_RV25">#REF!</definedName>
    <definedName name="SI_RV30">#REF!</definedName>
    <definedName name="sibina">#REF!</definedName>
    <definedName name="SizeAdjProj">#REF!</definedName>
    <definedName name="SizingColumn">#REF!</definedName>
    <definedName name="slope">#REF!</definedName>
    <definedName name="SMITHRIDGE">#REF!</definedName>
    <definedName name="sName">[7]!sName</definedName>
    <definedName name="sName1">[7]!sName1</definedName>
    <definedName name="SOCIETE">#REF!</definedName>
    <definedName name="soft_cost">#REF!</definedName>
    <definedName name="solver_adj">#REF!</definedName>
    <definedName name="solver_lin" hidden="1">0</definedName>
    <definedName name="solver_num" hidden="1">6</definedName>
    <definedName name="solver_opt">#REF!</definedName>
    <definedName name="solver_rel1" hidden="1">1</definedName>
    <definedName name="solver_rel2" hidden="1">1</definedName>
    <definedName name="solver_rel3" hidden="1">1</definedName>
    <definedName name="solver_rel4" hidden="1">4</definedName>
    <definedName name="solver_rel5" hidden="1">4</definedName>
    <definedName name="solver_rel6" hidden="1">4</definedName>
    <definedName name="solver_rhs1" hidden="1">15</definedName>
    <definedName name="solver_rhs2" hidden="1">15</definedName>
    <definedName name="solver_rhs3" hidden="1">15</definedName>
    <definedName name="solver_tmp" hidden="1">15</definedName>
    <definedName name="solver_typ" hidden="1">3</definedName>
    <definedName name="solver_val" hidden="1">90</definedName>
    <definedName name="Sort2">#REF!</definedName>
    <definedName name="SPAAvgSF">#REF!</definedName>
    <definedName name="Spaces">"      "</definedName>
    <definedName name="SPADevSF">#REF!</definedName>
    <definedName name="SPAdjGridSF">#REF!</definedName>
    <definedName name="SPALAvg">#REF!</definedName>
    <definedName name="SPALDev">#REF!</definedName>
    <definedName name="SPALMax">#REF!</definedName>
    <definedName name="SPALMin">#REF!</definedName>
    <definedName name="SPAMaxSF">#REF!</definedName>
    <definedName name="SPAMinSF">#REF!</definedName>
    <definedName name="SPAvgSF">#REF!</definedName>
    <definedName name="SPDevSF">#REF!</definedName>
    <definedName name="spebdy" hidden="1">{"'RCIM'!$E$128"}</definedName>
    <definedName name="spippw">#REF!</definedName>
    <definedName name="spippw_1">#REF!</definedName>
    <definedName name="spippw_1_1">#REF!</definedName>
    <definedName name="spippw_1_2">#REF!</definedName>
    <definedName name="spippw_1_3">#REF!</definedName>
    <definedName name="spippw_1_4">#REF!</definedName>
    <definedName name="spippw_1_5">#REF!</definedName>
    <definedName name="spippw_2">#REF!</definedName>
    <definedName name="spippw_3">#REF!</definedName>
    <definedName name="spippw_4">#REF!</definedName>
    <definedName name="spippw_5">#REF!</definedName>
    <definedName name="SPLAdjGrid">#REF!</definedName>
    <definedName name="SPLAvg">#REF!</definedName>
    <definedName name="SPLDev">#REF!</definedName>
    <definedName name="SPLMax">#REF!</definedName>
    <definedName name="SPLMin">#REF!</definedName>
    <definedName name="spludge">#REF!</definedName>
    <definedName name="splurge2">#REF!</definedName>
    <definedName name="SPMaxSF">#REF!</definedName>
    <definedName name="SPMinSF">#REF!</definedName>
    <definedName name="SPWS_WBID">"F1754E3C-8B33-11D3-B915-000086369788"</definedName>
    <definedName name="SrRate">"SrRating"</definedName>
    <definedName name="srthd">#REF!</definedName>
    <definedName name="srthd_1">#REF!</definedName>
    <definedName name="srthd_1_1">#REF!</definedName>
    <definedName name="srthd_1_2">#REF!</definedName>
    <definedName name="srthd_1_3">#REF!</definedName>
    <definedName name="srthd_1_4">#REF!</definedName>
    <definedName name="srthd_1_5">#REF!</definedName>
    <definedName name="srthd_2">#REF!</definedName>
    <definedName name="srthd_3">#REF!</definedName>
    <definedName name="srthd_4">#REF!</definedName>
    <definedName name="srthd_5">#REF!</definedName>
    <definedName name="sseprjt">{0.1;0;0.45;0;0;0;0;0;0.45}</definedName>
    <definedName name="SSO">#REF!</definedName>
    <definedName name="sss">#REF!</definedName>
    <definedName name="sss_1">#REF!</definedName>
    <definedName name="sss_1_1">#REF!</definedName>
    <definedName name="sss_1_2">#REF!</definedName>
    <definedName name="sss_1_3">#REF!</definedName>
    <definedName name="sss_1_4">#REF!</definedName>
    <definedName name="sss_1_5">#REF!</definedName>
    <definedName name="sss_2">#REF!</definedName>
    <definedName name="sss_3">#REF!</definedName>
    <definedName name="sss_4">#REF!</definedName>
    <definedName name="sss_5">#REF!</definedName>
    <definedName name="SSSSS">#REF!</definedName>
    <definedName name="SSSSS_1">#REF!</definedName>
    <definedName name="SSSSS_1_1">#REF!</definedName>
    <definedName name="SSSSS_1_2">#REF!</definedName>
    <definedName name="SSSSS_1_3">#REF!</definedName>
    <definedName name="SSSSS_1_4">#REF!</definedName>
    <definedName name="SSSSS_1_5">#REF!</definedName>
    <definedName name="SSSSS_2">#REF!</definedName>
    <definedName name="SSSSS_3">#REF!</definedName>
    <definedName name="SSSSS_4">#REF!</definedName>
    <definedName name="SSSSS_5">#REF!</definedName>
    <definedName name="Stab_Ancil_Inc">#REF!</definedName>
    <definedName name="Stab_Exp">#REF!</definedName>
    <definedName name="Stab_Exp_Reimb">#REF!</definedName>
    <definedName name="Stab_NOI">#REF!</definedName>
    <definedName name="stabilized_occupancy">#REF!</definedName>
    <definedName name="Stadium">#REF!</definedName>
    <definedName name="stadiuma">#REF!</definedName>
    <definedName name="Stakes_CAGR">[9]DCF!$N$13</definedName>
    <definedName name="standard1">#REF!</definedName>
    <definedName name="standard1_1">#REF!</definedName>
    <definedName name="standard1_1_1">#REF!</definedName>
    <definedName name="standard1_1_2">#REF!</definedName>
    <definedName name="standard1_1_3">#REF!</definedName>
    <definedName name="standard1_1_4">#REF!</definedName>
    <definedName name="standard1_1_5">#REF!</definedName>
    <definedName name="standard1_2">#REF!</definedName>
    <definedName name="standard1_3">#REF!</definedName>
    <definedName name="standard1_4">#REF!</definedName>
    <definedName name="standard1_5">#REF!</definedName>
    <definedName name="Start54">'[20]Opex Roll-up'!$A$1</definedName>
    <definedName name="Start66">'[20]1320 CN Ops.'!$A$1</definedName>
    <definedName name="Start70">'[20]1900 RE MGMT'!$A$1</definedName>
    <definedName name="Start71">'[20]Auto Roll-up'!$A$1</definedName>
    <definedName name="State">#REF!</definedName>
    <definedName name="State_Rank">#REF!</definedName>
    <definedName name="State_Rank_without_CA">#REF!</definedName>
    <definedName name="STATIONERS">#REF!</definedName>
    <definedName name="StatsAccessLinesDomesticInternationalTotalAverage">0</definedName>
    <definedName name="StatsAccessLinesTotalAverage">0</definedName>
    <definedName name="StatsAverageMonthlyRevenue">0</definedName>
    <definedName name="StatsEmployeesConsolidatedInternational">0</definedName>
    <definedName name="StatsEmployeesTelephoneInternational">0</definedName>
    <definedName name="StatsPagingAverageMonthlyRevenue">0</definedName>
    <definedName name="StatsPagingSubscribers">0</definedName>
    <definedName name="StatsPenetration">0</definedName>
    <definedName name="StatsPOPS">0</definedName>
    <definedName name="StatsProportionatePenetration">0</definedName>
    <definedName name="StatsProportionatePOPS">0</definedName>
    <definedName name="StatsProportionateSubscribersAverage">0</definedName>
    <definedName name="StatsProportionateSubscribersBeginning">0</definedName>
    <definedName name="StatsProportionateSubscribersEnding">0</definedName>
    <definedName name="StatsProportionateSubscribersNetAdds">0</definedName>
    <definedName name="StatsSubscribersAverage">0</definedName>
    <definedName name="StatsSubscribersBeginning">0</definedName>
    <definedName name="StatsSubscribersEnding">0</definedName>
    <definedName name="StatsSubscribersNetAdds">0</definedName>
    <definedName name="STE">#REF!</definedName>
    <definedName name="stef">#REF!</definedName>
    <definedName name="stef_1">#REF!</definedName>
    <definedName name="stef_1_1">#REF!</definedName>
    <definedName name="stef_1_2">#REF!</definedName>
    <definedName name="stef_1_3">#REF!</definedName>
    <definedName name="stef_1_4">#REF!</definedName>
    <definedName name="stef_1_5">#REF!</definedName>
    <definedName name="stef_2">#REF!</definedName>
    <definedName name="stef_3">#REF!</definedName>
    <definedName name="stef_4">#REF!</definedName>
    <definedName name="stef_5">#REF!</definedName>
    <definedName name="STOCKDALE_I">#REF!</definedName>
    <definedName name="Stocks">#REF!</definedName>
    <definedName name="STUART_HALL">#REF!</definedName>
    <definedName name="Sub_OER">#REF!</definedName>
    <definedName name="subdate">#REF!</definedName>
    <definedName name="SubjRents">#REF!</definedName>
    <definedName name="SubjUnitMix">#REF!</definedName>
    <definedName name="subpart">#REF!</definedName>
    <definedName name="subpart_1">#REF!</definedName>
    <definedName name="subpart_1_1">#REF!</definedName>
    <definedName name="subpart_1_2">#REF!</definedName>
    <definedName name="subpart_1_3">#REF!</definedName>
    <definedName name="subpart_1_4">#REF!</definedName>
    <definedName name="subpart_1_5">#REF!</definedName>
    <definedName name="subpart_2">#REF!</definedName>
    <definedName name="subpart_3">#REF!</definedName>
    <definedName name="subpart_4">#REF!</definedName>
    <definedName name="subpart_5">#REF!</definedName>
    <definedName name="Subtotal">#REF!</definedName>
    <definedName name="Summary_IS">#REF!</definedName>
    <definedName name="Summary_IS_1">#REF!</definedName>
    <definedName name="Summary_IS_1_1">#REF!</definedName>
    <definedName name="Summary_IS_1_2">#REF!</definedName>
    <definedName name="Summary_IS_1_3">#REF!</definedName>
    <definedName name="Summary_IS_1_4">#REF!</definedName>
    <definedName name="Summary_IS_1_5">#REF!</definedName>
    <definedName name="Summary_IS_2">#REF!</definedName>
    <definedName name="Summary_IS_3">#REF!</definedName>
    <definedName name="Summary_IS_4">#REF!</definedName>
    <definedName name="Summary_IS_5">#REF!</definedName>
    <definedName name="SUMMARY_OF_COMPARABLE_RENTALS">#REF!</definedName>
    <definedName name="SUNNYSIDE">#REF!</definedName>
    <definedName name="SVC_LC_MTD_1">#REF!</definedName>
    <definedName name="SVC_LC_US">#REF!</definedName>
    <definedName name="SVC_LC_YTDA">#REF!</definedName>
    <definedName name="Swvu.Sommaire.">#REF!</definedName>
    <definedName name="t">#REF!</definedName>
    <definedName name="t_1">#REF!</definedName>
    <definedName name="t_1_1">#REF!</definedName>
    <definedName name="t_1_2">#REF!</definedName>
    <definedName name="t_1_3">#REF!</definedName>
    <definedName name="t_1_4">#REF!</definedName>
    <definedName name="t_1_5">#REF!</definedName>
    <definedName name="t_2">#REF!</definedName>
    <definedName name="t_3">#REF!</definedName>
    <definedName name="t_4">#REF!</definedName>
    <definedName name="t_5">#REF!</definedName>
    <definedName name="t6ujru">#REF!</definedName>
    <definedName name="t6ujru_1">#REF!</definedName>
    <definedName name="t6ujru_1_1">#REF!</definedName>
    <definedName name="t6ujru_1_2">#REF!</definedName>
    <definedName name="t6ujru_1_3">#REF!</definedName>
    <definedName name="t6ujru_1_4">#REF!</definedName>
    <definedName name="t6ujru_1_5">#REF!</definedName>
    <definedName name="t6ujru_2">#REF!</definedName>
    <definedName name="t6ujru_3">#REF!</definedName>
    <definedName name="t6ujru_4">#REF!</definedName>
    <definedName name="t6ujru_5">#REF!</definedName>
    <definedName name="t6uky">#REF!</definedName>
    <definedName name="t6uky_1">#REF!</definedName>
    <definedName name="t6uky_1_1">#REF!</definedName>
    <definedName name="t6uky_1_2">#REF!</definedName>
    <definedName name="t6uky_1_3">#REF!</definedName>
    <definedName name="t6uky_1_4">#REF!</definedName>
    <definedName name="t6uky_1_5">#REF!</definedName>
    <definedName name="t6uky_2">#REF!</definedName>
    <definedName name="t6uky_3">#REF!</definedName>
    <definedName name="t6uky_4">#REF!</definedName>
    <definedName name="t6uky_5">#REF!</definedName>
    <definedName name="ta">#REF!</definedName>
    <definedName name="taal">[21]sheet1!$C$2</definedName>
    <definedName name="Table1">#REF!</definedName>
    <definedName name="Table2">#REF!</definedName>
    <definedName name="Table3">#REF!</definedName>
    <definedName name="TableName">"Dummy"</definedName>
    <definedName name="Target_Net_Debt">"targ_netdebt"</definedName>
    <definedName name="tax_rate">#REF!</definedName>
    <definedName name="TaxAuth">#REF!</definedName>
    <definedName name="TaxAV1">#REF!</definedName>
    <definedName name="TaxAV2">#REF!</definedName>
    <definedName name="TaxAVChg">#REF!</definedName>
    <definedName name="TaxAVDiff">#REF!</definedName>
    <definedName name="TaxAVEst">#REF!</definedName>
    <definedName name="TaxAVEstSF">#REF!</definedName>
    <definedName name="TaxAVRatio">#REF!</definedName>
    <definedName name="TaxAVSF">#REF!</definedName>
    <definedName name="TaxChg">#REF!</definedName>
    <definedName name="TaxComp">#REF!</definedName>
    <definedName name="TaxCompMax">#REF!</definedName>
    <definedName name="TaxCompMin">#REF!</definedName>
    <definedName name="TaxEst">#REF!</definedName>
    <definedName name="TaxEstSF">#REF!</definedName>
    <definedName name="TaxLevy1">#REF!</definedName>
    <definedName name="TaxLevy2">#REF!</definedName>
    <definedName name="TaxLevyAV">#REF!</definedName>
    <definedName name="TaxLevyChg">#REF!</definedName>
    <definedName name="TaxMillChg">#REF!</definedName>
    <definedName name="TaxPP1">#REF!</definedName>
    <definedName name="TaxPP2">#REF!</definedName>
    <definedName name="TaxSp1">#REF!</definedName>
    <definedName name="TaxSp2">#REF!</definedName>
    <definedName name="TaxYr1">#REF!</definedName>
    <definedName name="TaxYr2">#REF!</definedName>
    <definedName name="ten">#REF!</definedName>
    <definedName name="TenantCt">#REF!</definedName>
    <definedName name="Term">#REF!</definedName>
    <definedName name="Test">#REF!</definedName>
    <definedName name="test1">#REF!</definedName>
    <definedName name="test2">#REF!</definedName>
    <definedName name="TestAdd">"Test RefersTo1"</definedName>
    <definedName name="teujdtj">#REF!</definedName>
    <definedName name="teujdtj_1">#REF!</definedName>
    <definedName name="teujdtj_1_1">#REF!</definedName>
    <definedName name="teujdtj_1_2">#REF!</definedName>
    <definedName name="teujdtj_1_3">#REF!</definedName>
    <definedName name="teujdtj_1_4">#REF!</definedName>
    <definedName name="teujdtj_1_5">#REF!</definedName>
    <definedName name="teujdtj_2">#REF!</definedName>
    <definedName name="teujdtj_3">#REF!</definedName>
    <definedName name="teujdtj_4">#REF!</definedName>
    <definedName name="teujdtj_5">#REF!</definedName>
    <definedName name="TextRefCopy1">#REF!</definedName>
    <definedName name="TextRefCopyRangeCount" hidden="1">3</definedName>
    <definedName name="teyjt">#REF!</definedName>
    <definedName name="teyjt_1">#REF!</definedName>
    <definedName name="teyjt_1_1">#REF!</definedName>
    <definedName name="teyjt_1_2">#REF!</definedName>
    <definedName name="teyjt_1_3">#REF!</definedName>
    <definedName name="teyjt_1_4">#REF!</definedName>
    <definedName name="teyjt_1_5">#REF!</definedName>
    <definedName name="teyjt_2">#REF!</definedName>
    <definedName name="teyjt_3">#REF!</definedName>
    <definedName name="teyjt_4">#REF!</definedName>
    <definedName name="teyjt_5">#REF!</definedName>
    <definedName name="tfrdc">#REF!</definedName>
    <definedName name="tfrdc_1">#REF!</definedName>
    <definedName name="tfrdc_1_1">#REF!</definedName>
    <definedName name="tfrdc_1_2">#REF!</definedName>
    <definedName name="tfrdc_1_3">#REF!</definedName>
    <definedName name="tfrdc_1_4">#REF!</definedName>
    <definedName name="tfrdc_1_5">#REF!</definedName>
    <definedName name="tfrdc_2">#REF!</definedName>
    <definedName name="tfrdc_3">#REF!</definedName>
    <definedName name="tfrdc_4">#REF!</definedName>
    <definedName name="tfrdc_5">#REF!</definedName>
    <definedName name="TGR">[9]DCF!$J$7</definedName>
    <definedName name="TgtEarned">#REF!</definedName>
    <definedName name="This_Year">"1998E"</definedName>
    <definedName name="three">#REF!</definedName>
    <definedName name="ThreeBRRents">#REF!</definedName>
    <definedName name="thsdls">#REF!</definedName>
    <definedName name="TINew">#REF!</definedName>
    <definedName name="TIRen">#REF!</definedName>
    <definedName name="Title">#REF!</definedName>
    <definedName name="titles">[1]VALUE2_1.XLS!#REF!</definedName>
    <definedName name="tix_rev_ebita">#REF!</definedName>
    <definedName name="TM1REBUILDOPTION">1</definedName>
    <definedName name="toggle_attrition">#REF!</definedName>
    <definedName name="toggle_capex_atg">#REF!</definedName>
    <definedName name="toggle_capex_dc">#REF!</definedName>
    <definedName name="toggle_capex_lcr">#REF!</definedName>
    <definedName name="toggle_capex_realestate">#REF!</definedName>
    <definedName name="toggle_capex_xcl">#REF!</definedName>
    <definedName name="toggle_clockwork">#REF!</definedName>
    <definedName name="toggle_contribution">#REF!</definedName>
    <definedName name="toggle_force">#REF!</definedName>
    <definedName name="toggle_merit">#REF!</definedName>
    <definedName name="toggle_opex_atg">#REF!</definedName>
    <definedName name="toggle_opex_atgcars">#REF!</definedName>
    <definedName name="toggle_opex_ga">#REF!</definedName>
    <definedName name="toggle_opex_lcr">#REF!</definedName>
    <definedName name="toggle_opex_new">#REF!</definedName>
    <definedName name="toggle_opex_other">#REF!</definedName>
    <definedName name="toggle_opex_rd">#REF!</definedName>
    <definedName name="toggle_opex_xcl">#REF!</definedName>
    <definedName name="toggle_scenarios">#REF!</definedName>
    <definedName name="Total">#REF!</definedName>
    <definedName name="Total_Principal_plus_Accrued_Interest">#REF!</definedName>
    <definedName name="total_rcn">#REF!</definedName>
    <definedName name="TP_Footer_Path" hidden="1">"S:\69546_Solvay_S\RET\2004\212_IAS_19\Valuation 2004\Global accounting sheet\EOY 2004 accounting\"</definedName>
    <definedName name="TP_Footer_User" hidden="1">"RoisinP"</definedName>
    <definedName name="TP_Footer_Version" hidden="1">"v4.00"</definedName>
    <definedName name="Transfer_Balance">#REF!</definedName>
    <definedName name="Transmission">#REF!</definedName>
    <definedName name="tre">#REF!</definedName>
    <definedName name="TREE_INVEST">[1]VALUE2_1.XLS!#REF!</definedName>
    <definedName name="TRIBUTE">#REF!</definedName>
    <definedName name="tryu">#REF!</definedName>
    <definedName name="tryu_1">#REF!</definedName>
    <definedName name="tryu_1_1">#REF!</definedName>
    <definedName name="tryu_1_1_1">#REF!</definedName>
    <definedName name="tryu_1_1_2">#REF!</definedName>
    <definedName name="tryu_1_1_3">#REF!</definedName>
    <definedName name="tryu_1_1_4">#REF!</definedName>
    <definedName name="tryu_1_1_5">#REF!</definedName>
    <definedName name="tryu_1_2">#REF!</definedName>
    <definedName name="tryu_1_3">#REF!</definedName>
    <definedName name="tryu_1_4">#REF!</definedName>
    <definedName name="tryu_1_5">#REF!</definedName>
    <definedName name="tryu_2">#REF!</definedName>
    <definedName name="tryu_2_1">#REF!</definedName>
    <definedName name="tryu_2_2">#REF!</definedName>
    <definedName name="tryu_2_3">#REF!</definedName>
    <definedName name="tryu_2_4">#REF!</definedName>
    <definedName name="tryu_2_5">#REF!</definedName>
    <definedName name="tryu_3">#REF!</definedName>
    <definedName name="tryu_4">#REF!</definedName>
    <definedName name="tryu_5">#REF!</definedName>
    <definedName name="tt">#REF!</definedName>
    <definedName name="tttt">#REF!</definedName>
    <definedName name="ttttt">#REF!</definedName>
    <definedName name="tuiirit">#REF!</definedName>
    <definedName name="tuiol">#REF!</definedName>
    <definedName name="tuiol_1">#REF!</definedName>
    <definedName name="tuiol_1_1">#REF!</definedName>
    <definedName name="tuiol_1_2">#REF!</definedName>
    <definedName name="tuiol_1_3">#REF!</definedName>
    <definedName name="tuiol_1_4">#REF!</definedName>
    <definedName name="tuiol_1_5">#REF!</definedName>
    <definedName name="tuiol_2">#REF!</definedName>
    <definedName name="tuiol_3">#REF!</definedName>
    <definedName name="tuiol_4">#REF!</definedName>
    <definedName name="tuiol_5">#REF!</definedName>
    <definedName name="TURNOVER">[1]VALUE2_1.XLS!#REF!</definedName>
    <definedName name="tuv">#REF!</definedName>
    <definedName name="TUYJ">#REF!</definedName>
    <definedName name="TUYJ_1">#REF!</definedName>
    <definedName name="TUYJ_1_1">#REF!</definedName>
    <definedName name="TUYJ_1_2">#REF!</definedName>
    <definedName name="TUYJ_1_3">#REF!</definedName>
    <definedName name="TUYJ_1_4">#REF!</definedName>
    <definedName name="TUYJ_1_5">#REF!</definedName>
    <definedName name="TUYJ_2">#REF!</definedName>
    <definedName name="TUYJ_3">#REF!</definedName>
    <definedName name="TUYJ_4">#REF!</definedName>
    <definedName name="TUYJ_5">#REF!</definedName>
    <definedName name="TVRevenueMonth">#REF!</definedName>
    <definedName name="TVRevenueYTD">#REF!</definedName>
    <definedName name="TW">#REF!</definedName>
    <definedName name="two">#REF!</definedName>
    <definedName name="TwoBRRents">#REF!</definedName>
    <definedName name="tyietjnh">#REF!</definedName>
    <definedName name="TYKJY">#REF!</definedName>
    <definedName name="TYKJY_1">#REF!</definedName>
    <definedName name="TYKJY_1_1">#REF!</definedName>
    <definedName name="TYKJY_1_2">#REF!</definedName>
    <definedName name="TYKJY_1_3">#REF!</definedName>
    <definedName name="TYKJY_1_4">#REF!</definedName>
    <definedName name="TYKJY_1_5">#REF!</definedName>
    <definedName name="TYKJY_2">#REF!</definedName>
    <definedName name="TYKJY_3">#REF!</definedName>
    <definedName name="TYKJY_4">#REF!</definedName>
    <definedName name="TYKJY_5">#REF!</definedName>
    <definedName name="Type">#REF!</definedName>
    <definedName name="tyueuj">#REF!</definedName>
    <definedName name="tyukm">#REF!</definedName>
    <definedName name="tyukm_1">#REF!</definedName>
    <definedName name="tyukm_1_1">#REF!</definedName>
    <definedName name="tyukm_1_2">#REF!</definedName>
    <definedName name="tyukm_1_3">#REF!</definedName>
    <definedName name="tyukm_1_4">#REF!</definedName>
    <definedName name="tyukm_1_5">#REF!</definedName>
    <definedName name="tyukm_2">#REF!</definedName>
    <definedName name="tyukm_3">#REF!</definedName>
    <definedName name="tyukm_4">#REF!</definedName>
    <definedName name="tyukm_5">#REF!</definedName>
    <definedName name="ua">#REF!</definedName>
    <definedName name="uilt">#REF!</definedName>
    <definedName name="uilt_1">#REF!</definedName>
    <definedName name="uilt_1_1">#REF!</definedName>
    <definedName name="uilt_1_2">#REF!</definedName>
    <definedName name="uilt_1_3">#REF!</definedName>
    <definedName name="uilt_1_4">#REF!</definedName>
    <definedName name="uilt_1_5">#REF!</definedName>
    <definedName name="uilt_2">#REF!</definedName>
    <definedName name="uilt_3">#REF!</definedName>
    <definedName name="uilt_4">#REF!</definedName>
    <definedName name="uilt_5">#REF!</definedName>
    <definedName name="uiooui">#REF!</definedName>
    <definedName name="uiruiyi">#REF!</definedName>
    <definedName name="uiyrr">#REF!</definedName>
    <definedName name="UJ">#REF!</definedName>
    <definedName name="UJ_1">#REF!</definedName>
    <definedName name="UJ_1_1">#REF!</definedName>
    <definedName name="UJ_1_2">#REF!</definedName>
    <definedName name="UJ_1_3">#REF!</definedName>
    <definedName name="UJ_1_4">#REF!</definedName>
    <definedName name="UJ_1_5">#REF!</definedName>
    <definedName name="UJ_2">#REF!</definedName>
    <definedName name="UJ_3">#REF!</definedName>
    <definedName name="UJ_4">#REF!</definedName>
    <definedName name="UJ_5">#REF!</definedName>
    <definedName name="Unit">[12]IPO_!$D$4</definedName>
    <definedName name="Units">#REF!</definedName>
    <definedName name="UNZIPP">#REF!</definedName>
    <definedName name="uovh">#REF!</definedName>
    <definedName name="upbnkl">#REF!</definedName>
    <definedName name="USD_CE_03">#REF!</definedName>
    <definedName name="Util">#REF!</definedName>
    <definedName name="UtilitiesMonth">#REF!</definedName>
    <definedName name="UtilitiesYTD">#REF!</definedName>
    <definedName name="Utilization">#REF!</definedName>
    <definedName name="uyhgv">#REF!</definedName>
    <definedName name="uyhgv_1">#REF!</definedName>
    <definedName name="uyhgv_1_1">#REF!</definedName>
    <definedName name="uyhgv_1_2">#REF!</definedName>
    <definedName name="uyhgv_1_3">#REF!</definedName>
    <definedName name="uyhgv_1_4">#REF!</definedName>
    <definedName name="uyhgv_1_5">#REF!</definedName>
    <definedName name="uyhgv_2">#REF!</definedName>
    <definedName name="uyhgv_3">#REF!</definedName>
    <definedName name="uyhgv_4">#REF!</definedName>
    <definedName name="uyhgv_5">#REF!</definedName>
    <definedName name="uytr">#REF!</definedName>
    <definedName name="uytr_1">#REF!</definedName>
    <definedName name="uytr_1_1">#REF!</definedName>
    <definedName name="uytr_1_2">#REF!</definedName>
    <definedName name="uytr_1_3">#REF!</definedName>
    <definedName name="uytr_1_4">#REF!</definedName>
    <definedName name="uytr_1_5">#REF!</definedName>
    <definedName name="uytr_2">#REF!</definedName>
    <definedName name="uytr_3">#REF!</definedName>
    <definedName name="uytr_4">#REF!</definedName>
    <definedName name="uytr_5">#REF!</definedName>
    <definedName name="UYTRE">#REF!</definedName>
    <definedName name="UYTRE_1">#REF!</definedName>
    <definedName name="UYTRE_1_1">#REF!</definedName>
    <definedName name="UYTRE_1_2">#REF!</definedName>
    <definedName name="UYTRE_1_3">#REF!</definedName>
    <definedName name="UYTRE_1_4">#REF!</definedName>
    <definedName name="UYTRE_1_5">#REF!</definedName>
    <definedName name="UYTRE_2">#REF!</definedName>
    <definedName name="UYTRE_3">#REF!</definedName>
    <definedName name="UYTRE_4">#REF!</definedName>
    <definedName name="UYTRE_5">#REF!</definedName>
    <definedName name="v">#REF!</definedName>
    <definedName name="Vacancy_rate_as_vacant">#REF!</definedName>
    <definedName name="VacancyLoss">#REF!</definedName>
    <definedName name="Vacant">#REF!</definedName>
    <definedName name="VACAVILLE_LAND">#REF!</definedName>
    <definedName name="VAL_SUM">[1]VALUE2_1.XLS!#REF!</definedName>
    <definedName name="ValFinAsComp">#REF!</definedName>
    <definedName name="ValFinAsCompPSF">#REF!</definedName>
    <definedName name="ValuadAccPayable">'[11]Input Data'!$A$100:$A$101</definedName>
    <definedName name="ValuadAccRec">'[11]Input Data'!$A$74:$A$75</definedName>
    <definedName name="ValuadCOGS">'[11]Input Data'!$A$11:$A$12</definedName>
    <definedName name="ValuadInventory">'[11]Input Data'!$A$77:$A$78</definedName>
    <definedName name="ValuadPPE">'[11]Input Data'!$A$87:$A$88</definedName>
    <definedName name="ValuadSales">'[11]Input Data'!$A$8:$A$9</definedName>
    <definedName name="ValuadSGA">'[11]Input Data'!$A$14:$A$15</definedName>
    <definedName name="valuation">[1]VALUE2_1.XLS!#REF!</definedName>
    <definedName name="ValuationAdjustmentsOther">0</definedName>
    <definedName name="ValuationAdjustmentsValue">0</definedName>
    <definedName name="ValuationCellularValue">0</definedName>
    <definedName name="ValuationDebtAdjustment">0</definedName>
    <definedName name="ValuationDebtNet">0</definedName>
    <definedName name="ValuationDebtTotal">0</definedName>
    <definedName name="ValuationFirmValue">0</definedName>
    <definedName name="ValuationInvestments">0</definedName>
    <definedName name="ValuationMarketCapitalization">0</definedName>
    <definedName name="ValuationOtherValue">0</definedName>
    <definedName name="ValuationPagingValue">0</definedName>
    <definedName name="ValuationTelephoneValue">0</definedName>
    <definedName name="ValuationWirelessValue">0</definedName>
    <definedName name="ValueCapRate">#REF!</definedName>
    <definedName name="ValueCapRaternd">#REF!</definedName>
    <definedName name="ValueCost">#REF!</definedName>
    <definedName name="ValueCostInd">#REF!</definedName>
    <definedName name="ValueCostSF">#REF!</definedName>
    <definedName name="ValueDCF">#REF!</definedName>
    <definedName name="ValueEGIM">#REF!</definedName>
    <definedName name="ValueEGIMrnd">#REF!</definedName>
    <definedName name="ValueFin">#REF!</definedName>
    <definedName name="ValueFinAsIsUnit">#REF!</definedName>
    <definedName name="ValueFinCapRate">#REF!</definedName>
    <definedName name="ValueFinEGIM">#REF!</definedName>
    <definedName name="ValueFinPSF">#REF!</definedName>
    <definedName name="ValueInc">#REF!</definedName>
    <definedName name="ValueInsur">#REF!</definedName>
    <definedName name="ValueInsurrnd">#REF!</definedName>
    <definedName name="ValueLand">#REF!</definedName>
    <definedName name="ValueLandrnd">#REF!</definedName>
    <definedName name="ValueLandrndSF">#REF!</definedName>
    <definedName name="ValueLandrndUnit">#REF!</definedName>
    <definedName name="ValueLandSF">#REF!</definedName>
    <definedName name="ValueNOIUnit">#REF!</definedName>
    <definedName name="ValueNOIUnitrnd">#REF!</definedName>
    <definedName name="ValuePSF">#REF!</definedName>
    <definedName name="ValuePSFrnd">#REF!</definedName>
    <definedName name="ValuePUnit">#REF!</definedName>
    <definedName name="ValuePUnitrnd">#REF!</definedName>
    <definedName name="ValueSC">#REF!</definedName>
    <definedName name="ValueSCSF">#REF!</definedName>
    <definedName name="ValueSCUnit">#REF!</definedName>
    <definedName name="valuta_afk">[21]sheet1!$D$5</definedName>
    <definedName name="valuta_afkaf">[21]sheet1!$E$5</definedName>
    <definedName name="vc">#REF!</definedName>
    <definedName name="Vehicle_Color">#REF!</definedName>
    <definedName name="Vehicle_ID">#REF!</definedName>
    <definedName name="Vehicle_Model">#REF!</definedName>
    <definedName name="Vehicle_No">#REF!</definedName>
    <definedName name="Vehicle_Scheme">#REF!</definedName>
    <definedName name="Vehicle_Type">#REF!</definedName>
    <definedName name="VEVA">[1]VALUE2_1.XLS!#REF!</definedName>
    <definedName name="Viastar">#REF!</definedName>
    <definedName name="Viastar_1">#REF!</definedName>
    <definedName name="Viastar_2">#REF!</definedName>
    <definedName name="View">#REF!</definedName>
    <definedName name="VIN">#REF!</definedName>
    <definedName name="vj">#REF!</definedName>
    <definedName name="vv">#REF!</definedName>
    <definedName name="w">#REF!</definedName>
    <definedName name="w_1">#REF!</definedName>
    <definedName name="w_1_1">#REF!</definedName>
    <definedName name="w_1_2">#REF!</definedName>
    <definedName name="w_1_3">#REF!</definedName>
    <definedName name="w_1_4">#REF!</definedName>
    <definedName name="w_1_5">#REF!</definedName>
    <definedName name="w_2">#REF!</definedName>
    <definedName name="w_3">#REF!</definedName>
    <definedName name="w_4">#REF!</definedName>
    <definedName name="w_5">#REF!</definedName>
    <definedName name="WACC">[9]DCF!$J$6</definedName>
    <definedName name="WACC_Low">[9]DCF!#REF!</definedName>
    <definedName name="Warranty1">#REF!</definedName>
    <definedName name="WBS">#REF!</definedName>
    <definedName name="wdfg">#REF!</definedName>
    <definedName name="WDLND_BPII">#REF!</definedName>
    <definedName name="web">#REF!</definedName>
    <definedName name="web_1">#REF!</definedName>
    <definedName name="web_1_1">#REF!</definedName>
    <definedName name="web_1_2">#REF!</definedName>
    <definedName name="web_1_3">#REF!</definedName>
    <definedName name="web_1_4">#REF!</definedName>
    <definedName name="web_1_5">#REF!</definedName>
    <definedName name="web_2">#REF!</definedName>
    <definedName name="web_3">#REF!</definedName>
    <definedName name="web_4">#REF!</definedName>
    <definedName name="web_5">#REF!</definedName>
    <definedName name="Weekly_Payments_Amount">#REF!</definedName>
    <definedName name="Weekly_Payments_Due_in_Month">#REF!</definedName>
    <definedName name="Weekly_Rate">#REF!</definedName>
    <definedName name="WEF">#REF!</definedName>
    <definedName name="WEF_1">#REF!</definedName>
    <definedName name="WEF_1_1">#REF!</definedName>
    <definedName name="WEF_1_2">#REF!</definedName>
    <definedName name="WEF_1_3">#REF!</definedName>
    <definedName name="WEF_1_4">#REF!</definedName>
    <definedName name="WEF_1_5">#REF!</definedName>
    <definedName name="WEF_2">#REF!</definedName>
    <definedName name="WEF_3">#REF!</definedName>
    <definedName name="WEF_4">#REF!</definedName>
    <definedName name="WEF_5">#REF!</definedName>
    <definedName name="Weights">#REF!</definedName>
    <definedName name="werg">#REF!</definedName>
    <definedName name="werg_1">#REF!</definedName>
    <definedName name="werg_1_1">#REF!</definedName>
    <definedName name="werg_1_2">#REF!</definedName>
    <definedName name="werg_1_3">#REF!</definedName>
    <definedName name="werg_1_4">#REF!</definedName>
    <definedName name="werg_1_5">#REF!</definedName>
    <definedName name="werg_2">#REF!</definedName>
    <definedName name="werg_3">#REF!</definedName>
    <definedName name="werg_4">#REF!</definedName>
    <definedName name="werg_5">#REF!</definedName>
    <definedName name="wert">#REF!</definedName>
    <definedName name="wert_1">#REF!</definedName>
    <definedName name="wert_1_1">#REF!</definedName>
    <definedName name="wert_1_1_1">#REF!</definedName>
    <definedName name="wert_1_1_2">#REF!</definedName>
    <definedName name="wert_1_1_3">#REF!</definedName>
    <definedName name="wert_1_1_4">#REF!</definedName>
    <definedName name="wert_1_1_5">#REF!</definedName>
    <definedName name="wert_1_2">#REF!</definedName>
    <definedName name="wert_1_3">#REF!</definedName>
    <definedName name="wert_1_4">#REF!</definedName>
    <definedName name="wert_1_5">#REF!</definedName>
    <definedName name="wert_2">#REF!</definedName>
    <definedName name="wert_2_1">#REF!</definedName>
    <definedName name="wert_2_2">#REF!</definedName>
    <definedName name="wert_2_3">#REF!</definedName>
    <definedName name="wert_2_4">#REF!</definedName>
    <definedName name="wert_2_5">#REF!</definedName>
    <definedName name="wert_3">#REF!</definedName>
    <definedName name="wert_4">#REF!</definedName>
    <definedName name="wert_5">#REF!</definedName>
    <definedName name="werth">#REF!</definedName>
    <definedName name="werth_1">#REF!</definedName>
    <definedName name="werth_1_1">#REF!</definedName>
    <definedName name="werth_1_2">#REF!</definedName>
    <definedName name="werth_1_3">#REF!</definedName>
    <definedName name="werth_1_4">#REF!</definedName>
    <definedName name="werth_1_5">#REF!</definedName>
    <definedName name="werth_2">#REF!</definedName>
    <definedName name="werth_3">#REF!</definedName>
    <definedName name="werth_4">#REF!</definedName>
    <definedName name="werth_5">#REF!</definedName>
    <definedName name="WESTERN_CARRIER">#REF!</definedName>
    <definedName name="weth">#REF!</definedName>
    <definedName name="weth_1">#REF!</definedName>
    <definedName name="weth_1_1">#REF!</definedName>
    <definedName name="weth_1_2">#REF!</definedName>
    <definedName name="weth_1_3">#REF!</definedName>
    <definedName name="weth_1_4">#REF!</definedName>
    <definedName name="weth_1_5">#REF!</definedName>
    <definedName name="weth_2">#REF!</definedName>
    <definedName name="weth_3">#REF!</definedName>
    <definedName name="weth_4">#REF!</definedName>
    <definedName name="weth_5">#REF!</definedName>
    <definedName name="whatever">#REF!</definedName>
    <definedName name="whatever_1">#REF!</definedName>
    <definedName name="whatever_1_1">#REF!</definedName>
    <definedName name="whatever_1_2">#REF!</definedName>
    <definedName name="whatever_1_3">#REF!</definedName>
    <definedName name="whatever_1_4">#REF!</definedName>
    <definedName name="whatever_1_5">#REF!</definedName>
    <definedName name="whatever_2">#REF!</definedName>
    <definedName name="whatever_3">#REF!</definedName>
    <definedName name="whatever_4">#REF!</definedName>
    <definedName name="whatever_5">#REF!</definedName>
    <definedName name="whatsthis">#REF!</definedName>
    <definedName name="whatsthis_1">#REF!</definedName>
    <definedName name="whatsthis_1_1">#REF!</definedName>
    <definedName name="whatsthis_1_2">#REF!</definedName>
    <definedName name="whatsthis_1_3">#REF!</definedName>
    <definedName name="whatsthis_1_4">#REF!</definedName>
    <definedName name="whatsthis_1_5">#REF!</definedName>
    <definedName name="whatsthis_2">#REF!</definedName>
    <definedName name="whatsthis_3">#REF!</definedName>
    <definedName name="whatsthis_4">#REF!</definedName>
    <definedName name="whatsthis_5">#REF!</definedName>
    <definedName name="wiop">[7]!wiop</definedName>
    <definedName name="wkd">#REF!</definedName>
    <definedName name="wnn">#REF!</definedName>
    <definedName name="wnnn">#REF!</definedName>
    <definedName name="wns">#REF!</definedName>
    <definedName name="WOODLAND_BP">#REF!</definedName>
    <definedName name="WORKING">[1]VALUE2_1.XLS!#REF!</definedName>
    <definedName name="wpw">#REF!</definedName>
    <definedName name="wqe">#REF!</definedName>
    <definedName name="wqfges">#REF!</definedName>
    <definedName name="wqfges_1">#REF!</definedName>
    <definedName name="wqfges_1_1">#REF!</definedName>
    <definedName name="wqfges_1_2">#REF!</definedName>
    <definedName name="wqfges_1_3">#REF!</definedName>
    <definedName name="wqfges_1_4">#REF!</definedName>
    <definedName name="wqfges_1_5">#REF!</definedName>
    <definedName name="wqfges_2">#REF!</definedName>
    <definedName name="wqfges_3">#REF!</definedName>
    <definedName name="wqfges_4">#REF!</definedName>
    <definedName name="wqfges_5">#REF!</definedName>
    <definedName name="wqwqwwq">[7]!wqwqwwq</definedName>
    <definedName name="wrd.2._.pagers.3">#REF!</definedName>
    <definedName name="wret">#REF!</definedName>
    <definedName name="wret_1">#REF!</definedName>
    <definedName name="wret_1_1">#REF!</definedName>
    <definedName name="wret_1_2">#REF!</definedName>
    <definedName name="wret_1_3">#REF!</definedName>
    <definedName name="wret_1_4">#REF!</definedName>
    <definedName name="wret_1_5">#REF!</definedName>
    <definedName name="wret_2">#REF!</definedName>
    <definedName name="wret_3">#REF!</definedName>
    <definedName name="wret_4">#REF!</definedName>
    <definedName name="wret_5">#REF!</definedName>
    <definedName name="wrg">#REF!</definedName>
    <definedName name="wrg_1">#REF!</definedName>
    <definedName name="wrg_1_1">#REF!</definedName>
    <definedName name="wrg_1_2">#REF!</definedName>
    <definedName name="wrg_1_3">#REF!</definedName>
    <definedName name="wrg_1_4">#REF!</definedName>
    <definedName name="wrg_1_5">#REF!</definedName>
    <definedName name="wrg_2">#REF!</definedName>
    <definedName name="wrg_3">#REF!</definedName>
    <definedName name="wrg_4">#REF!</definedName>
    <definedName name="wrg_5">#REF!</definedName>
    <definedName name="wrn">#REF!</definedName>
    <definedName name="wrn.1.">#REF!</definedName>
    <definedName name="wrn.1._1">#REF!</definedName>
    <definedName name="wrn.1._1_1">#REF!</definedName>
    <definedName name="wrn.1._1_2">#REF!</definedName>
    <definedName name="wrn.1._1_3">#REF!</definedName>
    <definedName name="wrn.1._1_4">#REF!</definedName>
    <definedName name="wrn.1._1_5">#REF!</definedName>
    <definedName name="wrn.1._2">#REF!</definedName>
    <definedName name="wrn.1._3">#REF!</definedName>
    <definedName name="wrn.1._4">#REF!</definedName>
    <definedName name="wrn.1._5">#REF!</definedName>
    <definedName name="wrn.10.">#REF!</definedName>
    <definedName name="wrn.101.">#REF!</definedName>
    <definedName name="wrn.11.">#REF!</definedName>
    <definedName name="wrn.111RPT._.AND._.BOARD._.PACKG.">#REF!</definedName>
    <definedName name="wrn.12.">#REF!</definedName>
    <definedName name="wrn.120W45.">#REF!</definedName>
    <definedName name="wrn.13.">#REF!</definedName>
    <definedName name="wrn.14.">#REF!</definedName>
    <definedName name="wrn.15.">#REF!</definedName>
    <definedName name="wrn.16.">#REF!</definedName>
    <definedName name="wrn.17.">#REF!</definedName>
    <definedName name="wrn.18.">#REF!</definedName>
    <definedName name="wrn.19.">#REF!</definedName>
    <definedName name="wrn.1998._.Budget.">#REF!</definedName>
    <definedName name="wrn.1998._.IPO._.Update.">#REF!</definedName>
    <definedName name="wrn.1st._.Quarter.">#REF!</definedName>
    <definedName name="wrn.1st._.Quarter._1">#REF!</definedName>
    <definedName name="wrn.1st._.Quarter._1_1">#REF!</definedName>
    <definedName name="wrn.1st._.Quarter._1_1_1">#REF!</definedName>
    <definedName name="wrn.1st._.Quarter._1_1_2">#REF!</definedName>
    <definedName name="wrn.1st._.Quarter._1_1_3">#REF!</definedName>
    <definedName name="wrn.1st._.Quarter._1_1_4">#REF!</definedName>
    <definedName name="wrn.1st._.Quarter._1_1_5">#REF!</definedName>
    <definedName name="wrn.1st._.Quarter._1_2">#REF!</definedName>
    <definedName name="wrn.1st._.Quarter._1_3">#REF!</definedName>
    <definedName name="wrn.1st._.Quarter._1_4">#REF!</definedName>
    <definedName name="wrn.1st._.Quarter._1_5">#REF!</definedName>
    <definedName name="wrn.1st._.Quarter._2">#REF!</definedName>
    <definedName name="wrn.1st._.Quarter._2_1">#REF!</definedName>
    <definedName name="wrn.1st._.Quarter._2_2">#REF!</definedName>
    <definedName name="wrn.1st._.Quarter._2_3">#REF!</definedName>
    <definedName name="wrn.1st._.Quarter._2_4">#REF!</definedName>
    <definedName name="wrn.1st._.Quarter._2_5">#REF!</definedName>
    <definedName name="wrn.1st._.Quarter._3">#REF!</definedName>
    <definedName name="wrn.1st._.Quarter._4">#REF!</definedName>
    <definedName name="wrn.1st._.Quarter._5">#REF!</definedName>
    <definedName name="wrn.2.">#REF!</definedName>
    <definedName name="wrn.2._.pagers.">#REF!</definedName>
    <definedName name="wrn.2._.pagers.2">#REF!</definedName>
    <definedName name="WRN.2._1">#REF!</definedName>
    <definedName name="WRN.2._1_1">#REF!</definedName>
    <definedName name="WRN.2._1_2">#REF!</definedName>
    <definedName name="WRN.2._1_3">#REF!</definedName>
    <definedName name="WRN.2._1_4">#REF!</definedName>
    <definedName name="WRN.2._1_5">#REF!</definedName>
    <definedName name="WRN.2._2">#REF!</definedName>
    <definedName name="WRN.2._3">#REF!</definedName>
    <definedName name="WRN.2._4">#REF!</definedName>
    <definedName name="WRN.2._5">#REF!</definedName>
    <definedName name="wrn.20.">#REF!</definedName>
    <definedName name="wrn.21.">#REF!</definedName>
    <definedName name="wrn.22.">#REF!</definedName>
    <definedName name="wrn.23.">#REF!</definedName>
    <definedName name="wrn.24.">#REF!</definedName>
    <definedName name="wrn.25.">#REF!</definedName>
    <definedName name="wrn.26.">#REF!</definedName>
    <definedName name="wrn.27.">#REF!</definedName>
    <definedName name="wrn.275PricingBook.">#REF!</definedName>
    <definedName name="wrn.275Schedulles.">#REF!</definedName>
    <definedName name="wrn.28.">#REF!</definedName>
    <definedName name="wrn.29.">#REF!</definedName>
    <definedName name="wrn.2nd._.Quarter.">#REF!</definedName>
    <definedName name="wrn.2nd._.Quarter._1">#REF!</definedName>
    <definedName name="wrn.2nd._.Quarter._1_1">#REF!</definedName>
    <definedName name="wrn.2nd._.Quarter._1_1_1">#REF!</definedName>
    <definedName name="wrn.2nd._.Quarter._1_1_2">#REF!</definedName>
    <definedName name="wrn.2nd._.Quarter._1_1_3">#REF!</definedName>
    <definedName name="wrn.2nd._.Quarter._1_1_4">#REF!</definedName>
    <definedName name="wrn.2nd._.Quarter._1_1_5">#REF!</definedName>
    <definedName name="wrn.2nd._.Quarter._1_2">#REF!</definedName>
    <definedName name="wrn.2nd._.Quarter._1_3">#REF!</definedName>
    <definedName name="wrn.2nd._.Quarter._1_4">#REF!</definedName>
    <definedName name="wrn.2nd._.Quarter._1_5">#REF!</definedName>
    <definedName name="wrn.2nd._.Quarter._2">#REF!</definedName>
    <definedName name="wrn.2nd._.Quarter._2_1">#REF!</definedName>
    <definedName name="wrn.2nd._.Quarter._2_2">#REF!</definedName>
    <definedName name="wrn.2nd._.Quarter._2_3">#REF!</definedName>
    <definedName name="wrn.2nd._.Quarter._2_4">#REF!</definedName>
    <definedName name="wrn.2nd._.Quarter._2_5">#REF!</definedName>
    <definedName name="wrn.2nd._.Quarter._3">#REF!</definedName>
    <definedName name="wrn.2nd._.Quarter._4">#REF!</definedName>
    <definedName name="wrn.2nd._.Quarter._5">#REF!</definedName>
    <definedName name="wrn.3.">#REF!</definedName>
    <definedName name="wrn.30.">#REF!</definedName>
    <definedName name="wrn.31.">#REF!</definedName>
    <definedName name="wrn.32.">#REF!</definedName>
    <definedName name="wrn.33.">#REF!</definedName>
    <definedName name="wrn.34.">#REF!</definedName>
    <definedName name="wrn.35.">#REF!</definedName>
    <definedName name="wrn.36.">#REF!</definedName>
    <definedName name="wrn.37.">#REF!</definedName>
    <definedName name="wrn.38.">#REF!</definedName>
    <definedName name="wrn.39.">#REF!</definedName>
    <definedName name="wrn.399.">#REF!</definedName>
    <definedName name="wrn.3rd._.Quarter.">#REF!</definedName>
    <definedName name="wrn.3rd._.Quarter._1">#REF!</definedName>
    <definedName name="wrn.3rd._.Quarter._1_1">#REF!</definedName>
    <definedName name="wrn.3rd._.Quarter._1_1_1">#REF!</definedName>
    <definedName name="wrn.3rd._.Quarter._1_1_2">#REF!</definedName>
    <definedName name="wrn.3rd._.Quarter._1_1_3">#REF!</definedName>
    <definedName name="wrn.3rd._.Quarter._1_1_4">#REF!</definedName>
    <definedName name="wrn.3rd._.Quarter._1_1_5">#REF!</definedName>
    <definedName name="wrn.3rd._.Quarter._1_2">#REF!</definedName>
    <definedName name="wrn.3rd._.Quarter._1_3">#REF!</definedName>
    <definedName name="wrn.3rd._.Quarter._1_4">#REF!</definedName>
    <definedName name="wrn.3rd._.Quarter._1_5">#REF!</definedName>
    <definedName name="wrn.3rd._.Quarter._2">#REF!</definedName>
    <definedName name="wrn.3rd._.Quarter._2_1">#REF!</definedName>
    <definedName name="wrn.3rd._.Quarter._2_2">#REF!</definedName>
    <definedName name="wrn.3rd._.Quarter._2_3">#REF!</definedName>
    <definedName name="wrn.3rd._.Quarter._2_4">#REF!</definedName>
    <definedName name="wrn.3rd._.Quarter._2_5">#REF!</definedName>
    <definedName name="wrn.3rd._.Quarter._3">#REF!</definedName>
    <definedName name="wrn.3rd._.Quarter._4">#REF!</definedName>
    <definedName name="wrn.3rd._.Quarter._5">#REF!</definedName>
    <definedName name="wrn.4.">#REF!</definedName>
    <definedName name="wrn.40.">#REF!</definedName>
    <definedName name="wrn.41.">#REF!</definedName>
    <definedName name="wrn.42.">#REF!</definedName>
    <definedName name="wrn.43.">#REF!</definedName>
    <definedName name="wrn.44.">#REF!</definedName>
    <definedName name="wrn.45.">#REF!</definedName>
    <definedName name="wrn.46.">#REF!</definedName>
    <definedName name="wrn.47.">#REF!</definedName>
    <definedName name="wrn.48.">#REF!</definedName>
    <definedName name="wrn.49.">#REF!</definedName>
    <definedName name="wrn.4th._.Quarter.">#REF!</definedName>
    <definedName name="wrn.4th._.Quarter._1">#REF!</definedName>
    <definedName name="wrn.4th._.Quarter._1_1">#REF!</definedName>
    <definedName name="wrn.4th._.Quarter._1_1_1">#REF!</definedName>
    <definedName name="wrn.4th._.Quarter._1_1_2">#REF!</definedName>
    <definedName name="wrn.4th._.Quarter._1_1_3">#REF!</definedName>
    <definedName name="wrn.4th._.Quarter._1_1_4">#REF!</definedName>
    <definedName name="wrn.4th._.Quarter._1_1_5">#REF!</definedName>
    <definedName name="wrn.4th._.Quarter._1_2">#REF!</definedName>
    <definedName name="wrn.4th._.Quarter._1_3">#REF!</definedName>
    <definedName name="wrn.4th._.Quarter._1_4">#REF!</definedName>
    <definedName name="wrn.4th._.Quarter._1_5">#REF!</definedName>
    <definedName name="wrn.4th._.Quarter._2">#REF!</definedName>
    <definedName name="wrn.4th._.Quarter._2_1">#REF!</definedName>
    <definedName name="wrn.4th._.Quarter._2_2">#REF!</definedName>
    <definedName name="wrn.4th._.Quarter._2_3">#REF!</definedName>
    <definedName name="wrn.4th._.Quarter._2_4">#REF!</definedName>
    <definedName name="wrn.4th._.Quarter._2_5">#REF!</definedName>
    <definedName name="wrn.4th._.Quarter._3">#REF!</definedName>
    <definedName name="wrn.4th._.Quarter._4">#REF!</definedName>
    <definedName name="wrn.4th._.Quarter._5">#REF!</definedName>
    <definedName name="wrn.5.">#REF!</definedName>
    <definedName name="wrn.50.">#REF!</definedName>
    <definedName name="wrn.50._.50.">#REF!</definedName>
    <definedName name="wrn.50._.50._1">#REF!</definedName>
    <definedName name="wrn.50._.50._1_1">#REF!</definedName>
    <definedName name="wrn.50._.50._1_2">#REF!</definedName>
    <definedName name="wrn.50._.50._1_3">#REF!</definedName>
    <definedName name="wrn.50._.50._1_4">#REF!</definedName>
    <definedName name="wrn.50._.50._1_5">#REF!</definedName>
    <definedName name="wrn.50._.50._2">#REF!</definedName>
    <definedName name="wrn.50._.50._3">#REF!</definedName>
    <definedName name="wrn.50._.50._4">#REF!</definedName>
    <definedName name="wrn.50._.50._5">#REF!</definedName>
    <definedName name="wrn.51.">#REF!</definedName>
    <definedName name="wrn.52.">#REF!</definedName>
    <definedName name="wrn.53.">#REF!</definedName>
    <definedName name="wrn.54.">#REF!</definedName>
    <definedName name="wrn.55.">#REF!</definedName>
    <definedName name="wrn.56.">#REF!</definedName>
    <definedName name="wrn.57.">#REF!</definedName>
    <definedName name="wrn.58.">#REF!</definedName>
    <definedName name="wrn.59.">#REF!</definedName>
    <definedName name="wrn.6.">#REF!</definedName>
    <definedName name="wrn.60.">#REF!</definedName>
    <definedName name="wrn.61.">#REF!</definedName>
    <definedName name="wrn.62.">#REF!</definedName>
    <definedName name="wrn.63.">#REF!</definedName>
    <definedName name="wrn.64.">#REF!</definedName>
    <definedName name="wrn.65.">#REF!</definedName>
    <definedName name="wrn.66.">#REF!</definedName>
    <definedName name="wrn.67.">#REF!</definedName>
    <definedName name="wrn.68.">#REF!</definedName>
    <definedName name="wrn.69.">#REF!</definedName>
    <definedName name="wrn.7.">#REF!</definedName>
    <definedName name="wrn.7._.year.">#REF!</definedName>
    <definedName name="wrn.70.">#REF!</definedName>
    <definedName name="wrn.71.">#REF!</definedName>
    <definedName name="wrn.72.">#REF!</definedName>
    <definedName name="wrn.8.">#REF!</definedName>
    <definedName name="wrn.9.">#REF!</definedName>
    <definedName name="wrn.92264.">#REF!</definedName>
    <definedName name="wrn.95PROV.">#REF!</definedName>
    <definedName name="wrn.95PROV._1">#REF!</definedName>
    <definedName name="wrn.95PROV._1_1">#REF!</definedName>
    <definedName name="wrn.95PROV._1_2">#REF!</definedName>
    <definedName name="wrn.95PROV._1_3">#REF!</definedName>
    <definedName name="wrn.95PROV._1_4">#REF!</definedName>
    <definedName name="wrn.95PROV._1_5">#REF!</definedName>
    <definedName name="wrn.95PROV._2">#REF!</definedName>
    <definedName name="wrn.95PROV._3">#REF!</definedName>
    <definedName name="wrn.95PROV._4">#REF!</definedName>
    <definedName name="wrn.95PROV._5">#REF!</definedName>
    <definedName name="wrn.Accretion.">#REF!</definedName>
    <definedName name="wrn.ACHESON94TAXRETURN.">#REF!</definedName>
    <definedName name="wrn.Additonal.">#REF!</definedName>
    <definedName name="wrn.AFR200.">#REF!</definedName>
    <definedName name="wrn.Aging._.and._.Trend._.Analysis.">#REF!</definedName>
    <definedName name="wrn.Aging._.and._.Trend._.Analysis._1">#REF!</definedName>
    <definedName name="wrn.Aging._.and._.Trend._.Analysis._1_1">#REF!</definedName>
    <definedName name="wrn.Aging._.and._.Trend._.Analysis._1_2">#REF!</definedName>
    <definedName name="wrn.Aging._.and._.Trend._.Analysis._1_3">#REF!</definedName>
    <definedName name="wrn.Aging._.and._.Trend._.Analysis._1_4">#REF!</definedName>
    <definedName name="wrn.Aging._.and._.Trend._.Analysis._1_5">#REF!</definedName>
    <definedName name="wrn.Aging._.and._.Trend._.Analysis._2">#REF!</definedName>
    <definedName name="wrn.Aging._.and._.Trend._.Analysis._3">#REF!</definedName>
    <definedName name="wrn.Aging._.and._.Trend._.Analysis._4">#REF!</definedName>
    <definedName name="wrn.Aging._.and._.Trend._.Analysis._5">#REF!</definedName>
    <definedName name="wrn.Aging._.and._.Trend._.Analysis._6">#REF!</definedName>
    <definedName name="wrn.Aging._.and_.Trend._.Analysis._4">#REF!</definedName>
    <definedName name="wrn.Aging._and._.Trend._.Analysis">#REF!</definedName>
    <definedName name="wrn.All.">#REF!</definedName>
    <definedName name="wrn.ALL._....original.">#REF!</definedName>
    <definedName name="wrn.ALL._....original._1">#REF!</definedName>
    <definedName name="wrn.ALL._....original._1_1">#REF!</definedName>
    <definedName name="wrn.ALL._....original._1_1_1">#REF!</definedName>
    <definedName name="wrn.ALL._....original._1_1_2">#REF!</definedName>
    <definedName name="wrn.ALL._....original._1_1_3">#REF!</definedName>
    <definedName name="wrn.ALL._....original._1_1_4">#REF!</definedName>
    <definedName name="wrn.ALL._....original._1_1_5">#REF!</definedName>
    <definedName name="wrn.ALL._....original._1_2">#REF!</definedName>
    <definedName name="wrn.ALL._....original._1_3">#REF!</definedName>
    <definedName name="wrn.ALL._....original._1_4">#REF!</definedName>
    <definedName name="wrn.ALL._....original._1_5">#REF!</definedName>
    <definedName name="wrn.ALL._....original._2">#REF!</definedName>
    <definedName name="wrn.ALL._....original._2_1">#REF!</definedName>
    <definedName name="wrn.ALL._....original._2_2">#REF!</definedName>
    <definedName name="wrn.ALL._....original._2_3">#REF!</definedName>
    <definedName name="wrn.ALL._....original._2_4">#REF!</definedName>
    <definedName name="wrn.ALL._....original._2_5">#REF!</definedName>
    <definedName name="wrn.ALL._....original._3">#REF!</definedName>
    <definedName name="wrn.ALL._....original._4">#REF!</definedName>
    <definedName name="wrn.ALL._....original._5">#REF!</definedName>
    <definedName name="wrn.all._.comps.">#REF!</definedName>
    <definedName name="wrn.all._.comps._1">#REF!</definedName>
    <definedName name="wrn.all._.comps._1_1">#REF!</definedName>
    <definedName name="wrn.all._.comps._1_2">#REF!</definedName>
    <definedName name="wrn.all._.comps._1_3">#REF!</definedName>
    <definedName name="wrn.all._.comps._1_4">#REF!</definedName>
    <definedName name="wrn.all._.comps._1_5">#REF!</definedName>
    <definedName name="wrn.all._.comps._2">#REF!</definedName>
    <definedName name="wrn.all._.comps._3">#REF!</definedName>
    <definedName name="wrn.all._.comps._4">#REF!</definedName>
    <definedName name="wrn.all._.comps._5">#REF!</definedName>
    <definedName name="wrn.All._.Countries.">#REF!</definedName>
    <definedName name="wrn.All._.Countries._1">#REF!</definedName>
    <definedName name="wrn.All._.Countries._1_1">#REF!</definedName>
    <definedName name="wrn.All._.Countries._1_2">#REF!</definedName>
    <definedName name="wrn.All._.Countries._1_3">#REF!</definedName>
    <definedName name="wrn.All._.Countries._1_4">#REF!</definedName>
    <definedName name="wrn.All._.Countries._1_5">#REF!</definedName>
    <definedName name="wrn.All._.Countries._2">#REF!</definedName>
    <definedName name="wrn.All._.Countries._3">#REF!</definedName>
    <definedName name="wrn.All._.Countries._4">#REF!</definedName>
    <definedName name="wrn.All._.Countries._5">#REF!</definedName>
    <definedName name="wrn.All._.First._.Pass._.Schedules.">#REF!</definedName>
    <definedName name="wrn.All._.First._.Pass._.Schedules._1">#REF!</definedName>
    <definedName name="wrn.All._.First._.Pass._.Schedules._2">#REF!</definedName>
    <definedName name="wrn.All._.pages.">#REF!</definedName>
    <definedName name="wrn.All._.pages._1">#REF!</definedName>
    <definedName name="wrn.All._.pages._1_1">#REF!</definedName>
    <definedName name="wrn.All._.pages._1_2">#REF!</definedName>
    <definedName name="wrn.All._.pages._1_3">#REF!</definedName>
    <definedName name="wrn.All._.pages._1_4">#REF!</definedName>
    <definedName name="wrn.All._.pages._1_5">#REF!</definedName>
    <definedName name="wrn.All._.pages._2">#REF!</definedName>
    <definedName name="wrn.All._.pages._3">#REF!</definedName>
    <definedName name="wrn.All._.pages._4">#REF!</definedName>
    <definedName name="wrn.All._.pages._5">#REF!</definedName>
    <definedName name="wrn.All._.Reports.">#REF!</definedName>
    <definedName name="wrn.All._.Schedules.">#REF!</definedName>
    <definedName name="wrn.All._.Schedules._1">#REF!</definedName>
    <definedName name="wrn.All._.Schedules._2">#REF!</definedName>
    <definedName name="wrn.All._.Sheets.">#REF!</definedName>
    <definedName name="wrn.ALL._1">#REF!</definedName>
    <definedName name="wrn.ALL._1_1">#REF!</definedName>
    <definedName name="wrn.ALL._1_1_1">#REF!</definedName>
    <definedName name="wrn.ALL._1_1_2">#REF!</definedName>
    <definedName name="wrn.ALL._1_1_3">#REF!</definedName>
    <definedName name="wrn.ALL._1_1_4">#REF!</definedName>
    <definedName name="wrn.ALL._1_1_5">#REF!</definedName>
    <definedName name="wrn.ALL._1_2">#REF!</definedName>
    <definedName name="wrn.ALL._1_3">#REF!</definedName>
    <definedName name="wrn.ALL._1_4">#REF!</definedName>
    <definedName name="wrn.ALL._1_5">#REF!</definedName>
    <definedName name="wrn.ALL._2">#REF!</definedName>
    <definedName name="wrn.ALL._2_1">#REF!</definedName>
    <definedName name="wrn.ALL._2_2">#REF!</definedName>
    <definedName name="wrn.ALL._2_3">#REF!</definedName>
    <definedName name="wrn.ALL._2_4">#REF!</definedName>
    <definedName name="wrn.ALL._2_5">#REF!</definedName>
    <definedName name="wrn.ALL._3">#REF!</definedName>
    <definedName name="wrn.ALL._4">#REF!</definedName>
    <definedName name="wrn.ALL._5">#REF!</definedName>
    <definedName name="wrn.all_pages_PandL.">#REF!</definedName>
    <definedName name="wrn.allpages.">#REF!</definedName>
    <definedName name="wrn.AMTNOL.">#REF!</definedName>
    <definedName name="wrn.AMTNOL._1">#REF!</definedName>
    <definedName name="wrn.AMTNOL._1_1">#REF!</definedName>
    <definedName name="wrn.AMTNOL._1_2">#REF!</definedName>
    <definedName name="wrn.AMTNOL._1_3">#REF!</definedName>
    <definedName name="wrn.AMTNOL._1_4">#REF!</definedName>
    <definedName name="wrn.AMTNOL._1_5">#REF!</definedName>
    <definedName name="wrn.AMTNOL._2">#REF!</definedName>
    <definedName name="wrn.AMTNOL._3">#REF!</definedName>
    <definedName name="wrn.AMTNOL._4">#REF!</definedName>
    <definedName name="wrn.AMTNOL._5">#REF!</definedName>
    <definedName name="wrn.Annual.">#REF!</definedName>
    <definedName name="wrn.Annual._.Report.">#REF!</definedName>
    <definedName name="wrn.Annual._.Summary.">#REF!</definedName>
    <definedName name="wrn.Appraisal.">#REF!</definedName>
    <definedName name="wrn.Appraisal._.2.">#REF!</definedName>
    <definedName name="wrn.Appraisal._.3.">#REF!</definedName>
    <definedName name="wrn.Arena._.PCD.">#REF!</definedName>
    <definedName name="wrn.assumptions.">#REF!</definedName>
    <definedName name="wrn.assumptions._1">#REF!</definedName>
    <definedName name="wrn.assumptions._1_1">#REF!</definedName>
    <definedName name="wrn.assumptions._1_2">#REF!</definedName>
    <definedName name="wrn.assumptions._1_3">#REF!</definedName>
    <definedName name="wrn.assumptions._1_4">#REF!</definedName>
    <definedName name="wrn.assumptions._1_5">#REF!</definedName>
    <definedName name="wrn.assumptions._2">#REF!</definedName>
    <definedName name="wrn.assumptions._3">#REF!</definedName>
    <definedName name="wrn.assumptions._4">#REF!</definedName>
    <definedName name="wrn.assumptions._5">#REF!</definedName>
    <definedName name="wrn.audit._.adjustments.">#REF!</definedName>
    <definedName name="wrn.audit._.adjustments._1">#REF!</definedName>
    <definedName name="wrn.audit._.adjustments._1_1">#REF!</definedName>
    <definedName name="wrn.audit._.adjustments._1_2">#REF!</definedName>
    <definedName name="wrn.audit._.adjustments._1_3">#REF!</definedName>
    <definedName name="wrn.audit._.adjustments._1_4">#REF!</definedName>
    <definedName name="wrn.audit._.adjustments._1_5">#REF!</definedName>
    <definedName name="wrn.audit._.adjustments._2">#REF!</definedName>
    <definedName name="wrn.audit._.adjustments._3">#REF!</definedName>
    <definedName name="wrn.audit._.adjustments._4">#REF!</definedName>
    <definedName name="wrn.audit._.adjustments._5">#REF!</definedName>
    <definedName name="wrn.away.">#REF!</definedName>
    <definedName name="wrn.away._1">#REF!</definedName>
    <definedName name="wrn.away._1_1">#REF!</definedName>
    <definedName name="wrn.away._1_2">#REF!</definedName>
    <definedName name="wrn.away._1_3">#REF!</definedName>
    <definedName name="wrn.away._1_4">#REF!</definedName>
    <definedName name="wrn.away._1_5">#REF!</definedName>
    <definedName name="wrn.away._2">#REF!</definedName>
    <definedName name="wrn.away._3">#REF!</definedName>
    <definedName name="wrn.away._4">#REF!</definedName>
    <definedName name="wrn.away._5">#REF!</definedName>
    <definedName name="wrn.Backup.">#REF!</definedName>
    <definedName name="wrn.balance._.sheet.">#REF!</definedName>
    <definedName name="wrn.Balance._.Sheet._.Qtr._.Workbook.">#REF!</definedName>
    <definedName name="wrn.balance._.sheet._1">#REF!</definedName>
    <definedName name="wrn.balance._.sheet._1_1">#REF!</definedName>
    <definedName name="wrn.balance._.sheet._1_2">#REF!</definedName>
    <definedName name="wrn.balance._.sheet._1_3">#REF!</definedName>
    <definedName name="wrn.balance._.sheet._1_4">#REF!</definedName>
    <definedName name="wrn.balance._.sheet._1_5">#REF!</definedName>
    <definedName name="wrn.balance._.sheet._2">#REF!</definedName>
    <definedName name="wrn.balance._.sheet._3">#REF!</definedName>
    <definedName name="wrn.balance._.sheet._4">#REF!</definedName>
    <definedName name="wrn.balance._.sheet._5">#REF!</definedName>
    <definedName name="wrn.Base_Middle_Drivers.">#REF!</definedName>
    <definedName name="wrn.Basic.">#REF!</definedName>
    <definedName name="wrn.BasicModel.">#REF!</definedName>
    <definedName name="wrn.BasicModel._1">#REF!</definedName>
    <definedName name="wrn.BasicModel._1_1">#REF!</definedName>
    <definedName name="wrn.BasicModel._1_2">#REF!</definedName>
    <definedName name="wrn.BasicModel._1_3">#REF!</definedName>
    <definedName name="wrn.BasicModel._1_4">#REF!</definedName>
    <definedName name="wrn.BasicModel._1_5">#REF!</definedName>
    <definedName name="wrn.BasicModel._2">#REF!</definedName>
    <definedName name="wrn.BasicModel._3">#REF!</definedName>
    <definedName name="wrn.BasicModel._4">#REF!</definedName>
    <definedName name="wrn.BasicModel._5">#REF!</definedName>
    <definedName name="wrn.BCG._.All._.Periods.">#REF!</definedName>
    <definedName name="wrn.BCG._.All._.Periods._1">#REF!</definedName>
    <definedName name="wrn.BCG._.All._.Periods._1_1">#REF!</definedName>
    <definedName name="wrn.BCG._.All._.Periods._1_1_1">#REF!</definedName>
    <definedName name="wrn.BCG._.All._.Periods._1_1_2">#REF!</definedName>
    <definedName name="wrn.BCG._.All._.Periods._1_1_3">#REF!</definedName>
    <definedName name="wrn.BCG._.All._.Periods._1_1_4">#REF!</definedName>
    <definedName name="wrn.BCG._.All._.Periods._1_1_5">#REF!</definedName>
    <definedName name="wrn.BCG._.All._.Periods._1_2">#REF!</definedName>
    <definedName name="wrn.BCG._.All._.Periods._1_3">#REF!</definedName>
    <definedName name="wrn.BCG._.All._.Periods._1_4">#REF!</definedName>
    <definedName name="wrn.BCG._.All._.Periods._1_5">#REF!</definedName>
    <definedName name="wrn.BCG._.All._.Periods._2">#REF!</definedName>
    <definedName name="wrn.BCG._.All._.Periods._2_1">#REF!</definedName>
    <definedName name="wrn.BCG._.All._.Periods._2_2">#REF!</definedName>
    <definedName name="wrn.BCG._.All._.Periods._2_3">#REF!</definedName>
    <definedName name="wrn.BCG._.All._.Periods._2_4">#REF!</definedName>
    <definedName name="wrn.BCG._.All._.Periods._2_5">#REF!</definedName>
    <definedName name="wrn.BCG._.All._.Periods._3">#REF!</definedName>
    <definedName name="wrn.BCG._.All._.Periods._4">#REF!</definedName>
    <definedName name="wrn.BCG._.All._.Periods._5">#REF!</definedName>
    <definedName name="wrn.BEAVERTON.">#REF!</definedName>
    <definedName name="wrn.BL94TAXRETURN.">#REF!</definedName>
    <definedName name="wrn.BlackWhite.">#REF!</definedName>
    <definedName name="wrn.Blue._.Book._.Sections.">#REF!</definedName>
    <definedName name="wrn.Board.">#REF!</definedName>
    <definedName name="wrn.BOARD._.PACK.">#REF!</definedName>
    <definedName name="wrn.Board._.Summary.">#REF!</definedName>
    <definedName name="wrn.Bonds.">#REF!</definedName>
    <definedName name="wrn.book.">#REF!</definedName>
    <definedName name="wrn.Breakout.">#REF!</definedName>
    <definedName name="wrn.Breakout._1">#REF!</definedName>
    <definedName name="wrn.Breakout._2">#REF!</definedName>
    <definedName name="wrn.brian.">#REF!</definedName>
    <definedName name="wrn.brian._1">#REF!</definedName>
    <definedName name="wrn.brian._1_1">#REF!</definedName>
    <definedName name="wrn.brian._1_2">#REF!</definedName>
    <definedName name="wrn.brian._1_3">#REF!</definedName>
    <definedName name="wrn.brian._1_4">#REF!</definedName>
    <definedName name="wrn.brian._1_5">#REF!</definedName>
    <definedName name="wrn.brian._2">#REF!</definedName>
    <definedName name="wrn.brian._3">#REF!</definedName>
    <definedName name="wrn.brian._4">#REF!</definedName>
    <definedName name="wrn.brian._5">#REF!</definedName>
    <definedName name="wrn.BU.">#REF!</definedName>
    <definedName name="wrn.BUS._.RPT.">#REF!</definedName>
    <definedName name="wrn.BUS._.RPT._1">#REF!</definedName>
    <definedName name="wrn.BUS._.RPT._1_1">#REF!</definedName>
    <definedName name="wrn.BUS._.RPT._1_2">#REF!</definedName>
    <definedName name="wrn.BUS._.RPT._1_3">#REF!</definedName>
    <definedName name="wrn.BUS._.RPT._1_4">#REF!</definedName>
    <definedName name="wrn.BUS._.RPT._1_5">#REF!</definedName>
    <definedName name="wrn.BUS._.RPT._2">#REF!</definedName>
    <definedName name="wrn.BUS._.RPT._3">#REF!</definedName>
    <definedName name="wrn.BUS._.RPT._4">#REF!</definedName>
    <definedName name="wrn.BUS._.RPT._5">#REF!</definedName>
    <definedName name="wrn.CAPREIT.">#REF!</definedName>
    <definedName name="wrn.CAPREIT2">#REF!</definedName>
    <definedName name="wrn.cash.">#REF!</definedName>
    <definedName name="wrn.Cash._.Flow._.Analysis.">#REF!</definedName>
    <definedName name="wrn.Cash._.Flow._.and._.Matrix.">#REF!</definedName>
    <definedName name="wrn.CASH._.FLOWS._.ONLY.">#REF!</definedName>
    <definedName name="wrn.cash._.forecast.">#REF!</definedName>
    <definedName name="wrn.cash._.forecast._1">#REF!</definedName>
    <definedName name="wrn.cash._.forecast._1_1">#REF!</definedName>
    <definedName name="wrn.cash._.forecast._1_2">#REF!</definedName>
    <definedName name="wrn.cash._.forecast._1_3">#REF!</definedName>
    <definedName name="wrn.cash._.forecast._1_4">#REF!</definedName>
    <definedName name="wrn.cash._.forecast._1_5">#REF!</definedName>
    <definedName name="wrn.cash._.forecast._2">#REF!</definedName>
    <definedName name="wrn.cash._.forecast._3">#REF!</definedName>
    <definedName name="wrn.cash._.forecast._4">#REF!</definedName>
    <definedName name="wrn.cash._.forecast._5">#REF!</definedName>
    <definedName name="wrn.cash._1">#REF!</definedName>
    <definedName name="wrn.cash._1_1">#REF!</definedName>
    <definedName name="wrn.cash._1_2">#REF!</definedName>
    <definedName name="wrn.cash._1_3">#REF!</definedName>
    <definedName name="wrn.cash._1_4">#REF!</definedName>
    <definedName name="wrn.cash._1_5">#REF!</definedName>
    <definedName name="wrn.cash._2">#REF!</definedName>
    <definedName name="wrn.cash._3">#REF!</definedName>
    <definedName name="wrn.cash._4">#REF!</definedName>
    <definedName name="wrn.cash._5">#REF!</definedName>
    <definedName name="wrn.cashbal.">#REF!</definedName>
    <definedName name="wrn.cashbal._1">#REF!</definedName>
    <definedName name="wrn.cashbal._1_1">#REF!</definedName>
    <definedName name="wrn.cashbal._1_2">#REF!</definedName>
    <definedName name="wrn.cashbal._1_3">#REF!</definedName>
    <definedName name="wrn.cashbal._1_4">#REF!</definedName>
    <definedName name="wrn.cashbal._1_5">#REF!</definedName>
    <definedName name="wrn.cashbal._2">#REF!</definedName>
    <definedName name="wrn.cashbal._3">#REF!</definedName>
    <definedName name="wrn.cashbal._4">#REF!</definedName>
    <definedName name="wrn.cashbal._5">#REF!</definedName>
    <definedName name="wrn.CCC.">#REF!</definedName>
    <definedName name="wrn.CCC._.OPEX.">#REF!</definedName>
    <definedName name="wrn.ccroll.">#REF!</definedName>
    <definedName name="wrn.ccroll._1">#REF!</definedName>
    <definedName name="wrn.ccroll._1_1">#REF!</definedName>
    <definedName name="wrn.ccroll._1_1_1">#REF!</definedName>
    <definedName name="wrn.ccroll._1_1_2">#REF!</definedName>
    <definedName name="wrn.ccroll._1_1_3">#REF!</definedName>
    <definedName name="wrn.ccroll._1_1_4">#REF!</definedName>
    <definedName name="wrn.ccroll._1_1_5">#REF!</definedName>
    <definedName name="wrn.ccroll._1_2">#REF!</definedName>
    <definedName name="wrn.ccroll._1_3">#REF!</definedName>
    <definedName name="wrn.ccroll._1_4">#REF!</definedName>
    <definedName name="wrn.ccroll._1_5">#REF!</definedName>
    <definedName name="wrn.ccroll._2">#REF!</definedName>
    <definedName name="wrn.ccroll._2_1">#REF!</definedName>
    <definedName name="wrn.ccroll._2_2">#REF!</definedName>
    <definedName name="wrn.ccroll._2_3">#REF!</definedName>
    <definedName name="wrn.ccroll._2_4">#REF!</definedName>
    <definedName name="wrn.ccroll._2_5">#REF!</definedName>
    <definedName name="wrn.ccroll._3">#REF!</definedName>
    <definedName name="wrn.ccroll._4">#REF!</definedName>
    <definedName name="wrn.ccroll._5">#REF!</definedName>
    <definedName name="wrn.chart._.1998">#REF!</definedName>
    <definedName name="wrn.Chiron._.IRS._.Audit.">#REF!</definedName>
    <definedName name="wrn.Chiron._.IRS._.Audit._1">#REF!</definedName>
    <definedName name="wrn.Chiron._.IRS._.Audit._1_1">#REF!</definedName>
    <definedName name="wrn.Chiron._.IRS._.Audit._1_2">#REF!</definedName>
    <definedName name="wrn.Chiron._.IRS._.Audit._1_3">#REF!</definedName>
    <definedName name="wrn.Chiron._.IRS._.Audit._1_4">#REF!</definedName>
    <definedName name="wrn.Chiron._.IRS._.Audit._1_5">#REF!</definedName>
    <definedName name="wrn.Chiron._.IRS._.Audit._2">#REF!</definedName>
    <definedName name="wrn.Chiron._.IRS._.Audit._3">#REF!</definedName>
    <definedName name="wrn.Chiron._.IRS._.Audit._4">#REF!</definedName>
    <definedName name="wrn.Chiron._.IRS._.Audit._5">#REF!</definedName>
    <definedName name="wrn.CIC94TAX.">#REF!</definedName>
    <definedName name="wrn.client.">#REF!</definedName>
    <definedName name="wrn.Client_Report.">#REF!</definedName>
    <definedName name="wrn.Client3.">#REF!</definedName>
    <definedName name="wrn.client4.">#REF!</definedName>
    <definedName name="wrn.COM.">#REF!</definedName>
    <definedName name="wrn.COM.2">#REF!</definedName>
    <definedName name="wrn.Combined._.YTD.">#REF!</definedName>
    <definedName name="wrn.Combined._.YTD._1">#REF!</definedName>
    <definedName name="wrn.Combined._.YTD._1_1">#REF!</definedName>
    <definedName name="wrn.Combined._.YTD._1_2">#REF!</definedName>
    <definedName name="wrn.Combined._.YTD._1_3">#REF!</definedName>
    <definedName name="wrn.Combined._.YTD._1_4">#REF!</definedName>
    <definedName name="wrn.Combined._.YTD._1_5">#REF!</definedName>
    <definedName name="wrn.Combined._.YTD._2">#REF!</definedName>
    <definedName name="wrn.Combined._.YTD._3">#REF!</definedName>
    <definedName name="wrn.Combined._.YTD._4">#REF!</definedName>
    <definedName name="wrn.Combined._.YTD._5">#REF!</definedName>
    <definedName name="wrn.COMLAWTC.">#REF!</definedName>
    <definedName name="wrn.Comp._.and._.Prices.">#REF!</definedName>
    <definedName name="wrn.Complete.">#REF!</definedName>
    <definedName name="wrn.Complete._.Report.">#REF!</definedName>
    <definedName name="wrn.Complete.2">#REF!</definedName>
    <definedName name="wrn.Complete.3">#REF!</definedName>
    <definedName name="wrn.CompleteReport.">#REF!</definedName>
    <definedName name="wrn.comps.">#REF!</definedName>
    <definedName name="wrn.comps._1">#REF!</definedName>
    <definedName name="wrn.comps._1_1">#REF!</definedName>
    <definedName name="wrn.comps._1_2">#REF!</definedName>
    <definedName name="wrn.comps._1_3">#REF!</definedName>
    <definedName name="wrn.comps._1_4">#REF!</definedName>
    <definedName name="wrn.comps._1_5">#REF!</definedName>
    <definedName name="wrn.comps._2">#REF!</definedName>
    <definedName name="wrn.comps._3">#REF!</definedName>
    <definedName name="wrn.comps._4">#REF!</definedName>
    <definedName name="wrn.comps._5">#REF!</definedName>
    <definedName name="wrn.conbbuds.">#REF!</definedName>
    <definedName name="wrn.conbbuds._1">#REF!</definedName>
    <definedName name="wrn.conbbuds._1_1">#REF!</definedName>
    <definedName name="wrn.conbbuds._1_2">#REF!</definedName>
    <definedName name="wrn.conbbuds._1_3">#REF!</definedName>
    <definedName name="wrn.conbbuds._1_4">#REF!</definedName>
    <definedName name="wrn.conbbuds._1_5">#REF!</definedName>
    <definedName name="wrn.conbbuds._2">#REF!</definedName>
    <definedName name="wrn.conbbuds._3">#REF!</definedName>
    <definedName name="wrn.conbbuds._4">#REF!</definedName>
    <definedName name="wrn.conbbuds._5">#REF!</definedName>
    <definedName name="wrn.ConsolGrossGrp.">#REF!</definedName>
    <definedName name="wrn.ConsolGrossGrp._1">#REF!</definedName>
    <definedName name="wrn.ConsolGrossGrp._1_1">#REF!</definedName>
    <definedName name="wrn.ConsolGrossGrp._1_2">#REF!</definedName>
    <definedName name="wrn.ConsolGrossGrp._1_3">#REF!</definedName>
    <definedName name="wrn.ConsolGrossGrp._1_4">#REF!</definedName>
    <definedName name="wrn.ConsolGrossGrp._1_5">#REF!</definedName>
    <definedName name="wrn.ConsolGrossGrp._2">#REF!</definedName>
    <definedName name="wrn.ConsolGrossGrp._3">#REF!</definedName>
    <definedName name="wrn.ConsolGrossGrp._4">#REF!</definedName>
    <definedName name="wrn.ConsolGrossGrp._5">#REF!</definedName>
    <definedName name="wrn.CONSOLIDATED.">#REF!</definedName>
    <definedName name="wrn.Consolidated._.Statements.">#REF!</definedName>
    <definedName name="wrn.Construction._.Costs.">#REF!</definedName>
    <definedName name="wrn.Control._.Sheet.">#REF!</definedName>
    <definedName name="wrn.Convertible._.Note._.Ledger._.Summary.">#REF!</definedName>
    <definedName name="wrn.cooper.">#REF!</definedName>
    <definedName name="wrn.cooper._1">#REF!</definedName>
    <definedName name="wrn.cooper._1_1">#REF!</definedName>
    <definedName name="wrn.cooper._1_2">#REF!</definedName>
    <definedName name="wrn.cooper._1_3">#REF!</definedName>
    <definedName name="wrn.cooper._1_4">#REF!</definedName>
    <definedName name="wrn.cooper._1_5">#REF!</definedName>
    <definedName name="wrn.cooper._2">#REF!</definedName>
    <definedName name="wrn.cooper._3">#REF!</definedName>
    <definedName name="wrn.cooper._4">#REF!</definedName>
    <definedName name="wrn.cooper._5">#REF!</definedName>
    <definedName name="wrn.Core.">#REF!</definedName>
    <definedName name="wrn.CORE._.KINETICS.">#REF!</definedName>
    <definedName name="wrn.COSA._.FS._.국문.">#REF!</definedName>
    <definedName name="wrn.COSA94TAXRETURN.">#REF!</definedName>
    <definedName name="wrn.Cost.">#REF!</definedName>
    <definedName name="wrn.Cottage._.Summary.">#REF!</definedName>
    <definedName name="wrn.Covers.">#REF!</definedName>
    <definedName name="wrn.Credit._.Summary.">#REF!</definedName>
    <definedName name="wrn.CURRENT._.PROVISION.">#REF!</definedName>
    <definedName name="wrn.CURRENT._.PROVISION._1">#REF!</definedName>
    <definedName name="wrn.CURRENT._.PROVISION._1_1">#REF!</definedName>
    <definedName name="wrn.CURRENT._.PROVISION._1_2">#REF!</definedName>
    <definedName name="wrn.CURRENT._.PROVISION._1_3">#REF!</definedName>
    <definedName name="wrn.CURRENT._.PROVISION._1_4">#REF!</definedName>
    <definedName name="wrn.CURRENT._.PROVISION._1_5">#REF!</definedName>
    <definedName name="wrn.CURRENT._.PROVISION._2">#REF!</definedName>
    <definedName name="wrn.CURRENT._.PROVISION._3">#REF!</definedName>
    <definedName name="wrn.CURRENT._.PROVISION._4">#REF!</definedName>
    <definedName name="wrn.CURRENT._.PROVISION._5">#REF!</definedName>
    <definedName name="wrn.Daily.">#REF!</definedName>
    <definedName name="wrn.data.">#REF!</definedName>
    <definedName name="wrn.data1">#REF!</definedName>
    <definedName name="wrn.DCF._.III._.Report.">#REF!</definedName>
    <definedName name="wrn.DCF._.III._.Report._1">#REF!</definedName>
    <definedName name="wrn.DCF._.III._.Report._1_1">#REF!</definedName>
    <definedName name="wrn.DCF._.III._.Report._1_2">#REF!</definedName>
    <definedName name="wrn.DCF._.III._.Report._1_3">#REF!</definedName>
    <definedName name="wrn.DCF._.III._.Report._1_4">#REF!</definedName>
    <definedName name="wrn.DCF._.III._.Report._1_5">#REF!</definedName>
    <definedName name="wrn.DCF._.III._.Report._2">#REF!</definedName>
    <definedName name="wrn.DCF._.III._.Report._3">#REF!</definedName>
    <definedName name="wrn.DCF._.III._.Report._4">#REF!</definedName>
    <definedName name="wrn.DCF._.III._.Report._5">#REF!</definedName>
    <definedName name="wrn.dd">#REF!</definedName>
    <definedName name="wrn.DEFERRED._.ASSET._.DETAIL.">#REF!</definedName>
    <definedName name="wrn.DEFERRED._.ASSET._.DETAIL._1">#REF!</definedName>
    <definedName name="wrn.DEFERRED._.ASSET._.DETAIL._1_1">#REF!</definedName>
    <definedName name="wrn.DEFERRED._.ASSET._.DETAIL._1_2">#REF!</definedName>
    <definedName name="wrn.DEFERRED._.ASSET._.DETAIL._1_3">#REF!</definedName>
    <definedName name="wrn.DEFERRED._.ASSET._.DETAIL._1_4">#REF!</definedName>
    <definedName name="wrn.DEFERRED._.ASSET._.DETAIL._1_5">#REF!</definedName>
    <definedName name="wrn.DEFERRED._.ASSET._.DETAIL._2">#REF!</definedName>
    <definedName name="wrn.DEFERRED._.ASSET._.DETAIL._3">#REF!</definedName>
    <definedName name="wrn.DEFERRED._.ASSET._.DETAIL._4">#REF!</definedName>
    <definedName name="wrn.DEFERRED._.ASSET._.DETAIL._5">#REF!</definedName>
    <definedName name="wrn.DEFERRED._.FOOTNOTE._.SUMMARY.">#REF!</definedName>
    <definedName name="wrn.DEFERRED._.FOOTNOTE._.SUMMARY._1">#REF!</definedName>
    <definedName name="wrn.DEFERRED._.FOOTNOTE._.SUMMARY._1_1">#REF!</definedName>
    <definedName name="wrn.DEFERRED._.FOOTNOTE._.SUMMARY._1_2">#REF!</definedName>
    <definedName name="wrn.DEFERRED._.FOOTNOTE._.SUMMARY._1_3">#REF!</definedName>
    <definedName name="wrn.DEFERRED._.FOOTNOTE._.SUMMARY._1_4">#REF!</definedName>
    <definedName name="wrn.DEFERRED._.FOOTNOTE._.SUMMARY._1_5">#REF!</definedName>
    <definedName name="wrn.DEFERRED._.FOOTNOTE._.SUMMARY._2">#REF!</definedName>
    <definedName name="wrn.DEFERRED._.FOOTNOTE._.SUMMARY._3">#REF!</definedName>
    <definedName name="wrn.DEFERRED._.FOOTNOTE._.SUMMARY._4">#REF!</definedName>
    <definedName name="wrn.DEFERRED._.FOOTNOTE._.SUMMARY._5">#REF!</definedName>
    <definedName name="wrn.Deltek._.Upload.">#REF!</definedName>
    <definedName name="wrn.Deltek._.Upload._1">#REF!</definedName>
    <definedName name="wrn.Deltek._.Upload._2">#REF!</definedName>
    <definedName name="wrn.Depreciation.">#REF!</definedName>
    <definedName name="wrn.Depreciation._1">#REF!</definedName>
    <definedName name="wrn.Depreciation._1_1">#REF!</definedName>
    <definedName name="wrn.Depreciation._1_2">#REF!</definedName>
    <definedName name="wrn.Depreciation._1_3">#REF!</definedName>
    <definedName name="wrn.Depreciation._1_4">#REF!</definedName>
    <definedName name="wrn.Depreciation._1_5">#REF!</definedName>
    <definedName name="wrn.Depreciation._2">#REF!</definedName>
    <definedName name="wrn.Depreciation._3">#REF!</definedName>
    <definedName name="wrn.Depreciation._4">#REF!</definedName>
    <definedName name="wrn.Depreciation._5">#REF!</definedName>
    <definedName name="wrn.Deptartment._.Expenses.">#REF!</definedName>
    <definedName name="wrn.deptsal.">#REF!</definedName>
    <definedName name="wrn.deptsal._1">#REF!</definedName>
    <definedName name="wrn.deptsal._1_1">#REF!</definedName>
    <definedName name="wrn.deptsal._1_2">#REF!</definedName>
    <definedName name="wrn.deptsal._1_3">#REF!</definedName>
    <definedName name="wrn.deptsal._1_4">#REF!</definedName>
    <definedName name="wrn.deptsal._1_5">#REF!</definedName>
    <definedName name="wrn.deptsal._2">#REF!</definedName>
    <definedName name="wrn.deptsal._3">#REF!</definedName>
    <definedName name="wrn.deptsal._4">#REF!</definedName>
    <definedName name="wrn.deptsal._5">#REF!</definedName>
    <definedName name="wrn.Derek.">#REF!</definedName>
    <definedName name="wrn.dil_anal.">#REF!</definedName>
    <definedName name="wrn.dil_anal._1">#REF!</definedName>
    <definedName name="wrn.dil_anal._1_1">#REF!</definedName>
    <definedName name="wrn.dil_anal._1_2">#REF!</definedName>
    <definedName name="wrn.dil_anal._1_3">#REF!</definedName>
    <definedName name="wrn.dil_anal._1_4">#REF!</definedName>
    <definedName name="wrn.dil_anal._1_5">#REF!</definedName>
    <definedName name="wrn.dil_anal._2">#REF!</definedName>
    <definedName name="wrn.dil_anal._3">#REF!</definedName>
    <definedName name="wrn.dil_anal._4">#REF!</definedName>
    <definedName name="wrn.dil_anal._5">#REF!</definedName>
    <definedName name="wrn.Dilution.">#REF!</definedName>
    <definedName name="wrn.Distribution._.Economics.">#REF!</definedName>
    <definedName name="wrn.DOC.">#REF!</definedName>
    <definedName name="wrn.document.">#REF!</definedName>
    <definedName name="wrn.document._1">#REF!</definedName>
    <definedName name="wrn.document._1_1">#REF!</definedName>
    <definedName name="wrn.document._1_2">#REF!</definedName>
    <definedName name="wrn.document._1_3">#REF!</definedName>
    <definedName name="wrn.document._1_4">#REF!</definedName>
    <definedName name="wrn.document._1_5">#REF!</definedName>
    <definedName name="wrn.document._2">#REF!</definedName>
    <definedName name="wrn.document._3">#REF!</definedName>
    <definedName name="wrn.document._4">#REF!</definedName>
    <definedName name="wrn.document._5">#REF!</definedName>
    <definedName name="wrn.documentaero.">#REF!</definedName>
    <definedName name="wrn.documentaero._1">#REF!</definedName>
    <definedName name="wrn.documentaero._1_1">#REF!</definedName>
    <definedName name="wrn.documentaero._1_2">#REF!</definedName>
    <definedName name="wrn.documentaero._1_3">#REF!</definedName>
    <definedName name="wrn.documentaero._1_4">#REF!</definedName>
    <definedName name="wrn.documentaero._1_5">#REF!</definedName>
    <definedName name="wrn.documentaero._2">#REF!</definedName>
    <definedName name="wrn.documentaero._3">#REF!</definedName>
    <definedName name="wrn.documentaero._4">#REF!</definedName>
    <definedName name="wrn.documentaero._5">#REF!</definedName>
    <definedName name="wrn.documenthand.">#REF!</definedName>
    <definedName name="wrn.documenthand._1">#REF!</definedName>
    <definedName name="wrn.documenthand._1_1">#REF!</definedName>
    <definedName name="wrn.documenthand._1_2">#REF!</definedName>
    <definedName name="wrn.documenthand._1_3">#REF!</definedName>
    <definedName name="wrn.documenthand._1_4">#REF!</definedName>
    <definedName name="wrn.documenthand._1_5">#REF!</definedName>
    <definedName name="wrn.documenthand._2">#REF!</definedName>
    <definedName name="wrn.documenthand._3">#REF!</definedName>
    <definedName name="wrn.documenthand._4">#REF!</definedName>
    <definedName name="wrn.documenthand._5">#REF!</definedName>
    <definedName name="wrn.Downside.">#REF!</definedName>
    <definedName name="wrn.Earnings._.Model.">#REF!</definedName>
    <definedName name="wrn.Earnings._.Model._1">#REF!</definedName>
    <definedName name="wrn.Earnings._.Model._1_1">#REF!</definedName>
    <definedName name="wrn.Earnings._.Model._1_2">#REF!</definedName>
    <definedName name="wrn.Earnings._.Model._1_3">#REF!</definedName>
    <definedName name="wrn.Earnings._.Model._1_4">#REF!</definedName>
    <definedName name="wrn.Earnings._.Model._1_5">#REF!</definedName>
    <definedName name="wrn.Earnings._.Model._2">#REF!</definedName>
    <definedName name="wrn.Earnings._.Model._3">#REF!</definedName>
    <definedName name="wrn.Earnings._.Model._4">#REF!</definedName>
    <definedName name="wrn.Earnings._.Model._5">#REF!</definedName>
    <definedName name="wrn.Engineering.">#REF!</definedName>
    <definedName name="wrn.Environmental.">#REF!</definedName>
    <definedName name="wrn.equity._.comps.">#REF!</definedName>
    <definedName name="wrn.equity._.comps._1">#REF!</definedName>
    <definedName name="wrn.equity._.comps._1_1">#REF!</definedName>
    <definedName name="wrn.equity._.comps._1_2">#REF!</definedName>
    <definedName name="wrn.equity._.comps._1_3">#REF!</definedName>
    <definedName name="wrn.equity._.comps._1_4">#REF!</definedName>
    <definedName name="wrn.equity._.comps._1_5">#REF!</definedName>
    <definedName name="wrn.equity._.comps._2">#REF!</definedName>
    <definedName name="wrn.equity._.comps._3">#REF!</definedName>
    <definedName name="wrn.equity._.comps._4">#REF!</definedName>
    <definedName name="wrn.equity._.comps._5">#REF!</definedName>
    <definedName name="wrn.ESPP.">#REF!</definedName>
    <definedName name="wrn.EURO4.">#REF!</definedName>
    <definedName name="wrn.EURO5.">#REF!</definedName>
    <definedName name="wrn.Excavation.">#REF!</definedName>
    <definedName name="wrn.Exec._.Summary.">#REF!</definedName>
    <definedName name="wrn.Executive._.Summary.">#REF!</definedName>
    <definedName name="wrn.Exhibits.">#REF!</definedName>
    <definedName name="wrn.EXPENSE.">#REF!</definedName>
    <definedName name="wrn.Expense._.Detail.">#REF!</definedName>
    <definedName name="wrn.Exterior._.Wall.">#REF!</definedName>
    <definedName name="wrn.Factors._.Tab._.10.">#REF!</definedName>
    <definedName name="wrn.Factors._.Tab._.10._1">#REF!</definedName>
    <definedName name="wrn.Factors._.Tab._.10._1_1">#REF!</definedName>
    <definedName name="wrn.Factors._.Tab._.10._1_2">#REF!</definedName>
    <definedName name="wrn.Factors._.Tab._.10._1_3">#REF!</definedName>
    <definedName name="wrn.Factors._.Tab._.10._1_4">#REF!</definedName>
    <definedName name="wrn.Factors._.Tab._.10._1_5">#REF!</definedName>
    <definedName name="wrn.Factors._.Tab._.10._2">#REF!</definedName>
    <definedName name="wrn.Factors._.Tab._.10._3">#REF!</definedName>
    <definedName name="wrn.Factors._.Tab._.10._4">#REF!</definedName>
    <definedName name="wrn.Factors._.Tab._.10._5">#REF!</definedName>
    <definedName name="wrn.FCB.">#REF!</definedName>
    <definedName name="wrn.fcb2">#REF!</definedName>
    <definedName name="wrn.FCG.">#REF!</definedName>
    <definedName name="wrn.FCG._.Express.">#REF!</definedName>
    <definedName name="wrn.FCG._.Full.">#REF!</definedName>
    <definedName name="wrn.Financial._.Statements.">#REF!</definedName>
    <definedName name="wrn.Financial._.Statements._1">#REF!</definedName>
    <definedName name="wrn.Financial._.Statements._1_1">#REF!</definedName>
    <definedName name="wrn.Financial._.Statements._1_2">#REF!</definedName>
    <definedName name="wrn.Financial._.Statements._1_3">#REF!</definedName>
    <definedName name="wrn.Financial._.Statements._1_4">#REF!</definedName>
    <definedName name="wrn.Financial._.Statements._1_5">#REF!</definedName>
    <definedName name="wrn.Financial._.Statements._2">#REF!</definedName>
    <definedName name="wrn.Financial._.Statements._3">#REF!</definedName>
    <definedName name="wrn.Financial._.Statements._4">#REF!</definedName>
    <definedName name="wrn.Financial._.Statements._5">#REF!</definedName>
    <definedName name="wrn.Financials.">#REF!</definedName>
    <definedName name="wrn.finstat.">#REF!</definedName>
    <definedName name="wrn.finstat._1">#REF!</definedName>
    <definedName name="wrn.finstat._1_1">#REF!</definedName>
    <definedName name="wrn.finstat._1_2">#REF!</definedName>
    <definedName name="wrn.finstat._1_3">#REF!</definedName>
    <definedName name="wrn.finstat._1_4">#REF!</definedName>
    <definedName name="wrn.finstat._1_5">#REF!</definedName>
    <definedName name="wrn.finstat._2">#REF!</definedName>
    <definedName name="wrn.finstat._3">#REF!</definedName>
    <definedName name="wrn.finstat._4">#REF!</definedName>
    <definedName name="wrn.finstat._5">#REF!</definedName>
    <definedName name="wrn.Fiscal._.Year.">#REF!</definedName>
    <definedName name="wrn.Fiscal._.Year._1">#REF!</definedName>
    <definedName name="wrn.Fiscal._.Year._1_1">#REF!</definedName>
    <definedName name="wrn.Fiscal._.Year._1_1_1">#REF!</definedName>
    <definedName name="wrn.Fiscal._.Year._1_1_2">#REF!</definedName>
    <definedName name="wrn.Fiscal._.Year._1_1_3">#REF!</definedName>
    <definedName name="wrn.Fiscal._.Year._1_1_4">#REF!</definedName>
    <definedName name="wrn.Fiscal._.Year._1_1_5">#REF!</definedName>
    <definedName name="wrn.Fiscal._.Year._1_2">#REF!</definedName>
    <definedName name="wrn.Fiscal._.Year._1_3">#REF!</definedName>
    <definedName name="wrn.Fiscal._.Year._1_4">#REF!</definedName>
    <definedName name="wrn.Fiscal._.Year._1_5">#REF!</definedName>
    <definedName name="wrn.Fiscal._.Year._2">#REF!</definedName>
    <definedName name="wrn.Fiscal._.Year._2_1">#REF!</definedName>
    <definedName name="wrn.Fiscal._.Year._2_2">#REF!</definedName>
    <definedName name="wrn.Fiscal._.Year._2_3">#REF!</definedName>
    <definedName name="wrn.Fiscal._.Year._2_4">#REF!</definedName>
    <definedName name="wrn.Fiscal._.Year._2_5">#REF!</definedName>
    <definedName name="wrn.Fiscal._.Year._3">#REF!</definedName>
    <definedName name="wrn.Fiscal._.Year._4">#REF!</definedName>
    <definedName name="wrn.Fiscal._.Year._5">#REF!</definedName>
    <definedName name="wrn.FISV._.5._.year._.model.">#REF!</definedName>
    <definedName name="wrn.Followon._.1998">#REF!</definedName>
    <definedName name="wrn.Forecast._.Red._.Book.">#REF!</definedName>
    <definedName name="wrn.Forecast._.Report.">#REF!</definedName>
    <definedName name="wrn.Full.">#REF!</definedName>
    <definedName name="wrn.Full._.Financials.">#REF!</definedName>
    <definedName name="wrn.Full._.Model.">#REF!</definedName>
    <definedName name="wrn.Full._.Report.">#REF!</definedName>
    <definedName name="wrn.Full._.Report._1">#REF!</definedName>
    <definedName name="wrn.Full._.Report._1_1">#REF!</definedName>
    <definedName name="wrn.Full._.Report._1_2">#REF!</definedName>
    <definedName name="wrn.Full._.Report._1_3">#REF!</definedName>
    <definedName name="wrn.Full._.Report._1_4">#REF!</definedName>
    <definedName name="wrn.Full._.Report._1_5">#REF!</definedName>
    <definedName name="wrn.Full._.Report._2">#REF!</definedName>
    <definedName name="wrn.Full._.Report._3">#REF!</definedName>
    <definedName name="wrn.Full._.Report._4">#REF!</definedName>
    <definedName name="wrn.Full._.Report._5">#REF!</definedName>
    <definedName name="wrn.Full._.Run.">#REF!</definedName>
    <definedName name="wrn.Full._.View.">#REF!</definedName>
    <definedName name="wrn.Full._.View._1">#REF!</definedName>
    <definedName name="wrn.Full._.View._1_1">#REF!</definedName>
    <definedName name="wrn.Full._.View._1_2">#REF!</definedName>
    <definedName name="wrn.Full._.View._1_3">#REF!</definedName>
    <definedName name="wrn.Full._.View._1_4">#REF!</definedName>
    <definedName name="wrn.Full._.View._1_5">#REF!</definedName>
    <definedName name="wrn.Full._.View._2">#REF!</definedName>
    <definedName name="wrn.Full._.View._3">#REF!</definedName>
    <definedName name="wrn.Full._.View._4">#REF!</definedName>
    <definedName name="wrn.Full._.View._5">#REF!</definedName>
    <definedName name="wrn.Full_Analysis_Analyst.">#REF!</definedName>
    <definedName name="wrn.Full_Analysis_Base.">#REF!</definedName>
    <definedName name="wrn.Full_Analysis_Middle.">#REF!</definedName>
    <definedName name="wrn.Full_Report.">#REF!</definedName>
    <definedName name="wrn.Full_Report._1">#REF!</definedName>
    <definedName name="wrn.Full_Report._2">#REF!</definedName>
    <definedName name="wrn.Full_Template.">#REF!</definedName>
    <definedName name="wrn.Fullprint.">#REF!</definedName>
    <definedName name="wrn.FY97SBP.">#REF!</definedName>
    <definedName name="wrn.Garage.">#REF!</definedName>
    <definedName name="wrn.GEPS95T.">#REF!</definedName>
    <definedName name="wrn.Golf._.Summary.">#REF!</definedName>
    <definedName name="wrn.Graphs.">#REF!</definedName>
    <definedName name="wrn.Growth.">#REF!</definedName>
    <definedName name="wrn.GSA._.PRINT.">#REF!</definedName>
    <definedName name="wrn.Gund._.Arena._.PCD.">#REF!</definedName>
    <definedName name="wrn.H.">#REF!</definedName>
    <definedName name="wrn.HAYWARD.">#REF!</definedName>
    <definedName name="wrn.Hist._.InE.">#REF!</definedName>
    <definedName name="wrn.Hist._.InE2.">#REF!</definedName>
    <definedName name="wrn.Historical._.Rev._.Exp.">#REF!</definedName>
    <definedName name="wrn.Hold._.Sell.">#REF!</definedName>
    <definedName name="wrn.IFF94TAX.">#REF!</definedName>
    <definedName name="wrn.III.">#REF!</definedName>
    <definedName name="wrn.inc.">#REF!</definedName>
    <definedName name="wrn.inc._1">#REF!</definedName>
    <definedName name="wrn.inc._1_1">#REF!</definedName>
    <definedName name="wrn.inc._1_2">#REF!</definedName>
    <definedName name="wrn.inc._1_3">#REF!</definedName>
    <definedName name="wrn.inc._1_4">#REF!</definedName>
    <definedName name="wrn.inc._1_5">#REF!</definedName>
    <definedName name="wrn.inc._2">#REF!</definedName>
    <definedName name="wrn.inc._3">#REF!</definedName>
    <definedName name="wrn.inc._4">#REF!</definedName>
    <definedName name="wrn.inc._5">#REF!</definedName>
    <definedName name="wrn.Income.">#REF!</definedName>
    <definedName name="wrn.Income._.Statements.">#REF!</definedName>
    <definedName name="wrn.Income._1">#REF!</definedName>
    <definedName name="wrn.Income._2">#REF!</definedName>
    <definedName name="wrn.Index.">#REF!</definedName>
    <definedName name="wrn.Industry.xls.">#REF!</definedName>
    <definedName name="wrn.input._.and._.output.">#REF!</definedName>
    <definedName name="wrn.input._.and._.output._1">#REF!</definedName>
    <definedName name="wrn.input._.and._.output._1_1">#REF!</definedName>
    <definedName name="wrn.input._.and._.output._1_2">#REF!</definedName>
    <definedName name="wrn.input._.and._.output._1_3">#REF!</definedName>
    <definedName name="wrn.input._.and._.output._1_4">#REF!</definedName>
    <definedName name="wrn.input._.and._.output._1_5">#REF!</definedName>
    <definedName name="wrn.input._.and._.output._2">#REF!</definedName>
    <definedName name="wrn.input._.and._.output._3">#REF!</definedName>
    <definedName name="wrn.input._.and._.output._4">#REF!</definedName>
    <definedName name="wrn.input._.and._.output._5">#REF!</definedName>
    <definedName name="wrn.Interior._.finishes.">#REF!</definedName>
    <definedName name="wrn.INTL._.GROUP.">#REF!</definedName>
    <definedName name="wrn.IPO.">#REF!</definedName>
    <definedName name="wrn.IPO._.1998.">#REF!</definedName>
    <definedName name="wrn.IPO._.Analysis.">#REF!</definedName>
    <definedName name="wrn.jck94TAXRETURN.">#REF!</definedName>
    <definedName name="wrn.Just._.Sorts.">#REF!</definedName>
    <definedName name="wrn.KOREA.">#REF!</definedName>
    <definedName name="wrn.Land.">#REF!</definedName>
    <definedName name="wrn.Land._.Takedown._.Summary.">#REF!</definedName>
    <definedName name="wrn.LEAD._.SCHEDULE.">#REF!</definedName>
    <definedName name="wrn.LEAD._.SCHEDULE._1">#REF!</definedName>
    <definedName name="wrn.LEAD._.SCHEDULE._1_1">#REF!</definedName>
    <definedName name="wrn.LEAD._.SCHEDULE._1_2">#REF!</definedName>
    <definedName name="wrn.LEAD._.SCHEDULE._1_3">#REF!</definedName>
    <definedName name="wrn.LEAD._.SCHEDULE._1_4">#REF!</definedName>
    <definedName name="wrn.LEAD._.SCHEDULE._1_5">#REF!</definedName>
    <definedName name="wrn.LEAD._.SCHEDULE._2">#REF!</definedName>
    <definedName name="wrn.LEAD._.SCHEDULE._3">#REF!</definedName>
    <definedName name="wrn.LEAD._.SCHEDULE._4">#REF!</definedName>
    <definedName name="wrn.LEAD._.SCHEDULE._5">#REF!</definedName>
    <definedName name="wrn.Lease._.Rollover.">#REF!</definedName>
    <definedName name="wrn.Loan._.Pricing._.Analysis.">#REF!</definedName>
    <definedName name="wrn.Long._.Report.">#REF!</definedName>
    <definedName name="wrn.Long._.Report._1">#REF!</definedName>
    <definedName name="wrn.Long._.Report._2">#REF!</definedName>
    <definedName name="wrn.Lot._.Inventory.">#REF!</definedName>
    <definedName name="wrn.Lot._.Summary.">#REF!</definedName>
    <definedName name="wrn.Margins.">#REF!</definedName>
    <definedName name="wrn.Market_Report.">#REF!</definedName>
    <definedName name="wrn.Marketing.">#REF!</definedName>
    <definedName name="wrn.Master.">#REF!</definedName>
    <definedName name="wrn.MATRICES._.and._.CFs.">#REF!</definedName>
    <definedName name="wrn.MATRICIES._.ONLY.">#REF!</definedName>
    <definedName name="wrn.memo.">#REF!</definedName>
    <definedName name="wrn.memo._1">#REF!</definedName>
    <definedName name="wrn.memo._1_1">#REF!</definedName>
    <definedName name="wrn.memo._1_2">#REF!</definedName>
    <definedName name="wrn.memo._1_3">#REF!</definedName>
    <definedName name="wrn.memo._1_4">#REF!</definedName>
    <definedName name="wrn.memo._1_5">#REF!</definedName>
    <definedName name="wrn.memo._2">#REF!</definedName>
    <definedName name="wrn.memo._3">#REF!</definedName>
    <definedName name="wrn.memo._4">#REF!</definedName>
    <definedName name="wrn.memo._5">#REF!</definedName>
    <definedName name="wrn.merger.">#REF!</definedName>
    <definedName name="wrn.merger._1">#REF!</definedName>
    <definedName name="wrn.merger._1_1">#REF!</definedName>
    <definedName name="wrn.merger._1_2">#REF!</definedName>
    <definedName name="wrn.merger._1_3">#REF!</definedName>
    <definedName name="wrn.merger._1_4">#REF!</definedName>
    <definedName name="wrn.merger._1_5">#REF!</definedName>
    <definedName name="wrn.merger._2">#REF!</definedName>
    <definedName name="wrn.merger._3">#REF!</definedName>
    <definedName name="wrn.merger._4">#REF!</definedName>
    <definedName name="wrn.merger._5">#REF!</definedName>
    <definedName name="wrn.MergerModel.">#REF!</definedName>
    <definedName name="wrn.mergermodel1">#REF!</definedName>
    <definedName name="wrn.MODEL.">#REF!</definedName>
    <definedName name="wrn.MoEuro3.">#REF!</definedName>
    <definedName name="wrn.Monthly._.Report.">#REF!</definedName>
    <definedName name="wrn.Monthly._.Report._1">#REF!</definedName>
    <definedName name="wrn.Monthly._.Report._2">#REF!</definedName>
    <definedName name="wrn.Monthlys.">#REF!</definedName>
    <definedName name="wrn.Monthlys._1">#REF!</definedName>
    <definedName name="wrn.Monthlys._1_1">#REF!</definedName>
    <definedName name="wrn.Monthlys._1_1_1">#REF!</definedName>
    <definedName name="wrn.Monthlys._1_1_2">#REF!</definedName>
    <definedName name="wrn.Monthlys._1_1_3">#REF!</definedName>
    <definedName name="wrn.Monthlys._1_1_4">#REF!</definedName>
    <definedName name="wrn.Monthlys._1_1_5">#REF!</definedName>
    <definedName name="wrn.Monthlys._1_2">#REF!</definedName>
    <definedName name="wrn.Monthlys._1_3">#REF!</definedName>
    <definedName name="wrn.Monthlys._1_4">#REF!</definedName>
    <definedName name="wrn.Monthlys._1_5">#REF!</definedName>
    <definedName name="wrn.Monthlys._2">#REF!</definedName>
    <definedName name="wrn.Monthlys._2_1">#REF!</definedName>
    <definedName name="wrn.Monthlys._2_2">#REF!</definedName>
    <definedName name="wrn.Monthlys._2_3">#REF!</definedName>
    <definedName name="wrn.Monthlys._2_4">#REF!</definedName>
    <definedName name="wrn.Monthlys._2_5">#REF!</definedName>
    <definedName name="wrn.Monthlys._3">#REF!</definedName>
    <definedName name="wrn.Monthlys._4">#REF!</definedName>
    <definedName name="wrn.Monthlys._5">#REF!</definedName>
    <definedName name="wrn.monthlyunits.">#REF!</definedName>
    <definedName name="wrn.monthlyunits._1">#REF!</definedName>
    <definedName name="wrn.monthlyunits._1_1">#REF!</definedName>
    <definedName name="wrn.monthlyunits._1_2">#REF!</definedName>
    <definedName name="wrn.monthlyunits._1_3">#REF!</definedName>
    <definedName name="wrn.monthlyunits._1_4">#REF!</definedName>
    <definedName name="wrn.monthlyunits._1_5">#REF!</definedName>
    <definedName name="wrn.monthlyunits._2">#REF!</definedName>
    <definedName name="wrn.monthlyunits._3">#REF!</definedName>
    <definedName name="wrn.monthlyunits._4">#REF!</definedName>
    <definedName name="wrn.monthlyunits._5">#REF!</definedName>
    <definedName name="wrn.Months._.1999.">#REF!</definedName>
    <definedName name="wrn.Months._.2000.">#REF!</definedName>
    <definedName name="wrn.Months._.2001.">#REF!</definedName>
    <definedName name="wrn.Months._.2002.">#REF!</definedName>
    <definedName name="wrn.Months._.2003.">#REF!</definedName>
    <definedName name="wrn.Mortgage._.Loan._.Sch.">#REF!</definedName>
    <definedName name="wrn.N.O.L..">#REF!</definedName>
    <definedName name="wrn.N.O.L.._1">#REF!</definedName>
    <definedName name="wrn.N.O.L.._1_1">#REF!</definedName>
    <definedName name="wrn.N.O.L.._1_2">#REF!</definedName>
    <definedName name="wrn.N.O.L.._1_3">#REF!</definedName>
    <definedName name="wrn.N.O.L.._1_4">#REF!</definedName>
    <definedName name="wrn.N.O.L.._1_5">#REF!</definedName>
    <definedName name="wrn.N.O.L.._2">#REF!</definedName>
    <definedName name="wrn.N.O.L.._3">#REF!</definedName>
    <definedName name="wrn.N.O.L.._4">#REF!</definedName>
    <definedName name="wrn.N.O.L.._5">#REF!</definedName>
    <definedName name="wrn.Nico.">#REF!</definedName>
    <definedName name="wrn.noble._.fs.">#REF!</definedName>
    <definedName name="wrn.noble._.fs._1">#REF!</definedName>
    <definedName name="wrn.noble._.fs._1_1">#REF!</definedName>
    <definedName name="wrn.noble._.fs._1_2">#REF!</definedName>
    <definedName name="wrn.noble._.fs._1_3">#REF!</definedName>
    <definedName name="wrn.noble._.fs._1_4">#REF!</definedName>
    <definedName name="wrn.noble._.fs._1_5">#REF!</definedName>
    <definedName name="wrn.noble._.fs._2">#REF!</definedName>
    <definedName name="wrn.noble._.fs._3">#REF!</definedName>
    <definedName name="wrn.noble._.fs._4">#REF!</definedName>
    <definedName name="wrn.noble._.fs._5">#REF!</definedName>
    <definedName name="wrn.NOVARTIS._.MODELS.">#REF!</definedName>
    <definedName name="wrn.OFFICE._.BUDGET.">#REF!</definedName>
    <definedName name="wrn.One._.Pager._.plus._.Technicals.">#REF!</definedName>
    <definedName name="wrn.Open._.Issues._.Only.">#REF!</definedName>
    <definedName name="wrn.Open._.Issues._.Only._1">#REF!</definedName>
    <definedName name="wrn.Open._.Issues._.Only._1_1">#REF!</definedName>
    <definedName name="wrn.Open._.Issues._.Only._1_2">#REF!</definedName>
    <definedName name="wrn.Open._.Issues._.Only._1_3">#REF!</definedName>
    <definedName name="wrn.Open._.Issues._.Only._1_4">#REF!</definedName>
    <definedName name="wrn.Open._.Issues._.Only._1_5">#REF!</definedName>
    <definedName name="wrn.Open._.Issues._.Only._2">#REF!</definedName>
    <definedName name="wrn.Open._.Issues._.Only._3">#REF!</definedName>
    <definedName name="wrn.Open._.Issues._.Only._4">#REF!</definedName>
    <definedName name="wrn.Open._.Issues._.Only._5">#REF!</definedName>
    <definedName name="wrn.Operations.">#REF!</definedName>
    <definedName name="wrn.OR._.Carrying._.Charge._.JV.">#REF!</definedName>
    <definedName name="wrn.OR._.Carrying._.Charge._.JV._1">#REF!</definedName>
    <definedName name="wrn.OR._.Carrying._.Charge._.JV._1_1">#REF!</definedName>
    <definedName name="wrn.OR._.Carrying._.Charge._.JV._1_2">#REF!</definedName>
    <definedName name="wrn.OR._.Carrying._.Charge._.JV._1_3">#REF!</definedName>
    <definedName name="wrn.OR._.Carrying._.Charge._.JV._1_4">#REF!</definedName>
    <definedName name="wrn.OR._.Carrying._.Charge._.JV._1_5">#REF!</definedName>
    <definedName name="wrn.OR._.Carrying._.Charge._.JV._2">#REF!</definedName>
    <definedName name="wrn.OR._.Carrying._.Charge._.JV._3">#REF!</definedName>
    <definedName name="wrn.OR._.Carrying._.Charge._.JV._4">#REF!</definedName>
    <definedName name="wrn.OR._.Carrying._.Charge._.JV._5">#REF!</definedName>
    <definedName name="wrn.OR._.Carrying._.Charge._.JV.1">#REF!</definedName>
    <definedName name="wrn.OR._.Carrying._.Charge._.JV.1_1">#REF!</definedName>
    <definedName name="wrn.OR._.Carrying._.Charge._.JV.1_1_1">#REF!</definedName>
    <definedName name="wrn.OR._.Carrying._.Charge._.JV.1_1_2">#REF!</definedName>
    <definedName name="wrn.OR._.Carrying._.Charge._.JV.1_1_3">#REF!</definedName>
    <definedName name="wrn.OR._.Carrying._.Charge._.JV.1_1_4">#REF!</definedName>
    <definedName name="wrn.OR._.Carrying._.Charge._.JV.1_1_5">#REF!</definedName>
    <definedName name="wrn.OR._.Carrying._.Charge._.JV.1_2">#REF!</definedName>
    <definedName name="wrn.OR._.Carrying._.Charge._.JV.1_3">#REF!</definedName>
    <definedName name="wrn.OR._.Carrying._.Charge._.JV.1_4">#REF!</definedName>
    <definedName name="wrn.OR._.Carrying._.Charge._.JV.1_5">#REF!</definedName>
    <definedName name="wrn.OUTPUT." hidden="1">{"DCF","UPSIDE CASE",FALSE,"Sheet1";"DCF","BASE CASE",FALSE,"Sheet1";"DCF","DOWNSIDE CASE",FALSE,"Sheet1"}</definedName>
    <definedName name="wrn.Package.">#REF!</definedName>
    <definedName name="wrn.pages.">#REF!</definedName>
    <definedName name="wrn.pages._1">#REF!</definedName>
    <definedName name="wrn.pages._1_1">#REF!</definedName>
    <definedName name="wrn.pages._1_2">#REF!</definedName>
    <definedName name="wrn.pages._1_3">#REF!</definedName>
    <definedName name="wrn.pages._1_4">#REF!</definedName>
    <definedName name="wrn.pages._1_5">#REF!</definedName>
    <definedName name="wrn.pages._2">#REF!</definedName>
    <definedName name="wrn.pages._3">#REF!</definedName>
    <definedName name="wrn.pages._4">#REF!</definedName>
    <definedName name="wrn.pages._5">#REF!</definedName>
    <definedName name="wrn.PAIM._.TAX._.PRO.">#REF!</definedName>
    <definedName name="wrn.Partial.">#REF!</definedName>
    <definedName name="wrn.Payment._.View.">#REF!</definedName>
    <definedName name="wrn.Payment._.View._1">#REF!</definedName>
    <definedName name="wrn.Payment._.View._1_1">#REF!</definedName>
    <definedName name="wrn.Payment._.View._1_2">#REF!</definedName>
    <definedName name="wrn.Payment._.View._1_3">#REF!</definedName>
    <definedName name="wrn.Payment._.View._1_4">#REF!</definedName>
    <definedName name="wrn.Payment._.View._1_5">#REF!</definedName>
    <definedName name="wrn.Payment._.View._2">#REF!</definedName>
    <definedName name="wrn.Payment._.View._3">#REF!</definedName>
    <definedName name="wrn.Payment._.View._4">#REF!</definedName>
    <definedName name="wrn.Payment._.View._5">#REF!</definedName>
    <definedName name="wrn.petey.">#REF!</definedName>
    <definedName name="wrn.PFSreconview.">#REF!</definedName>
    <definedName name="wrn.PFSreconview._1">#REF!</definedName>
    <definedName name="wrn.PFSreconview._1_1">#REF!</definedName>
    <definedName name="wrn.PFSreconview._1_2">#REF!</definedName>
    <definedName name="wrn.PFSreconview._1_3">#REF!</definedName>
    <definedName name="wrn.PFSreconview._1_4">#REF!</definedName>
    <definedName name="wrn.PFSreconview._1_5">#REF!</definedName>
    <definedName name="wrn.PFSreconview._2">#REF!</definedName>
    <definedName name="wrn.PFSreconview._3">#REF!</definedName>
    <definedName name="wrn.PFSreconview._4">#REF!</definedName>
    <definedName name="wrn.PFSreconview._5">#REF!</definedName>
    <definedName name="wrn.PGHCreconview.">#REF!</definedName>
    <definedName name="wrn.PGHCreconview._1">#REF!</definedName>
    <definedName name="wrn.PGHCreconview._1_1">#REF!</definedName>
    <definedName name="wrn.PGHCreconview._1_2">#REF!</definedName>
    <definedName name="wrn.PGHCreconview._1_3">#REF!</definedName>
    <definedName name="wrn.PGHCreconview._1_4">#REF!</definedName>
    <definedName name="wrn.PGHCreconview._1_5">#REF!</definedName>
    <definedName name="wrn.PGHCreconview._2">#REF!</definedName>
    <definedName name="wrn.PGHCreconview._3">#REF!</definedName>
    <definedName name="wrn.PGHCreconview._4">#REF!</definedName>
    <definedName name="wrn.PGHCreconview._5">#REF!</definedName>
    <definedName name="wrn.Phil.">#REF!</definedName>
    <definedName name="wrn.PK._.Variance.">#REF!</definedName>
    <definedName name="wrn.Plan._.EVA.">#REF!</definedName>
    <definedName name="wrn.Plan._.EVA._1">#REF!</definedName>
    <definedName name="wrn.Plan._.EVA._1_1">#REF!</definedName>
    <definedName name="wrn.Plan._.EVA._1_1_1">#REF!</definedName>
    <definedName name="wrn.Plan._.EVA._1_1_2">#REF!</definedName>
    <definedName name="wrn.Plan._.EVA._1_1_3">#REF!</definedName>
    <definedName name="wrn.Plan._.EVA._1_1_4">#REF!</definedName>
    <definedName name="wrn.Plan._.EVA._1_1_5">#REF!</definedName>
    <definedName name="wrn.Plan._.EVA._1_2">#REF!</definedName>
    <definedName name="wrn.Plan._.EVA._1_3">#REF!</definedName>
    <definedName name="wrn.Plan._.EVA._1_4">#REF!</definedName>
    <definedName name="wrn.Plan._.EVA._1_5">#REF!</definedName>
    <definedName name="wrn.Plan._.EVA._2">#REF!</definedName>
    <definedName name="wrn.Plan._.EVA._2_1">#REF!</definedName>
    <definedName name="wrn.Plan._.EVA._2_2">#REF!</definedName>
    <definedName name="wrn.Plan._.EVA._2_3">#REF!</definedName>
    <definedName name="wrn.Plan._.EVA._2_4">#REF!</definedName>
    <definedName name="wrn.Plan._.EVA._2_5">#REF!</definedName>
    <definedName name="wrn.Plan._.EVA._3">#REF!</definedName>
    <definedName name="wrn.Plan._.EVA._4">#REF!</definedName>
    <definedName name="wrn.Plan._.EVA._5">#REF!</definedName>
    <definedName name="wrn.Portfolio._.Underwriting.">#REF!</definedName>
    <definedName name="wrn.PPMCoCodeView.">#REF!</definedName>
    <definedName name="wrn.PPMCoCodeView._1">#REF!</definedName>
    <definedName name="wrn.PPMCoCodeView._1_1">#REF!</definedName>
    <definedName name="wrn.PPMCoCodeView._1_2">#REF!</definedName>
    <definedName name="wrn.PPMCoCodeView._1_3">#REF!</definedName>
    <definedName name="wrn.PPMCoCodeView._1_4">#REF!</definedName>
    <definedName name="wrn.PPMCoCodeView._1_5">#REF!</definedName>
    <definedName name="wrn.PPMCoCodeView._2">#REF!</definedName>
    <definedName name="wrn.PPMCoCodeView._3">#REF!</definedName>
    <definedName name="wrn.PPMCoCodeView._4">#REF!</definedName>
    <definedName name="wrn.PPMCoCodeView._5">#REF!</definedName>
    <definedName name="wrn.PPMreconview.">#REF!</definedName>
    <definedName name="wrn.PPMreconview._1">#REF!</definedName>
    <definedName name="wrn.PPMreconview._1_1">#REF!</definedName>
    <definedName name="wrn.PPMreconview._1_2">#REF!</definedName>
    <definedName name="wrn.PPMreconview._1_3">#REF!</definedName>
    <definedName name="wrn.PPMreconview._1_4">#REF!</definedName>
    <definedName name="wrn.PPMreconview._1_5">#REF!</definedName>
    <definedName name="wrn.PPMreconview._2">#REF!</definedName>
    <definedName name="wrn.PPMreconview._3">#REF!</definedName>
    <definedName name="wrn.PPMreconview._4">#REF!</definedName>
    <definedName name="wrn.PPMreconview._5">#REF!</definedName>
    <definedName name="wrn.PREM._.QTRLY.">#REF!</definedName>
    <definedName name="wrn.PREM._.QTRLY._1">#REF!</definedName>
    <definedName name="wrn.PREM._.QTRLY._1_1">#REF!</definedName>
    <definedName name="wrn.PREM._.QTRLY._1_2">#REF!</definedName>
    <definedName name="wrn.PREM._.QTRLY._1_3">#REF!</definedName>
    <definedName name="wrn.PREM._.QTRLY._1_4">#REF!</definedName>
    <definedName name="wrn.PREM._.QTRLY._1_5">#REF!</definedName>
    <definedName name="wrn.PREM._.QTRLY._2">#REF!</definedName>
    <definedName name="wrn.PREM._.QTRLY._3">#REF!</definedName>
    <definedName name="wrn.PREM._.QTRLY._4">#REF!</definedName>
    <definedName name="wrn.PREM._.QTRLY._5">#REF!</definedName>
    <definedName name="wrn.PRES_OUT.">#REF!</definedName>
    <definedName name="wrn.Presentation.">#REF!</definedName>
    <definedName name="wrn.Pricing._.Strategy.">#REF!</definedName>
    <definedName name="wrn.print.">#REF!</definedName>
    <definedName name="wrn.Print._.24.">#REF!</definedName>
    <definedName name="wrn.Print._.All.">#REF!</definedName>
    <definedName name="wrn.Print._.All._.Pages.">#REF!</definedName>
    <definedName name="wrn.Print._.Documents.">#REF!</definedName>
    <definedName name="wrn.Print._.Entire._.Workbook.">#REF!</definedName>
    <definedName name="wrn.PRINT._.FULL.">#REF!</definedName>
    <definedName name="wrn.print._.graphs.">#REF!</definedName>
    <definedName name="wrn.print._.graphs._1">#REF!</definedName>
    <definedName name="wrn.print._.graphs._1_1">#REF!</definedName>
    <definedName name="wrn.print._.graphs._1_2">#REF!</definedName>
    <definedName name="wrn.print._.graphs._1_3">#REF!</definedName>
    <definedName name="wrn.print._.graphs._1_4">#REF!</definedName>
    <definedName name="wrn.print._.graphs._1_5">#REF!</definedName>
    <definedName name="wrn.print._.graphs._2">#REF!</definedName>
    <definedName name="wrn.print._.graphs._3">#REF!</definedName>
    <definedName name="wrn.print._.graphs._4">#REF!</definedName>
    <definedName name="wrn.print._.graphs._5">#REF!</definedName>
    <definedName name="wrn.print._.raw._.data._.entry.">#REF!</definedName>
    <definedName name="wrn.print._.raw._.data._.entry._1">#REF!</definedName>
    <definedName name="wrn.print._.raw._.data._.entry._1_1">#REF!</definedName>
    <definedName name="wrn.print._.raw._.data._.entry._1_2">#REF!</definedName>
    <definedName name="wrn.print._.raw._.data._.entry._1_3">#REF!</definedName>
    <definedName name="wrn.print._.raw._.data._.entry._1_4">#REF!</definedName>
    <definedName name="wrn.print._.raw._.data._.entry._1_5">#REF!</definedName>
    <definedName name="wrn.print._.raw._.data._.entry._2">#REF!</definedName>
    <definedName name="wrn.print._.raw._.data._.entry._3">#REF!</definedName>
    <definedName name="wrn.print._.raw._.data._.entry._4">#REF!</definedName>
    <definedName name="wrn.print._.raw._.data._.entry._5">#REF!</definedName>
    <definedName name="wrn.Print._.Report.">#REF!</definedName>
    <definedName name="wrn.Print._.Residential.">#REF!</definedName>
    <definedName name="wrn.Print._.Retail._.Hotel._.CFD.">#REF!</definedName>
    <definedName name="wrn.print._.summary._.sheets.">#REF!</definedName>
    <definedName name="wrn.print._.summary._.sheets._1">#REF!</definedName>
    <definedName name="wrn.print._.summary._.sheets._1_1">#REF!</definedName>
    <definedName name="wrn.print._.summary._.sheets._1_2">#REF!</definedName>
    <definedName name="wrn.print._.summary._.sheets._1_3">#REF!</definedName>
    <definedName name="wrn.print._.summary._.sheets._1_4">#REF!</definedName>
    <definedName name="wrn.print._.summary._.sheets._1_5">#REF!</definedName>
    <definedName name="wrn.print._.summary._.sheets._2">#REF!</definedName>
    <definedName name="wrn.print._.summary._.sheets._3">#REF!</definedName>
    <definedName name="wrn.print._.summary._.sheets._4">#REF!</definedName>
    <definedName name="wrn.print._.summary._.sheets._5">#REF!</definedName>
    <definedName name="wrn.print._1">#REF!</definedName>
    <definedName name="wrn.print._2">#REF!</definedName>
    <definedName name="wrn.Print_Buyer.">#REF!</definedName>
    <definedName name="wrn.Print_Target.">#REF!</definedName>
    <definedName name="wrn.PrintAll.">#REF!</definedName>
    <definedName name="wrn.Pro._.Forma.">#REF!</definedName>
    <definedName name="wrn.PRODUCT._.GROUP.">#REF!</definedName>
    <definedName name="wrn.ProForma.">#REF!</definedName>
    <definedName name="wrn.ProForma._1">#REF!</definedName>
    <definedName name="wrn.ProForma._1_1">#REF!</definedName>
    <definedName name="wrn.ProForma._1_2">#REF!</definedName>
    <definedName name="wrn.ProForma._1_3">#REF!</definedName>
    <definedName name="wrn.ProForma._1_4">#REF!</definedName>
    <definedName name="wrn.ProForma._1_5">#REF!</definedName>
    <definedName name="wrn.ProForma._2">#REF!</definedName>
    <definedName name="wrn.ProForma._3">#REF!</definedName>
    <definedName name="wrn.ProForma._4">#REF!</definedName>
    <definedName name="wrn.ProForma._5">#REF!</definedName>
    <definedName name="wrn.ProofElectricOnly.">#REF!</definedName>
    <definedName name="wrn.ProofElectricOnly._1">#REF!</definedName>
    <definedName name="wrn.ProofElectricOnly._1_1">#REF!</definedName>
    <definedName name="wrn.ProofElectricOnly._1_2">#REF!</definedName>
    <definedName name="wrn.ProofElectricOnly._1_3">#REF!</definedName>
    <definedName name="wrn.ProofElectricOnly._1_4">#REF!</definedName>
    <definedName name="wrn.ProofElectricOnly._1_5">#REF!</definedName>
    <definedName name="wrn.ProofElectricOnly._2">#REF!</definedName>
    <definedName name="wrn.ProofElectricOnly._3">#REF!</definedName>
    <definedName name="wrn.ProofElectricOnly._4">#REF!</definedName>
    <definedName name="wrn.ProofElectricOnly._5">#REF!</definedName>
    <definedName name="wrn.ProofTotal.">#REF!</definedName>
    <definedName name="wrn.ProofTotal._1">#REF!</definedName>
    <definedName name="wrn.ProofTotal._1_1">#REF!</definedName>
    <definedName name="wrn.ProofTotal._1_2">#REF!</definedName>
    <definedName name="wrn.ProofTotal._1_3">#REF!</definedName>
    <definedName name="wrn.ProofTotal._1_4">#REF!</definedName>
    <definedName name="wrn.ProofTotal._1_5">#REF!</definedName>
    <definedName name="wrn.ProofTotal._2">#REF!</definedName>
    <definedName name="wrn.ProofTotal._3">#REF!</definedName>
    <definedName name="wrn.ProofTotal._4">#REF!</definedName>
    <definedName name="wrn.ProofTotal._5">#REF!</definedName>
    <definedName name="wrn.Property._.Description.">#REF!</definedName>
    <definedName name="wrn.PSell_Out.">#REF!</definedName>
    <definedName name="wrn.Pulp.">#REF!</definedName>
    <definedName name="wrn.Pulp.2">#REF!</definedName>
    <definedName name="wrn.Pulp.3">#REF!</definedName>
    <definedName name="wrn.QQ_Quick_Merge_3yr.">#REF!</definedName>
    <definedName name="wrn.QQ_Quick_Merge_4yr.">#REF!</definedName>
    <definedName name="wrn.QQ_Quick_Merge_5yr.">#REF!</definedName>
    <definedName name="wrn.QQ_Quick_Merge_6yr.">#REF!</definedName>
    <definedName name="wrn.QQQ_Quick_Merge_3yr.">#REF!</definedName>
    <definedName name="wrn.QQQ_Quick_Merge_4yr.">#REF!</definedName>
    <definedName name="wrn.QQQ_Quick_Merge_5yr.">#REF!</definedName>
    <definedName name="wrn.QQQ_Quick_Merge_6yr.">#REF!</definedName>
    <definedName name="wrn.quart.">#REF!</definedName>
    <definedName name="wrn.quart._1">#REF!</definedName>
    <definedName name="wrn.quart._1_1">#REF!</definedName>
    <definedName name="wrn.quart._1_2">#REF!</definedName>
    <definedName name="wrn.quart._1_3">#REF!</definedName>
    <definedName name="wrn.quart._1_4">#REF!</definedName>
    <definedName name="wrn.quart._1_5">#REF!</definedName>
    <definedName name="wrn.quart._2">#REF!</definedName>
    <definedName name="wrn.quart._3">#REF!</definedName>
    <definedName name="wrn.quart._4">#REF!</definedName>
    <definedName name="wrn.quart._5">#REF!</definedName>
    <definedName name="wrn.Quarterly._.Report.">#REF!</definedName>
    <definedName name="wrn.Quarterly._.Summary.">#REF!</definedName>
    <definedName name="wrn.Quarterlys.">#REF!</definedName>
    <definedName name="wrn.Quarterlys._1">#REF!</definedName>
    <definedName name="wrn.Quarterlys._1_1">#REF!</definedName>
    <definedName name="wrn.Quarterlys._1_1_1">#REF!</definedName>
    <definedName name="wrn.Quarterlys._1_1_2">#REF!</definedName>
    <definedName name="wrn.Quarterlys._1_1_3">#REF!</definedName>
    <definedName name="wrn.Quarterlys._1_1_4">#REF!</definedName>
    <definedName name="wrn.Quarterlys._1_1_5">#REF!</definedName>
    <definedName name="wrn.Quarterlys._1_2">#REF!</definedName>
    <definedName name="wrn.Quarterlys._1_3">#REF!</definedName>
    <definedName name="wrn.Quarterlys._1_4">#REF!</definedName>
    <definedName name="wrn.Quarterlys._1_5">#REF!</definedName>
    <definedName name="wrn.Quarterlys._2">#REF!</definedName>
    <definedName name="wrn.Quarterlys._2_1">#REF!</definedName>
    <definedName name="wrn.Quarterlys._2_2">#REF!</definedName>
    <definedName name="wrn.Quarterlys._2_3">#REF!</definedName>
    <definedName name="wrn.Quarterlys._2_4">#REF!</definedName>
    <definedName name="wrn.Quarterlys._2_5">#REF!</definedName>
    <definedName name="wrn.Quarterlys._3">#REF!</definedName>
    <definedName name="wrn.Quarterlys._4">#REF!</definedName>
    <definedName name="wrn.Quarterlys._5">#REF!</definedName>
    <definedName name="wrn.quartfin.">#REF!</definedName>
    <definedName name="wrn.quartfin._1">#REF!</definedName>
    <definedName name="wrn.quartfin._1_1">#REF!</definedName>
    <definedName name="wrn.quartfin._1_2">#REF!</definedName>
    <definedName name="wrn.quartfin._1_3">#REF!</definedName>
    <definedName name="wrn.quartfin._1_4">#REF!</definedName>
    <definedName name="wrn.quartfin._1_5">#REF!</definedName>
    <definedName name="wrn.quartfin._2">#REF!</definedName>
    <definedName name="wrn.quartfin._3">#REF!</definedName>
    <definedName name="wrn.quartfin._4">#REF!</definedName>
    <definedName name="wrn.quartfin._5">#REF!</definedName>
    <definedName name="wrn.Quick_Merge_3yr.">#REF!</definedName>
    <definedName name="wrn.Quick_Merge_4yr.">#REF!</definedName>
    <definedName name="wrn.Quick_Merge_5yr.">#REF!</definedName>
    <definedName name="wrn.Quick_Merge_6yr.">#REF!</definedName>
    <definedName name="wrn.R_D._.Tax._.Services.">#REF!</definedName>
    <definedName name="wrn.Recovery._.Calcs.">#REF!</definedName>
    <definedName name="wrn.Reforcast._.Print.">#REF!</definedName>
    <definedName name="wrn.Reforcast._.Print._1">#REF!</definedName>
    <definedName name="wrn.Reforcast._.Print._2">#REF!</definedName>
    <definedName name="wrn.Reforecast.">#REF!</definedName>
    <definedName name="wrn.Reforecast._1">#REF!</definedName>
    <definedName name="wrn.Reforecast._2">#REF!</definedName>
    <definedName name="wrn.Reformat._.only.">#REF!</definedName>
    <definedName name="wrn.Reformat._.only._1">#REF!</definedName>
    <definedName name="wrn.Reformat._.only._1_1">#REF!</definedName>
    <definedName name="wrn.Reformat._.only._1_2">#REF!</definedName>
    <definedName name="wrn.Reformat._.only._1_3">#REF!</definedName>
    <definedName name="wrn.Reformat._.only._1_4">#REF!</definedName>
    <definedName name="wrn.Reformat._.only._1_5">#REF!</definedName>
    <definedName name="wrn.Reformat._.only._2">#REF!</definedName>
    <definedName name="wrn.Reformat._.only._3">#REF!</definedName>
    <definedName name="wrn.Reformat._.only._4">#REF!</definedName>
    <definedName name="wrn.Reformat._.only._5">#REF!</definedName>
    <definedName name="wrn.Reg._.Printer.">#REF!</definedName>
    <definedName name="wrn.Relevant._.Sections.">#REF!</definedName>
    <definedName name="wrn.Remaining._.Obligation.">#REF!</definedName>
    <definedName name="wrn.Rent._.Roll.">#REF!</definedName>
    <definedName name="wrn.RentRoll.">#REF!</definedName>
    <definedName name="wrn.report">#REF!</definedName>
    <definedName name="wrn.REPORT.">#REF!</definedName>
    <definedName name="wrn.REPORT._.C.">#REF!</definedName>
    <definedName name="wrn.reports.">#REF!</definedName>
    <definedName name="wrn.Reports._.to._.EBITDARM.">#REF!</definedName>
    <definedName name="wrn.reports._1">#REF!</definedName>
    <definedName name="wrn.reports._1_1">#REF!</definedName>
    <definedName name="wrn.reports._1_2">#REF!</definedName>
    <definedName name="wrn.reports._1_3">#REF!</definedName>
    <definedName name="wrn.reports._1_4">#REF!</definedName>
    <definedName name="wrn.reports._1_5">#REF!</definedName>
    <definedName name="wrn.reports._2">#REF!</definedName>
    <definedName name="wrn.reports._3">#REF!</definedName>
    <definedName name="wrn.reports._4">#REF!</definedName>
    <definedName name="wrn.reports._5">#REF!</definedName>
    <definedName name="wrn.Retail.">#REF!</definedName>
    <definedName name="wrn.Review._.File.">#REF!</definedName>
    <definedName name="wrn.Riverwood_comp_model.">#REF!</definedName>
    <definedName name="wrn.RustyPresentation.">#REF!</definedName>
    <definedName name="wrn.RustyPresentation._1">#REF!</definedName>
    <definedName name="wrn.RustyPresentation._2">#REF!</definedName>
    <definedName name="wrn.SAA94TAX.">#REF!</definedName>
    <definedName name="wrn.saasimple.">#REF!</definedName>
    <definedName name="wrn.salesassum.">#REF!</definedName>
    <definedName name="wrn.salesassum._1">#REF!</definedName>
    <definedName name="wrn.salesassum._1_1">#REF!</definedName>
    <definedName name="wrn.salesassum._1_2">#REF!</definedName>
    <definedName name="wrn.salesassum._1_3">#REF!</definedName>
    <definedName name="wrn.salesassum._1_4">#REF!</definedName>
    <definedName name="wrn.salesassum._1_5">#REF!</definedName>
    <definedName name="wrn.salesassum._2">#REF!</definedName>
    <definedName name="wrn.salesassum._3">#REF!</definedName>
    <definedName name="wrn.salesassum._4">#REF!</definedName>
    <definedName name="wrn.salesassum._5">#REF!</definedName>
    <definedName name="wrn.Scenario.">#REF!</definedName>
    <definedName name="wrn.SCHEDULE">#REF!</definedName>
    <definedName name="wrn.SCHEDULE.">#REF!</definedName>
    <definedName name="wrn.Schedules.">#REF!</definedName>
    <definedName name="wrn.Segments.">#REF!</definedName>
    <definedName name="wrn.SemiCap.">#REF!</definedName>
    <definedName name="wrn.sensitivity._.analyses.">#REF!</definedName>
    <definedName name="wrn.sensitivity._.analyses._1">#REF!</definedName>
    <definedName name="wrn.sensitivity._.analyses._1_1">#REF!</definedName>
    <definedName name="wrn.sensitivity._.analyses._1_2">#REF!</definedName>
    <definedName name="wrn.sensitivity._.analyses._1_3">#REF!</definedName>
    <definedName name="wrn.sensitivity._.analyses._1_4">#REF!</definedName>
    <definedName name="wrn.sensitivity._.analyses._1_5">#REF!</definedName>
    <definedName name="wrn.sensitivity._.analyses._2">#REF!</definedName>
    <definedName name="wrn.sensitivity._.analyses._3">#REF!</definedName>
    <definedName name="wrn.sensitivity._.analyses._4">#REF!</definedName>
    <definedName name="wrn.sensitivity._.analyses._5">#REF!</definedName>
    <definedName name="wrn.Sensitivity._.Analysis.">#REF!</definedName>
    <definedName name="wrn.Set.">#REF!</definedName>
    <definedName name="wrn.Short._.Report.">#REF!</definedName>
    <definedName name="wrn.Short._.Report._1">#REF!</definedName>
    <definedName name="wrn.Short._.Report._1_1">#REF!</definedName>
    <definedName name="wrn.Short._.Report._1_2">#REF!</definedName>
    <definedName name="wrn.Short._.Report._1_3">#REF!</definedName>
    <definedName name="wrn.Short._.Report._1_4">#REF!</definedName>
    <definedName name="wrn.Short._.Report._1_5">#REF!</definedName>
    <definedName name="wrn.Short._.Report._2">#REF!</definedName>
    <definedName name="wrn.Short._.Report._3">#REF!</definedName>
    <definedName name="wrn.Short._.Report._4">#REF!</definedName>
    <definedName name="wrn.Short._.Report._5">#REF!</definedName>
    <definedName name="wrn.singapore.">#REF!</definedName>
    <definedName name="wrn.Stadium._.PCD.">#REF!</definedName>
    <definedName name="wrn.stand_alone.">#REF!</definedName>
    <definedName name="wrn.stand_alone._1">#REF!</definedName>
    <definedName name="wrn.stand_alone._1_1">#REF!</definedName>
    <definedName name="wrn.stand_alone._1_2">#REF!</definedName>
    <definedName name="wrn.stand_alone._1_3">#REF!</definedName>
    <definedName name="wrn.stand_alone._1_4">#REF!</definedName>
    <definedName name="wrn.stand_alone._1_5">#REF!</definedName>
    <definedName name="wrn.stand_alone._2">#REF!</definedName>
    <definedName name="wrn.stand_alone._3">#REF!</definedName>
    <definedName name="wrn.stand_alone._4">#REF!</definedName>
    <definedName name="wrn.stand_alone._5">#REF!</definedName>
    <definedName name="wrn.STAND_ALONE_BOTH.">#REF!</definedName>
    <definedName name="wrn.Standard.">#REF!</definedName>
    <definedName name="wrn.Standard._.NonUtility._.Only.">#REF!</definedName>
    <definedName name="wrn.Standard._.NonUtility._.Only._1">#REF!</definedName>
    <definedName name="wrn.Standard._.NonUtility._.Only._1_1">#REF!</definedName>
    <definedName name="wrn.Standard._.NonUtility._.Only._1_2">#REF!</definedName>
    <definedName name="wrn.Standard._.NonUtility._.Only._1_3">#REF!</definedName>
    <definedName name="wrn.Standard._.NonUtility._.Only._1_4">#REF!</definedName>
    <definedName name="wrn.Standard._.NonUtility._.Only._1_5">#REF!</definedName>
    <definedName name="wrn.Standard._.NonUtility._.Only._2">#REF!</definedName>
    <definedName name="wrn.Standard._.NonUtility._.Only._3">#REF!</definedName>
    <definedName name="wrn.Standard._.NonUtility._.Only._4">#REF!</definedName>
    <definedName name="wrn.Standard._.NonUtility._.Only._5">#REF!</definedName>
    <definedName name="wrn.Standard._.Utility._.Only.">#REF!</definedName>
    <definedName name="wrn.Standard._.Utility._.Only._1">#REF!</definedName>
    <definedName name="wrn.Standard._.Utility._.Only._1_1">#REF!</definedName>
    <definedName name="wrn.Standard._.Utility._.Only._1_2">#REF!</definedName>
    <definedName name="wrn.Standard._.Utility._.Only._1_3">#REF!</definedName>
    <definedName name="wrn.Standard._.Utility._.Only._1_4">#REF!</definedName>
    <definedName name="wrn.Standard._.Utility._.Only._1_5">#REF!</definedName>
    <definedName name="wrn.Standard._.Utility._.Only._2">#REF!</definedName>
    <definedName name="wrn.Standard._.Utility._.Only._3">#REF!</definedName>
    <definedName name="wrn.Standard._.Utility._.Only._4">#REF!</definedName>
    <definedName name="wrn.Standard._.Utility._.Only._5">#REF!</definedName>
    <definedName name="wrn.Standard._1">#REF!</definedName>
    <definedName name="wrn.Standard._1_1">#REF!</definedName>
    <definedName name="wrn.Standard._1_2">#REF!</definedName>
    <definedName name="wrn.Standard._1_3">#REF!</definedName>
    <definedName name="wrn.Standard._1_4">#REF!</definedName>
    <definedName name="wrn.Standard._1_5">#REF!</definedName>
    <definedName name="wrn.Standard._2">#REF!</definedName>
    <definedName name="wrn.Standard._3">#REF!</definedName>
    <definedName name="wrn.Standard._4">#REF!</definedName>
    <definedName name="wrn.Standard._5">#REF!</definedName>
    <definedName name="wrn.Strengths._.Weaknesses.">#REF!</definedName>
    <definedName name="wrn.Structural._.Frame.">#REF!</definedName>
    <definedName name="wrn.Structure.">#REF!</definedName>
    <definedName name="wrn.subs.">#REF!</definedName>
    <definedName name="wrn.sum._.and._.detail.">#REF!</definedName>
    <definedName name="wrn.sum._.and._.detail._1">#REF!</definedName>
    <definedName name="wrn.sum._.and._.detail._1_1">#REF!</definedName>
    <definedName name="wrn.sum._.and._.detail._1_2">#REF!</definedName>
    <definedName name="wrn.sum._.and._.detail._1_3">#REF!</definedName>
    <definedName name="wrn.sum._.and._.detail._1_4">#REF!</definedName>
    <definedName name="wrn.sum._.and._.detail._1_5">#REF!</definedName>
    <definedName name="wrn.sum._.and._.detail._2">#REF!</definedName>
    <definedName name="wrn.sum._.and._.detail._3">#REF!</definedName>
    <definedName name="wrn.sum._.and._.detail._4">#REF!</definedName>
    <definedName name="wrn.sum._.and._.detail._5">#REF!</definedName>
    <definedName name="wrn.SUM._.ONLY.">#REF!</definedName>
    <definedName name="wrn.SUM._.WITH._.GC.">#REF!</definedName>
    <definedName name="wrn.summary.">#REF!</definedName>
    <definedName name="wrn.Summary._.View.">#REF!</definedName>
    <definedName name="wrn.Summary._.View._1">#REF!</definedName>
    <definedName name="wrn.Summary._.View._1_1">#REF!</definedName>
    <definedName name="wrn.Summary._.View._1_2">#REF!</definedName>
    <definedName name="wrn.Summary._.View._1_3">#REF!</definedName>
    <definedName name="wrn.Summary._.View._1_4">#REF!</definedName>
    <definedName name="wrn.Summary._.View._1_5">#REF!</definedName>
    <definedName name="wrn.Summary._.View._2">#REF!</definedName>
    <definedName name="wrn.Summary._.View._3">#REF!</definedName>
    <definedName name="wrn.Summary._.View._4">#REF!</definedName>
    <definedName name="wrn.Summary._.View._5">#REF!</definedName>
    <definedName name="wrn.Tables.">#REF!</definedName>
    <definedName name="wrn.Tariff._.working.">#REF!</definedName>
    <definedName name="wrn.Taxes._.Title._.Insurance.">#REF!</definedName>
    <definedName name="wrn.Template.">#REF!</definedName>
    <definedName name="wrn.test.">#REF!</definedName>
    <definedName name="wrn.test._1">#REF!</definedName>
    <definedName name="wrn.test._1_1">#REF!</definedName>
    <definedName name="wrn.test._1_2">#REF!</definedName>
    <definedName name="wrn.test._1_3">#REF!</definedName>
    <definedName name="wrn.test._1_4">#REF!</definedName>
    <definedName name="wrn.test._1_5">#REF!</definedName>
    <definedName name="wrn.test._2">#REF!</definedName>
    <definedName name="wrn.test._3">#REF!</definedName>
    <definedName name="wrn.test._4">#REF!</definedName>
    <definedName name="wrn.test._5">#REF!</definedName>
    <definedName name="wrn.Therasense.">#REF!</definedName>
    <definedName name="wrn.Therasense._1">#REF!</definedName>
    <definedName name="wrn.Therasense._1_1">#REF!</definedName>
    <definedName name="wrn.Therasense._1_2">#REF!</definedName>
    <definedName name="wrn.Therasense._1_3">#REF!</definedName>
    <definedName name="wrn.Therasense._1_4">#REF!</definedName>
    <definedName name="wrn.Therasense._1_5">#REF!</definedName>
    <definedName name="wrn.Therasense._2">#REF!</definedName>
    <definedName name="wrn.Therasense._3">#REF!</definedName>
    <definedName name="wrn.Therasense._4">#REF!</definedName>
    <definedName name="wrn.Therasense._5">#REF!</definedName>
    <definedName name="wrn.Thomas_Case.">#REF!</definedName>
    <definedName name="wrn.Thomas_Case._1">#REF!</definedName>
    <definedName name="wrn.Thomas_Case._1_1">#REF!</definedName>
    <definedName name="wrn.Thomas_Case._1_2">#REF!</definedName>
    <definedName name="wrn.Thomas_Case._1_3">#REF!</definedName>
    <definedName name="wrn.Thomas_Case._1_4">#REF!</definedName>
    <definedName name="wrn.Thomas_Case._1_5">#REF!</definedName>
    <definedName name="wrn.Thomas_Case._2">#REF!</definedName>
    <definedName name="wrn.Thomas_Case._3">#REF!</definedName>
    <definedName name="wrn.Thomas_Case._4">#REF!</definedName>
    <definedName name="wrn.Thomas_Case._5">#REF!</definedName>
    <definedName name="wrn.Tobra.">#REF!</definedName>
    <definedName name="wrn.Tobra._1">#REF!</definedName>
    <definedName name="wrn.Tobra._1_1">#REF!</definedName>
    <definedName name="wrn.Tobra._1_2">#REF!</definedName>
    <definedName name="wrn.Tobra._1_3">#REF!</definedName>
    <definedName name="wrn.Tobra._1_4">#REF!</definedName>
    <definedName name="wrn.Tobra._1_5">#REF!</definedName>
    <definedName name="wrn.Tobra._2">#REF!</definedName>
    <definedName name="wrn.Tobra._3">#REF!</definedName>
    <definedName name="wrn.Tobra._4">#REF!</definedName>
    <definedName name="wrn.Tobra._5">#REF!</definedName>
    <definedName name="wrn.toshg.">#REF!</definedName>
    <definedName name="wrn.Total.">#REF!</definedName>
    <definedName name="wrn.Total._.Company._.Reforecast._.Print.">#REF!</definedName>
    <definedName name="wrn.Total._.Company._.Reforecast._.Print._1">#REF!</definedName>
    <definedName name="wrn.Total._.Company._.Reforecast._.Print._2">#REF!</definedName>
    <definedName name="wrn.TOTAL._.SHEETS.">#REF!</definedName>
    <definedName name="wrn.totalcomp.">#REF!</definedName>
    <definedName name="wrn.totalcomp._1">#REF!</definedName>
    <definedName name="wrn.totalcomp._1_1">#REF!</definedName>
    <definedName name="wrn.totalcomp._1_2">#REF!</definedName>
    <definedName name="wrn.totalcomp._1_3">#REF!</definedName>
    <definedName name="wrn.totalcomp._1_4">#REF!</definedName>
    <definedName name="wrn.totalcomp._1_5">#REF!</definedName>
    <definedName name="wrn.totalcomp._2">#REF!</definedName>
    <definedName name="wrn.totalcomp._3">#REF!</definedName>
    <definedName name="wrn.totalcomp._4">#REF!</definedName>
    <definedName name="wrn.totalcomp._5">#REF!</definedName>
    <definedName name="wrn.tox.">#REF!</definedName>
    <definedName name="wrn.tox._1">#REF!</definedName>
    <definedName name="wrn.tox._1_1">#REF!</definedName>
    <definedName name="wrn.tox._1_2">#REF!</definedName>
    <definedName name="wrn.tox._1_3">#REF!</definedName>
    <definedName name="wrn.tox._1_4">#REF!</definedName>
    <definedName name="wrn.tox._1_5">#REF!</definedName>
    <definedName name="wrn.tox._2">#REF!</definedName>
    <definedName name="wrn.tox._3">#REF!</definedName>
    <definedName name="wrn.tox._4">#REF!</definedName>
    <definedName name="wrn.tox._5">#REF!</definedName>
    <definedName name="wrn.Track.">#REF!</definedName>
    <definedName name="wrn.Track._1">#REF!</definedName>
    <definedName name="wrn.Track._2">#REF!</definedName>
    <definedName name="wrn.TRANSLATED._.B.S.">#REF!</definedName>
    <definedName name="wrn.Trial._.bal.">#REF!</definedName>
    <definedName name="wrn.Trial._.bal._1">#REF!</definedName>
    <definedName name="wrn.Trial._.bal._1_1">#REF!</definedName>
    <definedName name="wrn.Trial._.bal._1_2">#REF!</definedName>
    <definedName name="wrn.Trial._.bal._1_3">#REF!</definedName>
    <definedName name="wrn.Trial._.bal._1_4">#REF!</definedName>
    <definedName name="wrn.Trial._.bal._1_5">#REF!</definedName>
    <definedName name="wrn.Trial._.bal._2">#REF!</definedName>
    <definedName name="wrn.Trial._.bal._3">#REF!</definedName>
    <definedName name="wrn.Trial._.bal._4">#REF!</definedName>
    <definedName name="wrn.Trial._.bal._5">#REF!</definedName>
    <definedName name="wrn.UK._.Conversion._.Only.">#REF!</definedName>
    <definedName name="wrn.UK._.Conversion._.Only._1">#REF!</definedName>
    <definedName name="wrn.UK._.Conversion._.Only._1_1">#REF!</definedName>
    <definedName name="wrn.UK._.Conversion._.Only._1_2">#REF!</definedName>
    <definedName name="wrn.UK._.Conversion._.Only._1_3">#REF!</definedName>
    <definedName name="wrn.UK._.Conversion._.Only._1_4">#REF!</definedName>
    <definedName name="wrn.UK._.Conversion._.Only._1_5">#REF!</definedName>
    <definedName name="wrn.UK._.Conversion._.Only._2">#REF!</definedName>
    <definedName name="wrn.UK._.Conversion._.Only._3">#REF!</definedName>
    <definedName name="wrn.UK._.Conversion._.Only._4">#REF!</definedName>
    <definedName name="wrn.UK._.Conversion._.Only._5">#REF!</definedName>
    <definedName name="wrn.Underwriting._.Analysis.">#REF!</definedName>
    <definedName name="wrn.Underwriting._.detail._.rpt.">#REF!</definedName>
    <definedName name="wrn.Underwriting._.detail._.rpt._1">#REF!</definedName>
    <definedName name="wrn.Underwriting._.detail._.rpt._1_1">#REF!</definedName>
    <definedName name="wrn.Underwriting._.detail._.rpt._1_2">#REF!</definedName>
    <definedName name="wrn.Underwriting._.detail._.rpt._1_3">#REF!</definedName>
    <definedName name="wrn.Underwriting._.detail._.rpt._1_4">#REF!</definedName>
    <definedName name="wrn.Underwriting._.detail._.rpt._1_5">#REF!</definedName>
    <definedName name="wrn.Underwriting._.detail._.rpt._2">#REF!</definedName>
    <definedName name="wrn.Underwriting._.detail._.rpt._3">#REF!</definedName>
    <definedName name="wrn.Underwriting._.detail._.rpt._4">#REF!</definedName>
    <definedName name="wrn.Underwriting._.detail._.rpt._5">#REF!</definedName>
    <definedName name="wrn.Underwriting._.entries.">#REF!</definedName>
    <definedName name="wrn.Underwriting._.entries._1">#REF!</definedName>
    <definedName name="wrn.Underwriting._.entries._1_1">#REF!</definedName>
    <definedName name="wrn.Underwriting._.entries._1_2">#REF!</definedName>
    <definedName name="wrn.Underwriting._.entries._1_3">#REF!</definedName>
    <definedName name="wrn.Underwriting._.entries._1_4">#REF!</definedName>
    <definedName name="wrn.Underwriting._.entries._1_5">#REF!</definedName>
    <definedName name="wrn.Underwriting._.entries._2">#REF!</definedName>
    <definedName name="wrn.Underwriting._.entries._3">#REF!</definedName>
    <definedName name="wrn.Underwriting._.entries._4">#REF!</definedName>
    <definedName name="wrn.Underwriting._.entries._5">#REF!</definedName>
    <definedName name="wrn.underwriting._.schedules.">#REF!</definedName>
    <definedName name="wrn.underwriting._.schedules._1">#REF!</definedName>
    <definedName name="wrn.underwriting._.schedules._1_1">#REF!</definedName>
    <definedName name="wrn.underwriting._.schedules._1_2">#REF!</definedName>
    <definedName name="wrn.underwriting._.schedules._1_3">#REF!</definedName>
    <definedName name="wrn.underwriting._.schedules._1_4">#REF!</definedName>
    <definedName name="wrn.underwriting._.schedules._1_5">#REF!</definedName>
    <definedName name="wrn.underwriting._.schedules._2">#REF!</definedName>
    <definedName name="wrn.underwriting._.schedules._3">#REF!</definedName>
    <definedName name="wrn.underwriting._.schedules._4">#REF!</definedName>
    <definedName name="wrn.underwriting._.schedules._5">#REF!</definedName>
    <definedName name="wrn.UNIONGAS94TAXRETURN.">#REF!</definedName>
    <definedName name="wrn.up.">#REF!</definedName>
    <definedName name="wrn.up._1">#REF!</definedName>
    <definedName name="wrn.up._1_1">#REF!</definedName>
    <definedName name="wrn.up._1_2">#REF!</definedName>
    <definedName name="wrn.up._1_3">#REF!</definedName>
    <definedName name="wrn.up._1_4">#REF!</definedName>
    <definedName name="wrn.up._1_5">#REF!</definedName>
    <definedName name="wrn.up._2">#REF!</definedName>
    <definedName name="wrn.up._3">#REF!</definedName>
    <definedName name="wrn.up._4">#REF!</definedName>
    <definedName name="wrn.up._5">#REF!</definedName>
    <definedName name="wrn.USAmc.">#REF!</definedName>
    <definedName name="wrn.USAmg.">#REF!</definedName>
    <definedName name="wrn.USAsg.">#REF!</definedName>
    <definedName name="wrn.USF._.GROUP.">#REF!</definedName>
    <definedName name="wrn.USR.">#REF!</definedName>
    <definedName name="wrn.USSC_Reports.">#REF!</definedName>
    <definedName name="wrn.Valuation.">#REF!</definedName>
    <definedName name="wrn.Valuation._1">#REF!</definedName>
    <definedName name="wrn.Valuation._1_1">#REF!</definedName>
    <definedName name="wrn.Valuation._1_2">#REF!</definedName>
    <definedName name="wrn.Valuation._1_3">#REF!</definedName>
    <definedName name="wrn.Valuation._1_4">#REF!</definedName>
    <definedName name="wrn.Valuation._1_5">#REF!</definedName>
    <definedName name="wrn.Valuation._2">#REF!</definedName>
    <definedName name="wrn.Valuation._3">#REF!</definedName>
    <definedName name="wrn.Valuation._4">#REF!</definedName>
    <definedName name="wrn.Valuation._5">#REF!</definedName>
    <definedName name="wrn.Variance.">#REF!</definedName>
    <definedName name="wrn.Wasatch._.mgmt._.financials.">#REF!</definedName>
    <definedName name="wrn.Wasatch._.mgmt._.financials._1">#REF!</definedName>
    <definedName name="wrn.Wasatch._.mgmt._.financials._1_1">#REF!</definedName>
    <definedName name="wrn.Wasatch._.mgmt._.financials._1_2">#REF!</definedName>
    <definedName name="wrn.Wasatch._.mgmt._.financials._1_3">#REF!</definedName>
    <definedName name="wrn.Wasatch._.mgmt._.financials._1_4">#REF!</definedName>
    <definedName name="wrn.Wasatch._.mgmt._.financials._1_5">#REF!</definedName>
    <definedName name="wrn.Wasatch._.mgmt._.financials._2">#REF!</definedName>
    <definedName name="wrn.Wasatch._.mgmt._.financials._3">#REF!</definedName>
    <definedName name="wrn.Wasatch._.mgmt._.financials._4">#REF!</definedName>
    <definedName name="wrn.Wasatch._.mgmt._.financials._5">#REF!</definedName>
    <definedName name="wrn.Whitebk.">#REF!</definedName>
    <definedName name="wrn.Wireless.">#REF!</definedName>
    <definedName name="wrn.Wireless._1">#REF!</definedName>
    <definedName name="wrn.Wireless._1_1">#REF!</definedName>
    <definedName name="wrn.Wireless._1_1_1">#REF!</definedName>
    <definedName name="wrn.Wireless._1_1_2">#REF!</definedName>
    <definedName name="wrn.Wireless._1_1_3">#REF!</definedName>
    <definedName name="wrn.Wireless._1_1_4">#REF!</definedName>
    <definedName name="wrn.Wireless._1_1_5">#REF!</definedName>
    <definedName name="wrn.Wireless._1_2">#REF!</definedName>
    <definedName name="wrn.Wireless._1_3">#REF!</definedName>
    <definedName name="wrn.Wireless._1_4">#REF!</definedName>
    <definedName name="wrn.Wireless._1_5">#REF!</definedName>
    <definedName name="wrn.Wireless._2">#REF!</definedName>
    <definedName name="wrn.Wireless._2_1">#REF!</definedName>
    <definedName name="wrn.Wireless._2_2">#REF!</definedName>
    <definedName name="wrn.Wireless._2_3">#REF!</definedName>
    <definedName name="wrn.Wireless._2_4">#REF!</definedName>
    <definedName name="wrn.Wireless._2_5">#REF!</definedName>
    <definedName name="wrn.Wireless._3">#REF!</definedName>
    <definedName name="wrn.Wireless._4">#REF!</definedName>
    <definedName name="wrn.Wireless._5">#REF!</definedName>
    <definedName name="wrn.without._.Wireless._.All._.Periods.">#REF!</definedName>
    <definedName name="wrn.without._.Wireless._.All._.Periods._1">#REF!</definedName>
    <definedName name="wrn.without._.Wireless._.All._.Periods._1_1">#REF!</definedName>
    <definedName name="wrn.without._.Wireless._.All._.Periods._1_1_1">#REF!</definedName>
    <definedName name="wrn.without._.Wireless._.All._.Periods._1_1_2">#REF!</definedName>
    <definedName name="wrn.without._.Wireless._.All._.Periods._1_1_3">#REF!</definedName>
    <definedName name="wrn.without._.Wireless._.All._.Periods._1_1_4">#REF!</definedName>
    <definedName name="wrn.without._.Wireless._.All._.Periods._1_1_5">#REF!</definedName>
    <definedName name="wrn.without._.Wireless._.All._.Periods._1_2">#REF!</definedName>
    <definedName name="wrn.without._.Wireless._.All._.Periods._1_3">#REF!</definedName>
    <definedName name="wrn.without._.Wireless._.All._.Periods._1_4">#REF!</definedName>
    <definedName name="wrn.without._.Wireless._.All._.Periods._1_5">#REF!</definedName>
    <definedName name="wrn.without._.Wireless._.All._.Periods._2">#REF!</definedName>
    <definedName name="wrn.without._.Wireless._.All._.Periods._2_1">#REF!</definedName>
    <definedName name="wrn.without._.Wireless._.All._.Periods._2_2">#REF!</definedName>
    <definedName name="wrn.without._.Wireless._.All._.Periods._2_3">#REF!</definedName>
    <definedName name="wrn.without._.Wireless._.All._.Periods._2_4">#REF!</definedName>
    <definedName name="wrn.without._.Wireless._.All._.Periods._2_5">#REF!</definedName>
    <definedName name="wrn.without._.Wireless._.All._.Periods._3">#REF!</definedName>
    <definedName name="wrn.without._.Wireless._.All._.Periods._4">#REF!</definedName>
    <definedName name="wrn.without._.Wireless._.All._.Periods._5">#REF!</definedName>
    <definedName name="wrn.workbook.">#REF!</definedName>
    <definedName name="wrn.workbook._1">#REF!</definedName>
    <definedName name="wrn.workbook._1_1">#REF!</definedName>
    <definedName name="wrn.workbook._1_2">#REF!</definedName>
    <definedName name="wrn.workbook._1_3">#REF!</definedName>
    <definedName name="wrn.workbook._1_4">#REF!</definedName>
    <definedName name="wrn.workbook._1_5">#REF!</definedName>
    <definedName name="wrn.workbook._2">#REF!</definedName>
    <definedName name="wrn.workbook._3">#REF!</definedName>
    <definedName name="wrn.workbook._4">#REF!</definedName>
    <definedName name="wrn.workbook._5">#REF!</definedName>
    <definedName name="wrn.Working._.Party._.List.">#REF!</definedName>
    <definedName name="wrn.YearEnd.">#REF!</definedName>
    <definedName name="wrn.YearEnd._1">#REF!</definedName>
    <definedName name="wrn.YearEnd._1_1">#REF!</definedName>
    <definedName name="wrn.YearEnd._1_2">#REF!</definedName>
    <definedName name="wrn.YearEnd._1_3">#REF!</definedName>
    <definedName name="wrn.YearEnd._1_4">#REF!</definedName>
    <definedName name="wrn.YearEnd._1_5">#REF!</definedName>
    <definedName name="wrn.YearEnd._2">#REF!</definedName>
    <definedName name="wrn.YearEnd._3">#REF!</definedName>
    <definedName name="wrn.YearEnd._4">#REF!</definedName>
    <definedName name="wrn.YearEnd._5">#REF!</definedName>
    <definedName name="wrn.Yield.">#REF!</definedName>
    <definedName name="wrn.간단한세무조정계산서.">#REF!</definedName>
    <definedName name="wrn.세무">#REF!</definedName>
    <definedName name="wrn.세무조정계산서.">#REF!</definedName>
    <definedName name="wrn.세무조정모든양식.">#REF!</definedName>
    <definedName name="wrn.재무제표.">#REF!</definedName>
    <definedName name="wrn.조흥94세무.">#REF!</definedName>
    <definedName name="wrn.조흥축약94.">#REF!</definedName>
    <definedName name="wrn.회의0104.XLS.">#REF!</definedName>
    <definedName name="wrn1.com">#REF!</definedName>
    <definedName name="wrn2.All.">#REF!</definedName>
    <definedName name="WRN2.Document">#REF!</definedName>
    <definedName name="WRN2.Document_1">#REF!</definedName>
    <definedName name="WRN2.Document_1_1">#REF!</definedName>
    <definedName name="WRN2.Document_1_2">#REF!</definedName>
    <definedName name="WRN2.Document_1_3">#REF!</definedName>
    <definedName name="WRN2.Document_1_4">#REF!</definedName>
    <definedName name="WRN2.Document_1_5">#REF!</definedName>
    <definedName name="WRN2.Document_2">#REF!</definedName>
    <definedName name="WRN2.Document_3">#REF!</definedName>
    <definedName name="WRN2.Document_4">#REF!</definedName>
    <definedName name="WRN2.Document_5">#REF!</definedName>
    <definedName name="wrn2.summary">#REF!</definedName>
    <definedName name="wrth">#REF!</definedName>
    <definedName name="wrth_1">#REF!</definedName>
    <definedName name="wrth_1_1">#REF!</definedName>
    <definedName name="wrth_1_2">#REF!</definedName>
    <definedName name="wrth_1_3">#REF!</definedName>
    <definedName name="wrth_1_4">#REF!</definedName>
    <definedName name="wrth_1_5">#REF!</definedName>
    <definedName name="wrth_2">#REF!</definedName>
    <definedName name="wrth_3">#REF!</definedName>
    <definedName name="wrth_4">#REF!</definedName>
    <definedName name="wrth_5">#REF!</definedName>
    <definedName name="WS">#REF!</definedName>
    <definedName name="WS_1">#REF!</definedName>
    <definedName name="WS_1_1">#REF!</definedName>
    <definedName name="WS_1_2">#REF!</definedName>
    <definedName name="WS_1_3">#REF!</definedName>
    <definedName name="WS_1_4">#REF!</definedName>
    <definedName name="WS_1_5">#REF!</definedName>
    <definedName name="WS_2">#REF!</definedName>
    <definedName name="WS_3">#REF!</definedName>
    <definedName name="WS_4">#REF!</definedName>
    <definedName name="WS_5">#REF!</definedName>
    <definedName name="wvu.acq.">#REF!</definedName>
    <definedName name="wvu.aplcagr.">#REF!</definedName>
    <definedName name="wvu.cash.">#REF!</definedName>
    <definedName name="wvu.div.">#REF!</definedName>
    <definedName name="wvu.inputs._.raw._.data.">#REF!</definedName>
    <definedName name="wvu.inputs._.raw._.data._1">#REF!</definedName>
    <definedName name="wvu.inputs._.raw._.data._1_1">#REF!</definedName>
    <definedName name="wvu.inputs._.raw._.data._1_2">#REF!</definedName>
    <definedName name="wvu.inputs._.raw._.data._1_3">#REF!</definedName>
    <definedName name="wvu.inputs._.raw._.data._1_4">#REF!</definedName>
    <definedName name="wvu.inputs._.raw._.data._1_5">#REF!</definedName>
    <definedName name="wvu.inputs._.raw._.data._2">#REF!</definedName>
    <definedName name="wvu.inputs._.raw._.data._3">#REF!</definedName>
    <definedName name="wvu.inputs._.raw._.data._4">#REF!</definedName>
    <definedName name="wvu.inputs._.raw._.data._5">#REF!</definedName>
    <definedName name="wvu.KNTAPL.">#REF!</definedName>
    <definedName name="wvu.KNTQPL.">#REF!</definedName>
    <definedName name="wvu.profits.">#REF!</definedName>
    <definedName name="wvu.summary1.">#REF!</definedName>
    <definedName name="wvu.summary1._1">#REF!</definedName>
    <definedName name="wvu.summary1._1_1">#REF!</definedName>
    <definedName name="wvu.summary1._1_2">#REF!</definedName>
    <definedName name="wvu.summary1._1_3">#REF!</definedName>
    <definedName name="wvu.summary1._1_4">#REF!</definedName>
    <definedName name="wvu.summary1._1_5">#REF!</definedName>
    <definedName name="wvu.summary1._2">#REF!</definedName>
    <definedName name="wvu.summary1._3">#REF!</definedName>
    <definedName name="wvu.summary1._4">#REF!</definedName>
    <definedName name="wvu.summary1._5">#REF!</definedName>
    <definedName name="wvu.summary2.">#REF!</definedName>
    <definedName name="wvu.summary2._1">#REF!</definedName>
    <definedName name="wvu.summary2._1_1">#REF!</definedName>
    <definedName name="wvu.summary2._1_2">#REF!</definedName>
    <definedName name="wvu.summary2._1_3">#REF!</definedName>
    <definedName name="wvu.summary2._1_4">#REF!</definedName>
    <definedName name="wvu.summary2._1_5">#REF!</definedName>
    <definedName name="wvu.summary2._2">#REF!</definedName>
    <definedName name="wvu.summary2._3">#REF!</definedName>
    <definedName name="wvu.summary2._4">#REF!</definedName>
    <definedName name="wvu.summary2._5">#REF!</definedName>
    <definedName name="wvu.summary3.">#REF!</definedName>
    <definedName name="wvu.summary3._1">#REF!</definedName>
    <definedName name="wvu.summary3._1_1">#REF!</definedName>
    <definedName name="wvu.summary3._1_2">#REF!</definedName>
    <definedName name="wvu.summary3._1_3">#REF!</definedName>
    <definedName name="wvu.summary3._1_4">#REF!</definedName>
    <definedName name="wvu.summary3._1_5">#REF!</definedName>
    <definedName name="wvu.summary3._2">#REF!</definedName>
    <definedName name="wvu.summary3._3">#REF!</definedName>
    <definedName name="wvu.summary3._4">#REF!</definedName>
    <definedName name="wvu.summary3._5">#REF!</definedName>
    <definedName name="wvu.turnover.">#REF!</definedName>
    <definedName name="ww">#REF!</definedName>
    <definedName name="wwqety">#REF!</definedName>
    <definedName name="wwqety_1">#REF!</definedName>
    <definedName name="wwqety_1_1">#REF!</definedName>
    <definedName name="wwqety_1_2">#REF!</definedName>
    <definedName name="wwqety_1_3">#REF!</definedName>
    <definedName name="wwqety_1_4">#REF!</definedName>
    <definedName name="wwqety_1_5">#REF!</definedName>
    <definedName name="wwqety_2">#REF!</definedName>
    <definedName name="wwqety_3">#REF!</definedName>
    <definedName name="wwqety_4">#REF!</definedName>
    <definedName name="wwqety_5">#REF!</definedName>
    <definedName name="www">#REF!</definedName>
    <definedName name="wwww">#REF!</definedName>
    <definedName name="wwwwww">#REF!</definedName>
    <definedName name="wyh">#REF!</definedName>
    <definedName name="wyh_1">#REF!</definedName>
    <definedName name="wyh_1_1">#REF!</definedName>
    <definedName name="wyh_1_2">#REF!</definedName>
    <definedName name="wyh_1_3">#REF!</definedName>
    <definedName name="wyh_1_4">#REF!</definedName>
    <definedName name="wyh_1_5">#REF!</definedName>
    <definedName name="wyh_2">#REF!</definedName>
    <definedName name="wyh_3">#REF!</definedName>
    <definedName name="wyh_4">#REF!</definedName>
    <definedName name="wyh_5">#REF!</definedName>
    <definedName name="x">#REF!</definedName>
    <definedName name="x_1">#REF!</definedName>
    <definedName name="x_1_1">#REF!</definedName>
    <definedName name="x_1_2">#REF!</definedName>
    <definedName name="x_1_3">#REF!</definedName>
    <definedName name="x_1_4">#REF!</definedName>
    <definedName name="x_1_5">#REF!</definedName>
    <definedName name="x_2">#REF!</definedName>
    <definedName name="x_3">#REF!</definedName>
    <definedName name="x_4">#REF!</definedName>
    <definedName name="x_5">#REF!</definedName>
    <definedName name="XC">#REF!</definedName>
    <definedName name="xcgjgy">#REF!</definedName>
    <definedName name="xcgjgy_1">#REF!</definedName>
    <definedName name="xcgjgy_1_1">#REF!</definedName>
    <definedName name="xcgjgy_1_2">#REF!</definedName>
    <definedName name="xcgjgy_1_3">#REF!</definedName>
    <definedName name="xcgjgy_1_4">#REF!</definedName>
    <definedName name="xcgjgy_1_5">#REF!</definedName>
    <definedName name="xcgjgy_2">#REF!</definedName>
    <definedName name="xcgjgy_3">#REF!</definedName>
    <definedName name="xcgjgy_4">#REF!</definedName>
    <definedName name="xcgjgy_5">#REF!</definedName>
    <definedName name="Xchg">#REF!</definedName>
    <definedName name="xcvbn">#REF!</definedName>
    <definedName name="xcvbn_1">#REF!</definedName>
    <definedName name="xcvbn_1_1">#REF!</definedName>
    <definedName name="xcvbn_1_2">#REF!</definedName>
    <definedName name="xcvbn_1_3">#REF!</definedName>
    <definedName name="xcvbn_1_4">#REF!</definedName>
    <definedName name="xcvbn_1_5">#REF!</definedName>
    <definedName name="xcvbn_2">#REF!</definedName>
    <definedName name="xcvbn_3">#REF!</definedName>
    <definedName name="xcvbn_4">#REF!</definedName>
    <definedName name="xcvbn_5">#REF!</definedName>
    <definedName name="xcvm">#REF!</definedName>
    <definedName name="xcvm_1">#REF!</definedName>
    <definedName name="xcvm_1_1">#REF!</definedName>
    <definedName name="xcvm_1_2">#REF!</definedName>
    <definedName name="xcvm_1_3">#REF!</definedName>
    <definedName name="xcvm_1_4">#REF!</definedName>
    <definedName name="xcvm_1_5">#REF!</definedName>
    <definedName name="xcvm_2">#REF!</definedName>
    <definedName name="xcvm_3">#REF!</definedName>
    <definedName name="xcvm_4">#REF!</definedName>
    <definedName name="xcvm_5">#REF!</definedName>
    <definedName name="xftyertyer">#REF!</definedName>
    <definedName name="xnvhlk">#REF!</definedName>
    <definedName name="xnvhlk_1">#REF!</definedName>
    <definedName name="xnvhlk_1_1">#REF!</definedName>
    <definedName name="xnvhlk_1_2">#REF!</definedName>
    <definedName name="xnvhlk_1_3">#REF!</definedName>
    <definedName name="xnvhlk_1_4">#REF!</definedName>
    <definedName name="xnvhlk_1_5">#REF!</definedName>
    <definedName name="xnvhlk_2">#REF!</definedName>
    <definedName name="xnvhlk_3">#REF!</definedName>
    <definedName name="xnvhlk_4">#REF!</definedName>
    <definedName name="xnvhlk_5">#REF!</definedName>
    <definedName name="XREF_COLUMN_1">#REF!</definedName>
    <definedName name="XREF_COLUMN_10">#REF!</definedName>
    <definedName name="XREF_COLUMN_11">#REF!</definedName>
    <definedName name="XREF_COLUMN_12">#REF!</definedName>
    <definedName name="XREF_COLUMN_13">#REF!</definedName>
    <definedName name="XREF_COLUMN_14">#REF!</definedName>
    <definedName name="XREF_COLUMN_15">#REF!</definedName>
    <definedName name="XREF_COLUMN_16">#REF!</definedName>
    <definedName name="XREF_COLUMN_2">#REF!</definedName>
    <definedName name="XREF_COLUMN_3">#REF!</definedName>
    <definedName name="XREF_COLUMN_4">#REF!</definedName>
    <definedName name="XREF_COLUMN_5">#REF!</definedName>
    <definedName name="XREF_COLUMN_6">#REF!</definedName>
    <definedName name="XREF_COLUMN_7">#REF!</definedName>
    <definedName name="XREF_COLUMN_8">#REF!</definedName>
    <definedName name="XREF_COLUMN_9">#REF!</definedName>
    <definedName name="XRefActiveRow">#REF!</definedName>
    <definedName name="XRefCopy1">#REF!</definedName>
    <definedName name="XRefCopy10">#REF!</definedName>
    <definedName name="XRefCopy10Row">#REF!</definedName>
    <definedName name="XRefCopy11">#REF!</definedName>
    <definedName name="XRefCopy11Row">#REF!</definedName>
    <definedName name="XRefCopy12Row">#REF!</definedName>
    <definedName name="XRefCopy13">#REF!</definedName>
    <definedName name="XRefCopy13Row">#REF!</definedName>
    <definedName name="XRefCopy14">#REF!</definedName>
    <definedName name="XRefCopy14Row">#REF!</definedName>
    <definedName name="XRefCopy15">#REF!</definedName>
    <definedName name="XRefCopy15Row">#REF!</definedName>
    <definedName name="XRefCopy16">#REF!</definedName>
    <definedName name="XRefCopy16Row">#REF!</definedName>
    <definedName name="XRefCopy17">#REF!</definedName>
    <definedName name="XRefCopy17Row">#REF!</definedName>
    <definedName name="XRefCopy18">#REF!</definedName>
    <definedName name="XRefCopy18Row">#REF!</definedName>
    <definedName name="XRefCopy19">#REF!</definedName>
    <definedName name="XRefCopy19Row">#REF!</definedName>
    <definedName name="XRefCopy1Row">#REF!</definedName>
    <definedName name="XRefCopy2">#REF!</definedName>
    <definedName name="XRefCopy20">#REF!</definedName>
    <definedName name="XRefCopy20Row">#REF!</definedName>
    <definedName name="XRefCopy21">#REF!</definedName>
    <definedName name="XRefCopy21Row">#REF!</definedName>
    <definedName name="XRefCopy22">#REF!</definedName>
    <definedName name="XRefCopy22Row">#REF!</definedName>
    <definedName name="XRefCopy23">#REF!</definedName>
    <definedName name="XRefCopy23Row">#REF!</definedName>
    <definedName name="XRefCopy24">#REF!</definedName>
    <definedName name="XRefCopy24Row">#REF!</definedName>
    <definedName name="XRefCopy25">#REF!</definedName>
    <definedName name="XRefCopy25Row">#REF!</definedName>
    <definedName name="XRefCopy26">#REF!</definedName>
    <definedName name="XRefCopy26Row">#REF!</definedName>
    <definedName name="XRefCopy27">#REF!</definedName>
    <definedName name="XRefCopy27Row">#REF!</definedName>
    <definedName name="XRefCopy28">#REF!</definedName>
    <definedName name="XRefCopy28Row">#REF!</definedName>
    <definedName name="XRefCopy29">#REF!</definedName>
    <definedName name="XRefCopy29Row">#REF!</definedName>
    <definedName name="XRefCopy2Row">#REF!</definedName>
    <definedName name="XRefCopy3">#REF!</definedName>
    <definedName name="XRefCopy30">#REF!</definedName>
    <definedName name="XRefCopy30Row">#REF!</definedName>
    <definedName name="XRefCopy31">#REF!</definedName>
    <definedName name="XRefCopy31Row">#REF!</definedName>
    <definedName name="XRefCopy32">#REF!</definedName>
    <definedName name="XRefCopy32Row">#REF!</definedName>
    <definedName name="XRefCopy33">#REF!</definedName>
    <definedName name="XRefCopy33Row">#REF!</definedName>
    <definedName name="XRefCopy34">#REF!</definedName>
    <definedName name="XRefCopy34Row">#REF!</definedName>
    <definedName name="XRefCopy35">#REF!</definedName>
    <definedName name="XRefCopy35Row">#REF!</definedName>
    <definedName name="XRefCopy36">#REF!</definedName>
    <definedName name="XRefCopy36Row">#REF!</definedName>
    <definedName name="XRefCopy37">#REF!</definedName>
    <definedName name="XRefCopy37Row">#REF!</definedName>
    <definedName name="XRefCopy38">#REF!</definedName>
    <definedName name="XRefCopy38Row">#REF!</definedName>
    <definedName name="XRefCopy39">#REF!</definedName>
    <definedName name="XRefCopy39Row">#REF!</definedName>
    <definedName name="XRefCopy3Row">#REF!</definedName>
    <definedName name="XRefCopy4">#REF!</definedName>
    <definedName name="XRefCopy40">#REF!</definedName>
    <definedName name="XRefCopy40Row">#REF!</definedName>
    <definedName name="XRefCopy41">#REF!</definedName>
    <definedName name="XRefCopy41Row">#REF!</definedName>
    <definedName name="XRefCopy42">#REF!</definedName>
    <definedName name="XRefCopy42Row">#REF!</definedName>
    <definedName name="XRefCopy43">#REF!</definedName>
    <definedName name="XRefCopy43Row">#REF!</definedName>
    <definedName name="XRefCopy4Row">#REF!</definedName>
    <definedName name="XRefCopy5">#REF!</definedName>
    <definedName name="XRefCopy58">#REF!</definedName>
    <definedName name="XRefCopy5Row">#REF!</definedName>
    <definedName name="XRefCopy6">#REF!</definedName>
    <definedName name="XRefCopy62">#REF!</definedName>
    <definedName name="XRefCopy63">#REF!</definedName>
    <definedName name="XRefCopy68">#REF!</definedName>
    <definedName name="XRefCopy6Row">#REF!</definedName>
    <definedName name="XRefCopy7">#REF!</definedName>
    <definedName name="XRefCopy70">#REF!</definedName>
    <definedName name="XRefCopy71">#REF!</definedName>
    <definedName name="XRefCopy72">#REF!</definedName>
    <definedName name="XRefCopy73">#REF!</definedName>
    <definedName name="XRefCopy7Row">#REF!</definedName>
    <definedName name="XRefCopy8">#REF!</definedName>
    <definedName name="XRefCopy8Row">#REF!</definedName>
    <definedName name="XRefCopy9">#REF!</definedName>
    <definedName name="XRefCopy9Row">#REF!</definedName>
    <definedName name="XRefPaste1">#REF!</definedName>
    <definedName name="XRefPaste10">#REF!</definedName>
    <definedName name="XRefPaste10Row">#REF!</definedName>
    <definedName name="XRefPaste11">#REF!</definedName>
    <definedName name="XRefPaste11Row">#REF!</definedName>
    <definedName name="XRefPaste12">#REF!</definedName>
    <definedName name="XRefPaste12Row">#REF!</definedName>
    <definedName name="XRefPaste13">#REF!</definedName>
    <definedName name="XRefPaste13Row">#REF!</definedName>
    <definedName name="XRefPaste14">#REF!</definedName>
    <definedName name="XRefPaste14Row">#REF!</definedName>
    <definedName name="XRefPaste15">#REF!</definedName>
    <definedName name="XRefPaste15Row">#REF!</definedName>
    <definedName name="XRefPaste16">#REF!</definedName>
    <definedName name="XRefPaste16Row">#REF!</definedName>
    <definedName name="XRefPaste17">#REF!</definedName>
    <definedName name="XRefPaste17Row">#REF!</definedName>
    <definedName name="XRefPaste18">#REF!</definedName>
    <definedName name="XRefPaste18Row">#REF!</definedName>
    <definedName name="XRefPaste19Row">#REF!</definedName>
    <definedName name="XRefPaste1Row">#REF!</definedName>
    <definedName name="XRefPaste2">#REF!</definedName>
    <definedName name="XRefPaste20Row">#REF!</definedName>
    <definedName name="XRefPaste21">#REF!</definedName>
    <definedName name="XRefPaste21Row">#REF!</definedName>
    <definedName name="XRefPaste22Row">#REF!</definedName>
    <definedName name="XRefPaste23Row">#REF!</definedName>
    <definedName name="XRefPaste24Row">#REF!</definedName>
    <definedName name="XRefPaste25Row">#REF!</definedName>
    <definedName name="XRefPaste26Row">#REF!</definedName>
    <definedName name="XRefPaste27Row">#REF!</definedName>
    <definedName name="XRefPaste28Row">#REF!</definedName>
    <definedName name="XRefPaste29Row">#REF!</definedName>
    <definedName name="XRefPaste2Row">#REF!</definedName>
    <definedName name="XRefPaste3">#REF!</definedName>
    <definedName name="XRefPaste30Row">#REF!</definedName>
    <definedName name="XRefPaste31Row">#REF!</definedName>
    <definedName name="XRefPaste32Row">#REF!</definedName>
    <definedName name="XRefPaste33Row">#REF!</definedName>
    <definedName name="XRefPaste34Row">#REF!</definedName>
    <definedName name="XRefPaste35Row">#REF!</definedName>
    <definedName name="XRefPaste36Row">#REF!</definedName>
    <definedName name="XRefPaste38">#REF!</definedName>
    <definedName name="XRefPaste3Row">#REF!</definedName>
    <definedName name="XRefPaste4">#REF!</definedName>
    <definedName name="XRefPaste4Row">#REF!</definedName>
    <definedName name="XRefPaste5">#REF!</definedName>
    <definedName name="XRefPaste5Row">#REF!</definedName>
    <definedName name="XRefPaste6">#REF!</definedName>
    <definedName name="XRefPaste6Row">#REF!</definedName>
    <definedName name="XRefPaste7">#REF!</definedName>
    <definedName name="XRefPaste7Row">#REF!</definedName>
    <definedName name="XRefPaste8">#REF!</definedName>
    <definedName name="XRefPaste8Row">#REF!</definedName>
    <definedName name="XRefPaste9">#REF!</definedName>
    <definedName name="XRefPaste9Row">#REF!</definedName>
    <definedName name="xwe">#REF!</definedName>
    <definedName name="XX">#REF!</definedName>
    <definedName name="xxx">#REF!</definedName>
    <definedName name="xysz" hidden="1">{TRUE,TRUE,-1.25,-15.5,456.75,279.75,FALSE,FALSE,TRUE,TRUE,0,1,21,1,127,6,3,4,TRUE,TRUE,3,TRUE,1,TRUE,100,"Swvu.profits.","ACwvu.profits.",1,FALSE,FALSE,0.511811023622047,0.511811023622047,0.511811023622047,0.511811023622047,1,"","",FALSE,FALSE,FALSE,FALSE,1,#N/A,1,1,#DIV/0!,FALSE,"Rwvu.profits.",#N/A,FALSE,FALSE}</definedName>
    <definedName name="xzcg">#REF!</definedName>
    <definedName name="xzcg_1">#REF!</definedName>
    <definedName name="xzcg_1_1">#REF!</definedName>
    <definedName name="xzcg_1_2">#REF!</definedName>
    <definedName name="xzcg_1_3">#REF!</definedName>
    <definedName name="xzcg_1_4">#REF!</definedName>
    <definedName name="xzcg_1_5">#REF!</definedName>
    <definedName name="xzcg_2">#REF!</definedName>
    <definedName name="xzcg_3">#REF!</definedName>
    <definedName name="xzcg_4">#REF!</definedName>
    <definedName name="xzcg_5">#REF!</definedName>
    <definedName name="y">#REF!</definedName>
    <definedName name="y_int">#REF!</definedName>
    <definedName name="ya">#REF!</definedName>
    <definedName name="Year_End">1988</definedName>
    <definedName name="Year1">#REF!</definedName>
    <definedName name="Year10">#REF!</definedName>
    <definedName name="Year11">#REF!</definedName>
    <definedName name="Year12">#REF!</definedName>
    <definedName name="Year13">#REF!</definedName>
    <definedName name="Year14">#REF!</definedName>
    <definedName name="Year15">#REF!</definedName>
    <definedName name="Year16">#REF!</definedName>
    <definedName name="Year17">#REF!</definedName>
    <definedName name="Year18">#REF!</definedName>
    <definedName name="Year19">#REF!</definedName>
    <definedName name="Year2">#REF!</definedName>
    <definedName name="Year20">#REF!</definedName>
    <definedName name="Year21">#REF!</definedName>
    <definedName name="Year22">#REF!</definedName>
    <definedName name="Year23">#REF!</definedName>
    <definedName name="Year24">#REF!</definedName>
    <definedName name="Year25">#REF!</definedName>
    <definedName name="Year26">#REF!</definedName>
    <definedName name="Year27">#REF!</definedName>
    <definedName name="Year28">#REF!</definedName>
    <definedName name="Year29">#REF!</definedName>
    <definedName name="Year3">#REF!</definedName>
    <definedName name="Year30">#REF!</definedName>
    <definedName name="Year31">#REF!</definedName>
    <definedName name="Year32">#REF!</definedName>
    <definedName name="Year33">#REF!</definedName>
    <definedName name="Year34">#REF!</definedName>
    <definedName name="Year35">#REF!</definedName>
    <definedName name="Year36">#REF!</definedName>
    <definedName name="Year37">#REF!</definedName>
    <definedName name="Year38">#REF!</definedName>
    <definedName name="Year39">#REF!</definedName>
    <definedName name="Year4">#REF!</definedName>
    <definedName name="Year40">#REF!</definedName>
    <definedName name="Year41">#REF!</definedName>
    <definedName name="Year42">#REF!</definedName>
    <definedName name="Year43">#REF!</definedName>
    <definedName name="Year44">#REF!</definedName>
    <definedName name="Year45">#REF!</definedName>
    <definedName name="Year46">#REF!</definedName>
    <definedName name="Year47">#REF!</definedName>
    <definedName name="Year48">#REF!</definedName>
    <definedName name="Year5">#REF!</definedName>
    <definedName name="Year6">#REF!</definedName>
    <definedName name="Year7">#REF!</definedName>
    <definedName name="Year8">#REF!</definedName>
    <definedName name="Year9">#REF!</definedName>
    <definedName name="YG">#REF!</definedName>
    <definedName name="YG_1">#REF!</definedName>
    <definedName name="YG_1_1">#REF!</definedName>
    <definedName name="YG_1_2">#REF!</definedName>
    <definedName name="YG_1_3">#REF!</definedName>
    <definedName name="YG_1_4">#REF!</definedName>
    <definedName name="YG_1_5">#REF!</definedName>
    <definedName name="YG_2">#REF!</definedName>
    <definedName name="YG_3">#REF!</definedName>
    <definedName name="YG_4">#REF!</definedName>
    <definedName name="YG_5">#REF!</definedName>
    <definedName name="yh">#REF!</definedName>
    <definedName name="yhg" hidden="1">2</definedName>
    <definedName name="yhgf">#REF!</definedName>
    <definedName name="yhgf_1">#REF!</definedName>
    <definedName name="yhgf_1_1">#REF!</definedName>
    <definedName name="yhgf_1_2">#REF!</definedName>
    <definedName name="yhgf_1_3">#REF!</definedName>
    <definedName name="yhgf_1_4">#REF!</definedName>
    <definedName name="yhgf_1_5">#REF!</definedName>
    <definedName name="yhgf_2">#REF!</definedName>
    <definedName name="yhgf_3">#REF!</definedName>
    <definedName name="yhgf_4">#REF!</definedName>
    <definedName name="yhgf_5">#REF!</definedName>
    <definedName name="yioyi">#REF!</definedName>
    <definedName name="yioyi_1">#REF!</definedName>
    <definedName name="yioyi_1_1">#REF!</definedName>
    <definedName name="yioyi_1_1_1">#REF!</definedName>
    <definedName name="yioyi_1_1_2">#REF!</definedName>
    <definedName name="yioyi_1_1_3">#REF!</definedName>
    <definedName name="yioyi_1_1_4">#REF!</definedName>
    <definedName name="yioyi_1_1_5">#REF!</definedName>
    <definedName name="yioyi_1_2">#REF!</definedName>
    <definedName name="yioyi_1_3">#REF!</definedName>
    <definedName name="yioyi_1_4">#REF!</definedName>
    <definedName name="yioyi_1_5">#REF!</definedName>
    <definedName name="yioyi_2">#REF!</definedName>
    <definedName name="yioyi_2_1">#REF!</definedName>
    <definedName name="yioyi_2_2">#REF!</definedName>
    <definedName name="yioyi_2_3">#REF!</definedName>
    <definedName name="yioyi_2_4">#REF!</definedName>
    <definedName name="yioyi_2_5">#REF!</definedName>
    <definedName name="yioyi_3">#REF!</definedName>
    <definedName name="yioyi_4">#REF!</definedName>
    <definedName name="yioyi_5">#REF!</definedName>
    <definedName name="yityiu">#REF!</definedName>
    <definedName name="yorn">#REF!</definedName>
    <definedName name="YrEnd_FFr_USD">0.1767</definedName>
    <definedName name="YTF">#REF!</definedName>
    <definedName name="YTF_1">#REF!</definedName>
    <definedName name="YTF_1_1">#REF!</definedName>
    <definedName name="YTF_1_2">#REF!</definedName>
    <definedName name="YTF_1_3">#REF!</definedName>
    <definedName name="YTF_1_4">#REF!</definedName>
    <definedName name="YTF_1_5">#REF!</definedName>
    <definedName name="YTF_2">#REF!</definedName>
    <definedName name="YTF_3">#REF!</definedName>
    <definedName name="YTF_4">#REF!</definedName>
    <definedName name="YTF_5">#REF!</definedName>
    <definedName name="ytgf">#REF!</definedName>
    <definedName name="ytgf_1">#REF!</definedName>
    <definedName name="ytgf_1_1">#REF!</definedName>
    <definedName name="ytgf_1_2">#REF!</definedName>
    <definedName name="ytgf_1_3">#REF!</definedName>
    <definedName name="ytgf_1_4">#REF!</definedName>
    <definedName name="ytgf_1_5">#REF!</definedName>
    <definedName name="ytgf_2">#REF!</definedName>
    <definedName name="ytgf_3">#REF!</definedName>
    <definedName name="ytgf_4">#REF!</definedName>
    <definedName name="ytgf_5">#REF!</definedName>
    <definedName name="ytuio">#REF!</definedName>
    <definedName name="ytuio_1">#REF!</definedName>
    <definedName name="ytuio_1_1">#REF!</definedName>
    <definedName name="ytuio_1_2">#REF!</definedName>
    <definedName name="ytuio_1_3">#REF!</definedName>
    <definedName name="ytuio_1_4">#REF!</definedName>
    <definedName name="ytuio_1_5">#REF!</definedName>
    <definedName name="ytuio_2">#REF!</definedName>
    <definedName name="ytuio_3">#REF!</definedName>
    <definedName name="ytuio_4">#REF!</definedName>
    <definedName name="ytuio_5">#REF!</definedName>
    <definedName name="yulkui">#REF!</definedName>
    <definedName name="yulkui_1">#REF!</definedName>
    <definedName name="yulkui_1_1">#REF!</definedName>
    <definedName name="yulkui_1_2">#REF!</definedName>
    <definedName name="yulkui_1_3">#REF!</definedName>
    <definedName name="yulkui_1_4">#REF!</definedName>
    <definedName name="yulkui_1_5">#REF!</definedName>
    <definedName name="yulkui_2">#REF!</definedName>
    <definedName name="yulkui_3">#REF!</definedName>
    <definedName name="yulkui_4">#REF!</definedName>
    <definedName name="yulkui_5">#REF!</definedName>
    <definedName name="yuyruoi">#REF!</definedName>
    <definedName name="yy">[11]JCF!#REF!</definedName>
    <definedName name="z">#REF!</definedName>
    <definedName name="Z_01844156_6462_4A28_9785_1A86F4D0C834_.wvu.PrintTitles">#REF!</definedName>
    <definedName name="Z_01A4648C_C5CB_4A2A_8BE4_9224AA12CE1B_.wvu.PrintArea">#REF!</definedName>
    <definedName name="Z_0FDEF005_6C86_11D3_B9EF_00C04F680B2A_.wvu.PrintTitles">#REF!</definedName>
    <definedName name="Z_0FDEF007_6C86_11D3_B9EF_00C04F680B2A_.wvu.Cols">#REF!</definedName>
    <definedName name="Z_0FDEF007_6C86_11D3_B9EF_00C04F680B2A_.wvu.PrintTitles">#REF!</definedName>
    <definedName name="Z_1DEB6CA4_BC56_4C3B_B0E7_A284A3A002A1_.wvu.Rows">#REF!</definedName>
    <definedName name="Z_37B34331_6D13_11D3_A342_0050040526C4_.wvu.Cols">#REF!</definedName>
    <definedName name="Z_37B34331_6D13_11D3_A342_0050040526C4_.wvu.PrintTitles">#REF!</definedName>
    <definedName name="Z_417EBF95_39F5_4317_832C_D686061EF0C9_.wvu.PrintArea">#REF!</definedName>
    <definedName name="Z_4C1CBF02_B7B5_11D2_B93A_0050040AC21C_.wvu.PrintArea">#REF!</definedName>
    <definedName name="Z_4C1CBF02_B7B5_11D2_B93A_0050040AC21C_.wvu.PrintTitles">#REF!</definedName>
    <definedName name="Z_57A5B6D1_774C_11D3_A34A_0050040526C4_.wvu.Cols">#REF!</definedName>
    <definedName name="Z_57A5B6D1_774C_11D3_A34A_0050040526C4_.wvu.PrintTitles">#REF!</definedName>
    <definedName name="Z_74348A01_6D24_11D3_A342_0050040526C4_.wvu.PrintTitles">#REF!</definedName>
    <definedName name="Z_7C4298AD_8F24_46B9_B78E_F7AB605EF027_.wvu.Cols">#REF!</definedName>
    <definedName name="Z_7C4298AD_8F24_46B9_B78E_F7AB605EF027_.wvu.PrintArea">#REF!</definedName>
    <definedName name="Z_7C4298AD_8F24_46B9_B78E_F7AB605EF027_.wvu.Rows">#REF!</definedName>
    <definedName name="Z_A1337B6F_112B_4FFC_BDC7_7741C3E0D01A_.wvu.PrintArea">#REF!</definedName>
    <definedName name="Z_A2426FEA_B812_466E_AD56_91907F9FA6F0_.wvu.PrintArea">#REF!</definedName>
    <definedName name="Z_B22073EF_290D_4E3D_9EDF_8A40C24046EE_.wvu.PrintArea">#REF!</definedName>
    <definedName name="Z_C9FB2A72_5C56_11D3_AD66_0050040A13CD_.wvu.PrintArea">#REF!</definedName>
    <definedName name="Z_C9FB2A72_5C56_11D3_AD66_0050040A13CD_.wvu.PrintTitles">#REF!</definedName>
    <definedName name="Z_C9FB2A73_5C56_11D3_AD66_0050040A13CD_.wvu.PrintArea">#REF!</definedName>
    <definedName name="Z_C9FB2A73_5C56_11D3_AD66_0050040A13CD_.wvu.PrintTitles">#REF!</definedName>
    <definedName name="Z_C9FB2A75_5C56_11D3_AD66_0050040A13CD_.wvu.PrintArea">#REF!</definedName>
    <definedName name="Z_C9FB2A75_5C56_11D3_AD66_0050040A13CD_.wvu.PrintTitles">#REF!</definedName>
    <definedName name="Z_C9FB2A76_5C56_11D3_AD66_0050040A13CD_.wvu.PrintArea">#REF!</definedName>
    <definedName name="Z_C9FB2A76_5C56_11D3_AD66_0050040A13CD_.wvu.PrintTitles">#REF!</definedName>
    <definedName name="Z_C9FB2A77_5C56_11D3_AD66_0050040A13CD_.wvu.PrintArea">#REF!</definedName>
    <definedName name="Z_C9FB2A77_5C56_11D3_AD66_0050040A13CD_.wvu.PrintTitles">#REF!</definedName>
    <definedName name="Z_C9FB2A79_5C56_11D3_AD66_0050040A13CD_.wvu.PrintArea">#REF!</definedName>
    <definedName name="Z_C9FB2A79_5C56_11D3_AD66_0050040A13CD_.wvu.PrintTitles">#REF!</definedName>
    <definedName name="Z_CCD7182B_F4E9_478B_99A8_ED7C75DDB697_.wvu.Rows">#REF!</definedName>
    <definedName name="Z_D53CE597_A65F_4ECD_83BA_62DCF576C2C6_.wvu.Rows">#REF!</definedName>
    <definedName name="Z_F14718EE_5AC2_11D3_AD63_0050040A13CD_.wvu.PrintArea">#REF!</definedName>
    <definedName name="Z_F14718EF_5AC2_11D3_AD63_0050040A13CD_.wvu.PrintArea">#REF!</definedName>
    <definedName name="Z_F14718F1_5AC2_11D3_AD63_0050040A13CD_.wvu.PrintArea">#REF!</definedName>
    <definedName name="Z_F14718F2_5AC2_11D3_AD63_0050040A13CD_.wvu.PrintArea">#REF!</definedName>
    <definedName name="Z_F14718F3_5AC2_11D3_AD63_0050040A13CD_.wvu.PrintArea">#REF!</definedName>
    <definedName name="Z_F14718F5_5AC2_11D3_AD63_0050040A13CD_.wvu.PrintArea">#REF!</definedName>
    <definedName name="Z_F1471909_5AC2_11D3_AD63_0050040A13CD_.wvu.PrintArea">#REF!</definedName>
    <definedName name="Z_F1471909_5AC2_11D3_AD63_0050040A13CD_.wvu.PrintTitles">#REF!</definedName>
    <definedName name="Z_F147190A_5AC2_11D3_AD63_0050040A13CD_.wvu.PrintArea">#REF!</definedName>
    <definedName name="Z_F147190A_5AC2_11D3_AD63_0050040A13CD_.wvu.PrintTitles">#REF!</definedName>
    <definedName name="Z_F147190C_5AC2_11D3_AD63_0050040A13CD_.wvu.PrintArea">#REF!</definedName>
    <definedName name="Z_F147190C_5AC2_11D3_AD63_0050040A13CD_.wvu.PrintTitles">#REF!</definedName>
    <definedName name="Z_F147190D_5AC2_11D3_AD63_0050040A13CD_.wvu.PrintArea">#REF!</definedName>
    <definedName name="Z_F147190D_5AC2_11D3_AD63_0050040A13CD_.wvu.PrintTitles">#REF!</definedName>
    <definedName name="Z_F147190E_5AC2_11D3_AD63_0050040A13CD_.wvu.PrintArea">#REF!</definedName>
    <definedName name="Z_F147190E_5AC2_11D3_AD63_0050040A13CD_.wvu.PrintTitles">#REF!</definedName>
    <definedName name="Z_F1471910_5AC2_11D3_AD63_0050040A13CD_.wvu.PrintArea">#REF!</definedName>
    <definedName name="Z_F1471910_5AC2_11D3_AD63_0050040A13CD_.wvu.PrintTitles">#REF!</definedName>
    <definedName name="Z_F1471912_5AC2_11D3_AD63_0050040A13CD_.wvu.PrintArea">#REF!</definedName>
    <definedName name="Z_F1471912_5AC2_11D3_AD63_0050040A13CD_.wvu.PrintTitles">#REF!</definedName>
    <definedName name="Z_F1471913_5AC2_11D3_AD63_0050040A13CD_.wvu.PrintArea">#REF!</definedName>
    <definedName name="Z_F1471913_5AC2_11D3_AD63_0050040A13CD_.wvu.PrintTitles">#REF!</definedName>
    <definedName name="Z_F1471915_5AC2_11D3_AD63_0050040A13CD_.wvu.PrintArea">#REF!</definedName>
    <definedName name="Z_F1471915_5AC2_11D3_AD63_0050040A13CD_.wvu.PrintTitles">#REF!</definedName>
    <definedName name="Z_F1471916_5AC2_11D3_AD63_0050040A13CD_.wvu.PrintArea">#REF!</definedName>
    <definedName name="Z_F1471916_5AC2_11D3_AD63_0050040A13CD_.wvu.PrintTitles">#REF!</definedName>
    <definedName name="Z_F1471917_5AC2_11D3_AD63_0050040A13CD_.wvu.PrintArea">#REF!</definedName>
    <definedName name="Z_F1471917_5AC2_11D3_AD63_0050040A13CD_.wvu.PrintTitles">#REF!</definedName>
    <definedName name="Z_F1471919_5AC2_11D3_AD63_0050040A13CD_.wvu.PrintArea">#REF!</definedName>
    <definedName name="Z_F1471919_5AC2_11D3_AD63_0050040A13CD_.wvu.PrintTitles">#REF!</definedName>
    <definedName name="zdfb">#REF!</definedName>
    <definedName name="zdfb_1">#REF!</definedName>
    <definedName name="zdfb_1_1">#REF!</definedName>
    <definedName name="zdfb_1_2">#REF!</definedName>
    <definedName name="zdfb_1_3">#REF!</definedName>
    <definedName name="zdfb_1_4">#REF!</definedName>
    <definedName name="zdfb_1_5">#REF!</definedName>
    <definedName name="zdfb_2">#REF!</definedName>
    <definedName name="zdfb_3">#REF!</definedName>
    <definedName name="zdfb_4">#REF!</definedName>
    <definedName name="zdfb_5">#REF!</definedName>
    <definedName name="zdrjxm">#REF!</definedName>
    <definedName name="zdrjxm_1">#REF!</definedName>
    <definedName name="zdrjxm_1_1">#REF!</definedName>
    <definedName name="zdrjxm_1_2">#REF!</definedName>
    <definedName name="zdrjxm_1_3">#REF!</definedName>
    <definedName name="zdrjxm_1_4">#REF!</definedName>
    <definedName name="zdrjxm_1_5">#REF!</definedName>
    <definedName name="zdrjxm_2">#REF!</definedName>
    <definedName name="zdrjxm_3">#REF!</definedName>
    <definedName name="zdrjxm_4">#REF!</definedName>
    <definedName name="zdrjxm_5">#REF!</definedName>
    <definedName name="zero">#REF!</definedName>
    <definedName name="zfdhtgh">#REF!</definedName>
    <definedName name="zoro">#REF!</definedName>
    <definedName name="zxcftgaer">#REF!</definedName>
    <definedName name="zxgjfky">#REF!</definedName>
    <definedName name="zxgjfky_1">#REF!</definedName>
    <definedName name="zxgjfky_1_1">#REF!</definedName>
    <definedName name="zxgjfky_1_2">#REF!</definedName>
    <definedName name="zxgjfky_1_3">#REF!</definedName>
    <definedName name="zxgjfky_1_4">#REF!</definedName>
    <definedName name="zxgjfky_1_5">#REF!</definedName>
    <definedName name="zxgjfky_2">#REF!</definedName>
    <definedName name="zxgjfky_3">#REF!</definedName>
    <definedName name="zxgjfky_4">#REF!</definedName>
    <definedName name="zxgjfky_5">#REF!</definedName>
    <definedName name="zxnxg">#REF!</definedName>
    <definedName name="zxnxg_1">#REF!</definedName>
    <definedName name="zxnxg_1_1">#REF!</definedName>
    <definedName name="zxnxg_1_2">#REF!</definedName>
    <definedName name="zxnxg_1_3">#REF!</definedName>
    <definedName name="zxnxg_1_4">#REF!</definedName>
    <definedName name="zxnxg_1_5">#REF!</definedName>
    <definedName name="zxnxg_2">#REF!</definedName>
    <definedName name="zxnxg_3">#REF!</definedName>
    <definedName name="zxnxg_4">#REF!</definedName>
    <definedName name="zxnxg_5">#REF!</definedName>
    <definedName name="zz">#REF!</definedName>
    <definedName name="zzPPTAuthorTable1">#REF!</definedName>
    <definedName name="zzPPTAuthorTable10">#REF!</definedName>
    <definedName name="zzPPTAuthorTable11">#REF!</definedName>
    <definedName name="zzPPTAuthorTable15">#REF!</definedName>
    <definedName name="zzPPTAuthorTable16">#REF!</definedName>
    <definedName name="zzPPTAuthorTable17">#REF!</definedName>
    <definedName name="zzPPTAuthorTable18">#REF!</definedName>
    <definedName name="zzPPTAuthorTable19">#REF!</definedName>
    <definedName name="zzPPTAuthorTable2">#REF!</definedName>
    <definedName name="zzPPTAuthorTable20">#REF!</definedName>
    <definedName name="zzPPTAuthorTable21">#REF!</definedName>
    <definedName name="zzPPTAuthorTable22">#REF!</definedName>
    <definedName name="zzPPTAuthorTable23">#REF!</definedName>
    <definedName name="zzPPTAuthorTable28">#REF!</definedName>
    <definedName name="zzPPTAuthorTable29">#REF!</definedName>
    <definedName name="zzPPTAuthorTable3">#REF!</definedName>
    <definedName name="zzPPTAuthorTable30">#REF!</definedName>
    <definedName name="zzPPTAuthorTable31">#REF!</definedName>
    <definedName name="zzPPTAuthorTable32">#REF!</definedName>
    <definedName name="zzPPTAuthorTable33">#REF!</definedName>
    <definedName name="zzPPTAuthorTable34">#REF!</definedName>
    <definedName name="zzPPTAuthorTable35">#REF!</definedName>
    <definedName name="zzPPTAuthorTable36">#REF!</definedName>
    <definedName name="zzPPTAuthorTable37">#REF!</definedName>
    <definedName name="zzPPTAuthorTable38">#REF!</definedName>
    <definedName name="zzPPTAuthorTable39">#REF!</definedName>
    <definedName name="zzPPTAuthorTable4">#REF!</definedName>
    <definedName name="zzPPTAuthorTable40">#REF!</definedName>
    <definedName name="zzPPTAuthorTable41">#REF!</definedName>
    <definedName name="zzPPTAuthorTable42">#REF!</definedName>
    <definedName name="zzPPTAuthorTable43">#REF!</definedName>
    <definedName name="zzPPTAuthorTable44">#REF!</definedName>
    <definedName name="zzPPTAuthorTable45">#REF!</definedName>
    <definedName name="zzPPTAuthorTable46">#REF!</definedName>
    <definedName name="zzPPTAuthorTable47">#REF!</definedName>
    <definedName name="zzPPTAuthorTable48">#REF!</definedName>
    <definedName name="zzPPTAuthorTable49">#REF!</definedName>
    <definedName name="zzPPTAuthorTable5">#REF!</definedName>
    <definedName name="zzPPTAuthorTable50">#REF!</definedName>
    <definedName name="zzPPTAuthorTable53">#REF!</definedName>
    <definedName name="zzPPTAuthorTable54">#REF!</definedName>
    <definedName name="zzPPTAuthorTable55">#REF!</definedName>
    <definedName name="zzPPTAuthorTable56">#REF!</definedName>
    <definedName name="zzPPTAuthorTable57">#REF!</definedName>
    <definedName name="zzPPTAuthorTable58">#REF!</definedName>
    <definedName name="zzPPTAuthorTable59">#REF!</definedName>
    <definedName name="zzPPTAuthorTable6">#REF!</definedName>
    <definedName name="zzPPTAuthorTable60">#REF!</definedName>
    <definedName name="zzPPTAuthorTable61">#REF!</definedName>
    <definedName name="zzPPTAuthorTable62">#REF!</definedName>
    <definedName name="zzPPTAuthorTable63">#REF!</definedName>
    <definedName name="zzPPTAuthorTable64">#REF!</definedName>
    <definedName name="zzPPTAuthorTable65">#REF!</definedName>
    <definedName name="zzPPTAuthorTable66">#REF!</definedName>
    <definedName name="zzPPTAuthorTable67">#REF!</definedName>
    <definedName name="zzPPTAuthorTable68">#REF!</definedName>
    <definedName name="zzPPTAuthorTable69">#REF!</definedName>
    <definedName name="zzPPTAuthorTable7">#REF!</definedName>
    <definedName name="zzPPTAuthorTable70">#REF!</definedName>
    <definedName name="zzPPTAuthorTable71">#REF!</definedName>
    <definedName name="zzPPTAuthorTable72">#REF!</definedName>
    <definedName name="zzPPTAuthorTable73">#REF!</definedName>
    <definedName name="zzPPTAuthorTable74">#REF!</definedName>
    <definedName name="zzPPTAuthorTable75">#REF!</definedName>
    <definedName name="zzPPTAuthorTable76">#REF!</definedName>
    <definedName name="zzPPTAuthorTable8">#REF!</definedName>
    <definedName name="zzPPTAuthorTable9">#REF!</definedName>
    <definedName name="zzPPTAuthorTable91">#REF!</definedName>
    <definedName name="zzPPTAuthorTable92">#REF!</definedName>
    <definedName name="zzPPTAuthorTable93">#REF!</definedName>
    <definedName name="zzPPTAuthorTable94">#REF!</definedName>
    <definedName name="zzPPTAuthorTable95">#REF!</definedName>
    <definedName name="zzPPTAuthorTable96">#REF!</definedName>
    <definedName name="zzz">#REF!</definedName>
    <definedName name="ㄱ">#REF!</definedName>
    <definedName name="가미">#REF!</definedName>
    <definedName name="각">#REF!</definedName>
    <definedName name="감">#REF!</definedName>
    <definedName name="감가overall">#REF!</definedName>
    <definedName name="감가상각비2">#REF!</definedName>
    <definedName name="구매부품TOT">#REF!</definedName>
    <definedName name="구축본부">#REF!</definedName>
    <definedName name="국순당">#REF!</definedName>
    <definedName name="국제거래">#REF!</definedName>
    <definedName name="규남이">#REF!</definedName>
    <definedName name="김">#REF!</definedName>
    <definedName name="ㄳㄱ">#REF!</definedName>
    <definedName name="ㄴ">#REF!</definedName>
    <definedName name="ㄴㄹㅇ">#REF!</definedName>
    <definedName name="ㄴㅇ">#REF!</definedName>
    <definedName name="ㄴㅇㄹ">#REF!</definedName>
    <definedName name="나">#REF!</definedName>
    <definedName name="ㄷ">#REF!</definedName>
    <definedName name="ㄷㄷ">#REF!</definedName>
    <definedName name="ㄷㅎㄹㄴㄹㅇㅎㅇㅁㄴㅁㅎ">#REF!</definedName>
    <definedName name="ㄹ">#REF!</definedName>
    <definedName name="ㄹㄹ">#REF!</definedName>
    <definedName name="ㄻㄴㄻㅇㄹㅇㅁㄹ">#REF!</definedName>
    <definedName name="ㅁ">#REF!</definedName>
    <definedName name="ㅁㄴ">#REF!</definedName>
    <definedName name="ㅁㅁ">#REF!</definedName>
    <definedName name="ㅁㅁㅁㅁㅁ">#REF!</definedName>
    <definedName name="ㅁㅇㄹ">#REF!</definedName>
    <definedName name="마미ㅣㅏㅓ">#REF!</definedName>
    <definedName name="매출원가">#REF!</definedName>
    <definedName name="명세">#REF!</definedName>
    <definedName name="묑">#REF!</definedName>
    <definedName name="미수금">#REF!</definedName>
    <definedName name="ㅂ">#REF!</definedName>
    <definedName name="ㅂㄷㄱ">#REF!</definedName>
    <definedName name="ㅂㄷㄷㄱ">#REF!</definedName>
    <definedName name="ㅂㅂ">#REF!</definedName>
    <definedName name="ㅂㅂㅂ">#REF!</definedName>
    <definedName name="ㅂㅈㄱㄷㅈ">#REF!</definedName>
    <definedName name="ㅂㅈㄷ">#REF!</definedName>
    <definedName name="바보">#REF!</definedName>
    <definedName name="범위액">#REF!</definedName>
    <definedName name="범위액2">#REF!</definedName>
    <definedName name="변경내역">#REF!</definedName>
    <definedName name="변파유닛">#REF!</definedName>
    <definedName name="별지8">#REF!</definedName>
    <definedName name="보">#REF!</definedName>
    <definedName name="보봅">#REF!</definedName>
    <definedName name="보험료">#REF!</definedName>
    <definedName name="사용료">#REF!</definedName>
    <definedName name="새">#REF!</definedName>
    <definedName name="선급">#REF!</definedName>
    <definedName name="선급비용">#REF!</definedName>
    <definedName name="소득구분3">#REF!</definedName>
    <definedName name="소득구분조서">#REF!</definedName>
    <definedName name="손">#REF!</definedName>
    <definedName name="신설통계">#REF!</definedName>
    <definedName name="ㅇ">#REF!</definedName>
    <definedName name="ㅇㄷㄴ">#REF!</definedName>
    <definedName name="ㅇㄹㅀㅎ">#REF!</definedName>
    <definedName name="ㅇㄹㅇ">#REF!</definedName>
    <definedName name="ㅇㄹㅇㄴ">#REF!</definedName>
    <definedName name="ㅇㄻㅇㄹ">#REF!</definedName>
    <definedName name="ㅇㅀㅇㅁㄹ">#REF!</definedName>
    <definedName name="ㅇㅁㄻ">#REF!</definedName>
    <definedName name="ㅇㅁㄻㅇㄴㄹㅇㅁ">#REF!</definedName>
    <definedName name="ㅇㅁㄻㅇㄹ">#REF!</definedName>
    <definedName name="ㅇㅇ">#REF!</definedName>
    <definedName name="ㅇㅈ">#REF!</definedName>
    <definedName name="ㅇ誴">#REF!</definedName>
    <definedName name="안">#REF!</definedName>
    <definedName name="양">#REF!</definedName>
    <definedName name="연구">#REF!</definedName>
    <definedName name="영업권">#REF!</definedName>
    <definedName name="영업외비용">#REF!</definedName>
    <definedName name="외화">#REF!</definedName>
    <definedName name="외화환산">#REF!</definedName>
    <definedName name="외환산">#REF!</definedName>
    <definedName name="외환산조서">#REF!</definedName>
    <definedName name="외환차손ADJ">#REF!</definedName>
    <definedName name="원천납부8">#REF!</definedName>
    <definedName name="유가증권평가test">#REF!</definedName>
    <definedName name="유니트">#REF!</definedName>
    <definedName name="유형자산">#REF!</definedName>
    <definedName name="유형자산tot">#REF!</definedName>
    <definedName name="이이잉">#REF!</definedName>
    <definedName name="이익">#REF!</definedName>
    <definedName name="인정">#REF!</definedName>
    <definedName name="ㅈ">#REF!</definedName>
    <definedName name="ㅈㄷㄱㄱ">#REF!</definedName>
    <definedName name="ㅈㅈㅈ">#REF!</definedName>
    <definedName name="자">#REF!</definedName>
    <definedName name="자본">#REF!</definedName>
    <definedName name="자본금">#REF!</definedName>
    <definedName name="자본방">#REF!</definedName>
    <definedName name="작업">#REF!</definedName>
    <definedName name="잡이익분석">#REF!</definedName>
    <definedName name="재고자산">#REF!</definedName>
    <definedName name="접대비">#REF!</definedName>
    <definedName name="정상가격">#REF!</definedName>
    <definedName name="정상가격2">#REF!</definedName>
    <definedName name="제1안">#REF!</definedName>
    <definedName name="제주추가종합수정안">#REF!</definedName>
    <definedName name="주주">#REF!</definedName>
    <definedName name="준">#REF!</definedName>
    <definedName name="중간예납">#REF!</definedName>
    <definedName name="중간예납신고납계산서">#REF!</definedName>
    <definedName name="중간예납신고납부계산서">#REF!</definedName>
    <definedName name="중기예산">#REF!</definedName>
    <definedName name="진">#REF!</definedName>
    <definedName name="총괄">#REF!</definedName>
    <definedName name="총괄11">#REF!</definedName>
    <definedName name="ㅋ">#REF!</definedName>
    <definedName name="ㅋㅋㅋ">#REF!</definedName>
    <definedName name="콘도비용">#REF!</definedName>
    <definedName name="ㅌㄹㅇㄴㄻㅇㄹ">#REF!</definedName>
    <definedName name="퇴">#REF!</definedName>
    <definedName name="퇴직보험료">#REF!</definedName>
    <definedName name="퇴충명세">#REF!</definedName>
    <definedName name="ㅍ">#REF!</definedName>
    <definedName name="판관비tot">#REF!</definedName>
    <definedName name="판촉지원적립금">#REF!</definedName>
    <definedName name="ㅎ">#REF!</definedName>
    <definedName name="ㅎㅎㅎ">#REF!</definedName>
    <definedName name="한">#REF!</definedName>
    <definedName name="해외특수">#REF!</definedName>
    <definedName name="환차손">#REF!</definedName>
    <definedName name="환차손익수정">#REF!</definedName>
    <definedName name="ㅑ">#REF!</definedName>
    <definedName name="ㅓㅏㅣㅑ">#REF!</definedName>
    <definedName name="ㅠ">#REF!</definedName>
    <definedName name="ㅡ">#REF!</definedName>
    <definedName name="ㅣ">#REF!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4" i="10" l="1"/>
  <c r="AZ59" i="10"/>
  <c r="AZ32" i="10"/>
  <c r="BA16" i="9"/>
  <c r="BB16" i="9" s="1"/>
  <c r="BC16" i="9" s="1"/>
  <c r="BD16" i="9" s="1"/>
  <c r="BA9" i="9"/>
  <c r="BB9" i="9" s="1"/>
  <c r="BC9" i="9" s="1"/>
  <c r="BD9" i="9" s="1"/>
  <c r="BD20" i="10" l="1"/>
  <c r="BA20" i="10"/>
  <c r="BB20" i="10"/>
  <c r="BC20" i="10"/>
  <c r="AY55" i="9"/>
  <c r="AX55" i="9"/>
  <c r="AW55" i="9"/>
  <c r="AW54" i="9"/>
  <c r="AV54" i="9"/>
  <c r="BA28" i="1"/>
  <c r="BB28" i="1" s="1"/>
  <c r="BC28" i="1" s="1"/>
  <c r="BD28" i="1" s="1"/>
  <c r="BC26" i="1"/>
  <c r="BD26" i="1"/>
  <c r="BB26" i="1"/>
  <c r="BA26" i="1"/>
  <c r="AW56" i="9" l="1"/>
  <c r="BB149" i="1"/>
  <c r="BC149" i="1" s="1"/>
  <c r="BD149" i="1" s="1"/>
  <c r="BA170" i="1"/>
  <c r="AY15" i="10" l="1"/>
  <c r="AY13" i="10"/>
  <c r="AY20" i="10"/>
  <c r="AY7" i="10"/>
  <c r="AY17" i="9"/>
  <c r="AY14" i="9"/>
  <c r="AY6" i="9"/>
  <c r="BE51" i="1"/>
  <c r="AZ51" i="1"/>
  <c r="AZ50" i="1"/>
  <c r="AU51" i="1"/>
  <c r="AU50" i="1"/>
  <c r="AP51" i="1"/>
  <c r="AP50" i="1"/>
  <c r="AK51" i="1"/>
  <c r="AY35" i="1"/>
  <c r="AY48" i="1" s="1"/>
  <c r="AY7" i="65"/>
  <c r="AY9" i="65"/>
  <c r="AY12" i="65" s="1"/>
  <c r="AY158" i="1"/>
  <c r="AY159" i="1"/>
  <c r="AY164" i="1"/>
  <c r="AY161" i="1" s="1"/>
  <c r="AY143" i="1"/>
  <c r="AY154" i="1" s="1"/>
  <c r="AY13" i="1"/>
  <c r="AY24" i="65" s="1"/>
  <c r="AY20" i="65" s="1"/>
  <c r="AY137" i="1"/>
  <c r="AY138" i="1"/>
  <c r="AY149" i="1"/>
  <c r="AY150" i="1"/>
  <c r="AY184" i="1" l="1"/>
  <c r="AY23" i="1"/>
  <c r="AY13" i="65"/>
  <c r="AY166" i="1"/>
  <c r="BE44" i="10"/>
  <c r="BE43" i="10"/>
  <c r="BE42" i="10"/>
  <c r="BE34" i="10"/>
  <c r="BE31" i="10"/>
  <c r="BE30" i="10"/>
  <c r="BE59" i="10" s="1"/>
  <c r="BE29" i="10"/>
  <c r="BE28" i="10"/>
  <c r="BE24" i="10"/>
  <c r="BE23" i="10"/>
  <c r="BE22" i="10"/>
  <c r="BE20" i="10"/>
  <c r="BE19" i="10"/>
  <c r="BE15" i="10"/>
  <c r="BE14" i="10"/>
  <c r="BE13" i="10"/>
  <c r="BE12" i="10"/>
  <c r="BE10" i="10"/>
  <c r="BE4" i="10"/>
  <c r="BA41" i="10"/>
  <c r="BA21" i="10" s="1"/>
  <c r="AZ25" i="10" s="1"/>
  <c r="BB8" i="10"/>
  <c r="BB45" i="1" s="1"/>
  <c r="BB38" i="1" s="1"/>
  <c r="BC8" i="10"/>
  <c r="BC45" i="1" s="1"/>
  <c r="BA8" i="10"/>
  <c r="BE161" i="1"/>
  <c r="BE135" i="1"/>
  <c r="BE48" i="1"/>
  <c r="BE47" i="1"/>
  <c r="BB170" i="1"/>
  <c r="BB171" i="1" s="1"/>
  <c r="BC170" i="1"/>
  <c r="BC171" i="1" s="1"/>
  <c r="BA171" i="1"/>
  <c r="BB116" i="1"/>
  <c r="BC116" i="1"/>
  <c r="BD162" i="1"/>
  <c r="BD135" i="1"/>
  <c r="BD134" i="1"/>
  <c r="BC148" i="1"/>
  <c r="BC143" i="1" s="1"/>
  <c r="BC135" i="1"/>
  <c r="BC134" i="1"/>
  <c r="BB148" i="1"/>
  <c r="BB135" i="1"/>
  <c r="BB134" i="1"/>
  <c r="BA148" i="1"/>
  <c r="BA143" i="1" s="1"/>
  <c r="BA135" i="1"/>
  <c r="BA134" i="1"/>
  <c r="BC6" i="65"/>
  <c r="BB6" i="65"/>
  <c r="BB9" i="65" s="1"/>
  <c r="BA6" i="65"/>
  <c r="BD4" i="9"/>
  <c r="BD3" i="9"/>
  <c r="BC4" i="9"/>
  <c r="BC3" i="9"/>
  <c r="BB4" i="9"/>
  <c r="BB3" i="9"/>
  <c r="BA4" i="9"/>
  <c r="BA3" i="9"/>
  <c r="BD59" i="10"/>
  <c r="BD41" i="10"/>
  <c r="BD21" i="10" s="1"/>
  <c r="BD25" i="10" s="1"/>
  <c r="BD32" i="10"/>
  <c r="BD4" i="10"/>
  <c r="BD3" i="10"/>
  <c r="BC59" i="10"/>
  <c r="BC41" i="10"/>
  <c r="BC21" i="10" s="1"/>
  <c r="BC25" i="10" s="1"/>
  <c r="BC32" i="10"/>
  <c r="BC4" i="10"/>
  <c r="BC3" i="10"/>
  <c r="BB59" i="10"/>
  <c r="BB41" i="10"/>
  <c r="BB21" i="10" s="1"/>
  <c r="BB25" i="10" s="1"/>
  <c r="BB32" i="10"/>
  <c r="BB4" i="10"/>
  <c r="BB3" i="10"/>
  <c r="BA59" i="10"/>
  <c r="BA32" i="10"/>
  <c r="BA4" i="10"/>
  <c r="BA3" i="10"/>
  <c r="BA45" i="1" l="1"/>
  <c r="AZ61" i="10"/>
  <c r="BA9" i="65"/>
  <c r="BA12" i="65" s="1"/>
  <c r="BA13" i="65" s="1"/>
  <c r="BA7" i="65"/>
  <c r="BA25" i="10"/>
  <c r="BE21" i="10"/>
  <c r="BE25" i="10" s="1"/>
  <c r="BE41" i="10"/>
  <c r="BE32" i="10"/>
  <c r="BC38" i="1"/>
  <c r="BC33" i="1"/>
  <c r="BB33" i="1"/>
  <c r="BA33" i="1"/>
  <c r="BA38" i="1"/>
  <c r="BB150" i="1"/>
  <c r="BB127" i="1"/>
  <c r="BA116" i="1"/>
  <c r="BB12" i="65"/>
  <c r="BB13" i="65" s="1"/>
  <c r="BC14" i="1"/>
  <c r="BC127" i="1"/>
  <c r="BC150" i="1"/>
  <c r="BB143" i="1"/>
  <c r="BC146" i="1" s="1"/>
  <c r="BA14" i="1"/>
  <c r="BC7" i="65"/>
  <c r="BC9" i="65"/>
  <c r="BC12" i="65" s="1"/>
  <c r="BC13" i="65" s="1"/>
  <c r="BB7" i="65"/>
  <c r="BC113" i="1" l="1"/>
  <c r="BB146" i="1"/>
  <c r="BB14" i="1"/>
  <c r="BA113" i="1"/>
  <c r="BA27" i="1"/>
  <c r="BA127" i="1" l="1"/>
  <c r="BB27" i="1"/>
  <c r="BA128" i="1"/>
  <c r="BA117" i="1"/>
  <c r="BB113" i="1"/>
  <c r="AZ43" i="10"/>
  <c r="BC27" i="1" l="1"/>
  <c r="BB128" i="1"/>
  <c r="BB117" i="1"/>
  <c r="BD127" i="1"/>
  <c r="BE26" i="1"/>
  <c r="BD116" i="1"/>
  <c r="AX41" i="10"/>
  <c r="AX44" i="10" s="1"/>
  <c r="AX31" i="10"/>
  <c r="AX19" i="10"/>
  <c r="AX20" i="10"/>
  <c r="AX15" i="10"/>
  <c r="AX7" i="10"/>
  <c r="AX17" i="9"/>
  <c r="AX18" i="9"/>
  <c r="AX6" i="9"/>
  <c r="AY54" i="9" s="1"/>
  <c r="AY56" i="9" s="1"/>
  <c r="BA56" i="9" s="1"/>
  <c r="BB56" i="9" s="1"/>
  <c r="BC56" i="9" s="1"/>
  <c r="BD56" i="9" s="1"/>
  <c r="BE56" i="9" s="1"/>
  <c r="AX78" i="1"/>
  <c r="AY78" i="1" s="1"/>
  <c r="AX35" i="1"/>
  <c r="AX48" i="1" s="1"/>
  <c r="AX143" i="1"/>
  <c r="AX7" i="65"/>
  <c r="AX8" i="65"/>
  <c r="AX9" i="65"/>
  <c r="AX12" i="65" s="1"/>
  <c r="AX164" i="1"/>
  <c r="AY168" i="1" s="1"/>
  <c r="AX13" i="1"/>
  <c r="AX23" i="1" s="1"/>
  <c r="AX149" i="1"/>
  <c r="AX150" i="1"/>
  <c r="AY19" i="1"/>
  <c r="AX140" i="1" l="1"/>
  <c r="BC140" i="1" s="1"/>
  <c r="BC145" i="1"/>
  <c r="BD27" i="1"/>
  <c r="BC117" i="1"/>
  <c r="BC128" i="1"/>
  <c r="AX166" i="1"/>
  <c r="AX161" i="1"/>
  <c r="BC162" i="1" s="1"/>
  <c r="BC141" i="1" l="1"/>
  <c r="BC136" i="1"/>
  <c r="BD128" i="1"/>
  <c r="BD117" i="1"/>
  <c r="BE27" i="1"/>
  <c r="BC137" i="1" l="1"/>
  <c r="AW41" i="10"/>
  <c r="AW44" i="10" s="1"/>
  <c r="AW20" i="10"/>
  <c r="AW15" i="10"/>
  <c r="AW7" i="10"/>
  <c r="AW17" i="9"/>
  <c r="AW14" i="9"/>
  <c r="AW8" i="9"/>
  <c r="AX54" i="9" s="1"/>
  <c r="AX56" i="9" s="1"/>
  <c r="AX19" i="1"/>
  <c r="AW9" i="65"/>
  <c r="AW12" i="65" s="1"/>
  <c r="AW8" i="65"/>
  <c r="AW7" i="65"/>
  <c r="AW164" i="1"/>
  <c r="AW149" i="1"/>
  <c r="AW143" i="1"/>
  <c r="AW35" i="1"/>
  <c r="AW48" i="1" s="1"/>
  <c r="AW144" i="1" l="1"/>
  <c r="BB145" i="1"/>
  <c r="AW161" i="1"/>
  <c r="BB162" i="1" s="1"/>
  <c r="AX168" i="1"/>
  <c r="AW154" i="1"/>
  <c r="AW184" i="1"/>
  <c r="AW140" i="1"/>
  <c r="BB140" i="1" s="1"/>
  <c r="BB141" i="1" l="1"/>
  <c r="BB136" i="1"/>
  <c r="AW182" i="1"/>
  <c r="BB184" i="1"/>
  <c r="BC138" i="1" l="1"/>
  <c r="BB137" i="1"/>
  <c r="BA118" i="1" l="1"/>
  <c r="BA129" i="1"/>
  <c r="BL29" i="1"/>
  <c r="AW19" i="1"/>
  <c r="AV173" i="1"/>
  <c r="AV172" i="1" s="1"/>
  <c r="AV164" i="1"/>
  <c r="AT6" i="65"/>
  <c r="AY8" i="65" l="1"/>
  <c r="BB129" i="1"/>
  <c r="BB118" i="1"/>
  <c r="AV176" i="1"/>
  <c r="BA176" i="1" s="1"/>
  <c r="AV41" i="10"/>
  <c r="AV44" i="10" s="1"/>
  <c r="AV19" i="10"/>
  <c r="AV20" i="10"/>
  <c r="AV15" i="10"/>
  <c r="AV7" i="10"/>
  <c r="AV55" i="9"/>
  <c r="AV17" i="9"/>
  <c r="AV12" i="9"/>
  <c r="AV48" i="1"/>
  <c r="AV33" i="1"/>
  <c r="AT48" i="1"/>
  <c r="AV30" i="1"/>
  <c r="AV184" i="1"/>
  <c r="BA184" i="1" s="1"/>
  <c r="AV9" i="65"/>
  <c r="AV12" i="65" s="1"/>
  <c r="AV13" i="65" s="1"/>
  <c r="AV8" i="65"/>
  <c r="AV161" i="1"/>
  <c r="BA162" i="1" s="1"/>
  <c r="AV4" i="1"/>
  <c r="AV13" i="1"/>
  <c r="AV150" i="1"/>
  <c r="AV138" i="1"/>
  <c r="AV149" i="1"/>
  <c r="AV137" i="1"/>
  <c r="BC118" i="1" l="1"/>
  <c r="BC129" i="1"/>
  <c r="AV185" i="1"/>
  <c r="AV56" i="9"/>
  <c r="AV24" i="65"/>
  <c r="AV20" i="65" s="1"/>
  <c r="AV23" i="1"/>
  <c r="BD118" i="1" l="1"/>
  <c r="BD129" i="1"/>
  <c r="BE28" i="1"/>
  <c r="BD8" i="10" l="1"/>
  <c r="J52" i="65"/>
  <c r="K52" i="65" s="1"/>
  <c r="BD45" i="1" l="1"/>
  <c r="BE8" i="10"/>
  <c r="K54" i="65"/>
  <c r="K53" i="65"/>
  <c r="AZ8" i="10"/>
  <c r="AT55" i="9"/>
  <c r="BF8" i="10" l="1"/>
  <c r="BG8" i="10" s="1"/>
  <c r="BH8" i="10" s="1"/>
  <c r="BI8" i="10" s="1"/>
  <c r="BJ8" i="10" s="1"/>
  <c r="BD38" i="1"/>
  <c r="BE38" i="1" s="1"/>
  <c r="BD33" i="1"/>
  <c r="BE45" i="1"/>
  <c r="BE33" i="1" s="1"/>
  <c r="BN116" i="1"/>
  <c r="AT41" i="10" l="1"/>
  <c r="AT44" i="10" s="1"/>
  <c r="AT19" i="10"/>
  <c r="AT15" i="10"/>
  <c r="AT7" i="10"/>
  <c r="AT17" i="9"/>
  <c r="AT164" i="1"/>
  <c r="AT159" i="1"/>
  <c r="AT158" i="1"/>
  <c r="AT149" i="1"/>
  <c r="AT143" i="1"/>
  <c r="AT144" i="1" s="1"/>
  <c r="AV19" i="1"/>
  <c r="AZ9" i="1"/>
  <c r="AZ19" i="1"/>
  <c r="AT161" i="1" l="1"/>
  <c r="AY162" i="1" s="1"/>
  <c r="AY167" i="1"/>
  <c r="AT184" i="1"/>
  <c r="BD184" i="1" s="1"/>
  <c r="AT152" i="1"/>
  <c r="AT154" i="1"/>
  <c r="AT140" i="1"/>
  <c r="F50" i="65"/>
  <c r="H50" i="65"/>
  <c r="G50" i="65"/>
  <c r="D49" i="65"/>
  <c r="E50" i="65" s="1"/>
  <c r="G52" i="65"/>
  <c r="H53" i="65" s="1"/>
  <c r="H54" i="65" l="1"/>
  <c r="F52" i="65"/>
  <c r="I53" i="65"/>
  <c r="I54" i="65"/>
  <c r="J53" i="65"/>
  <c r="I55" i="65" l="1"/>
  <c r="G54" i="65"/>
  <c r="G53" i="65"/>
  <c r="E52" i="65"/>
  <c r="F54" i="65" s="1"/>
  <c r="J54" i="65"/>
  <c r="K55" i="65" s="1"/>
  <c r="F53" i="65" l="1"/>
  <c r="H55" i="65"/>
  <c r="G55" i="65"/>
  <c r="J55" i="65"/>
  <c r="AZ10" i="10"/>
  <c r="AV60" i="10" l="1"/>
  <c r="AS55" i="9"/>
  <c r="AW60" i="10" l="1"/>
  <c r="AY60" i="10" s="1"/>
  <c r="AS41" i="10"/>
  <c r="AS20" i="10"/>
  <c r="AS19" i="10"/>
  <c r="AS15" i="10"/>
  <c r="AS7" i="10"/>
  <c r="AS17" i="9"/>
  <c r="AT19" i="1"/>
  <c r="AU9" i="1"/>
  <c r="AS48" i="1"/>
  <c r="AS38" i="1" s="1"/>
  <c r="AS149" i="1"/>
  <c r="AS164" i="1"/>
  <c r="AS4" i="1"/>
  <c r="BA61" i="10" l="1"/>
  <c r="AS161" i="1"/>
  <c r="AX162" i="1" s="1"/>
  <c r="AX167" i="1"/>
  <c r="AS184" i="1"/>
  <c r="AZ60" i="10"/>
  <c r="BB61" i="10" l="1"/>
  <c r="BC61" i="10" l="1"/>
  <c r="AZ48" i="1"/>
  <c r="AZ47" i="1"/>
  <c r="AV130" i="1"/>
  <c r="AW116" i="1"/>
  <c r="AZ161" i="1"/>
  <c r="AZ42" i="10"/>
  <c r="AZ34" i="10"/>
  <c r="AZ30" i="10"/>
  <c r="AZ29" i="10"/>
  <c r="AZ28" i="10"/>
  <c r="AZ24" i="10"/>
  <c r="AZ23" i="10"/>
  <c r="AZ22" i="10"/>
  <c r="AZ20" i="10"/>
  <c r="AZ19" i="10"/>
  <c r="AZ13" i="10"/>
  <c r="AZ12" i="10"/>
  <c r="AY59" i="10"/>
  <c r="AY41" i="10"/>
  <c r="AY25" i="10" s="1"/>
  <c r="AY32" i="10"/>
  <c r="AY4" i="10"/>
  <c r="AY3" i="10"/>
  <c r="AT3" i="10"/>
  <c r="AT4" i="10"/>
  <c r="AT32" i="10"/>
  <c r="AT59" i="10"/>
  <c r="AX59" i="10"/>
  <c r="AX4" i="10"/>
  <c r="AX3" i="10"/>
  <c r="AW59" i="10"/>
  <c r="AW32" i="10"/>
  <c r="AW4" i="10"/>
  <c r="AW3" i="10"/>
  <c r="AV59" i="10"/>
  <c r="AV32" i="10"/>
  <c r="AV4" i="10"/>
  <c r="AV3" i="10"/>
  <c r="AR55" i="9"/>
  <c r="AY4" i="9"/>
  <c r="AY3" i="9"/>
  <c r="AX4" i="9"/>
  <c r="AX3" i="9"/>
  <c r="AW4" i="9"/>
  <c r="AW3" i="9"/>
  <c r="AV4" i="9"/>
  <c r="AV3" i="9"/>
  <c r="AY265" i="1"/>
  <c r="AY135" i="1"/>
  <c r="AY134" i="1"/>
  <c r="AX135" i="1"/>
  <c r="AX134" i="1"/>
  <c r="AW135" i="1"/>
  <c r="AW134" i="1"/>
  <c r="AV135" i="1"/>
  <c r="AV134" i="1"/>
  <c r="AV119" i="1"/>
  <c r="BD61" i="10" l="1"/>
  <c r="BF60" i="10"/>
  <c r="AY268" i="1"/>
  <c r="BD265" i="1"/>
  <c r="BE60" i="10"/>
  <c r="BE61" i="10" s="1"/>
  <c r="AX25" i="10"/>
  <c r="AW130" i="1"/>
  <c r="BA9" i="10"/>
  <c r="AW119" i="1"/>
  <c r="AX130" i="1"/>
  <c r="AX119" i="1"/>
  <c r="AV116" i="1"/>
  <c r="AW127" i="1"/>
  <c r="AW150" i="1"/>
  <c r="BD268" i="1" l="1"/>
  <c r="AY130" i="1"/>
  <c r="BA41" i="1"/>
  <c r="BB9" i="10"/>
  <c r="BC9" i="10" s="1"/>
  <c r="BD9" i="10" s="1"/>
  <c r="AZ9" i="10"/>
  <c r="AZ41" i="1"/>
  <c r="AY119" i="1"/>
  <c r="AV25" i="10"/>
  <c r="BE9" i="10" l="1"/>
  <c r="BA130" i="1"/>
  <c r="BB41" i="1"/>
  <c r="BA119" i="1"/>
  <c r="AV118" i="1"/>
  <c r="AX116" i="1"/>
  <c r="AX127" i="1"/>
  <c r="AV127" i="1"/>
  <c r="AV129" i="1"/>
  <c r="AR41" i="10"/>
  <c r="AR44" i="10" s="1"/>
  <c r="AR20" i="10"/>
  <c r="AR19" i="10"/>
  <c r="AR15" i="10"/>
  <c r="AR7" i="10"/>
  <c r="AR17" i="9"/>
  <c r="AR48" i="1"/>
  <c r="AR38" i="1" s="1"/>
  <c r="AQ33" i="1"/>
  <c r="AR164" i="1"/>
  <c r="AR143" i="1"/>
  <c r="AR140" i="1" s="1"/>
  <c r="AW141" i="1" s="1"/>
  <c r="AR149" i="1"/>
  <c r="AS19" i="1"/>
  <c r="BB119" i="1" l="1"/>
  <c r="BB130" i="1"/>
  <c r="BC41" i="1"/>
  <c r="AW118" i="1"/>
  <c r="AW129" i="1"/>
  <c r="AY116" i="1"/>
  <c r="AY127" i="1"/>
  <c r="AZ26" i="1"/>
  <c r="BE116" i="1" s="1"/>
  <c r="AR154" i="1"/>
  <c r="AR161" i="1"/>
  <c r="AW162" i="1" s="1"/>
  <c r="AR184" i="1"/>
  <c r="AR144" i="1"/>
  <c r="BC130" i="1" l="1"/>
  <c r="BC119" i="1"/>
  <c r="BD41" i="1"/>
  <c r="AZ28" i="1"/>
  <c r="BE118" i="1" s="1"/>
  <c r="AX129" i="1"/>
  <c r="AX118" i="1"/>
  <c r="AP195" i="1"/>
  <c r="AK195" i="1"/>
  <c r="BF28" i="1" l="1"/>
  <c r="BG28" i="1" s="1"/>
  <c r="BH28" i="1" s="1"/>
  <c r="BI28" i="1" s="1"/>
  <c r="BJ28" i="1" s="1"/>
  <c r="BD119" i="1"/>
  <c r="BD130" i="1"/>
  <c r="BE41" i="1"/>
  <c r="AY129" i="1"/>
  <c r="AY118" i="1"/>
  <c r="AW152" i="1"/>
  <c r="AW145" i="1"/>
  <c r="AQ78" i="1"/>
  <c r="AM78" i="1"/>
  <c r="AL78" i="1"/>
  <c r="AJ78" i="1"/>
  <c r="AO78" i="1"/>
  <c r="AG78" i="1"/>
  <c r="AH78" i="1"/>
  <c r="AI78" i="1"/>
  <c r="AN78" i="1"/>
  <c r="BE119" i="1" l="1"/>
  <c r="BF41" i="1"/>
  <c r="BG41" i="1" s="1"/>
  <c r="BH41" i="1" s="1"/>
  <c r="BI41" i="1" s="1"/>
  <c r="BJ41" i="1" s="1"/>
  <c r="AW113" i="1"/>
  <c r="AW137" i="1"/>
  <c r="AP78" i="1"/>
  <c r="AQ55" i="9"/>
  <c r="AQ7" i="65" l="1"/>
  <c r="AQ41" i="10"/>
  <c r="AQ24" i="10"/>
  <c r="AQ20" i="10"/>
  <c r="AQ19" i="10"/>
  <c r="AQ15" i="10"/>
  <c r="AQ11" i="10"/>
  <c r="AQ7" i="10"/>
  <c r="AQ17" i="9"/>
  <c r="AZ15" i="10" l="1"/>
  <c r="AR7" i="65"/>
  <c r="AQ48" i="1"/>
  <c r="AL48" i="1"/>
  <c r="AQ164" i="1"/>
  <c r="AQ158" i="1"/>
  <c r="AQ149" i="1"/>
  <c r="AQ143" i="1"/>
  <c r="AQ38" i="1"/>
  <c r="AQ35" i="1"/>
  <c r="AN38" i="1"/>
  <c r="AO38" i="1"/>
  <c r="AR19" i="1"/>
  <c r="AQ144" i="1" l="1"/>
  <c r="AQ140" i="1"/>
  <c r="AQ166" i="1"/>
  <c r="AQ161" i="1"/>
  <c r="AV162" i="1" s="1"/>
  <c r="AQ154" i="1"/>
  <c r="AQ184" i="1"/>
  <c r="AQ152" i="1"/>
  <c r="AO4" i="1" l="1"/>
  <c r="AS60" i="10" l="1"/>
  <c r="AN55" i="9"/>
  <c r="AO55" i="9"/>
  <c r="AW138" i="1" l="1"/>
  <c r="AV128" i="1"/>
  <c r="AV117" i="1"/>
  <c r="AT61" i="10"/>
  <c r="AW117" i="1" l="1"/>
  <c r="AW128" i="1"/>
  <c r="AZ27" i="1" l="1"/>
  <c r="AX117" i="1"/>
  <c r="AX128" i="1"/>
  <c r="AU89" i="1"/>
  <c r="AO41" i="10"/>
  <c r="AO20" i="10"/>
  <c r="AO24" i="10"/>
  <c r="AP11" i="10"/>
  <c r="AO15" i="10"/>
  <c r="AO7" i="10"/>
  <c r="AQ19" i="1"/>
  <c r="AU19" i="1"/>
  <c r="AO170" i="1"/>
  <c r="AO164" i="1"/>
  <c r="AO184" i="1" s="1"/>
  <c r="AO149" i="1"/>
  <c r="AO143" i="1"/>
  <c r="AO48" i="1"/>
  <c r="AM41" i="1"/>
  <c r="AN41" i="1" s="1"/>
  <c r="AO35" i="1"/>
  <c r="BF27" i="1" l="1"/>
  <c r="BG27" i="1" s="1"/>
  <c r="BH27" i="1" s="1"/>
  <c r="BI27" i="1" s="1"/>
  <c r="BJ27" i="1" s="1"/>
  <c r="BE117" i="1"/>
  <c r="AO144" i="1"/>
  <c r="AO140" i="1"/>
  <c r="AT141" i="1" s="1"/>
  <c r="AY117" i="1"/>
  <c r="AY128" i="1"/>
  <c r="AO161" i="1"/>
  <c r="AN28" i="9" l="1"/>
  <c r="AN12" i="9"/>
  <c r="AN19" i="9" s="1"/>
  <c r="AN41" i="10" l="1"/>
  <c r="AN44" i="10" s="1"/>
  <c r="AN20" i="10"/>
  <c r="AN7" i="10"/>
  <c r="AN12" i="10"/>
  <c r="AN15" i="10"/>
  <c r="AO19" i="1"/>
  <c r="AN149" i="1"/>
  <c r="AN150" i="1"/>
  <c r="AN173" i="1"/>
  <c r="AN164" i="1"/>
  <c r="AN161" i="1" s="1"/>
  <c r="AN158" i="1"/>
  <c r="AN159" i="1"/>
  <c r="AN143" i="1"/>
  <c r="AN140" i="1" s="1"/>
  <c r="AN48" i="1"/>
  <c r="AN35" i="1"/>
  <c r="AN184" i="1" l="1"/>
  <c r="AN154" i="1"/>
  <c r="AN144" i="1"/>
  <c r="AN152" i="1"/>
  <c r="AO33" i="65"/>
  <c r="AQ4" i="9" l="1"/>
  <c r="AN54" i="9"/>
  <c r="AN56" i="9" s="1"/>
  <c r="AM54" i="9"/>
  <c r="AL54" i="9"/>
  <c r="AM55" i="9"/>
  <c r="AL55" i="9"/>
  <c r="AM56" i="9" l="1"/>
  <c r="AL56" i="9"/>
  <c r="AM35" i="1" l="1"/>
  <c r="AM33" i="1"/>
  <c r="AL33" i="1"/>
  <c r="AK34" i="1"/>
  <c r="AG35" i="1"/>
  <c r="AH35" i="1"/>
  <c r="AI35" i="1"/>
  <c r="AJ35" i="1"/>
  <c r="AL35" i="1"/>
  <c r="AI33" i="1"/>
  <c r="AJ33" i="1"/>
  <c r="Z33" i="1"/>
  <c r="Y33" i="1"/>
  <c r="X33" i="1"/>
  <c r="W33" i="1"/>
  <c r="AE33" i="1"/>
  <c r="AC33" i="1"/>
  <c r="AB33" i="1"/>
  <c r="AG33" i="1"/>
  <c r="AH33" i="1"/>
  <c r="AK35" i="1" l="1"/>
  <c r="AP34" i="1"/>
  <c r="AP35" i="1" l="1"/>
  <c r="AM173" i="1"/>
  <c r="AU35" i="1" l="1"/>
  <c r="AN19" i="1"/>
  <c r="BF35" i="1" l="1"/>
  <c r="BG35" i="1" s="1"/>
  <c r="BH35" i="1" s="1"/>
  <c r="BI35" i="1" s="1"/>
  <c r="BJ35" i="1" s="1"/>
  <c r="AU34" i="1" l="1"/>
  <c r="AM41" i="10" l="1"/>
  <c r="AM24" i="10"/>
  <c r="AM19" i="10"/>
  <c r="AM15" i="10"/>
  <c r="AM10" i="10"/>
  <c r="AM7" i="10"/>
  <c r="AM38" i="1"/>
  <c r="AM48" i="1"/>
  <c r="AL38" i="1"/>
  <c r="AM149" i="1"/>
  <c r="AM164" i="1"/>
  <c r="AM184" i="1" s="1"/>
  <c r="AM143" i="1"/>
  <c r="AM140" i="1" s="1"/>
  <c r="AR141" i="1" s="1"/>
  <c r="AL4" i="1"/>
  <c r="AM161" i="1" l="1"/>
  <c r="AM176" i="1"/>
  <c r="AM144" i="1"/>
  <c r="AM154" i="1"/>
  <c r="BA34" i="1" l="1"/>
  <c r="AU135" i="1"/>
  <c r="AU48" i="1"/>
  <c r="AU47" i="1"/>
  <c r="AQ135" i="1"/>
  <c r="AQ134" i="1"/>
  <c r="AT135" i="1"/>
  <c r="AS135" i="1"/>
  <c r="AR135" i="1"/>
  <c r="AT134" i="1"/>
  <c r="AS134" i="1"/>
  <c r="AR134" i="1"/>
  <c r="AU42" i="10"/>
  <c r="BB34" i="1" l="1"/>
  <c r="BA7" i="10"/>
  <c r="AZ7" i="10"/>
  <c r="AZ34" i="1"/>
  <c r="AR150" i="1"/>
  <c r="AQ119" i="1"/>
  <c r="AR127" i="1"/>
  <c r="AQ116" i="1"/>
  <c r="AR162" i="1"/>
  <c r="AR116" i="1"/>
  <c r="AR130" i="1"/>
  <c r="BC34" i="1" l="1"/>
  <c r="BB7" i="10"/>
  <c r="AR137" i="1"/>
  <c r="AR145" i="1"/>
  <c r="AU41" i="1"/>
  <c r="AZ119" i="1" s="1"/>
  <c r="AS130" i="1"/>
  <c r="BD34" i="1" l="1"/>
  <c r="BD7" i="10" s="1"/>
  <c r="BC7" i="10"/>
  <c r="AR113" i="1"/>
  <c r="AT130" i="1"/>
  <c r="AU161" i="1"/>
  <c r="BE34" i="1" l="1"/>
  <c r="BF34" i="1" s="1"/>
  <c r="BG34" i="1" s="1"/>
  <c r="BH34" i="1" s="1"/>
  <c r="BI34" i="1" s="1"/>
  <c r="BJ34" i="1" s="1"/>
  <c r="BE7" i="10"/>
  <c r="AQ32" i="10"/>
  <c r="AQ59" i="10"/>
  <c r="AS59" i="10"/>
  <c r="AR59" i="10"/>
  <c r="AU34" i="10"/>
  <c r="AS32" i="10"/>
  <c r="AR32" i="10"/>
  <c r="AU31" i="10"/>
  <c r="AU30" i="10"/>
  <c r="AU59" i="10" s="1"/>
  <c r="AU29" i="10"/>
  <c r="AU28" i="10"/>
  <c r="AU24" i="10"/>
  <c r="AU23" i="10"/>
  <c r="AU20" i="10"/>
  <c r="AU19" i="10"/>
  <c r="AU14" i="10"/>
  <c r="AU13" i="10"/>
  <c r="AU12" i="10"/>
  <c r="AU10" i="10"/>
  <c r="AU4" i="10"/>
  <c r="AS4" i="10"/>
  <c r="AR4" i="10"/>
  <c r="AQ4" i="10"/>
  <c r="AS3" i="10"/>
  <c r="AR3" i="10"/>
  <c r="AQ3" i="10"/>
  <c r="AT4" i="9"/>
  <c r="AT3" i="9"/>
  <c r="AS4" i="9"/>
  <c r="AR4" i="9"/>
  <c r="AS3" i="9"/>
  <c r="AR3" i="9"/>
  <c r="AQ3" i="9"/>
  <c r="AU32" i="10" l="1"/>
  <c r="AU15" i="10"/>
  <c r="AP43" i="10"/>
  <c r="AL10" i="10"/>
  <c r="AL41" i="10"/>
  <c r="AL44" i="10" s="1"/>
  <c r="AL170" i="1"/>
  <c r="AM170" i="1" l="1"/>
  <c r="AT116" i="1"/>
  <c r="AQ127" i="1"/>
  <c r="AQ117" i="1"/>
  <c r="AQ128" i="1"/>
  <c r="AL173" i="1"/>
  <c r="AL172" i="1" s="1"/>
  <c r="AL164" i="1"/>
  <c r="AQ167" i="1" s="1"/>
  <c r="AL149" i="1"/>
  <c r="AL143" i="1"/>
  <c r="AM19" i="1"/>
  <c r="AM172" i="1" l="1"/>
  <c r="AN170" i="1"/>
  <c r="AR128" i="1"/>
  <c r="AR117" i="1"/>
  <c r="AL140" i="1"/>
  <c r="AQ141" i="1" s="1"/>
  <c r="AL176" i="1"/>
  <c r="AL184" i="1"/>
  <c r="AL154" i="1"/>
  <c r="AL161" i="1"/>
  <c r="AQ162" i="1" s="1"/>
  <c r="AL144" i="1"/>
  <c r="AL24" i="10"/>
  <c r="AL20" i="10"/>
  <c r="AL19" i="10"/>
  <c r="AL15" i="10"/>
  <c r="AL7" i="10"/>
  <c r="AS170" i="1" l="1"/>
  <c r="AX171" i="1" s="1"/>
  <c r="AN172" i="1"/>
  <c r="AR33" i="1"/>
  <c r="AS128" i="1"/>
  <c r="AS117" i="1"/>
  <c r="AS33" i="1" l="1"/>
  <c r="AQ137" i="1"/>
  <c r="AR138" i="1"/>
  <c r="AQ113" i="1"/>
  <c r="AQ145" i="1"/>
  <c r="AR146" i="1"/>
  <c r="AU27" i="1"/>
  <c r="AZ117" i="1" s="1"/>
  <c r="AT117" i="1"/>
  <c r="AT128" i="1"/>
  <c r="AE13" i="1"/>
  <c r="AK6" i="65" l="1"/>
  <c r="AP89" i="1" l="1"/>
  <c r="AJ42" i="10"/>
  <c r="AJ41" i="10"/>
  <c r="AJ24" i="10"/>
  <c r="AJ19" i="10"/>
  <c r="AJ15" i="10"/>
  <c r="AJ7" i="10"/>
  <c r="AP19" i="1"/>
  <c r="AJ44" i="10" l="1"/>
  <c r="AT127" i="1" l="1"/>
  <c r="AS127" i="1"/>
  <c r="AS116" i="1"/>
  <c r="AU26" i="1"/>
  <c r="AZ116" i="1" s="1"/>
  <c r="AL19" i="1"/>
  <c r="AJ164" i="1"/>
  <c r="AJ184" i="1" s="1"/>
  <c r="AJ173" i="1"/>
  <c r="AJ172" i="1" s="1"/>
  <c r="AJ158" i="1"/>
  <c r="AJ159" i="1"/>
  <c r="AJ149" i="1"/>
  <c r="AJ150" i="1"/>
  <c r="AJ143" i="1"/>
  <c r="AJ144" i="1" s="1"/>
  <c r="AJ137" i="1"/>
  <c r="AJ138" i="1"/>
  <c r="AE48" i="1"/>
  <c r="AJ48" i="1"/>
  <c r="AJ38" i="1"/>
  <c r="AJ154" i="1" l="1"/>
  <c r="AJ140" i="1"/>
  <c r="AO141" i="1" s="1"/>
  <c r="V20" i="72"/>
  <c r="V21" i="72"/>
  <c r="V22" i="72"/>
  <c r="V23" i="72"/>
  <c r="E3" i="72"/>
  <c r="C3" i="72"/>
  <c r="D3" i="72"/>
  <c r="AO60" i="10" l="1"/>
  <c r="AQ61" i="10" l="1"/>
  <c r="AO59" i="10"/>
  <c r="AN59" i="10"/>
  <c r="AM59" i="10"/>
  <c r="AL59" i="10"/>
  <c r="AJ59" i="10"/>
  <c r="AJ61" i="10" s="1"/>
  <c r="AP30" i="10"/>
  <c r="AP59" i="10" s="1"/>
  <c r="AK30" i="10"/>
  <c r="AF30" i="10"/>
  <c r="AR61" i="10" l="1"/>
  <c r="AS61" i="10" l="1"/>
  <c r="AL61" i="10"/>
  <c r="AU60" i="10" l="1"/>
  <c r="AU61" i="10"/>
  <c r="AM61" i="10"/>
  <c r="AV61" i="10" l="1"/>
  <c r="BG60" i="10"/>
  <c r="AO61" i="10"/>
  <c r="AN61" i="10"/>
  <c r="AW61" i="10" l="1"/>
  <c r="BH60" i="10"/>
  <c r="AX61" i="10" l="1"/>
  <c r="AY61" i="10"/>
  <c r="BI60" i="10"/>
  <c r="AI4" i="1"/>
  <c r="AK22" i="10"/>
  <c r="AI19" i="10"/>
  <c r="AI24" i="10"/>
  <c r="AI21" i="10"/>
  <c r="AI41" i="10" s="1"/>
  <c r="AI44" i="10" s="1"/>
  <c r="AI20" i="10"/>
  <c r="AI15" i="10"/>
  <c r="AI7" i="10"/>
  <c r="AQ8" i="65" l="1"/>
  <c r="AT8" i="65"/>
  <c r="AQ9" i="65"/>
  <c r="AI16" i="10"/>
  <c r="BJ60" i="10"/>
  <c r="AJ89" i="1"/>
  <c r="AJ19" i="1"/>
  <c r="AI38" i="1"/>
  <c r="AI30" i="1"/>
  <c r="AI13" i="1"/>
  <c r="AI220" i="1"/>
  <c r="AI174" i="1"/>
  <c r="AI158" i="1"/>
  <c r="AI159" i="1"/>
  <c r="AI149" i="1"/>
  <c r="AI150" i="1"/>
  <c r="AZ77" i="1" l="1"/>
  <c r="BA77" i="1"/>
  <c r="AQ12" i="65"/>
  <c r="AQ13" i="65" s="1"/>
  <c r="AR8" i="65"/>
  <c r="AR9" i="65"/>
  <c r="AR12" i="65" s="1"/>
  <c r="I6" i="65"/>
  <c r="AS9" i="65"/>
  <c r="AS7" i="65"/>
  <c r="AS8" i="65"/>
  <c r="AU78" i="1"/>
  <c r="AU77" i="1"/>
  <c r="AR41" i="9"/>
  <c r="AQ41" i="9"/>
  <c r="AI101" i="1"/>
  <c r="AI97" i="1"/>
  <c r="AI32" i="1"/>
  <c r="AI98" i="1"/>
  <c r="AI100" i="1"/>
  <c r="AI96" i="1"/>
  <c r="AI95" i="1"/>
  <c r="AI99" i="1"/>
  <c r="AI23" i="1"/>
  <c r="BB77" i="1" l="1"/>
  <c r="I74" i="65"/>
  <c r="AS12" i="65"/>
  <c r="AS13" i="65" s="1"/>
  <c r="AV41" i="9"/>
  <c r="AR13" i="65"/>
  <c r="AI102" i="1"/>
  <c r="AI36" i="1"/>
  <c r="AT9" i="65"/>
  <c r="AT7" i="65"/>
  <c r="AI49" i="1"/>
  <c r="AI52" i="1" s="1"/>
  <c r="BC77" i="1" l="1"/>
  <c r="AI39" i="1"/>
  <c r="AI72" i="1" s="1"/>
  <c r="AI75" i="1"/>
  <c r="AI74" i="1"/>
  <c r="I76" i="65"/>
  <c r="I9" i="65"/>
  <c r="I10" i="65" s="1"/>
  <c r="AT12" i="65"/>
  <c r="AW41" i="9"/>
  <c r="AS41" i="9"/>
  <c r="AT41" i="9"/>
  <c r="AI108" i="1"/>
  <c r="BD77" i="1" l="1"/>
  <c r="AI71" i="1"/>
  <c r="J76" i="65"/>
  <c r="K76" i="65" s="1"/>
  <c r="L76" i="65" s="1"/>
  <c r="AT13" i="65"/>
  <c r="I12" i="65"/>
  <c r="BE77" i="1" l="1"/>
  <c r="AX41" i="9"/>
  <c r="G17" i="72"/>
  <c r="T20" i="72"/>
  <c r="U20" i="72"/>
  <c r="W20" i="72" s="1"/>
  <c r="X20" i="72" s="1"/>
  <c r="Y20" i="72" s="1"/>
  <c r="Z20" i="72" s="1"/>
  <c r="AA20" i="72" s="1"/>
  <c r="T21" i="72"/>
  <c r="U21" i="72"/>
  <c r="W21" i="72" s="1"/>
  <c r="T22" i="72"/>
  <c r="U22" i="72"/>
  <c r="W22" i="72" s="1"/>
  <c r="X22" i="72" s="1"/>
  <c r="Y22" i="72" s="1"/>
  <c r="Z22" i="72" s="1"/>
  <c r="AA22" i="72" s="1"/>
  <c r="T23" i="72"/>
  <c r="U23" i="72"/>
  <c r="W23" i="72" s="1"/>
  <c r="X23" i="72" s="1"/>
  <c r="H20" i="72"/>
  <c r="I20" i="72"/>
  <c r="J20" i="72"/>
  <c r="K20" i="72"/>
  <c r="L20" i="72"/>
  <c r="M20" i="72"/>
  <c r="N20" i="72"/>
  <c r="O20" i="72"/>
  <c r="P20" i="72"/>
  <c r="Q20" i="72"/>
  <c r="R20" i="72"/>
  <c r="S20" i="72"/>
  <c r="H21" i="72"/>
  <c r="I21" i="72"/>
  <c r="J21" i="72"/>
  <c r="K21" i="72"/>
  <c r="L21" i="72"/>
  <c r="M21" i="72"/>
  <c r="N21" i="72"/>
  <c r="O21" i="72"/>
  <c r="P21" i="72"/>
  <c r="Q21" i="72"/>
  <c r="R21" i="72"/>
  <c r="S21" i="72"/>
  <c r="H22" i="72"/>
  <c r="I22" i="72"/>
  <c r="J22" i="72"/>
  <c r="K22" i="72"/>
  <c r="L22" i="72"/>
  <c r="M22" i="72"/>
  <c r="N22" i="72"/>
  <c r="O22" i="72"/>
  <c r="P22" i="72"/>
  <c r="Q22" i="72"/>
  <c r="R22" i="72"/>
  <c r="S22" i="72"/>
  <c r="H23" i="72"/>
  <c r="I23" i="72"/>
  <c r="J23" i="72"/>
  <c r="K23" i="72"/>
  <c r="L23" i="72"/>
  <c r="M23" i="72"/>
  <c r="N23" i="72"/>
  <c r="O23" i="72"/>
  <c r="P23" i="72"/>
  <c r="Q23" i="72"/>
  <c r="R23" i="72"/>
  <c r="S23" i="72"/>
  <c r="G21" i="72"/>
  <c r="G22" i="72"/>
  <c r="G23" i="72"/>
  <c r="G19" i="72"/>
  <c r="G20" i="72"/>
  <c r="X6" i="72"/>
  <c r="Y6" i="72"/>
  <c r="Z6" i="72"/>
  <c r="AA6" i="72"/>
  <c r="V6" i="72"/>
  <c r="W6" i="72"/>
  <c r="I6" i="72"/>
  <c r="J6" i="72"/>
  <c r="K6" i="72"/>
  <c r="L6" i="72"/>
  <c r="M6" i="72"/>
  <c r="N6" i="72"/>
  <c r="O6" i="72"/>
  <c r="P6" i="72"/>
  <c r="Q6" i="72"/>
  <c r="R6" i="72"/>
  <c r="S6" i="72"/>
  <c r="T6" i="72"/>
  <c r="U6" i="72"/>
  <c r="H6" i="72"/>
  <c r="AZ78" i="1" l="1"/>
  <c r="BA78" i="1"/>
  <c r="AY41" i="9"/>
  <c r="Y23" i="72"/>
  <c r="X21" i="72"/>
  <c r="B4" i="72"/>
  <c r="BA41" i="9" l="1"/>
  <c r="BB78" i="1"/>
  <c r="Y21" i="72"/>
  <c r="Z23" i="72"/>
  <c r="B5" i="72"/>
  <c r="AH220" i="1"/>
  <c r="C4" i="72"/>
  <c r="E4" i="72"/>
  <c r="D4" i="72"/>
  <c r="BB41" i="9" l="1"/>
  <c r="BC78" i="1"/>
  <c r="AA23" i="72"/>
  <c r="Z21" i="72"/>
  <c r="B6" i="72"/>
  <c r="E5" i="72"/>
  <c r="D5" i="72"/>
  <c r="C5" i="72"/>
  <c r="BC41" i="9" l="1"/>
  <c r="BD78" i="1"/>
  <c r="AA21" i="72"/>
  <c r="B7" i="72"/>
  <c r="C6" i="72"/>
  <c r="E6" i="72"/>
  <c r="D6" i="72"/>
  <c r="BD41" i="9" l="1"/>
  <c r="BE78" i="1"/>
  <c r="B8" i="72"/>
  <c r="E7" i="72"/>
  <c r="C7" i="72"/>
  <c r="D7" i="72"/>
  <c r="B9" i="72" l="1"/>
  <c r="AC6" i="65"/>
  <c r="D8" i="72"/>
  <c r="E8" i="72"/>
  <c r="C8" i="72"/>
  <c r="B10" i="72" l="1"/>
  <c r="AH4" i="1"/>
  <c r="U16" i="72" s="1"/>
  <c r="D9" i="72"/>
  <c r="C9" i="72"/>
  <c r="E9" i="72"/>
  <c r="B11" i="72" l="1"/>
  <c r="D10" i="72"/>
  <c r="C10" i="72"/>
  <c r="E10" i="72"/>
  <c r="B12" i="72" l="1"/>
  <c r="AH38" i="1"/>
  <c r="AG38" i="1"/>
  <c r="AH20" i="10"/>
  <c r="AH19" i="10"/>
  <c r="AH15" i="10"/>
  <c r="AH7" i="10"/>
  <c r="AR25" i="9"/>
  <c r="AH164" i="1"/>
  <c r="AH161" i="1" s="1"/>
  <c r="AI19" i="1"/>
  <c r="AH143" i="1"/>
  <c r="AH154" i="1" s="1"/>
  <c r="AG143" i="1"/>
  <c r="AH149" i="1"/>
  <c r="C11" i="72"/>
  <c r="D11" i="72"/>
  <c r="E11" i="72"/>
  <c r="AY25" i="9" l="1"/>
  <c r="AH176" i="1"/>
  <c r="AM178" i="1" s="1"/>
  <c r="AH184" i="1"/>
  <c r="B13" i="72"/>
  <c r="E12" i="72"/>
  <c r="D12" i="72"/>
  <c r="C12" i="72"/>
  <c r="BA25" i="9" l="1"/>
  <c r="BB25" i="9" s="1"/>
  <c r="BC25" i="9" s="1"/>
  <c r="BD25" i="9" s="1"/>
  <c r="BE25" i="9" s="1"/>
  <c r="BF25" i="9" s="1"/>
  <c r="BG25" i="9" s="1"/>
  <c r="BH25" i="9" s="1"/>
  <c r="BI25" i="9" s="1"/>
  <c r="AZ31" i="10"/>
  <c r="AX32" i="10"/>
  <c r="B14" i="72"/>
  <c r="E13" i="72"/>
  <c r="D13" i="72"/>
  <c r="C13" i="72"/>
  <c r="B15" i="72" l="1"/>
  <c r="C14" i="72"/>
  <c r="E14" i="72"/>
  <c r="D14" i="72"/>
  <c r="B16" i="72" l="1"/>
  <c r="C15" i="72"/>
  <c r="D15" i="72"/>
  <c r="E15" i="72"/>
  <c r="B17" i="72" l="1"/>
  <c r="C16" i="72"/>
  <c r="E16" i="72"/>
  <c r="D16" i="72"/>
  <c r="B18" i="72" l="1"/>
  <c r="C17" i="72"/>
  <c r="D17" i="72"/>
  <c r="E17" i="72"/>
  <c r="B19" i="72" l="1"/>
  <c r="E18" i="72"/>
  <c r="C18" i="72"/>
  <c r="D18" i="72"/>
  <c r="B20" i="72" l="1"/>
  <c r="E19" i="72"/>
  <c r="D19" i="72"/>
  <c r="C19" i="72"/>
  <c r="B21" i="72" l="1"/>
  <c r="D24" i="65"/>
  <c r="E24" i="65"/>
  <c r="E20" i="65" s="1"/>
  <c r="C20" i="72"/>
  <c r="E20" i="72"/>
  <c r="D20" i="72"/>
  <c r="B22" i="72" l="1"/>
  <c r="E21" i="72"/>
  <c r="D21" i="72"/>
  <c r="C21" i="72"/>
  <c r="B23" i="72" l="1"/>
  <c r="D22" i="72"/>
  <c r="E22" i="72"/>
  <c r="C22" i="72"/>
  <c r="B24" i="72" l="1"/>
  <c r="C23" i="72"/>
  <c r="E23" i="72"/>
  <c r="D23" i="72"/>
  <c r="AQ129" i="1" l="1"/>
  <c r="AQ118" i="1"/>
  <c r="B25" i="72"/>
  <c r="C24" i="72"/>
  <c r="D24" i="72"/>
  <c r="E24" i="72"/>
  <c r="AR129" i="1" l="1"/>
  <c r="AR118" i="1"/>
  <c r="B26" i="72"/>
  <c r="E25" i="72"/>
  <c r="D25" i="72"/>
  <c r="C25" i="72"/>
  <c r="AS118" i="1" l="1"/>
  <c r="AS129" i="1"/>
  <c r="B27" i="72"/>
  <c r="C26" i="72"/>
  <c r="D26" i="72"/>
  <c r="E26" i="72"/>
  <c r="AU28" i="1" l="1"/>
  <c r="AZ118" i="1" s="1"/>
  <c r="AT118" i="1"/>
  <c r="AT129" i="1"/>
  <c r="B28" i="72"/>
  <c r="C27" i="72"/>
  <c r="E27" i="72"/>
  <c r="D27" i="72"/>
  <c r="B29" i="72" l="1"/>
  <c r="R10" i="65"/>
  <c r="S10" i="65" s="1"/>
  <c r="T10" i="65" s="1"/>
  <c r="U10" i="65" s="1"/>
  <c r="E28" i="72"/>
  <c r="C28" i="72"/>
  <c r="D28" i="72"/>
  <c r="B30" i="72" l="1"/>
  <c r="AE6" i="65"/>
  <c r="AF6" i="65" s="1"/>
  <c r="Z6" i="65"/>
  <c r="E29" i="72"/>
  <c r="C29" i="72"/>
  <c r="D29" i="72"/>
  <c r="H6" i="65" l="1"/>
  <c r="B31" i="72"/>
  <c r="E30" i="72"/>
  <c r="C30" i="72"/>
  <c r="D30" i="72"/>
  <c r="I8" i="65" l="1"/>
  <c r="H74" i="65"/>
  <c r="B32" i="72"/>
  <c r="E31" i="72"/>
  <c r="C31" i="72"/>
  <c r="D31" i="72"/>
  <c r="H76" i="65" l="1"/>
  <c r="I77" i="65" s="1"/>
  <c r="I75" i="65"/>
  <c r="B33" i="72"/>
  <c r="AI7" i="65"/>
  <c r="AH7" i="65"/>
  <c r="AG7" i="65"/>
  <c r="AE7" i="65"/>
  <c r="AD7" i="65"/>
  <c r="AC7" i="65"/>
  <c r="AB7" i="65"/>
  <c r="Y7" i="65"/>
  <c r="Z7" i="65"/>
  <c r="X7" i="65"/>
  <c r="E32" i="72"/>
  <c r="D32" i="72"/>
  <c r="C32" i="72"/>
  <c r="B34" i="72" l="1"/>
  <c r="D33" i="72"/>
  <c r="E33" i="72"/>
  <c r="C33" i="72"/>
  <c r="B35" i="72" l="1"/>
  <c r="D34" i="72"/>
  <c r="C34" i="72"/>
  <c r="E34" i="72"/>
  <c r="B36" i="72" l="1"/>
  <c r="E35" i="72"/>
  <c r="C35" i="72"/>
  <c r="D35" i="72"/>
  <c r="B37" i="72" l="1"/>
  <c r="C36" i="72"/>
  <c r="D36" i="72"/>
  <c r="E36" i="72"/>
  <c r="B38" i="72" l="1"/>
  <c r="D37" i="72"/>
  <c r="C37" i="72"/>
  <c r="E37" i="72"/>
  <c r="B39" i="72" l="1"/>
  <c r="C38" i="72"/>
  <c r="E38" i="72"/>
  <c r="D38" i="72"/>
  <c r="B40" i="72" l="1"/>
  <c r="D39" i="72"/>
  <c r="C39" i="72"/>
  <c r="E39" i="72"/>
  <c r="B41" i="72" l="1"/>
  <c r="E40" i="72"/>
  <c r="D40" i="72"/>
  <c r="C40" i="72"/>
  <c r="B42" i="72" l="1"/>
  <c r="C41" i="72"/>
  <c r="D41" i="72"/>
  <c r="E41" i="72"/>
  <c r="B43" i="72" l="1"/>
  <c r="C42" i="72"/>
  <c r="E42" i="72"/>
  <c r="D42" i="72"/>
  <c r="B44" i="72" l="1"/>
  <c r="C43" i="72"/>
  <c r="D43" i="72"/>
  <c r="E43" i="72"/>
  <c r="B45" i="72" l="1"/>
  <c r="D44" i="72"/>
  <c r="C44" i="72"/>
  <c r="E44" i="72"/>
  <c r="B46" i="72" l="1"/>
  <c r="D45" i="72"/>
  <c r="C45" i="72"/>
  <c r="E45" i="72"/>
  <c r="B47" i="72" l="1"/>
  <c r="D46" i="72"/>
  <c r="E46" i="72"/>
  <c r="C46" i="72"/>
  <c r="B48" i="72" l="1"/>
  <c r="AJ7" i="65"/>
  <c r="AH17" i="65"/>
  <c r="AG174" i="1"/>
  <c r="C47" i="72"/>
  <c r="D47" i="72"/>
  <c r="E47" i="72"/>
  <c r="B49" i="72" l="1"/>
  <c r="AM9" i="65"/>
  <c r="AM7" i="65"/>
  <c r="AL9" i="65"/>
  <c r="AL7" i="65"/>
  <c r="AH174" i="1"/>
  <c r="E48" i="72"/>
  <c r="C48" i="72"/>
  <c r="D48" i="72"/>
  <c r="B50" i="72" l="1"/>
  <c r="AN9" i="65"/>
  <c r="AN7" i="65"/>
  <c r="D49" i="72"/>
  <c r="C49" i="72"/>
  <c r="E49" i="72"/>
  <c r="B51" i="72" l="1"/>
  <c r="AO9" i="65"/>
  <c r="AO7" i="65"/>
  <c r="C50" i="72"/>
  <c r="E50" i="72"/>
  <c r="D50" i="72"/>
  <c r="B52" i="72" l="1"/>
  <c r="H9" i="65"/>
  <c r="E51" i="72"/>
  <c r="C51" i="72"/>
  <c r="D51" i="72"/>
  <c r="B53" i="72" l="1"/>
  <c r="H10" i="65"/>
  <c r="AG17" i="65"/>
  <c r="E52" i="72"/>
  <c r="D52" i="72"/>
  <c r="C52" i="72"/>
  <c r="B54" i="72" l="1"/>
  <c r="E53" i="72"/>
  <c r="D53" i="72"/>
  <c r="C53" i="72"/>
  <c r="B55" i="72" l="1"/>
  <c r="E54" i="72"/>
  <c r="C54" i="72"/>
  <c r="D54" i="72"/>
  <c r="B56" i="72" l="1"/>
  <c r="D55" i="72"/>
  <c r="E55" i="72"/>
  <c r="C55" i="72"/>
  <c r="B57" i="72" l="1"/>
  <c r="AG24" i="10"/>
  <c r="AG20" i="10"/>
  <c r="AK20" i="10" s="1"/>
  <c r="AG19" i="10"/>
  <c r="AG15" i="10"/>
  <c r="AG53" i="10" s="1"/>
  <c r="AG7" i="10"/>
  <c r="AH19" i="1"/>
  <c r="AG172" i="1"/>
  <c r="AH172" i="1" s="1"/>
  <c r="AG119" i="1"/>
  <c r="AG114" i="1"/>
  <c r="AG113" i="1"/>
  <c r="AG48" i="1"/>
  <c r="D56" i="72"/>
  <c r="C56" i="72"/>
  <c r="E56" i="72"/>
  <c r="AH170" i="1" l="1"/>
  <c r="AI170" i="1" s="1"/>
  <c r="B58" i="72"/>
  <c r="AG164" i="1"/>
  <c r="AG150" i="1"/>
  <c r="AG149" i="1"/>
  <c r="C57" i="72"/>
  <c r="D57" i="72"/>
  <c r="E57" i="72"/>
  <c r="AG161" i="1" l="1"/>
  <c r="AG176" i="1"/>
  <c r="AG184" i="1"/>
  <c r="AC170" i="1"/>
  <c r="B59" i="72"/>
  <c r="AG166" i="1"/>
  <c r="E58" i="72"/>
  <c r="D58" i="72"/>
  <c r="C58" i="72"/>
  <c r="AL178" i="1" l="1"/>
  <c r="AG185" i="1"/>
  <c r="AI172" i="1"/>
  <c r="B60" i="72"/>
  <c r="E59" i="72"/>
  <c r="D59" i="72"/>
  <c r="C59" i="72"/>
  <c r="B61" i="72" l="1"/>
  <c r="AF148" i="1"/>
  <c r="AA148" i="1"/>
  <c r="V148" i="1"/>
  <c r="Q148" i="1"/>
  <c r="E60" i="72"/>
  <c r="D60" i="72"/>
  <c r="C60" i="72"/>
  <c r="V149" i="1" l="1"/>
  <c r="B62" i="72"/>
  <c r="AF149" i="1"/>
  <c r="AA149" i="1"/>
  <c r="M38" i="1"/>
  <c r="M28" i="1"/>
  <c r="M27" i="1"/>
  <c r="M26" i="1"/>
  <c r="M23" i="1"/>
  <c r="M29" i="1"/>
  <c r="M48" i="1" s="1"/>
  <c r="N38" i="1"/>
  <c r="N29" i="1"/>
  <c r="N48" i="1" s="1"/>
  <c r="N28" i="1"/>
  <c r="N27" i="1"/>
  <c r="N26" i="1"/>
  <c r="N23" i="1"/>
  <c r="O38" i="1"/>
  <c r="O28" i="1"/>
  <c r="O27" i="1"/>
  <c r="O26" i="1"/>
  <c r="O23" i="1"/>
  <c r="O29" i="1"/>
  <c r="O48" i="1" s="1"/>
  <c r="P28" i="1"/>
  <c r="P27" i="1"/>
  <c r="P26" i="1"/>
  <c r="P38" i="1"/>
  <c r="Q45" i="1"/>
  <c r="Q50" i="1"/>
  <c r="P23" i="1"/>
  <c r="P29" i="1"/>
  <c r="P48" i="1" s="1"/>
  <c r="AC38" i="1"/>
  <c r="AB38" i="1"/>
  <c r="AE38" i="1"/>
  <c r="Z38" i="1"/>
  <c r="U38" i="1"/>
  <c r="Y38" i="1"/>
  <c r="T38" i="1"/>
  <c r="X38" i="1"/>
  <c r="S38" i="1"/>
  <c r="W38" i="1"/>
  <c r="R38" i="1"/>
  <c r="D61" i="72"/>
  <c r="C61" i="72"/>
  <c r="E61" i="72"/>
  <c r="AS171" i="1" l="1"/>
  <c r="P30" i="1"/>
  <c r="B63" i="72"/>
  <c r="Q38" i="1"/>
  <c r="R28" i="1"/>
  <c r="R27" i="1"/>
  <c r="R26" i="1"/>
  <c r="R23" i="1"/>
  <c r="S29" i="1"/>
  <c r="S48" i="1" s="1"/>
  <c r="S28" i="1"/>
  <c r="S27" i="1"/>
  <c r="S26" i="1"/>
  <c r="S23" i="1"/>
  <c r="T23" i="1"/>
  <c r="T29" i="1"/>
  <c r="T48" i="1" s="1"/>
  <c r="T28" i="1"/>
  <c r="T27" i="1"/>
  <c r="T26" i="1"/>
  <c r="T46" i="1"/>
  <c r="R48" i="1"/>
  <c r="U29" i="1"/>
  <c r="U48" i="1" s="1"/>
  <c r="U28" i="1"/>
  <c r="U27" i="1"/>
  <c r="U26" i="1"/>
  <c r="U23" i="1"/>
  <c r="V50" i="1"/>
  <c r="V45" i="1"/>
  <c r="W26" i="1"/>
  <c r="W28" i="1"/>
  <c r="AB28" i="1"/>
  <c r="AG118" i="1" s="1"/>
  <c r="W27" i="1"/>
  <c r="AB27" i="1"/>
  <c r="AG117" i="1" s="1"/>
  <c r="AB26" i="1"/>
  <c r="AG116" i="1" s="1"/>
  <c r="W23" i="1"/>
  <c r="AB23" i="1"/>
  <c r="AA50" i="1"/>
  <c r="AF50" i="1"/>
  <c r="AA45" i="1"/>
  <c r="AA33" i="1" s="1"/>
  <c r="W29" i="1"/>
  <c r="W48" i="1" s="1"/>
  <c r="AB29" i="1"/>
  <c r="AB48" i="1" s="1"/>
  <c r="X28" i="1"/>
  <c r="X29" i="1"/>
  <c r="X48" i="1" s="1"/>
  <c r="X26" i="1"/>
  <c r="X27" i="1"/>
  <c r="X23" i="1"/>
  <c r="AC29" i="1"/>
  <c r="AC48" i="1" s="1"/>
  <c r="AC28" i="1"/>
  <c r="AC27" i="1"/>
  <c r="AC26" i="1"/>
  <c r="AC23" i="1"/>
  <c r="Y29" i="1"/>
  <c r="Y48" i="1" s="1"/>
  <c r="Y28" i="1"/>
  <c r="Y27" i="1"/>
  <c r="Y26" i="1"/>
  <c r="Y23" i="1"/>
  <c r="AD45" i="1"/>
  <c r="AD28" i="1"/>
  <c r="AD27" i="1"/>
  <c r="AD26" i="1"/>
  <c r="AD23" i="1"/>
  <c r="AD29" i="1"/>
  <c r="AD48" i="1" s="1"/>
  <c r="Z29" i="1"/>
  <c r="Z48" i="1" s="1"/>
  <c r="Z28" i="1"/>
  <c r="Z27" i="1"/>
  <c r="Z26" i="1"/>
  <c r="Z23" i="1"/>
  <c r="O30" i="1"/>
  <c r="N30" i="1"/>
  <c r="M30" i="1"/>
  <c r="D62" i="72"/>
  <c r="C62" i="72"/>
  <c r="E62" i="72"/>
  <c r="AD38" i="1" l="1"/>
  <c r="AD33" i="1"/>
  <c r="T30" i="1"/>
  <c r="U30" i="1"/>
  <c r="AF45" i="1"/>
  <c r="AF33" i="1" s="1"/>
  <c r="B64" i="72"/>
  <c r="R30" i="1"/>
  <c r="S30" i="1"/>
  <c r="C63" i="72"/>
  <c r="D63" i="72"/>
  <c r="E63" i="72"/>
  <c r="B65" i="72" l="1"/>
  <c r="AE63" i="1"/>
  <c r="G66" i="1"/>
  <c r="L66" i="1"/>
  <c r="Q66" i="1"/>
  <c r="V66" i="1"/>
  <c r="AA66" i="1"/>
  <c r="AF66" i="1"/>
  <c r="B48" i="1"/>
  <c r="AE29" i="1"/>
  <c r="D64" i="72"/>
  <c r="E64" i="72"/>
  <c r="C64" i="72"/>
  <c r="B66" i="72" l="1"/>
  <c r="Z30" i="1"/>
  <c r="Y30" i="1"/>
  <c r="X30" i="1"/>
  <c r="W30" i="1"/>
  <c r="AC30" i="1"/>
  <c r="AD30" i="1"/>
  <c r="AB30" i="1"/>
  <c r="AE23" i="1"/>
  <c r="D65" i="72"/>
  <c r="C65" i="72"/>
  <c r="E65" i="72"/>
  <c r="B67" i="72" l="1"/>
  <c r="D66" i="72"/>
  <c r="E66" i="72"/>
  <c r="C66" i="72"/>
  <c r="B68" i="72" l="1"/>
  <c r="AP42" i="10"/>
  <c r="AP34" i="10"/>
  <c r="AP31" i="10"/>
  <c r="AP29" i="10"/>
  <c r="AP28" i="10"/>
  <c r="AP24" i="10"/>
  <c r="AP23" i="10"/>
  <c r="AP20" i="10"/>
  <c r="AP19" i="10"/>
  <c r="AP15" i="10"/>
  <c r="BG15" i="10" s="1"/>
  <c r="BH15" i="10" s="1"/>
  <c r="BI15" i="10" s="1"/>
  <c r="BJ15" i="10" s="1"/>
  <c r="AP14" i="10"/>
  <c r="AP13" i="10"/>
  <c r="AP12" i="10"/>
  <c r="AP10" i="10"/>
  <c r="AO32" i="10"/>
  <c r="AN32" i="10"/>
  <c r="AM32" i="10"/>
  <c r="AL32" i="10"/>
  <c r="AO4" i="10"/>
  <c r="AN4" i="10"/>
  <c r="AM4" i="10"/>
  <c r="AL4" i="10"/>
  <c r="AO3" i="10"/>
  <c r="AN3" i="10"/>
  <c r="AM3" i="10"/>
  <c r="AL3" i="10"/>
  <c r="AO4" i="9"/>
  <c r="BL4" i="9" s="1"/>
  <c r="AN4" i="9"/>
  <c r="AM4" i="9"/>
  <c r="AL4" i="9"/>
  <c r="AO3" i="9"/>
  <c r="AN3" i="9"/>
  <c r="AM3" i="9"/>
  <c r="AL3" i="9"/>
  <c r="D67" i="72"/>
  <c r="E67" i="72"/>
  <c r="C67" i="72"/>
  <c r="AP32" i="10" l="1"/>
  <c r="B69" i="72"/>
  <c r="AM129" i="1"/>
  <c r="AP26" i="1"/>
  <c r="AU116" i="1" s="1"/>
  <c r="AO128" i="1"/>
  <c r="BA34" i="9"/>
  <c r="BB34" i="9" s="1"/>
  <c r="BC34" i="9" s="1"/>
  <c r="BD34" i="9" s="1"/>
  <c r="AL162" i="1"/>
  <c r="AO135" i="1"/>
  <c r="AN135" i="1"/>
  <c r="AM135" i="1"/>
  <c r="AL135" i="1"/>
  <c r="AO134" i="1"/>
  <c r="AN134" i="1"/>
  <c r="AM134" i="1"/>
  <c r="AL134" i="1"/>
  <c r="AL129" i="1"/>
  <c r="AN128" i="1"/>
  <c r="AM128" i="1"/>
  <c r="AL128" i="1"/>
  <c r="AO127" i="1"/>
  <c r="AN127" i="1"/>
  <c r="AM127" i="1"/>
  <c r="AL127" i="1"/>
  <c r="AL118" i="1"/>
  <c r="AO117" i="1"/>
  <c r="AN117" i="1"/>
  <c r="AM117" i="1"/>
  <c r="AL117" i="1"/>
  <c r="AO116" i="1"/>
  <c r="AN116" i="1"/>
  <c r="AM116" i="1"/>
  <c r="AL116" i="1"/>
  <c r="C68" i="72"/>
  <c r="D68" i="72"/>
  <c r="E68" i="72"/>
  <c r="BE34" i="9" l="1"/>
  <c r="BF34" i="9" s="1"/>
  <c r="BG34" i="9" s="1"/>
  <c r="BH34" i="9" s="1"/>
  <c r="BI34" i="9" s="1"/>
  <c r="B70" i="72"/>
  <c r="AK38" i="1"/>
  <c r="AM118" i="1"/>
  <c r="AP27" i="1"/>
  <c r="AU117" i="1" s="1"/>
  <c r="AP48" i="1"/>
  <c r="AP47" i="1"/>
  <c r="AS162" i="1"/>
  <c r="E69" i="72"/>
  <c r="C69" i="72"/>
  <c r="D69" i="72"/>
  <c r="B71" i="72" l="1"/>
  <c r="AK45" i="1"/>
  <c r="AK33" i="1" s="1"/>
  <c r="AP28" i="1"/>
  <c r="AU118" i="1" s="1"/>
  <c r="AN118" i="1"/>
  <c r="AN129" i="1"/>
  <c r="AT162" i="1"/>
  <c r="E70" i="72"/>
  <c r="C70" i="72"/>
  <c r="D70" i="72"/>
  <c r="B72" i="72" l="1"/>
  <c r="AO129" i="1"/>
  <c r="AO118" i="1"/>
  <c r="AP161" i="1"/>
  <c r="AU162" i="1" s="1"/>
  <c r="D71" i="72"/>
  <c r="E71" i="72"/>
  <c r="C71" i="72"/>
  <c r="B73" i="72" l="1"/>
  <c r="AN33" i="1"/>
  <c r="AE220" i="1"/>
  <c r="E72" i="72"/>
  <c r="D72" i="72"/>
  <c r="C72" i="72"/>
  <c r="AP38" i="1" l="1"/>
  <c r="AO33" i="1"/>
  <c r="B74" i="72"/>
  <c r="AP8" i="10"/>
  <c r="AP45" i="1"/>
  <c r="AP33" i="1" s="1"/>
  <c r="AF173" i="1"/>
  <c r="AA173" i="1"/>
  <c r="C73" i="72"/>
  <c r="E73" i="72"/>
  <c r="D73" i="72"/>
  <c r="B75" i="72" l="1"/>
  <c r="D74" i="72"/>
  <c r="C74" i="72"/>
  <c r="E74" i="72"/>
  <c r="B76" i="72" l="1"/>
  <c r="U16" i="65"/>
  <c r="T16" i="65" s="1"/>
  <c r="S16" i="65" s="1"/>
  <c r="R16" i="65" s="1"/>
  <c r="U6" i="65"/>
  <c r="F18" i="65"/>
  <c r="E18" i="65"/>
  <c r="AC8" i="65"/>
  <c r="AD8" i="65"/>
  <c r="AE8" i="65"/>
  <c r="AB8" i="65"/>
  <c r="F8" i="65"/>
  <c r="E8" i="65"/>
  <c r="AG8" i="65"/>
  <c r="AG18" i="65"/>
  <c r="AC18" i="65"/>
  <c r="AD18" i="65"/>
  <c r="AE18" i="65"/>
  <c r="AB18" i="65"/>
  <c r="AD17" i="65"/>
  <c r="AE17" i="65"/>
  <c r="AC17" i="65"/>
  <c r="AB17" i="65"/>
  <c r="AD9" i="65"/>
  <c r="AD12" i="65" s="1"/>
  <c r="AD13" i="65" s="1"/>
  <c r="AC9" i="65"/>
  <c r="AC12" i="65" s="1"/>
  <c r="AC13" i="65" s="1"/>
  <c r="AB9" i="65"/>
  <c r="AB12" i="65" s="1"/>
  <c r="AB13" i="65" s="1"/>
  <c r="Y9" i="65"/>
  <c r="Y12" i="65" s="1"/>
  <c r="Y13" i="65" s="1"/>
  <c r="X9" i="65"/>
  <c r="X12" i="65" s="1"/>
  <c r="X13" i="65" s="1"/>
  <c r="W9" i="65"/>
  <c r="F9" i="65"/>
  <c r="E9" i="65"/>
  <c r="D9" i="65"/>
  <c r="D36" i="65" s="1"/>
  <c r="E75" i="72"/>
  <c r="D75" i="72"/>
  <c r="C75" i="72"/>
  <c r="B77" i="72" l="1"/>
  <c r="E36" i="65"/>
  <c r="E37" i="65" s="1"/>
  <c r="E11" i="65"/>
  <c r="F36" i="65"/>
  <c r="F11" i="65"/>
  <c r="F12" i="65"/>
  <c r="AE9" i="65"/>
  <c r="D12" i="65"/>
  <c r="W12" i="65"/>
  <c r="W13" i="65" s="1"/>
  <c r="Z9" i="65"/>
  <c r="T6" i="65"/>
  <c r="S6" i="65" s="1"/>
  <c r="S9" i="65" s="1"/>
  <c r="S12" i="65" s="1"/>
  <c r="S13" i="65" s="1"/>
  <c r="W7" i="65"/>
  <c r="AG9" i="65"/>
  <c r="AH8" i="65"/>
  <c r="U9" i="65"/>
  <c r="U12" i="65" s="1"/>
  <c r="U13" i="65" s="1"/>
  <c r="E12" i="65"/>
  <c r="E76" i="72"/>
  <c r="C76" i="72"/>
  <c r="D76" i="72"/>
  <c r="E14" i="65" l="1"/>
  <c r="F37" i="65"/>
  <c r="F14" i="65"/>
  <c r="B78" i="72"/>
  <c r="AG12" i="65"/>
  <c r="D13" i="65"/>
  <c r="D29" i="65"/>
  <c r="T9" i="65"/>
  <c r="T12" i="65" s="1"/>
  <c r="T13" i="65" s="1"/>
  <c r="E13" i="65"/>
  <c r="E29" i="65"/>
  <c r="R6" i="65"/>
  <c r="R9" i="65" s="1"/>
  <c r="R12" i="65" s="1"/>
  <c r="R13" i="65" s="1"/>
  <c r="F13" i="65"/>
  <c r="F29" i="65"/>
  <c r="AE10" i="65"/>
  <c r="AE12" i="65"/>
  <c r="AE13" i="65" s="1"/>
  <c r="Z10" i="65"/>
  <c r="Z12" i="65"/>
  <c r="Z13" i="65" s="1"/>
  <c r="AH9" i="65"/>
  <c r="AI8" i="65"/>
  <c r="AH18" i="65"/>
  <c r="AG19" i="1"/>
  <c r="C77" i="72"/>
  <c r="D77" i="72"/>
  <c r="E77" i="72"/>
  <c r="B79" i="72" l="1"/>
  <c r="AH12" i="65"/>
  <c r="AG13" i="65"/>
  <c r="E30" i="65"/>
  <c r="F30" i="65"/>
  <c r="AI9" i="65"/>
  <c r="AJ9" i="65"/>
  <c r="AJ8" i="65"/>
  <c r="G6" i="65"/>
  <c r="AF174" i="1"/>
  <c r="C78" i="72"/>
  <c r="D78" i="72"/>
  <c r="E78" i="72"/>
  <c r="G8" i="65" l="1"/>
  <c r="H8" i="65"/>
  <c r="B80" i="72"/>
  <c r="AJ12" i="65"/>
  <c r="AI12" i="65"/>
  <c r="AH13" i="65"/>
  <c r="G9" i="65"/>
  <c r="AL8" i="65"/>
  <c r="AG41" i="10"/>
  <c r="AG44" i="10" s="1"/>
  <c r="C79" i="72"/>
  <c r="D79" i="72"/>
  <c r="E79" i="72"/>
  <c r="AQ150" i="1" l="1"/>
  <c r="B81" i="72"/>
  <c r="G11" i="65"/>
  <c r="H11" i="65"/>
  <c r="AI13" i="65"/>
  <c r="AJ13" i="65"/>
  <c r="G12" i="65"/>
  <c r="G14" i="65" s="1"/>
  <c r="G10" i="65"/>
  <c r="G36" i="65"/>
  <c r="G37" i="65" s="1"/>
  <c r="AM8" i="65"/>
  <c r="AM12" i="65"/>
  <c r="AL12" i="65"/>
  <c r="BF42" i="10"/>
  <c r="AE164" i="1"/>
  <c r="AG168" i="1" s="1"/>
  <c r="C80" i="72"/>
  <c r="E80" i="72"/>
  <c r="D80" i="72"/>
  <c r="B82" i="72" l="1"/>
  <c r="G29" i="65"/>
  <c r="G30" i="65" s="1"/>
  <c r="AM13" i="65"/>
  <c r="G13" i="65"/>
  <c r="AE182" i="1"/>
  <c r="AE176" i="1"/>
  <c r="AL13" i="65"/>
  <c r="AN8" i="65"/>
  <c r="BG42" i="10"/>
  <c r="D81" i="72"/>
  <c r="C81" i="72"/>
  <c r="E81" i="72"/>
  <c r="BD148" i="1" l="1"/>
  <c r="BA150" i="1"/>
  <c r="B83" i="72"/>
  <c r="AE185" i="1"/>
  <c r="AN12" i="65"/>
  <c r="AO8" i="65"/>
  <c r="AO12" i="65"/>
  <c r="BH42" i="10"/>
  <c r="E82" i="72"/>
  <c r="D82" i="72"/>
  <c r="C82" i="72"/>
  <c r="BD143" i="1" l="1"/>
  <c r="BE148" i="1"/>
  <c r="BD150" i="1"/>
  <c r="B84" i="72"/>
  <c r="AO13" i="65"/>
  <c r="AN13" i="65"/>
  <c r="H12" i="65"/>
  <c r="H14" i="65" s="1"/>
  <c r="BI42" i="10"/>
  <c r="AE149" i="1"/>
  <c r="AE46" i="1"/>
  <c r="AE28" i="1"/>
  <c r="AE27" i="1"/>
  <c r="AE26" i="1"/>
  <c r="AE143" i="1"/>
  <c r="AE144" i="1" s="1"/>
  <c r="AE20" i="10"/>
  <c r="AE19" i="10"/>
  <c r="AE15" i="10"/>
  <c r="AE53" i="10" s="1"/>
  <c r="AE7" i="10"/>
  <c r="C83" i="72"/>
  <c r="E83" i="72"/>
  <c r="D83" i="72"/>
  <c r="BD14" i="1" l="1"/>
  <c r="BD146" i="1"/>
  <c r="BE143" i="1"/>
  <c r="B85" i="72"/>
  <c r="H36" i="65"/>
  <c r="H37" i="65" s="1"/>
  <c r="H13" i="65"/>
  <c r="H29" i="65"/>
  <c r="H30" i="65" s="1"/>
  <c r="AE30" i="1"/>
  <c r="AE140" i="1"/>
  <c r="AJ141" i="1" s="1"/>
  <c r="AE152" i="1"/>
  <c r="BJ42" i="10"/>
  <c r="E84" i="72"/>
  <c r="C84" i="72"/>
  <c r="D84" i="72"/>
  <c r="BE14" i="1" l="1"/>
  <c r="BE144" i="1"/>
  <c r="B86" i="72"/>
  <c r="E85" i="72"/>
  <c r="C85" i="72"/>
  <c r="D85" i="72"/>
  <c r="B87" i="72" l="1"/>
  <c r="D86" i="72"/>
  <c r="E86" i="72"/>
  <c r="C86" i="72"/>
  <c r="B88" i="72" l="1"/>
  <c r="C87" i="72"/>
  <c r="D87" i="72"/>
  <c r="E87" i="72"/>
  <c r="B89" i="72" l="1"/>
  <c r="D88" i="72"/>
  <c r="C88" i="72"/>
  <c r="E88" i="72"/>
  <c r="B90" i="72" l="1"/>
  <c r="D89" i="72"/>
  <c r="E89" i="72"/>
  <c r="C89" i="72"/>
  <c r="B91" i="72" l="1"/>
  <c r="C90" i="72"/>
  <c r="D90" i="72"/>
  <c r="E90" i="72"/>
  <c r="B92" i="72" l="1"/>
  <c r="E91" i="72"/>
  <c r="D91" i="72"/>
  <c r="C91" i="72"/>
  <c r="B93" i="72" l="1"/>
  <c r="D92" i="72"/>
  <c r="C92" i="72"/>
  <c r="E92" i="72"/>
  <c r="H10" i="72" l="1"/>
  <c r="H7" i="72"/>
  <c r="B94" i="72"/>
  <c r="D93" i="72"/>
  <c r="C93" i="72"/>
  <c r="E93" i="72"/>
  <c r="H13" i="72" l="1"/>
  <c r="B95" i="72"/>
  <c r="E94" i="72"/>
  <c r="D94" i="72"/>
  <c r="C94" i="72"/>
  <c r="B96" i="72" l="1"/>
  <c r="D95" i="72"/>
  <c r="E95" i="72"/>
  <c r="C95" i="72"/>
  <c r="B97" i="72" l="1"/>
  <c r="C96" i="72"/>
  <c r="E96" i="72"/>
  <c r="D96" i="72"/>
  <c r="B98" i="72" l="1"/>
  <c r="E97" i="72"/>
  <c r="D97" i="72"/>
  <c r="C97" i="72"/>
  <c r="B99" i="72" l="1"/>
  <c r="AK42" i="10"/>
  <c r="AF42" i="10"/>
  <c r="D98" i="72"/>
  <c r="E98" i="72"/>
  <c r="C98" i="72"/>
  <c r="B100" i="72" l="1"/>
  <c r="AD117" i="1"/>
  <c r="AC117" i="1"/>
  <c r="AB117" i="1"/>
  <c r="AD116" i="1"/>
  <c r="AC116" i="1"/>
  <c r="AB116" i="1"/>
  <c r="D99" i="72"/>
  <c r="C99" i="72"/>
  <c r="E99" i="72"/>
  <c r="B101" i="72" l="1"/>
  <c r="AE41" i="10"/>
  <c r="E100" i="72"/>
  <c r="C100" i="72"/>
  <c r="D100" i="72"/>
  <c r="B102" i="72" l="1"/>
  <c r="AE44" i="10"/>
  <c r="D101" i="72"/>
  <c r="E101" i="72"/>
  <c r="C101" i="72"/>
  <c r="B103" i="72" l="1"/>
  <c r="AH29" i="1"/>
  <c r="AH30" i="1" s="1"/>
  <c r="AG30" i="1"/>
  <c r="V42" i="10"/>
  <c r="U41" i="10"/>
  <c r="U44" i="10" s="1"/>
  <c r="AB41" i="10"/>
  <c r="R41" i="10"/>
  <c r="R44" i="10" s="1"/>
  <c r="S41" i="10"/>
  <c r="S44" i="10" s="1"/>
  <c r="AC41" i="10"/>
  <c r="AC44" i="10" s="1"/>
  <c r="T41" i="10"/>
  <c r="T44" i="10" s="1"/>
  <c r="AD41" i="10"/>
  <c r="AD44" i="10" s="1"/>
  <c r="E102" i="72"/>
  <c r="D102" i="72"/>
  <c r="C102" i="72"/>
  <c r="V44" i="10" l="1"/>
  <c r="AH32" i="1"/>
  <c r="AH36" i="1" s="1"/>
  <c r="B104" i="72"/>
  <c r="V41" i="10"/>
  <c r="AF41" i="10"/>
  <c r="AB44" i="10"/>
  <c r="AF44" i="10" s="1"/>
  <c r="E103" i="72"/>
  <c r="D103" i="72"/>
  <c r="C103" i="72"/>
  <c r="B105" i="72" l="1"/>
  <c r="AJ29" i="1"/>
  <c r="C104" i="72"/>
  <c r="E104" i="72"/>
  <c r="D104" i="72"/>
  <c r="B106" i="72" l="1"/>
  <c r="AL29" i="1"/>
  <c r="AJ30" i="1"/>
  <c r="C105" i="72"/>
  <c r="E105" i="72"/>
  <c r="D105" i="72"/>
  <c r="B107" i="72" l="1"/>
  <c r="AL30" i="1"/>
  <c r="AK21" i="10"/>
  <c r="D106" i="72"/>
  <c r="E106" i="72"/>
  <c r="C106" i="72"/>
  <c r="B108" i="72" l="1"/>
  <c r="AM30" i="1"/>
  <c r="AM32" i="1" s="1"/>
  <c r="E107" i="72"/>
  <c r="D107" i="72"/>
  <c r="C107" i="72"/>
  <c r="AM49" i="1" l="1"/>
  <c r="AM108" i="1" s="1"/>
  <c r="AM36" i="1"/>
  <c r="B109" i="72"/>
  <c r="AN30" i="1"/>
  <c r="AD24" i="10"/>
  <c r="AD19" i="10"/>
  <c r="AD15" i="10"/>
  <c r="AD53" i="10" s="1"/>
  <c r="AD7" i="10"/>
  <c r="Y46" i="1"/>
  <c r="AD46" i="1"/>
  <c r="AD41" i="1"/>
  <c r="AD119" i="1" s="1"/>
  <c r="AD127" i="1"/>
  <c r="AD220" i="1"/>
  <c r="AD149" i="1"/>
  <c r="AD113" i="1"/>
  <c r="AD114" i="1"/>
  <c r="AD128" i="1"/>
  <c r="AD164" i="1"/>
  <c r="AD143" i="1"/>
  <c r="AD152" i="1" s="1"/>
  <c r="C108" i="72"/>
  <c r="D108" i="72"/>
  <c r="E108" i="72"/>
  <c r="AM52" i="1" l="1"/>
  <c r="AR29" i="1"/>
  <c r="AQ30" i="1"/>
  <c r="AQ32" i="1" s="1"/>
  <c r="AQ49" i="1" s="1"/>
  <c r="B110" i="72"/>
  <c r="AO30" i="1"/>
  <c r="AP29" i="1"/>
  <c r="AP30" i="1" s="1"/>
  <c r="AD182" i="1"/>
  <c r="AD176" i="1"/>
  <c r="AD144" i="1"/>
  <c r="AD130" i="1"/>
  <c r="AE130" i="1"/>
  <c r="AD118" i="1"/>
  <c r="AD129" i="1"/>
  <c r="C109" i="72"/>
  <c r="E109" i="72"/>
  <c r="D109" i="72"/>
  <c r="AM39" i="1" l="1"/>
  <c r="AM74" i="1"/>
  <c r="AM75" i="1"/>
  <c r="AQ108" i="1"/>
  <c r="AQ52" i="1"/>
  <c r="AS29" i="1"/>
  <c r="AR30" i="1"/>
  <c r="B111" i="72"/>
  <c r="AD185" i="1"/>
  <c r="AA172" i="1"/>
  <c r="D110" i="72"/>
  <c r="E110" i="72"/>
  <c r="C110" i="72"/>
  <c r="AQ75" i="1" l="1"/>
  <c r="AQ74" i="1"/>
  <c r="AT29" i="1"/>
  <c r="AS30" i="1"/>
  <c r="B112" i="72"/>
  <c r="AC220" i="1"/>
  <c r="AK23" i="10"/>
  <c r="AF23" i="10"/>
  <c r="V23" i="10"/>
  <c r="AC20" i="10"/>
  <c r="AC19" i="10"/>
  <c r="AC7" i="10"/>
  <c r="AC15" i="10"/>
  <c r="AC53" i="10" s="1"/>
  <c r="AK13" i="10"/>
  <c r="AF13" i="10"/>
  <c r="V13" i="10"/>
  <c r="AC118" i="1"/>
  <c r="D111" i="72"/>
  <c r="C111" i="72"/>
  <c r="E111" i="72"/>
  <c r="AT30" i="1" l="1"/>
  <c r="AU29" i="1"/>
  <c r="AU30" i="1" s="1"/>
  <c r="B113" i="72"/>
  <c r="AC119" i="1"/>
  <c r="AC149" i="1"/>
  <c r="AC164" i="1"/>
  <c r="AC176" i="1" s="1"/>
  <c r="AC143" i="1"/>
  <c r="D112" i="72"/>
  <c r="C112" i="72"/>
  <c r="E112" i="72"/>
  <c r="AW29" i="1" l="1"/>
  <c r="AH178" i="1"/>
  <c r="AM181" i="1"/>
  <c r="B114" i="72"/>
  <c r="AC185" i="1"/>
  <c r="AC140" i="1"/>
  <c r="AC152" i="1"/>
  <c r="AC161" i="1"/>
  <c r="AC182" i="1"/>
  <c r="AC166" i="1"/>
  <c r="AC144" i="1"/>
  <c r="B31" i="12"/>
  <c r="B30" i="12"/>
  <c r="B29" i="12"/>
  <c r="B28" i="12"/>
  <c r="B27" i="12"/>
  <c r="B26" i="12"/>
  <c r="B25" i="12"/>
  <c r="B24" i="12"/>
  <c r="B20" i="12"/>
  <c r="D113" i="72"/>
  <c r="E113" i="72"/>
  <c r="C113" i="72"/>
  <c r="AX29" i="1" l="1"/>
  <c r="AY29" i="1" s="1"/>
  <c r="BA29" i="1" s="1"/>
  <c r="AW30" i="1"/>
  <c r="B115" i="72"/>
  <c r="AB220" i="1"/>
  <c r="AB78" i="1"/>
  <c r="AB46" i="1"/>
  <c r="AB143" i="1"/>
  <c r="AB152" i="1" s="1"/>
  <c r="AB164" i="1"/>
  <c r="AB149" i="1"/>
  <c r="AB15" i="10"/>
  <c r="AB53" i="10" s="1"/>
  <c r="AB7" i="10"/>
  <c r="AB20" i="10"/>
  <c r="AB19" i="10"/>
  <c r="D114" i="72"/>
  <c r="E114" i="72"/>
  <c r="C114" i="72"/>
  <c r="AX30" i="1" l="1"/>
  <c r="AF164" i="1"/>
  <c r="AG167" i="1"/>
  <c r="B116" i="72"/>
  <c r="AB182" i="1"/>
  <c r="AB184" i="1"/>
  <c r="AB176" i="1"/>
  <c r="AC130" i="1"/>
  <c r="AB144" i="1"/>
  <c r="AB154" i="1"/>
  <c r="D115" i="72"/>
  <c r="E115" i="72"/>
  <c r="C115" i="72"/>
  <c r="AY30" i="1" l="1"/>
  <c r="AZ29" i="1"/>
  <c r="AZ30" i="1" s="1"/>
  <c r="AG178" i="1"/>
  <c r="AL181" i="1"/>
  <c r="B117" i="72"/>
  <c r="AB185" i="1"/>
  <c r="AP7" i="10"/>
  <c r="E116" i="72"/>
  <c r="D116" i="72"/>
  <c r="C116" i="72"/>
  <c r="BB29" i="1" l="1"/>
  <c r="BA30" i="1"/>
  <c r="AU7" i="10"/>
  <c r="B118" i="72"/>
  <c r="AH130" i="1"/>
  <c r="C117" i="72"/>
  <c r="D117" i="72"/>
  <c r="E117" i="72"/>
  <c r="BC29" i="1" l="1"/>
  <c r="BB30" i="1"/>
  <c r="B119" i="72"/>
  <c r="AI130" i="1"/>
  <c r="AB33" i="9"/>
  <c r="AE33" i="9" s="1"/>
  <c r="D118" i="72"/>
  <c r="E118" i="72"/>
  <c r="C118" i="72"/>
  <c r="BD29" i="1" l="1"/>
  <c r="BD30" i="1" s="1"/>
  <c r="BC30" i="1"/>
  <c r="B120" i="72"/>
  <c r="AJ130" i="1"/>
  <c r="BA31" i="9"/>
  <c r="BB31" i="9" s="1"/>
  <c r="BC31" i="9" s="1"/>
  <c r="BD31" i="9" s="1"/>
  <c r="BA35" i="9"/>
  <c r="BB35" i="9" s="1"/>
  <c r="BC35" i="9" s="1"/>
  <c r="BD35" i="9" s="1"/>
  <c r="BA18" i="9"/>
  <c r="BB18" i="9" s="1"/>
  <c r="BC18" i="9" s="1"/>
  <c r="BD18" i="9" s="1"/>
  <c r="BA17" i="9"/>
  <c r="BB17" i="9" s="1"/>
  <c r="BC17" i="9" s="1"/>
  <c r="BD17" i="9" s="1"/>
  <c r="BA14" i="9"/>
  <c r="BB14" i="9" s="1"/>
  <c r="BC14" i="9" s="1"/>
  <c r="BD14" i="9" s="1"/>
  <c r="E119" i="72"/>
  <c r="D119" i="72"/>
  <c r="C119" i="72"/>
  <c r="BE29" i="1" l="1"/>
  <c r="BE30" i="1" s="1"/>
  <c r="BE17" i="9"/>
  <c r="BF17" i="9" s="1"/>
  <c r="BG17" i="9" s="1"/>
  <c r="BH17" i="9" s="1"/>
  <c r="BI17" i="9" s="1"/>
  <c r="BE14" i="9"/>
  <c r="BF14" i="9" s="1"/>
  <c r="BG14" i="9" s="1"/>
  <c r="BH14" i="9" s="1"/>
  <c r="BI14" i="9" s="1"/>
  <c r="BE35" i="9"/>
  <c r="BF35" i="9" s="1"/>
  <c r="BG35" i="9" s="1"/>
  <c r="BH35" i="9" s="1"/>
  <c r="BI35" i="9" s="1"/>
  <c r="BE16" i="9"/>
  <c r="BF16" i="9" s="1"/>
  <c r="BG16" i="9" s="1"/>
  <c r="BH16" i="9" s="1"/>
  <c r="BI16" i="9" s="1"/>
  <c r="BE18" i="9"/>
  <c r="BF18" i="9" s="1"/>
  <c r="BG18" i="9" s="1"/>
  <c r="BH18" i="9" s="1"/>
  <c r="BI18" i="9" s="1"/>
  <c r="BE31" i="9"/>
  <c r="BF31" i="9" s="1"/>
  <c r="BG31" i="9" s="1"/>
  <c r="BH31" i="9" s="1"/>
  <c r="BI31" i="9" s="1"/>
  <c r="B121" i="72"/>
  <c r="AR119" i="1"/>
  <c r="AL119" i="1"/>
  <c r="AM33" i="9"/>
  <c r="E120" i="72"/>
  <c r="C120" i="72"/>
  <c r="D120" i="72"/>
  <c r="AN33" i="9" l="1"/>
  <c r="AN36" i="9" s="1"/>
  <c r="AN39" i="9" s="1"/>
  <c r="B122" i="72"/>
  <c r="AM119" i="1"/>
  <c r="AS119" i="1"/>
  <c r="AM130" i="1"/>
  <c r="D121" i="72"/>
  <c r="E121" i="72"/>
  <c r="C121" i="72"/>
  <c r="AR33" i="9" l="1"/>
  <c r="AS33" i="9" s="1"/>
  <c r="AO41" i="1"/>
  <c r="B123" i="72"/>
  <c r="AN119" i="1"/>
  <c r="AN130" i="1"/>
  <c r="C122" i="72"/>
  <c r="D122" i="72"/>
  <c r="E122" i="72"/>
  <c r="AV33" i="9" l="1"/>
  <c r="AY33" i="9" s="1"/>
  <c r="BA33" i="9" s="1"/>
  <c r="BB33" i="9" s="1"/>
  <c r="BC33" i="9" s="1"/>
  <c r="BD33" i="9" s="1"/>
  <c r="AV32" i="9"/>
  <c r="AQ130" i="1"/>
  <c r="AT119" i="1"/>
  <c r="AP41" i="1"/>
  <c r="AU119" i="1" s="1"/>
  <c r="B124" i="72"/>
  <c r="AO119" i="1"/>
  <c r="AO130" i="1"/>
  <c r="BF4" i="10"/>
  <c r="BG4" i="10"/>
  <c r="BH4" i="10"/>
  <c r="BI4" i="10"/>
  <c r="BJ4" i="10"/>
  <c r="AP4" i="10"/>
  <c r="BM4" i="9"/>
  <c r="BN4" i="9"/>
  <c r="BO4" i="9"/>
  <c r="BE4" i="9"/>
  <c r="BP4" i="9" s="1"/>
  <c r="BF4" i="9"/>
  <c r="BQ4" i="9" s="1"/>
  <c r="BG4" i="9"/>
  <c r="BR4" i="9" s="1"/>
  <c r="BH4" i="9"/>
  <c r="BS4" i="9" s="1"/>
  <c r="BI4" i="9"/>
  <c r="BT4" i="9" s="1"/>
  <c r="E123" i="72"/>
  <c r="D123" i="72"/>
  <c r="C123" i="72"/>
  <c r="BA32" i="9" l="1"/>
  <c r="BB32" i="9" s="1"/>
  <c r="BC32" i="9" s="1"/>
  <c r="BD32" i="9" s="1"/>
  <c r="BE32" i="9" s="1"/>
  <c r="BF32" i="9" s="1"/>
  <c r="BG32" i="9" s="1"/>
  <c r="BH32" i="9" s="1"/>
  <c r="BI32" i="9" s="1"/>
  <c r="B125" i="72"/>
  <c r="E124" i="72"/>
  <c r="D124" i="72"/>
  <c r="C124" i="72"/>
  <c r="BE33" i="9" l="1"/>
  <c r="B126" i="72"/>
  <c r="AM41" i="9"/>
  <c r="AL41" i="9"/>
  <c r="AP77" i="1"/>
  <c r="C125" i="72"/>
  <c r="E125" i="72"/>
  <c r="D125" i="72"/>
  <c r="BF33" i="9" l="1"/>
  <c r="BG33" i="9" s="1"/>
  <c r="BH33" i="9" s="1"/>
  <c r="BI33" i="9" s="1"/>
  <c r="BF7" i="10"/>
  <c r="B127" i="72"/>
  <c r="AN41" i="9"/>
  <c r="E126" i="72"/>
  <c r="C126" i="72"/>
  <c r="D126" i="72"/>
  <c r="BG7" i="10" l="1"/>
  <c r="B128" i="72"/>
  <c r="AO41" i="9"/>
  <c r="P261" i="1"/>
  <c r="O261" i="1"/>
  <c r="N261" i="1"/>
  <c r="M261" i="1"/>
  <c r="P259" i="1"/>
  <c r="O259" i="1"/>
  <c r="N259" i="1"/>
  <c r="M259" i="1"/>
  <c r="C127" i="72"/>
  <c r="E127" i="72"/>
  <c r="D127" i="72"/>
  <c r="BH7" i="10" l="1"/>
  <c r="B129" i="72"/>
  <c r="AB140" i="1"/>
  <c r="Z114" i="1"/>
  <c r="Y114" i="1"/>
  <c r="X114" i="1"/>
  <c r="W114" i="1"/>
  <c r="Z113" i="1"/>
  <c r="Y113" i="1"/>
  <c r="X113" i="1"/>
  <c r="W113" i="1"/>
  <c r="R114" i="1"/>
  <c r="S114" i="1"/>
  <c r="T114" i="1"/>
  <c r="U114" i="1"/>
  <c r="S113" i="1"/>
  <c r="T113" i="1"/>
  <c r="U113" i="1"/>
  <c r="R113" i="1"/>
  <c r="E128" i="72"/>
  <c r="C128" i="72"/>
  <c r="D128" i="72"/>
  <c r="BJ7" i="10" l="1"/>
  <c r="BI7" i="10"/>
  <c r="B130" i="72"/>
  <c r="B96" i="1"/>
  <c r="B95" i="1"/>
  <c r="C129" i="72"/>
  <c r="E129" i="72"/>
  <c r="D129" i="72"/>
  <c r="B131" i="72" l="1"/>
  <c r="S259" i="1"/>
  <c r="S260" i="1" s="1"/>
  <c r="E130" i="72"/>
  <c r="C130" i="72"/>
  <c r="D130" i="72"/>
  <c r="B132" i="72" l="1"/>
  <c r="AF171" i="1"/>
  <c r="AA171" i="1"/>
  <c r="AF172" i="1"/>
  <c r="V172" i="1"/>
  <c r="Z261" i="1"/>
  <c r="Y261" i="1"/>
  <c r="X261" i="1"/>
  <c r="W261" i="1"/>
  <c r="S261" i="1"/>
  <c r="T261" i="1"/>
  <c r="U261" i="1"/>
  <c r="R261" i="1"/>
  <c r="Z259" i="1"/>
  <c r="Y259" i="1"/>
  <c r="X259" i="1"/>
  <c r="X260" i="1" s="1"/>
  <c r="W259" i="1"/>
  <c r="T259" i="1"/>
  <c r="T260" i="1" s="1"/>
  <c r="U259" i="1"/>
  <c r="U260" i="1" s="1"/>
  <c r="R259" i="1"/>
  <c r="R260" i="1" s="1"/>
  <c r="AE119" i="1"/>
  <c r="Z253" i="1"/>
  <c r="Z256" i="1"/>
  <c r="AA136" i="1"/>
  <c r="B126" i="1"/>
  <c r="E131" i="72"/>
  <c r="C131" i="72"/>
  <c r="D131" i="72"/>
  <c r="B133" i="72" l="1"/>
  <c r="X262" i="1"/>
  <c r="Y262" i="1"/>
  <c r="Z262" i="1"/>
  <c r="W262" i="1"/>
  <c r="Y260" i="1"/>
  <c r="Z260" i="1"/>
  <c r="W260" i="1"/>
  <c r="C132" i="72"/>
  <c r="D132" i="72"/>
  <c r="E132" i="72"/>
  <c r="B134" i="72" l="1"/>
  <c r="AP135" i="1"/>
  <c r="AZ135" i="1"/>
  <c r="BF135" i="1"/>
  <c r="BG135" i="1"/>
  <c r="BH135" i="1"/>
  <c r="BI135" i="1"/>
  <c r="BJ135" i="1"/>
  <c r="E133" i="72"/>
  <c r="D133" i="72"/>
  <c r="C133" i="72"/>
  <c r="B135" i="72" l="1"/>
  <c r="AL150" i="1"/>
  <c r="C134" i="72"/>
  <c r="E134" i="72"/>
  <c r="D134" i="72"/>
  <c r="B136" i="72" l="1"/>
  <c r="Y253" i="1"/>
  <c r="Z220" i="1"/>
  <c r="E135" i="72"/>
  <c r="C135" i="72"/>
  <c r="D135" i="72"/>
  <c r="B137" i="72" l="1"/>
  <c r="Z164" i="1"/>
  <c r="D136" i="72"/>
  <c r="C136" i="72"/>
  <c r="E136" i="72"/>
  <c r="B138" i="72" l="1"/>
  <c r="Z182" i="1"/>
  <c r="Z176" i="1"/>
  <c r="Z166" i="1"/>
  <c r="Z161" i="1"/>
  <c r="Z130" i="1"/>
  <c r="U24" i="10"/>
  <c r="U20" i="10"/>
  <c r="U19" i="10"/>
  <c r="U15" i="10"/>
  <c r="U53" i="10" s="1"/>
  <c r="C137" i="72"/>
  <c r="E137" i="72"/>
  <c r="D137" i="72"/>
  <c r="B139" i="72" l="1"/>
  <c r="Z185" i="1"/>
  <c r="AE178" i="1"/>
  <c r="U7" i="10"/>
  <c r="Z118" i="1"/>
  <c r="Z116" i="1"/>
  <c r="Z117" i="1"/>
  <c r="Z149" i="1"/>
  <c r="Z255" i="1"/>
  <c r="Z257" i="1" s="1"/>
  <c r="Z250" i="1"/>
  <c r="Z245" i="1"/>
  <c r="Z143" i="1"/>
  <c r="D138" i="72"/>
  <c r="E138" i="72"/>
  <c r="C138" i="72"/>
  <c r="B140" i="72" l="1"/>
  <c r="Z140" i="1"/>
  <c r="AE141" i="1" s="1"/>
  <c r="Z152" i="1"/>
  <c r="Z144" i="1"/>
  <c r="B19" i="12"/>
  <c r="B37" i="12" s="1"/>
  <c r="B18" i="12"/>
  <c r="B17" i="12"/>
  <c r="B16" i="12"/>
  <c r="B15" i="12"/>
  <c r="B36" i="12" s="1"/>
  <c r="B13" i="12"/>
  <c r="B35" i="12" s="1"/>
  <c r="B12" i="12"/>
  <c r="B11" i="12"/>
  <c r="B10" i="12"/>
  <c r="AK34" i="10"/>
  <c r="AJ32" i="10"/>
  <c r="AI32" i="10"/>
  <c r="AH32" i="10"/>
  <c r="AG32" i="10"/>
  <c r="AK31" i="10"/>
  <c r="AK29" i="10"/>
  <c r="AK28" i="10"/>
  <c r="AG25" i="10"/>
  <c r="AK24" i="10"/>
  <c r="AH41" i="10"/>
  <c r="AK19" i="10"/>
  <c r="AK15" i="10"/>
  <c r="AK14" i="10"/>
  <c r="AK12" i="10"/>
  <c r="AK10" i="10"/>
  <c r="AK9" i="10"/>
  <c r="AK8" i="10"/>
  <c r="AK4" i="10"/>
  <c r="AJ4" i="10"/>
  <c r="AI4" i="10"/>
  <c r="AH4" i="10"/>
  <c r="AG4" i="10"/>
  <c r="AJ3" i="10"/>
  <c r="AI3" i="10"/>
  <c r="AH3" i="10"/>
  <c r="AG3" i="10"/>
  <c r="AJ4" i="9"/>
  <c r="BK4" i="9" s="1"/>
  <c r="AI4" i="9"/>
  <c r="AH4" i="9"/>
  <c r="AG4" i="9"/>
  <c r="AJ3" i="9"/>
  <c r="AI3" i="9"/>
  <c r="AH3" i="9"/>
  <c r="AG3" i="9"/>
  <c r="AI265" i="1"/>
  <c r="AN265" i="1" s="1"/>
  <c r="AS265" i="1" s="1"/>
  <c r="AX265" i="1" s="1"/>
  <c r="BC265" i="1" s="1"/>
  <c r="AH265" i="1"/>
  <c r="AG265" i="1"/>
  <c r="AK135" i="1"/>
  <c r="AJ135" i="1"/>
  <c r="AI135" i="1"/>
  <c r="AH135" i="1"/>
  <c r="AG135" i="1"/>
  <c r="AJ134" i="1"/>
  <c r="AI134" i="1"/>
  <c r="AH134" i="1"/>
  <c r="AG134" i="1"/>
  <c r="AJ119" i="1"/>
  <c r="AI119" i="1"/>
  <c r="AH119" i="1"/>
  <c r="AK48" i="1"/>
  <c r="AK47" i="1"/>
  <c r="AK29" i="1"/>
  <c r="C139" i="72"/>
  <c r="E139" i="72"/>
  <c r="D139" i="72"/>
  <c r="BC268" i="1" l="1"/>
  <c r="BD267" i="1"/>
  <c r="AX268" i="1"/>
  <c r="AY267" i="1"/>
  <c r="AS268" i="1"/>
  <c r="B141" i="72"/>
  <c r="AG268" i="1"/>
  <c r="AL265" i="1"/>
  <c r="AQ265" i="1" s="1"/>
  <c r="AV265" i="1" s="1"/>
  <c r="BA265" i="1" s="1"/>
  <c r="AH268" i="1"/>
  <c r="AM265" i="1"/>
  <c r="AR265" i="1" s="1"/>
  <c r="AN268" i="1"/>
  <c r="AH44" i="10"/>
  <c r="AI25" i="10"/>
  <c r="AJ25" i="10"/>
  <c r="AK32" i="10"/>
  <c r="AI267" i="1"/>
  <c r="AK46" i="1"/>
  <c r="AI268" i="1"/>
  <c r="AH25" i="10"/>
  <c r="AG267" i="1"/>
  <c r="AH267" i="1"/>
  <c r="C140" i="72"/>
  <c r="D140" i="72"/>
  <c r="E140" i="72"/>
  <c r="BA267" i="1" l="1"/>
  <c r="BA268" i="1"/>
  <c r="AV268" i="1"/>
  <c r="AV267" i="1"/>
  <c r="AS267" i="1"/>
  <c r="AW265" i="1"/>
  <c r="BB265" i="1" s="1"/>
  <c r="AQ268" i="1"/>
  <c r="AQ267" i="1"/>
  <c r="AR268" i="1"/>
  <c r="AR267" i="1"/>
  <c r="AN267" i="1"/>
  <c r="B142" i="72"/>
  <c r="AM267" i="1"/>
  <c r="AM268" i="1"/>
  <c r="AL268" i="1"/>
  <c r="AL267" i="1"/>
  <c r="AK25" i="10"/>
  <c r="AK44" i="10"/>
  <c r="AK41" i="10"/>
  <c r="D141" i="72"/>
  <c r="E141" i="72"/>
  <c r="C141" i="72"/>
  <c r="BB268" i="1" l="1"/>
  <c r="BB267" i="1"/>
  <c r="BC267" i="1"/>
  <c r="AW268" i="1"/>
  <c r="AW267" i="1"/>
  <c r="AX267" i="1"/>
  <c r="AP9" i="10"/>
  <c r="B143" i="72"/>
  <c r="D142" i="72"/>
  <c r="C142" i="72"/>
  <c r="E142" i="72"/>
  <c r="B144" i="72" l="1"/>
  <c r="BF29" i="1"/>
  <c r="E143" i="72"/>
  <c r="C143" i="72"/>
  <c r="D143" i="72"/>
  <c r="AU9" i="10" l="1"/>
  <c r="AP22" i="10"/>
  <c r="B145" i="72"/>
  <c r="BG29" i="1"/>
  <c r="E144" i="72"/>
  <c r="D144" i="72"/>
  <c r="C144" i="72"/>
  <c r="BF9" i="10" l="1"/>
  <c r="BG9" i="10" s="1"/>
  <c r="BH9" i="10" s="1"/>
  <c r="BI9" i="10" s="1"/>
  <c r="BJ9" i="10" s="1"/>
  <c r="B146" i="72"/>
  <c r="BH29" i="1"/>
  <c r="Y220" i="1"/>
  <c r="T29" i="10"/>
  <c r="T20" i="10"/>
  <c r="T19" i="10"/>
  <c r="T7" i="10"/>
  <c r="T15" i="10"/>
  <c r="T53" i="10" s="1"/>
  <c r="Y149" i="1"/>
  <c r="Y164" i="1"/>
  <c r="Y176" i="1" s="1"/>
  <c r="Y143" i="1"/>
  <c r="Y152" i="1" s="1"/>
  <c r="Y256" i="1"/>
  <c r="Y255" i="1"/>
  <c r="Y250" i="1"/>
  <c r="Y245" i="1"/>
  <c r="Y116" i="1"/>
  <c r="Y117" i="1"/>
  <c r="Y118" i="1"/>
  <c r="C145" i="72"/>
  <c r="E145" i="72"/>
  <c r="D145" i="72"/>
  <c r="AR25" i="10" l="1"/>
  <c r="AQ25" i="10"/>
  <c r="B147" i="72"/>
  <c r="BI29" i="1"/>
  <c r="Y185" i="1"/>
  <c r="AD178" i="1"/>
  <c r="Y182" i="1"/>
  <c r="Y257" i="1"/>
  <c r="Y140" i="1"/>
  <c r="Y144" i="1"/>
  <c r="Y161" i="1"/>
  <c r="Y166" i="1"/>
  <c r="E146" i="72"/>
  <c r="C146" i="72"/>
  <c r="D146" i="72"/>
  <c r="AS25" i="10" l="1"/>
  <c r="B148" i="72"/>
  <c r="BJ29" i="1"/>
  <c r="W220" i="1"/>
  <c r="X220" i="1"/>
  <c r="C147" i="72"/>
  <c r="E147" i="72"/>
  <c r="D147" i="72"/>
  <c r="AU22" i="10" l="1"/>
  <c r="AU21" i="10"/>
  <c r="B149" i="72"/>
  <c r="D148" i="72"/>
  <c r="C148" i="72"/>
  <c r="E148" i="72"/>
  <c r="AU25" i="10" l="1"/>
  <c r="B150" i="72"/>
  <c r="X250" i="1"/>
  <c r="C149" i="72"/>
  <c r="E149" i="72"/>
  <c r="D149" i="72"/>
  <c r="B151" i="72" l="1"/>
  <c r="AG41" i="9"/>
  <c r="Y119" i="1"/>
  <c r="Y130" i="1"/>
  <c r="X118" i="1"/>
  <c r="X117" i="1"/>
  <c r="X116" i="1"/>
  <c r="S24" i="10"/>
  <c r="X149" i="1"/>
  <c r="X164" i="1"/>
  <c r="X143" i="1"/>
  <c r="X255" i="1"/>
  <c r="X256" i="1"/>
  <c r="W256" i="1"/>
  <c r="W255" i="1"/>
  <c r="X245" i="1"/>
  <c r="S20" i="10"/>
  <c r="S19" i="10"/>
  <c r="S15" i="10"/>
  <c r="S53" i="10" s="1"/>
  <c r="S7" i="10"/>
  <c r="E150" i="72"/>
  <c r="D150" i="72"/>
  <c r="C150" i="72"/>
  <c r="B152" i="72" l="1"/>
  <c r="X182" i="1"/>
  <c r="X176" i="1"/>
  <c r="AH181" i="1" s="1"/>
  <c r="X144" i="1"/>
  <c r="X152" i="1"/>
  <c r="X257" i="1"/>
  <c r="X166" i="1"/>
  <c r="X161" i="1"/>
  <c r="AH41" i="9"/>
  <c r="W257" i="1"/>
  <c r="X140" i="1"/>
  <c r="AC141" i="1" s="1"/>
  <c r="E151" i="72"/>
  <c r="C151" i="72"/>
  <c r="D151" i="72"/>
  <c r="B153" i="72" l="1"/>
  <c r="X185" i="1"/>
  <c r="AC178" i="1"/>
  <c r="AJ41" i="9"/>
  <c r="AI41" i="9"/>
  <c r="D152" i="72"/>
  <c r="C152" i="72"/>
  <c r="E152" i="72"/>
  <c r="B154" i="72" l="1"/>
  <c r="AK78" i="1"/>
  <c r="R24" i="10"/>
  <c r="R20" i="10"/>
  <c r="R19" i="10"/>
  <c r="R15" i="10"/>
  <c r="R53" i="10" s="1"/>
  <c r="R7" i="10"/>
  <c r="AA29" i="1"/>
  <c r="AF29" i="1"/>
  <c r="V29" i="1"/>
  <c r="W143" i="1"/>
  <c r="W250" i="1"/>
  <c r="W149" i="1"/>
  <c r="W164" i="1"/>
  <c r="W176" i="1" s="1"/>
  <c r="AG181" i="1" s="1"/>
  <c r="E153" i="72"/>
  <c r="C153" i="72"/>
  <c r="D153" i="72"/>
  <c r="B155" i="72" l="1"/>
  <c r="W185" i="1"/>
  <c r="AB178" i="1"/>
  <c r="W144" i="1"/>
  <c r="W152" i="1"/>
  <c r="W182" i="1"/>
  <c r="W117" i="1"/>
  <c r="W116" i="1"/>
  <c r="W118" i="1"/>
  <c r="AB118" i="1"/>
  <c r="W166" i="1"/>
  <c r="W161" i="1"/>
  <c r="E154" i="72"/>
  <c r="D154" i="72"/>
  <c r="C154" i="72"/>
  <c r="B156" i="72" l="1"/>
  <c r="D155" i="72"/>
  <c r="C155" i="72"/>
  <c r="E155" i="72"/>
  <c r="B157" i="72" l="1"/>
  <c r="U220" i="1"/>
  <c r="C156" i="72"/>
  <c r="D156" i="72"/>
  <c r="E156" i="72"/>
  <c r="B158" i="72" l="1"/>
  <c r="C248" i="1"/>
  <c r="D157" i="72"/>
  <c r="C157" i="72"/>
  <c r="E157" i="72"/>
  <c r="B159" i="72" l="1"/>
  <c r="AF46" i="1"/>
  <c r="E158" i="72"/>
  <c r="D158" i="72"/>
  <c r="C158" i="72"/>
  <c r="B160" i="72" l="1"/>
  <c r="X150" i="1"/>
  <c r="AC162" i="1"/>
  <c r="Z278" i="1"/>
  <c r="Y278" i="1"/>
  <c r="X278" i="1"/>
  <c r="W278" i="1"/>
  <c r="P4" i="1"/>
  <c r="O4" i="1"/>
  <c r="O275" i="1" s="1"/>
  <c r="N4" i="1"/>
  <c r="N275" i="1" s="1"/>
  <c r="M4" i="1"/>
  <c r="R4" i="1"/>
  <c r="H16" i="72" s="1"/>
  <c r="S4" i="1"/>
  <c r="I16" i="72" s="1"/>
  <c r="T4" i="1"/>
  <c r="J16" i="72" s="1"/>
  <c r="U273" i="1"/>
  <c r="U266" i="1"/>
  <c r="R280" i="1"/>
  <c r="U280" i="1"/>
  <c r="T280" i="1"/>
  <c r="S280" i="1"/>
  <c r="P280" i="1"/>
  <c r="O280" i="1"/>
  <c r="U279" i="1"/>
  <c r="T279" i="1"/>
  <c r="S279" i="1"/>
  <c r="U130" i="1"/>
  <c r="U118" i="1"/>
  <c r="U117" i="1"/>
  <c r="U116" i="1"/>
  <c r="U4" i="1"/>
  <c r="K16" i="72" s="1"/>
  <c r="U250" i="1"/>
  <c r="U245" i="1"/>
  <c r="U159" i="1"/>
  <c r="T159" i="1"/>
  <c r="S159" i="1"/>
  <c r="R159" i="1"/>
  <c r="P159" i="1"/>
  <c r="O159" i="1"/>
  <c r="N159" i="1"/>
  <c r="U158" i="1"/>
  <c r="T158" i="1"/>
  <c r="S158" i="1"/>
  <c r="R158" i="1"/>
  <c r="V157" i="1"/>
  <c r="Q157" i="1"/>
  <c r="U138" i="1"/>
  <c r="T138" i="1"/>
  <c r="S138" i="1"/>
  <c r="V136" i="1"/>
  <c r="P138" i="1"/>
  <c r="O138" i="1"/>
  <c r="N138" i="1"/>
  <c r="Q136" i="1"/>
  <c r="P150" i="1"/>
  <c r="O150" i="1"/>
  <c r="N150" i="1"/>
  <c r="U150" i="1"/>
  <c r="T150" i="1"/>
  <c r="S150" i="1"/>
  <c r="R150" i="1"/>
  <c r="U149" i="1"/>
  <c r="T149" i="1"/>
  <c r="S149" i="1"/>
  <c r="R149" i="1"/>
  <c r="P143" i="1"/>
  <c r="O143" i="1"/>
  <c r="O140" i="1" s="1"/>
  <c r="N143" i="1"/>
  <c r="N140" i="1" s="1"/>
  <c r="M143" i="1"/>
  <c r="M144" i="1" s="1"/>
  <c r="T143" i="1"/>
  <c r="T140" i="1" s="1"/>
  <c r="S143" i="1"/>
  <c r="S153" i="1" s="1"/>
  <c r="S154" i="1" s="1"/>
  <c r="R143" i="1"/>
  <c r="R144" i="1" s="1"/>
  <c r="P164" i="1"/>
  <c r="P176" i="1" s="1"/>
  <c r="O164" i="1"/>
  <c r="O176" i="1" s="1"/>
  <c r="N164" i="1"/>
  <c r="N176" i="1" s="1"/>
  <c r="M164" i="1"/>
  <c r="M176" i="1" s="1"/>
  <c r="T164" i="1"/>
  <c r="T176" i="1" s="1"/>
  <c r="S164" i="1"/>
  <c r="S176" i="1" s="1"/>
  <c r="R164" i="1"/>
  <c r="R176" i="1" s="1"/>
  <c r="W178" i="1" s="1"/>
  <c r="P24" i="10"/>
  <c r="P20" i="10"/>
  <c r="P19" i="10"/>
  <c r="P15" i="10"/>
  <c r="P53" i="10" s="1"/>
  <c r="P7" i="10"/>
  <c r="U182" i="1"/>
  <c r="V182" i="1" s="1"/>
  <c r="P182" i="1"/>
  <c r="Q182" i="1" s="1"/>
  <c r="P152" i="1"/>
  <c r="U152" i="1"/>
  <c r="U164" i="1"/>
  <c r="U176" i="1" s="1"/>
  <c r="U143" i="1"/>
  <c r="U140" i="1" s="1"/>
  <c r="Z141" i="1" s="1"/>
  <c r="V15" i="1"/>
  <c r="D33" i="65" s="1"/>
  <c r="D31" i="65" s="1"/>
  <c r="Q15" i="1"/>
  <c r="D159" i="72"/>
  <c r="E159" i="72"/>
  <c r="C159" i="72"/>
  <c r="B161" i="72" l="1"/>
  <c r="Z178" i="1"/>
  <c r="X178" i="1"/>
  <c r="Y178" i="1"/>
  <c r="N166" i="1"/>
  <c r="M166" i="1"/>
  <c r="R161" i="1"/>
  <c r="W162" i="1" s="1"/>
  <c r="S166" i="1"/>
  <c r="T161" i="1"/>
  <c r="Y162" i="1" s="1"/>
  <c r="V114" i="1"/>
  <c r="S146" i="1"/>
  <c r="P146" i="1"/>
  <c r="U183" i="1"/>
  <c r="U184" i="1" s="1"/>
  <c r="P168" i="1"/>
  <c r="T167" i="1"/>
  <c r="S168" i="1"/>
  <c r="R153" i="1"/>
  <c r="R154" i="1" s="1"/>
  <c r="U111" i="1"/>
  <c r="U248" i="1"/>
  <c r="N144" i="1"/>
  <c r="S111" i="1"/>
  <c r="S144" i="1"/>
  <c r="R168" i="1"/>
  <c r="R140" i="1"/>
  <c r="R167" i="1"/>
  <c r="R145" i="1"/>
  <c r="O153" i="1"/>
  <c r="O154" i="1" s="1"/>
  <c r="T166" i="1"/>
  <c r="V143" i="1"/>
  <c r="S145" i="1"/>
  <c r="T183" i="1"/>
  <c r="T184" i="1" s="1"/>
  <c r="R146" i="1"/>
  <c r="R275" i="1"/>
  <c r="T141" i="1"/>
  <c r="S161" i="1"/>
  <c r="X162" i="1" s="1"/>
  <c r="U167" i="1"/>
  <c r="Q143" i="1"/>
  <c r="P183" i="1"/>
  <c r="N146" i="1"/>
  <c r="T153" i="1"/>
  <c r="T154" i="1" s="1"/>
  <c r="N153" i="1"/>
  <c r="N154" i="1" s="1"/>
  <c r="M183" i="1"/>
  <c r="T111" i="1"/>
  <c r="S140" i="1"/>
  <c r="X141" i="1" s="1"/>
  <c r="M140" i="1"/>
  <c r="P161" i="1"/>
  <c r="O144" i="1"/>
  <c r="T144" i="1"/>
  <c r="Z184" i="1"/>
  <c r="P166" i="1"/>
  <c r="U166" i="1"/>
  <c r="S275" i="1"/>
  <c r="P140" i="1"/>
  <c r="U141" i="1" s="1"/>
  <c r="O166" i="1"/>
  <c r="U153" i="1"/>
  <c r="U154" i="1" s="1"/>
  <c r="U168" i="1"/>
  <c r="S167" i="1"/>
  <c r="T145" i="1"/>
  <c r="T146" i="1"/>
  <c r="Q164" i="1"/>
  <c r="V152" i="1"/>
  <c r="N168" i="1"/>
  <c r="O146" i="1"/>
  <c r="R183" i="1"/>
  <c r="N183" i="1"/>
  <c r="U161" i="1"/>
  <c r="Z162" i="1" s="1"/>
  <c r="M161" i="1"/>
  <c r="P144" i="1"/>
  <c r="U144" i="1"/>
  <c r="R166" i="1"/>
  <c r="P275" i="1"/>
  <c r="T275" i="1"/>
  <c r="O161" i="1"/>
  <c r="P153" i="1"/>
  <c r="P154" i="1" s="1"/>
  <c r="T168" i="1"/>
  <c r="U145" i="1"/>
  <c r="U146" i="1"/>
  <c r="V164" i="1"/>
  <c r="O168" i="1"/>
  <c r="M153" i="1"/>
  <c r="M154" i="1" s="1"/>
  <c r="S183" i="1"/>
  <c r="S184" i="1" s="1"/>
  <c r="O183" i="1"/>
  <c r="R111" i="1"/>
  <c r="N161" i="1"/>
  <c r="M275" i="1"/>
  <c r="U275" i="1"/>
  <c r="Z150" i="1"/>
  <c r="W150" i="1"/>
  <c r="Y150" i="1"/>
  <c r="W140" i="1"/>
  <c r="AE278" i="1"/>
  <c r="AJ278" i="1" s="1"/>
  <c r="AO278" i="1" s="1"/>
  <c r="AT278" i="1" s="1"/>
  <c r="AY278" i="1" s="1"/>
  <c r="BD278" i="1" s="1"/>
  <c r="AD278" i="1"/>
  <c r="AI278" i="1" s="1"/>
  <c r="AN278" i="1" s="1"/>
  <c r="AS278" i="1" s="1"/>
  <c r="AX278" i="1" s="1"/>
  <c r="BC278" i="1" s="1"/>
  <c r="AC278" i="1"/>
  <c r="AH278" i="1" s="1"/>
  <c r="AM278" i="1" s="1"/>
  <c r="AR278" i="1" s="1"/>
  <c r="AW278" i="1" s="1"/>
  <c r="BB278" i="1" s="1"/>
  <c r="AB278" i="1"/>
  <c r="AG278" i="1" s="1"/>
  <c r="AL278" i="1" s="1"/>
  <c r="AQ278" i="1" s="1"/>
  <c r="AV278" i="1" s="1"/>
  <c r="BA278" i="1" s="1"/>
  <c r="U271" i="1"/>
  <c r="U272" i="1"/>
  <c r="V158" i="1"/>
  <c r="V137" i="1"/>
  <c r="R137" i="1"/>
  <c r="R138" i="1"/>
  <c r="S137" i="1"/>
  <c r="T137" i="1"/>
  <c r="U137" i="1"/>
  <c r="Q152" i="1"/>
  <c r="AF34" i="10"/>
  <c r="AE32" i="10"/>
  <c r="AD32" i="10"/>
  <c r="AC32" i="10"/>
  <c r="AB32" i="10"/>
  <c r="AF31" i="10"/>
  <c r="AF29" i="10"/>
  <c r="AF28" i="10"/>
  <c r="AE25" i="10"/>
  <c r="AD25" i="10"/>
  <c r="AC25" i="10"/>
  <c r="AB25" i="10"/>
  <c r="AF24" i="10"/>
  <c r="AF22" i="10"/>
  <c r="AF21" i="10"/>
  <c r="AF20" i="10"/>
  <c r="AF19" i="10"/>
  <c r="AF14" i="10"/>
  <c r="AF12" i="10"/>
  <c r="AF10" i="10"/>
  <c r="AF9" i="10"/>
  <c r="AF8" i="10"/>
  <c r="AF4" i="10"/>
  <c r="AE4" i="10"/>
  <c r="AD4" i="10"/>
  <c r="AC4" i="10"/>
  <c r="AB4" i="10"/>
  <c r="AE3" i="10"/>
  <c r="AD3" i="10"/>
  <c r="AC3" i="10"/>
  <c r="AB3" i="10"/>
  <c r="AE4" i="9"/>
  <c r="AD4" i="9"/>
  <c r="AC4" i="9"/>
  <c r="AB4" i="9"/>
  <c r="AE3" i="9"/>
  <c r="AD3" i="9"/>
  <c r="AC3" i="9"/>
  <c r="AB3" i="9"/>
  <c r="AF135" i="1"/>
  <c r="AE135" i="1"/>
  <c r="AD135" i="1"/>
  <c r="AC135" i="1"/>
  <c r="AB135" i="1"/>
  <c r="AE134" i="1"/>
  <c r="AD134" i="1"/>
  <c r="AC134" i="1"/>
  <c r="AB134" i="1"/>
  <c r="AF47" i="1"/>
  <c r="D160" i="72"/>
  <c r="E160" i="72"/>
  <c r="C160" i="72"/>
  <c r="O190" i="1" l="1"/>
  <c r="O191" i="1" s="1"/>
  <c r="P190" i="1"/>
  <c r="P191" i="1" s="1"/>
  <c r="R191" i="1" s="1"/>
  <c r="N184" i="1"/>
  <c r="N190" i="1"/>
  <c r="N191" i="1" s="1"/>
  <c r="M190" i="1"/>
  <c r="M191" i="1" s="1"/>
  <c r="B162" i="72"/>
  <c r="T185" i="1"/>
  <c r="R184" i="1"/>
  <c r="R185" i="1"/>
  <c r="M184" i="1"/>
  <c r="M185" i="1"/>
  <c r="O165" i="1"/>
  <c r="Q176" i="1"/>
  <c r="P184" i="1"/>
  <c r="P185" i="1"/>
  <c r="S185" i="1"/>
  <c r="O184" i="1"/>
  <c r="O185" i="1"/>
  <c r="U185" i="1"/>
  <c r="N185" i="1"/>
  <c r="V176" i="1"/>
  <c r="V180" i="1" s="1"/>
  <c r="S165" i="1"/>
  <c r="N165" i="1"/>
  <c r="R165" i="1"/>
  <c r="P165" i="1"/>
  <c r="M165" i="1"/>
  <c r="U165" i="1"/>
  <c r="T165" i="1"/>
  <c r="R162" i="1"/>
  <c r="AF32" i="10"/>
  <c r="Q275" i="1"/>
  <c r="U162" i="1"/>
  <c r="Y145" i="1"/>
  <c r="Y137" i="1"/>
  <c r="Y167" i="1"/>
  <c r="V153" i="1"/>
  <c r="V154" i="1" s="1"/>
  <c r="V183" i="1"/>
  <c r="X130" i="1"/>
  <c r="V145" i="1"/>
  <c r="Z168" i="1"/>
  <c r="Q153" i="1"/>
  <c r="Q154" i="1" s="1"/>
  <c r="Q161" i="1"/>
  <c r="V275" i="1"/>
  <c r="Q140" i="1"/>
  <c r="Z167" i="1"/>
  <c r="R141" i="1"/>
  <c r="S141" i="1"/>
  <c r="V140" i="1"/>
  <c r="T162" i="1"/>
  <c r="S162" i="1"/>
  <c r="V161" i="1"/>
  <c r="Q183" i="1"/>
  <c r="V167" i="1"/>
  <c r="W141" i="1"/>
  <c r="AB150" i="1"/>
  <c r="Z146" i="1"/>
  <c r="X145" i="1"/>
  <c r="Y146" i="1"/>
  <c r="AC150" i="1"/>
  <c r="AE150" i="1"/>
  <c r="AD150" i="1"/>
  <c r="Y168" i="1"/>
  <c r="Y184" i="1"/>
  <c r="X167" i="1"/>
  <c r="Z145" i="1"/>
  <c r="X184" i="1"/>
  <c r="AA143" i="1"/>
  <c r="W146" i="1"/>
  <c r="W145" i="1"/>
  <c r="X146" i="1"/>
  <c r="AF25" i="10"/>
  <c r="AA161" i="1"/>
  <c r="D161" i="72"/>
  <c r="E161" i="72"/>
  <c r="C161" i="72"/>
  <c r="M187" i="1" l="1"/>
  <c r="M188" i="1" s="1"/>
  <c r="P187" i="1"/>
  <c r="P188" i="1" s="1"/>
  <c r="O187" i="1"/>
  <c r="O188" i="1" s="1"/>
  <c r="N187" i="1"/>
  <c r="N188" i="1" s="1"/>
  <c r="S191" i="1"/>
  <c r="R190" i="1"/>
  <c r="R187" i="1" s="1"/>
  <c r="R188" i="1" s="1"/>
  <c r="B163" i="72"/>
  <c r="AK148" i="1"/>
  <c r="AK149" i="1" s="1"/>
  <c r="Q184" i="1"/>
  <c r="Q185" i="1"/>
  <c r="V184" i="1"/>
  <c r="V185" i="1"/>
  <c r="AC167" i="1"/>
  <c r="AH150" i="1"/>
  <c r="Z158" i="1"/>
  <c r="Z137" i="1"/>
  <c r="V162" i="1"/>
  <c r="AA162" i="1"/>
  <c r="AA15" i="1"/>
  <c r="E33" i="65" s="1"/>
  <c r="V141" i="1"/>
  <c r="Z159" i="1"/>
  <c r="Z154" i="1"/>
  <c r="X154" i="1"/>
  <c r="Y154" i="1"/>
  <c r="AA145" i="1"/>
  <c r="Y4" i="1"/>
  <c r="N16" i="72" s="1"/>
  <c r="Y158" i="1"/>
  <c r="Z4" i="1"/>
  <c r="O16" i="72" s="1"/>
  <c r="AE114" i="1"/>
  <c r="Z138" i="1"/>
  <c r="AE145" i="1"/>
  <c r="AE146" i="1"/>
  <c r="AD145" i="1"/>
  <c r="AC113" i="1"/>
  <c r="AC145" i="1"/>
  <c r="AD146" i="1"/>
  <c r="AC114" i="1"/>
  <c r="AC184" i="1"/>
  <c r="W138" i="1"/>
  <c r="W137" i="1"/>
  <c r="AB146" i="1"/>
  <c r="AB145" i="1"/>
  <c r="AF143" i="1"/>
  <c r="F57" i="65" s="1"/>
  <c r="F58" i="65" s="1"/>
  <c r="AC146" i="1"/>
  <c r="AA152" i="1"/>
  <c r="X158" i="1"/>
  <c r="Y159" i="1"/>
  <c r="F268" i="1"/>
  <c r="E162" i="72"/>
  <c r="D162" i="72"/>
  <c r="C162" i="72"/>
  <c r="AZ148" i="1" l="1"/>
  <c r="BE149" i="1" s="1"/>
  <c r="AS150" i="1"/>
  <c r="AU148" i="1"/>
  <c r="AT150" i="1"/>
  <c r="E34" i="65"/>
  <c r="E31" i="65"/>
  <c r="E32" i="65" s="1"/>
  <c r="T191" i="1"/>
  <c r="S190" i="1"/>
  <c r="S187" i="1" s="1"/>
  <c r="S188" i="1" s="1"/>
  <c r="B164" i="72"/>
  <c r="AP148" i="1"/>
  <c r="AM150" i="1"/>
  <c r="AO150" i="1"/>
  <c r="AE98" i="1"/>
  <c r="AE4" i="1"/>
  <c r="S16" i="72" s="1"/>
  <c r="AD13" i="1"/>
  <c r="AD98" i="1" s="1"/>
  <c r="AB114" i="1"/>
  <c r="AB113" i="1"/>
  <c r="AA114" i="1"/>
  <c r="AE113" i="1"/>
  <c r="AB137" i="1"/>
  <c r="AH113" i="1"/>
  <c r="AE158" i="1"/>
  <c r="C8" i="12"/>
  <c r="AE137" i="1"/>
  <c r="Y275" i="1"/>
  <c r="Y111" i="1"/>
  <c r="AC154" i="1"/>
  <c r="Z275" i="1"/>
  <c r="Z111" i="1"/>
  <c r="AF145" i="1"/>
  <c r="AA153" i="1"/>
  <c r="AA154" i="1" s="1"/>
  <c r="W154" i="1"/>
  <c r="AE154" i="1"/>
  <c r="AF15" i="1"/>
  <c r="AD158" i="1"/>
  <c r="AE159" i="1"/>
  <c r="AC158" i="1"/>
  <c r="AD159" i="1"/>
  <c r="D163" i="72"/>
  <c r="C163" i="72"/>
  <c r="E163" i="72"/>
  <c r="F33" i="65" l="1"/>
  <c r="F31" i="65" s="1"/>
  <c r="F32" i="65" s="1"/>
  <c r="F61" i="65"/>
  <c r="F62" i="65" s="1"/>
  <c r="AZ149" i="1"/>
  <c r="AU149" i="1"/>
  <c r="AP149" i="1"/>
  <c r="S17" i="72"/>
  <c r="AE54" i="10"/>
  <c r="U191" i="1"/>
  <c r="T190" i="1"/>
  <c r="T187" i="1" s="1"/>
  <c r="T188" i="1" s="1"/>
  <c r="R17" i="72"/>
  <c r="AD54" i="10"/>
  <c r="B165" i="72"/>
  <c r="AE222" i="1"/>
  <c r="AE223" i="1"/>
  <c r="AE224" i="1"/>
  <c r="AE225" i="1"/>
  <c r="AE226" i="1"/>
  <c r="AE24" i="65"/>
  <c r="AE20" i="65" s="1"/>
  <c r="AD24" i="1"/>
  <c r="AD24" i="65"/>
  <c r="AD20" i="65" s="1"/>
  <c r="AE205" i="1"/>
  <c r="AD101" i="1"/>
  <c r="AD99" i="1"/>
  <c r="AD100" i="1"/>
  <c r="AE99" i="1"/>
  <c r="AE101" i="1"/>
  <c r="AE100" i="1"/>
  <c r="AD225" i="1"/>
  <c r="AD226" i="1"/>
  <c r="AD222" i="1"/>
  <c r="AD223" i="1"/>
  <c r="AD224" i="1"/>
  <c r="AD95" i="1"/>
  <c r="AD96" i="1"/>
  <c r="AE117" i="1"/>
  <c r="AE118" i="1"/>
  <c r="AE116" i="1"/>
  <c r="AF114" i="1"/>
  <c r="C13" i="12"/>
  <c r="K13" i="12" s="1"/>
  <c r="AE111" i="1"/>
  <c r="T255" i="1"/>
  <c r="S255" i="1"/>
  <c r="P255" i="1"/>
  <c r="O255" i="1"/>
  <c r="N255" i="1"/>
  <c r="K255" i="1"/>
  <c r="J255" i="1"/>
  <c r="I255" i="1"/>
  <c r="F255" i="1"/>
  <c r="E255" i="1"/>
  <c r="D255" i="1"/>
  <c r="F256" i="1"/>
  <c r="E256" i="1"/>
  <c r="D256" i="1"/>
  <c r="K256" i="1"/>
  <c r="J256" i="1"/>
  <c r="I256" i="1"/>
  <c r="N256" i="1"/>
  <c r="O256" i="1"/>
  <c r="P256" i="1"/>
  <c r="S256" i="1"/>
  <c r="T256" i="1"/>
  <c r="E164" i="72"/>
  <c r="C164" i="72"/>
  <c r="D164" i="72"/>
  <c r="F34" i="65" l="1"/>
  <c r="BG149" i="1"/>
  <c r="BH149" i="1" s="1"/>
  <c r="BI149" i="1" s="1"/>
  <c r="BJ149" i="1" s="1"/>
  <c r="R26" i="72"/>
  <c r="R25" i="72"/>
  <c r="W191" i="1"/>
  <c r="U190" i="1"/>
  <c r="U187" i="1" s="1"/>
  <c r="U188" i="1" s="1"/>
  <c r="S26" i="72"/>
  <c r="S25" i="72"/>
  <c r="B166" i="72"/>
  <c r="AF152" i="1"/>
  <c r="P257" i="1"/>
  <c r="J257" i="1"/>
  <c r="K257" i="1"/>
  <c r="I257" i="1"/>
  <c r="F257" i="1"/>
  <c r="T257" i="1"/>
  <c r="N257" i="1"/>
  <c r="O257" i="1"/>
  <c r="D257" i="1"/>
  <c r="S257" i="1"/>
  <c r="E257" i="1"/>
  <c r="E165" i="72"/>
  <c r="D165" i="72"/>
  <c r="C165" i="72"/>
  <c r="BF148" i="1" l="1"/>
  <c r="X191" i="1"/>
  <c r="W190" i="1"/>
  <c r="B167" i="72"/>
  <c r="AE21" i="65"/>
  <c r="AF153" i="1"/>
  <c r="AF154" i="1" s="1"/>
  <c r="AD154" i="1"/>
  <c r="E166" i="72"/>
  <c r="D166" i="72"/>
  <c r="C166" i="72"/>
  <c r="Y191" i="1" l="1"/>
  <c r="X190" i="1"/>
  <c r="X187" i="1" s="1"/>
  <c r="X188" i="1" s="1"/>
  <c r="W187" i="1"/>
  <c r="B168" i="72"/>
  <c r="BG148" i="1"/>
  <c r="BA8" i="9"/>
  <c r="BB8" i="9" s="1"/>
  <c r="BC8" i="9" s="1"/>
  <c r="BD8" i="9" s="1"/>
  <c r="E167" i="72"/>
  <c r="D167" i="72"/>
  <c r="C167" i="72"/>
  <c r="BE8" i="9" l="1"/>
  <c r="BF8" i="9" s="1"/>
  <c r="BG8" i="9" s="1"/>
  <c r="BH8" i="9" s="1"/>
  <c r="BI8" i="9" s="1"/>
  <c r="BE9" i="9"/>
  <c r="BF9" i="9" s="1"/>
  <c r="BG9" i="9" s="1"/>
  <c r="BH9" i="9" s="1"/>
  <c r="BI9" i="9" s="1"/>
  <c r="W188" i="1"/>
  <c r="Z191" i="1"/>
  <c r="Y190" i="1"/>
  <c r="Y187" i="1" s="1"/>
  <c r="Y188" i="1" s="1"/>
  <c r="B169" i="72"/>
  <c r="BH148" i="1"/>
  <c r="BA7" i="9"/>
  <c r="BB7" i="9" s="1"/>
  <c r="BC7" i="9" s="1"/>
  <c r="BD7" i="9" s="1"/>
  <c r="C168" i="72"/>
  <c r="D168" i="72"/>
  <c r="E168" i="72"/>
  <c r="BE7" i="9" l="1"/>
  <c r="BF7" i="9" s="1"/>
  <c r="BG7" i="9" s="1"/>
  <c r="BH7" i="9" s="1"/>
  <c r="BI7" i="9" s="1"/>
  <c r="AB191" i="1"/>
  <c r="Z190" i="1"/>
  <c r="B170" i="72"/>
  <c r="BI148" i="1"/>
  <c r="D169" i="72"/>
  <c r="E169" i="72"/>
  <c r="C169" i="72"/>
  <c r="Z187" i="1" l="1"/>
  <c r="AA190" i="1"/>
  <c r="AC191" i="1"/>
  <c r="AB190" i="1"/>
  <c r="B171" i="72"/>
  <c r="BJ148" i="1"/>
  <c r="C250" i="1"/>
  <c r="C245" i="1"/>
  <c r="C170" i="72"/>
  <c r="D170" i="72"/>
  <c r="E170" i="72"/>
  <c r="Z188" i="1" l="1"/>
  <c r="AA187" i="1"/>
  <c r="AA188" i="1" s="1"/>
  <c r="AB187" i="1"/>
  <c r="AD191" i="1"/>
  <c r="AC190" i="1"/>
  <c r="AC187" i="1" s="1"/>
  <c r="AC188" i="1" s="1"/>
  <c r="B172" i="72"/>
  <c r="D171" i="72"/>
  <c r="E171" i="72"/>
  <c r="C171" i="72"/>
  <c r="AE191" i="1" l="1"/>
  <c r="AD190" i="1"/>
  <c r="AD187" i="1" s="1"/>
  <c r="AD188" i="1" s="1"/>
  <c r="AB188" i="1"/>
  <c r="B173" i="72"/>
  <c r="T273" i="1"/>
  <c r="S273" i="1"/>
  <c r="R273" i="1"/>
  <c r="P273" i="1"/>
  <c r="O273" i="1"/>
  <c r="N273" i="1"/>
  <c r="M273" i="1"/>
  <c r="K273" i="1"/>
  <c r="F273" i="1"/>
  <c r="E273" i="1"/>
  <c r="D273" i="1"/>
  <c r="C273" i="1"/>
  <c r="T268" i="1"/>
  <c r="S268" i="1"/>
  <c r="R268" i="1"/>
  <c r="P268" i="1"/>
  <c r="O268" i="1"/>
  <c r="N268" i="1"/>
  <c r="M268" i="1"/>
  <c r="K268" i="1"/>
  <c r="J268" i="1"/>
  <c r="I268" i="1"/>
  <c r="H268" i="1"/>
  <c r="D268" i="1"/>
  <c r="E268" i="1"/>
  <c r="C268" i="1"/>
  <c r="E172" i="72"/>
  <c r="C172" i="72"/>
  <c r="D172" i="72"/>
  <c r="AG191" i="1" l="1"/>
  <c r="AE190" i="1"/>
  <c r="AE187" i="1" s="1"/>
  <c r="B174" i="72"/>
  <c r="T272" i="1"/>
  <c r="S272" i="1"/>
  <c r="R272" i="1"/>
  <c r="T271" i="1"/>
  <c r="S271" i="1"/>
  <c r="R271" i="1"/>
  <c r="P272" i="1"/>
  <c r="O272" i="1"/>
  <c r="N272" i="1"/>
  <c r="M272" i="1"/>
  <c r="P271" i="1"/>
  <c r="B271" i="1"/>
  <c r="B272" i="1"/>
  <c r="D173" i="72"/>
  <c r="C173" i="72"/>
  <c r="E173" i="72"/>
  <c r="AF190" i="1" l="1"/>
  <c r="AE188" i="1"/>
  <c r="AF187" i="1"/>
  <c r="AF188" i="1" s="1"/>
  <c r="AH191" i="1"/>
  <c r="AG190" i="1"/>
  <c r="AG187" i="1" s="1"/>
  <c r="AG188" i="1" s="1"/>
  <c r="B175" i="72"/>
  <c r="U255" i="1"/>
  <c r="D174" i="72"/>
  <c r="E174" i="72"/>
  <c r="C174" i="72"/>
  <c r="AI191" i="1" l="1"/>
  <c r="AJ191" i="1" s="1"/>
  <c r="AL191" i="1" s="1"/>
  <c r="AM191" i="1" s="1"/>
  <c r="AN191" i="1" s="1"/>
  <c r="AO191" i="1" s="1"/>
  <c r="AQ191" i="1" s="1"/>
  <c r="AV191" i="1" s="1"/>
  <c r="BA191" i="1" s="1"/>
  <c r="BA190" i="1" s="1"/>
  <c r="AH190" i="1"/>
  <c r="B176" i="72"/>
  <c r="B223" i="1"/>
  <c r="B229" i="1" s="1"/>
  <c r="B224" i="1"/>
  <c r="B230" i="1" s="1"/>
  <c r="B225" i="1"/>
  <c r="B231" i="1" s="1"/>
  <c r="B226" i="1"/>
  <c r="B232" i="1" s="1"/>
  <c r="B222" i="1"/>
  <c r="B228" i="1" s="1"/>
  <c r="C175" i="72"/>
  <c r="D175" i="72"/>
  <c r="E175" i="72"/>
  <c r="AR191" i="1" l="1"/>
  <c r="BA27" i="9"/>
  <c r="BB27" i="9" s="1"/>
  <c r="BC27" i="9" s="1"/>
  <c r="BD27" i="9" s="1"/>
  <c r="B177" i="72"/>
  <c r="BA26" i="9"/>
  <c r="BB26" i="9" s="1"/>
  <c r="BC26" i="9" s="1"/>
  <c r="BD26" i="9" s="1"/>
  <c r="C176" i="72"/>
  <c r="E176" i="72"/>
  <c r="D176" i="72"/>
  <c r="AW191" i="1" l="1"/>
  <c r="BB191" i="1" s="1"/>
  <c r="AS191" i="1"/>
  <c r="AT191" i="1" s="1"/>
  <c r="BE26" i="9"/>
  <c r="BF26" i="9" s="1"/>
  <c r="BG26" i="9" s="1"/>
  <c r="BH26" i="9" s="1"/>
  <c r="BI26" i="9" s="1"/>
  <c r="AL190" i="1"/>
  <c r="B178" i="72"/>
  <c r="E177" i="72"/>
  <c r="D177" i="72"/>
  <c r="C177" i="72"/>
  <c r="AX191" i="1" l="1"/>
  <c r="BC191" i="1" s="1"/>
  <c r="AY191" i="1"/>
  <c r="BD191" i="1" s="1"/>
  <c r="AM190" i="1"/>
  <c r="B179" i="72"/>
  <c r="P25" i="10"/>
  <c r="T253" i="1"/>
  <c r="S253" i="1"/>
  <c r="R253" i="1"/>
  <c r="T252" i="1"/>
  <c r="S252" i="1"/>
  <c r="R252" i="1"/>
  <c r="T251" i="1"/>
  <c r="S251" i="1"/>
  <c r="R251" i="1"/>
  <c r="T247" i="1"/>
  <c r="S247" i="1"/>
  <c r="R247" i="1"/>
  <c r="T246" i="1"/>
  <c r="S246" i="1"/>
  <c r="R246" i="1"/>
  <c r="P253" i="1"/>
  <c r="O253" i="1"/>
  <c r="N253" i="1"/>
  <c r="M253" i="1"/>
  <c r="K253" i="1"/>
  <c r="J253" i="1"/>
  <c r="I253" i="1"/>
  <c r="H253" i="1"/>
  <c r="F253" i="1"/>
  <c r="E253" i="1"/>
  <c r="D253" i="1"/>
  <c r="C253" i="1"/>
  <c r="B94" i="1"/>
  <c r="Y265" i="1"/>
  <c r="X265" i="1"/>
  <c r="W265" i="1"/>
  <c r="T266" i="1"/>
  <c r="S266" i="1"/>
  <c r="R266" i="1"/>
  <c r="P266" i="1"/>
  <c r="O266" i="1"/>
  <c r="N266" i="1"/>
  <c r="M266" i="1"/>
  <c r="I266" i="1"/>
  <c r="J266" i="1"/>
  <c r="K266" i="1"/>
  <c r="H266" i="1"/>
  <c r="M267" i="1"/>
  <c r="N267" i="1"/>
  <c r="O267" i="1"/>
  <c r="P267" i="1"/>
  <c r="R267" i="1"/>
  <c r="S267" i="1"/>
  <c r="T267" i="1"/>
  <c r="K267" i="1"/>
  <c r="J267" i="1"/>
  <c r="I267" i="1"/>
  <c r="H267" i="1"/>
  <c r="F267" i="1"/>
  <c r="E267" i="1"/>
  <c r="D267" i="1"/>
  <c r="T220" i="1"/>
  <c r="S220" i="1"/>
  <c r="R220" i="1"/>
  <c r="P220" i="1"/>
  <c r="O220" i="1"/>
  <c r="N220" i="1"/>
  <c r="M220" i="1"/>
  <c r="K220" i="1"/>
  <c r="J220" i="1"/>
  <c r="I220" i="1"/>
  <c r="H220" i="1"/>
  <c r="F220" i="1"/>
  <c r="E220" i="1"/>
  <c r="D220" i="1"/>
  <c r="C220" i="1"/>
  <c r="T237" i="1"/>
  <c r="S237" i="1"/>
  <c r="R237" i="1"/>
  <c r="P237" i="1"/>
  <c r="O237" i="1"/>
  <c r="N237" i="1"/>
  <c r="M237" i="1"/>
  <c r="K237" i="1"/>
  <c r="J237" i="1"/>
  <c r="I237" i="1"/>
  <c r="H237" i="1"/>
  <c r="F237" i="1"/>
  <c r="E237" i="1"/>
  <c r="D237" i="1"/>
  <c r="C237" i="1"/>
  <c r="T234" i="1"/>
  <c r="S234" i="1"/>
  <c r="R234" i="1"/>
  <c r="P234" i="1"/>
  <c r="O234" i="1"/>
  <c r="N234" i="1"/>
  <c r="M234" i="1"/>
  <c r="K234" i="1"/>
  <c r="J234" i="1"/>
  <c r="I234" i="1"/>
  <c r="H234" i="1"/>
  <c r="F234" i="1"/>
  <c r="E234" i="1"/>
  <c r="D234" i="1"/>
  <c r="C234" i="1"/>
  <c r="G249" i="1"/>
  <c r="T250" i="1"/>
  <c r="S250" i="1"/>
  <c r="R250" i="1"/>
  <c r="P250" i="1"/>
  <c r="O250" i="1"/>
  <c r="N250" i="1"/>
  <c r="M250" i="1"/>
  <c r="K250" i="1"/>
  <c r="J250" i="1"/>
  <c r="I250" i="1"/>
  <c r="H250" i="1"/>
  <c r="F250" i="1"/>
  <c r="E250" i="1"/>
  <c r="D250" i="1"/>
  <c r="T245" i="1"/>
  <c r="S245" i="1"/>
  <c r="R245" i="1"/>
  <c r="P245" i="1"/>
  <c r="O245" i="1"/>
  <c r="N245" i="1"/>
  <c r="M245" i="1"/>
  <c r="K245" i="1"/>
  <c r="J245" i="1"/>
  <c r="I245" i="1"/>
  <c r="H245" i="1"/>
  <c r="F245" i="1"/>
  <c r="E245" i="1"/>
  <c r="D245" i="1"/>
  <c r="V20" i="10"/>
  <c r="V12" i="10"/>
  <c r="V14" i="10"/>
  <c r="Q21" i="10"/>
  <c r="L21" i="10"/>
  <c r="C28" i="10"/>
  <c r="C19" i="10"/>
  <c r="G14" i="10"/>
  <c r="G12" i="10"/>
  <c r="C7" i="10"/>
  <c r="C15" i="10" s="1"/>
  <c r="D19" i="10"/>
  <c r="D7" i="10"/>
  <c r="D15" i="10" s="1"/>
  <c r="I28" i="10"/>
  <c r="E19" i="10"/>
  <c r="E7" i="10"/>
  <c r="F20" i="10"/>
  <c r="G20" i="10" s="1"/>
  <c r="F19" i="10"/>
  <c r="F7" i="10"/>
  <c r="F15" i="10" s="1"/>
  <c r="K20" i="10"/>
  <c r="K19" i="10"/>
  <c r="L14" i="10"/>
  <c r="L12" i="10"/>
  <c r="K7" i="10"/>
  <c r="K15" i="10" s="1"/>
  <c r="K53" i="10" s="1"/>
  <c r="H20" i="10"/>
  <c r="H19" i="10"/>
  <c r="H7" i="10"/>
  <c r="H15" i="10" s="1"/>
  <c r="H53" i="10" s="1"/>
  <c r="M20" i="10"/>
  <c r="M19" i="10"/>
  <c r="Q14" i="10"/>
  <c r="Q12" i="10"/>
  <c r="M7" i="10"/>
  <c r="M15" i="10" s="1"/>
  <c r="M53" i="10" s="1"/>
  <c r="I7" i="10"/>
  <c r="I15" i="10" s="1"/>
  <c r="I53" i="10" s="1"/>
  <c r="N20" i="10"/>
  <c r="I20" i="10"/>
  <c r="I19" i="10"/>
  <c r="N7" i="10"/>
  <c r="N15" i="10" s="1"/>
  <c r="N53" i="10" s="1"/>
  <c r="J28" i="10"/>
  <c r="J20" i="10"/>
  <c r="J19" i="10"/>
  <c r="J7" i="10"/>
  <c r="J15" i="10" s="1"/>
  <c r="J53" i="10" s="1"/>
  <c r="O20" i="10"/>
  <c r="O19" i="10"/>
  <c r="O7" i="10"/>
  <c r="O15" i="10" s="1"/>
  <c r="O53" i="10" s="1"/>
  <c r="E178" i="72"/>
  <c r="D178" i="72"/>
  <c r="C178" i="72"/>
  <c r="B180" i="72" l="1"/>
  <c r="H256" i="1"/>
  <c r="G250" i="1"/>
  <c r="W268" i="1"/>
  <c r="X268" i="1"/>
  <c r="Y268" i="1"/>
  <c r="U256" i="1"/>
  <c r="U257" i="1" s="1"/>
  <c r="U267" i="1"/>
  <c r="U268" i="1"/>
  <c r="U252" i="1"/>
  <c r="F25" i="10"/>
  <c r="O25" i="10"/>
  <c r="Q20" i="10"/>
  <c r="F16" i="10"/>
  <c r="K80" i="1" s="1"/>
  <c r="L20" i="10"/>
  <c r="X267" i="1"/>
  <c r="U251" i="1"/>
  <c r="Y267" i="1"/>
  <c r="Z265" i="1"/>
  <c r="W267" i="1"/>
  <c r="N31" i="9"/>
  <c r="O26" i="9"/>
  <c r="O31" i="9"/>
  <c r="B16" i="9"/>
  <c r="C42" i="9"/>
  <c r="H42" i="9"/>
  <c r="I42" i="9"/>
  <c r="J42" i="9"/>
  <c r="K42" i="9"/>
  <c r="M42" i="9"/>
  <c r="N42" i="9"/>
  <c r="D42" i="9"/>
  <c r="E42" i="9"/>
  <c r="F42" i="9"/>
  <c r="F252" i="1"/>
  <c r="E252" i="1"/>
  <c r="D252" i="1"/>
  <c r="K252" i="1"/>
  <c r="J252" i="1"/>
  <c r="I252" i="1"/>
  <c r="H252" i="1"/>
  <c r="P252" i="1"/>
  <c r="O252" i="1"/>
  <c r="N252" i="1"/>
  <c r="M252" i="1"/>
  <c r="P247" i="1"/>
  <c r="O247" i="1"/>
  <c r="N247" i="1"/>
  <c r="M247" i="1"/>
  <c r="H247" i="1"/>
  <c r="K247" i="1"/>
  <c r="J247" i="1"/>
  <c r="I247" i="1"/>
  <c r="F247" i="1"/>
  <c r="E247" i="1"/>
  <c r="D247" i="1"/>
  <c r="Q249" i="1"/>
  <c r="Q244" i="1"/>
  <c r="L244" i="1"/>
  <c r="L249" i="1"/>
  <c r="G244" i="1"/>
  <c r="N246" i="1"/>
  <c r="P251" i="1"/>
  <c r="O251" i="1"/>
  <c r="N251" i="1"/>
  <c r="M251" i="1"/>
  <c r="K251" i="1"/>
  <c r="J251" i="1"/>
  <c r="I251" i="1"/>
  <c r="H251" i="1"/>
  <c r="M246" i="1"/>
  <c r="O246" i="1"/>
  <c r="P246" i="1"/>
  <c r="K246" i="1"/>
  <c r="J246" i="1"/>
  <c r="I246" i="1"/>
  <c r="H246" i="1"/>
  <c r="T130" i="1"/>
  <c r="S130" i="1"/>
  <c r="R130" i="1"/>
  <c r="P130" i="1"/>
  <c r="O130" i="1"/>
  <c r="N130" i="1"/>
  <c r="M130" i="1"/>
  <c r="K130" i="1"/>
  <c r="J130" i="1"/>
  <c r="I130" i="1"/>
  <c r="H130" i="1"/>
  <c r="F130" i="1"/>
  <c r="E130" i="1"/>
  <c r="D130" i="1"/>
  <c r="R119" i="1"/>
  <c r="S119" i="1"/>
  <c r="H119" i="1"/>
  <c r="I119" i="1"/>
  <c r="J119" i="1"/>
  <c r="K119" i="1"/>
  <c r="M119" i="1"/>
  <c r="N119" i="1"/>
  <c r="O119" i="1"/>
  <c r="P119" i="1"/>
  <c r="F27" i="1"/>
  <c r="F26" i="1"/>
  <c r="E27" i="1"/>
  <c r="E26" i="1"/>
  <c r="D27" i="1"/>
  <c r="D26" i="1"/>
  <c r="C28" i="1"/>
  <c r="C27" i="1"/>
  <c r="C26" i="1"/>
  <c r="L5" i="1"/>
  <c r="G5" i="1"/>
  <c r="K28" i="1"/>
  <c r="K30" i="1" s="1"/>
  <c r="H28" i="1"/>
  <c r="H30" i="1" s="1"/>
  <c r="J28" i="1"/>
  <c r="J30" i="1" s="1"/>
  <c r="I28" i="1"/>
  <c r="I30" i="1" s="1"/>
  <c r="F28" i="1"/>
  <c r="E28" i="1"/>
  <c r="D28" i="1"/>
  <c r="F23" i="1"/>
  <c r="E23" i="1"/>
  <c r="D23" i="1"/>
  <c r="C23" i="1"/>
  <c r="E179" i="72"/>
  <c r="C179" i="72"/>
  <c r="D179" i="72"/>
  <c r="BE27" i="9" l="1"/>
  <c r="BF27" i="9" s="1"/>
  <c r="BG27" i="9" s="1"/>
  <c r="BH27" i="9" s="1"/>
  <c r="BI27" i="9" s="1"/>
  <c r="C30" i="1"/>
  <c r="F30" i="1"/>
  <c r="D30" i="1"/>
  <c r="E30" i="1"/>
  <c r="B181" i="72"/>
  <c r="M255" i="1"/>
  <c r="R255" i="1"/>
  <c r="R256" i="1"/>
  <c r="Z268" i="1"/>
  <c r="H255" i="1"/>
  <c r="H257" i="1" s="1"/>
  <c r="G245" i="1"/>
  <c r="L251" i="1"/>
  <c r="M256" i="1"/>
  <c r="Z267" i="1"/>
  <c r="T119" i="1"/>
  <c r="Q246" i="1"/>
  <c r="L245" i="1"/>
  <c r="V249" i="1"/>
  <c r="Q245" i="1"/>
  <c r="Q251" i="1"/>
  <c r="L250" i="1"/>
  <c r="Q250" i="1"/>
  <c r="N25" i="10"/>
  <c r="M32" i="10"/>
  <c r="N32" i="10"/>
  <c r="O32" i="10"/>
  <c r="M25" i="10"/>
  <c r="N16" i="10"/>
  <c r="S80" i="1" s="1"/>
  <c r="O16" i="10"/>
  <c r="T80" i="1" s="1"/>
  <c r="M16" i="10"/>
  <c r="R80" i="1" s="1"/>
  <c r="L246" i="1"/>
  <c r="C180" i="72"/>
  <c r="E180" i="72"/>
  <c r="D180" i="72"/>
  <c r="B182" i="72" l="1"/>
  <c r="S105" i="1"/>
  <c r="T105" i="1"/>
  <c r="R105" i="1"/>
  <c r="M257" i="1"/>
  <c r="R257" i="1"/>
  <c r="T132" i="1"/>
  <c r="S132" i="1"/>
  <c r="V250" i="1"/>
  <c r="V251" i="1"/>
  <c r="U119" i="1"/>
  <c r="O36" i="10"/>
  <c r="N36" i="10"/>
  <c r="M36" i="10"/>
  <c r="Q41" i="1"/>
  <c r="L41" i="1"/>
  <c r="G41" i="1"/>
  <c r="G77" i="1"/>
  <c r="L77" i="1"/>
  <c r="D134" i="1"/>
  <c r="E134" i="1"/>
  <c r="F134" i="1"/>
  <c r="H134" i="1"/>
  <c r="I134" i="1"/>
  <c r="J134" i="1"/>
  <c r="K134" i="1"/>
  <c r="M134" i="1"/>
  <c r="N134" i="1"/>
  <c r="O134" i="1"/>
  <c r="P134" i="1"/>
  <c r="R134" i="1"/>
  <c r="S134" i="1"/>
  <c r="T134" i="1"/>
  <c r="U134" i="1"/>
  <c r="W134" i="1"/>
  <c r="X134" i="1"/>
  <c r="Y134" i="1"/>
  <c r="Z134" i="1"/>
  <c r="D135" i="1"/>
  <c r="E135" i="1"/>
  <c r="F135" i="1"/>
  <c r="G135" i="1"/>
  <c r="H135" i="1"/>
  <c r="I135" i="1"/>
  <c r="J135" i="1"/>
  <c r="K135" i="1"/>
  <c r="L135" i="1"/>
  <c r="M135" i="1"/>
  <c r="N135" i="1"/>
  <c r="O135" i="1"/>
  <c r="P135" i="1"/>
  <c r="Q135" i="1"/>
  <c r="R135" i="1"/>
  <c r="S135" i="1"/>
  <c r="T135" i="1"/>
  <c r="U135" i="1"/>
  <c r="V135" i="1"/>
  <c r="W135" i="1"/>
  <c r="X135" i="1"/>
  <c r="Y135" i="1"/>
  <c r="Z135" i="1"/>
  <c r="AA135" i="1"/>
  <c r="C135" i="1"/>
  <c r="C134" i="1"/>
  <c r="T13" i="1"/>
  <c r="T98" i="1" s="1"/>
  <c r="T116" i="1"/>
  <c r="T117" i="1"/>
  <c r="T118" i="1"/>
  <c r="T127" i="1"/>
  <c r="T128" i="1"/>
  <c r="T129" i="1"/>
  <c r="C181" i="72"/>
  <c r="E181" i="72"/>
  <c r="D181" i="72"/>
  <c r="J17" i="72" l="1"/>
  <c r="O54" i="10"/>
  <c r="B183" i="72"/>
  <c r="T24" i="1"/>
  <c r="T97" i="1" s="1"/>
  <c r="T24" i="65"/>
  <c r="T20" i="65" s="1"/>
  <c r="T106" i="1"/>
  <c r="T96" i="1"/>
  <c r="T95" i="1"/>
  <c r="T276" i="1"/>
  <c r="T222" i="1"/>
  <c r="T225" i="1"/>
  <c r="T224" i="1"/>
  <c r="T226" i="1"/>
  <c r="T223" i="1"/>
  <c r="W119" i="1"/>
  <c r="L119" i="1"/>
  <c r="Q119" i="1"/>
  <c r="T100" i="1"/>
  <c r="T101" i="1"/>
  <c r="T99" i="1"/>
  <c r="S129" i="1"/>
  <c r="S128" i="1"/>
  <c r="S127" i="1"/>
  <c r="S118" i="1"/>
  <c r="S117" i="1"/>
  <c r="S116" i="1"/>
  <c r="S13" i="1"/>
  <c r="S98" i="1" s="1"/>
  <c r="D182" i="72"/>
  <c r="E182" i="72"/>
  <c r="C182" i="72"/>
  <c r="I7" i="72" l="1"/>
  <c r="I10" i="72"/>
  <c r="I17" i="72"/>
  <c r="N54" i="10"/>
  <c r="J26" i="72"/>
  <c r="J25" i="72"/>
  <c r="B184" i="72"/>
  <c r="S24" i="1"/>
  <c r="S97" i="1" s="1"/>
  <c r="S24" i="65"/>
  <c r="S106" i="1"/>
  <c r="S95" i="1"/>
  <c r="S96" i="1"/>
  <c r="S5" i="1"/>
  <c r="S276" i="1"/>
  <c r="S225" i="1"/>
  <c r="S222" i="1"/>
  <c r="S224" i="1"/>
  <c r="S223" i="1"/>
  <c r="S226" i="1"/>
  <c r="X119" i="1"/>
  <c r="S100" i="1"/>
  <c r="T125" i="1"/>
  <c r="S101" i="1"/>
  <c r="S99" i="1"/>
  <c r="C183" i="72"/>
  <c r="D183" i="72"/>
  <c r="E183" i="72"/>
  <c r="S94" i="1" l="1"/>
  <c r="S42" i="1"/>
  <c r="I26" i="72"/>
  <c r="I25" i="72"/>
  <c r="I28" i="72" s="1"/>
  <c r="B185" i="72"/>
  <c r="S20" i="65"/>
  <c r="T21" i="65" s="1"/>
  <c r="T126" i="1"/>
  <c r="J127" i="1"/>
  <c r="M4" i="10"/>
  <c r="M3" i="10"/>
  <c r="R13" i="1"/>
  <c r="R98" i="1" s="1"/>
  <c r="M13" i="1"/>
  <c r="H54" i="10" s="1"/>
  <c r="H13" i="1"/>
  <c r="R129" i="1"/>
  <c r="R128" i="1"/>
  <c r="R127" i="1"/>
  <c r="R118" i="1"/>
  <c r="R117" i="1"/>
  <c r="R116" i="1"/>
  <c r="E184" i="72"/>
  <c r="C184" i="72"/>
  <c r="D184" i="72"/>
  <c r="I13" i="72" l="1"/>
  <c r="I31" i="72" s="1"/>
  <c r="H17" i="72"/>
  <c r="R24" i="1"/>
  <c r="M54" i="10"/>
  <c r="B186" i="72"/>
  <c r="H24" i="1"/>
  <c r="M24" i="1"/>
  <c r="M32" i="1" s="1"/>
  <c r="M49" i="1" s="1"/>
  <c r="M108" i="1" s="1"/>
  <c r="R24" i="65"/>
  <c r="R106" i="1"/>
  <c r="R96" i="1"/>
  <c r="R95" i="1"/>
  <c r="R276" i="1"/>
  <c r="R5" i="1"/>
  <c r="M276" i="1"/>
  <c r="M5" i="1"/>
  <c r="H224" i="1"/>
  <c r="H222" i="1"/>
  <c r="H223" i="1"/>
  <c r="H225" i="1"/>
  <c r="H226" i="1"/>
  <c r="R225" i="1"/>
  <c r="R224" i="1"/>
  <c r="R223" i="1"/>
  <c r="R222" i="1"/>
  <c r="R226" i="1"/>
  <c r="M223" i="1"/>
  <c r="M224" i="1"/>
  <c r="M225" i="1"/>
  <c r="M226" i="1"/>
  <c r="M222" i="1"/>
  <c r="H94" i="1"/>
  <c r="Z119" i="1"/>
  <c r="M102" i="1"/>
  <c r="H4" i="1"/>
  <c r="H102" i="1"/>
  <c r="S125" i="1"/>
  <c r="R99" i="1"/>
  <c r="R100" i="1"/>
  <c r="R112" i="1"/>
  <c r="R101" i="1"/>
  <c r="I46" i="9"/>
  <c r="H46" i="9"/>
  <c r="D46" i="9"/>
  <c r="E46" i="9"/>
  <c r="F46" i="9"/>
  <c r="C46" i="9"/>
  <c r="C50" i="9" s="1"/>
  <c r="D185" i="72"/>
  <c r="E185" i="72"/>
  <c r="C185" i="72"/>
  <c r="R94" i="1" l="1"/>
  <c r="R42" i="1"/>
  <c r="M94" i="1"/>
  <c r="M42" i="1"/>
  <c r="H25" i="72"/>
  <c r="H28" i="72" s="1"/>
  <c r="H26" i="72"/>
  <c r="H31" i="72" s="1"/>
  <c r="B187" i="72"/>
  <c r="U24" i="65"/>
  <c r="U20" i="65" s="1"/>
  <c r="R20" i="65"/>
  <c r="S21" i="65" s="1"/>
  <c r="M111" i="1"/>
  <c r="AB119" i="1"/>
  <c r="R229" i="1"/>
  <c r="R230" i="1"/>
  <c r="M229" i="1"/>
  <c r="R232" i="1"/>
  <c r="M228" i="1"/>
  <c r="M232" i="1"/>
  <c r="M231" i="1"/>
  <c r="R231" i="1"/>
  <c r="M230" i="1"/>
  <c r="R228" i="1"/>
  <c r="R97" i="1"/>
  <c r="S126" i="1"/>
  <c r="D186" i="72"/>
  <c r="C186" i="72"/>
  <c r="E186" i="72"/>
  <c r="B188" i="72" l="1"/>
  <c r="J25" i="10"/>
  <c r="F13" i="1"/>
  <c r="E13" i="1"/>
  <c r="E24" i="1" s="1"/>
  <c r="D13" i="1"/>
  <c r="D24" i="1" s="1"/>
  <c r="C13" i="1"/>
  <c r="K13" i="1"/>
  <c r="J13" i="1"/>
  <c r="I13" i="1"/>
  <c r="E187" i="72"/>
  <c r="D187" i="72"/>
  <c r="C187" i="72"/>
  <c r="B189" i="72" l="1"/>
  <c r="J24" i="1"/>
  <c r="F24" i="1"/>
  <c r="I24" i="1"/>
  <c r="K24" i="1"/>
  <c r="K106" i="1"/>
  <c r="J225" i="1"/>
  <c r="J224" i="1"/>
  <c r="J223" i="1"/>
  <c r="J222" i="1"/>
  <c r="J226" i="1"/>
  <c r="K225" i="1"/>
  <c r="K226" i="1"/>
  <c r="K222" i="1"/>
  <c r="K224" i="1"/>
  <c r="K223" i="1"/>
  <c r="C223" i="1"/>
  <c r="C225" i="1"/>
  <c r="C222" i="1"/>
  <c r="C224" i="1"/>
  <c r="C226" i="1"/>
  <c r="E226" i="1"/>
  <c r="E223" i="1"/>
  <c r="E222" i="1"/>
  <c r="E224" i="1"/>
  <c r="E225" i="1"/>
  <c r="F223" i="1"/>
  <c r="F226" i="1"/>
  <c r="F225" i="1"/>
  <c r="F224" i="1"/>
  <c r="F222" i="1"/>
  <c r="I222" i="1"/>
  <c r="I226" i="1"/>
  <c r="I223" i="1"/>
  <c r="I224" i="1"/>
  <c r="I225" i="1"/>
  <c r="D225" i="1"/>
  <c r="D224" i="1"/>
  <c r="D222" i="1"/>
  <c r="D226" i="1"/>
  <c r="D223" i="1"/>
  <c r="F102" i="1"/>
  <c r="F94" i="1"/>
  <c r="I102" i="1"/>
  <c r="I94" i="1"/>
  <c r="J102" i="1"/>
  <c r="J94" i="1"/>
  <c r="D102" i="1"/>
  <c r="D94" i="1"/>
  <c r="E102" i="1"/>
  <c r="E94" i="1"/>
  <c r="K102" i="1"/>
  <c r="K94" i="1"/>
  <c r="C102" i="1"/>
  <c r="C94" i="1"/>
  <c r="K4" i="1"/>
  <c r="K105" i="1" s="1"/>
  <c r="C24" i="1"/>
  <c r="H115" i="1" s="1"/>
  <c r="C4" i="1"/>
  <c r="H111" i="1" s="1"/>
  <c r="E97" i="1"/>
  <c r="E4" i="1"/>
  <c r="F4" i="1"/>
  <c r="D4" i="1"/>
  <c r="J4" i="1"/>
  <c r="I4" i="1"/>
  <c r="H97" i="1"/>
  <c r="K32" i="10"/>
  <c r="J16" i="10"/>
  <c r="O80" i="1" s="1"/>
  <c r="K25" i="10"/>
  <c r="J32" i="10"/>
  <c r="K16" i="10"/>
  <c r="P80" i="1" s="1"/>
  <c r="AA47" i="1"/>
  <c r="AA46" i="1"/>
  <c r="V47" i="1"/>
  <c r="V46" i="1"/>
  <c r="Q47" i="1"/>
  <c r="Q46" i="1"/>
  <c r="L47" i="1"/>
  <c r="L46" i="1"/>
  <c r="G47" i="1"/>
  <c r="G46" i="1"/>
  <c r="D188" i="72"/>
  <c r="E188" i="72"/>
  <c r="C188" i="72"/>
  <c r="B190" i="72" l="1"/>
  <c r="P105" i="1"/>
  <c r="O105" i="1"/>
  <c r="J111" i="1"/>
  <c r="O111" i="1"/>
  <c r="I111" i="1"/>
  <c r="N111" i="1"/>
  <c r="K111" i="1"/>
  <c r="P111" i="1"/>
  <c r="AF7" i="10"/>
  <c r="AF41" i="1"/>
  <c r="AG130" i="1" s="1"/>
  <c r="P132" i="1"/>
  <c r="R132" i="1"/>
  <c r="T122" i="1"/>
  <c r="P122" i="1"/>
  <c r="K228" i="1"/>
  <c r="J232" i="1"/>
  <c r="K230" i="1"/>
  <c r="J231" i="1"/>
  <c r="I230" i="1"/>
  <c r="L224" i="1"/>
  <c r="G226" i="1"/>
  <c r="H232" i="1"/>
  <c r="K232" i="1"/>
  <c r="L223" i="1"/>
  <c r="I229" i="1"/>
  <c r="G224" i="1"/>
  <c r="H230" i="1"/>
  <c r="K231" i="1"/>
  <c r="I231" i="1"/>
  <c r="L225" i="1"/>
  <c r="I232" i="1"/>
  <c r="L226" i="1"/>
  <c r="G222" i="1"/>
  <c r="H228" i="1"/>
  <c r="I228" i="1"/>
  <c r="L222" i="1"/>
  <c r="G225" i="1"/>
  <c r="H231" i="1"/>
  <c r="J228" i="1"/>
  <c r="G223" i="1"/>
  <c r="H229" i="1"/>
  <c r="J229" i="1"/>
  <c r="K229" i="1"/>
  <c r="J230" i="1"/>
  <c r="F126" i="1"/>
  <c r="F97" i="1"/>
  <c r="C97" i="1"/>
  <c r="H126" i="1"/>
  <c r="D126" i="1"/>
  <c r="E126" i="1"/>
  <c r="D97" i="1"/>
  <c r="J97" i="1"/>
  <c r="J126" i="1"/>
  <c r="J115" i="1"/>
  <c r="K97" i="1"/>
  <c r="K126" i="1"/>
  <c r="K115" i="1"/>
  <c r="I97" i="1"/>
  <c r="I115" i="1"/>
  <c r="I126" i="1"/>
  <c r="O127" i="1"/>
  <c r="P127" i="1"/>
  <c r="O128" i="1"/>
  <c r="P128" i="1"/>
  <c r="O129" i="1"/>
  <c r="P129" i="1"/>
  <c r="O116" i="1"/>
  <c r="P116" i="1"/>
  <c r="O117" i="1"/>
  <c r="P117" i="1"/>
  <c r="O118" i="1"/>
  <c r="P118" i="1"/>
  <c r="C189" i="72"/>
  <c r="D189" i="72"/>
  <c r="E189" i="72"/>
  <c r="B191" i="72" l="1"/>
  <c r="G219" i="1"/>
  <c r="G216" i="1"/>
  <c r="G218" i="1"/>
  <c r="G217" i="1"/>
  <c r="L217" i="1"/>
  <c r="L219" i="1"/>
  <c r="L216" i="1"/>
  <c r="L218" i="1"/>
  <c r="L228" i="1"/>
  <c r="L230" i="1"/>
  <c r="L232" i="1"/>
  <c r="L229" i="1"/>
  <c r="L231" i="1"/>
  <c r="B99" i="1"/>
  <c r="B100" i="1"/>
  <c r="B101" i="1"/>
  <c r="D190" i="72"/>
  <c r="E190" i="72"/>
  <c r="C190" i="72"/>
  <c r="B192" i="72" l="1"/>
  <c r="G220" i="1"/>
  <c r="L220" i="1"/>
  <c r="L78" i="1"/>
  <c r="G78" i="1"/>
  <c r="B130" i="1"/>
  <c r="B127" i="1"/>
  <c r="B129" i="1"/>
  <c r="B128" i="1"/>
  <c r="D191" i="72"/>
  <c r="C191" i="72"/>
  <c r="E191" i="72"/>
  <c r="B193" i="72" l="1"/>
  <c r="C28" i="9"/>
  <c r="C52" i="9" s="1"/>
  <c r="D45" i="9"/>
  <c r="D49" i="9" s="1"/>
  <c r="E45" i="9"/>
  <c r="E49" i="9" s="1"/>
  <c r="F45" i="9"/>
  <c r="F49" i="9" s="1"/>
  <c r="C45" i="9"/>
  <c r="C49" i="9" s="1"/>
  <c r="D41" i="9"/>
  <c r="E41" i="9"/>
  <c r="F41" i="9"/>
  <c r="H41" i="9"/>
  <c r="I41" i="9"/>
  <c r="C41" i="9"/>
  <c r="I28" i="9"/>
  <c r="I52" i="9" s="1"/>
  <c r="H28" i="9"/>
  <c r="F28" i="9"/>
  <c r="E28" i="9"/>
  <c r="E52" i="9" s="1"/>
  <c r="D28" i="9"/>
  <c r="D52" i="9" s="1"/>
  <c r="E12" i="9"/>
  <c r="E19" i="9" s="1"/>
  <c r="D12" i="9"/>
  <c r="D19" i="9" s="1"/>
  <c r="C12" i="9"/>
  <c r="C19" i="9" s="1"/>
  <c r="H12" i="9"/>
  <c r="H19" i="9" s="1"/>
  <c r="V31" i="10"/>
  <c r="V29" i="10"/>
  <c r="U32" i="10"/>
  <c r="T32" i="10"/>
  <c r="S32" i="10"/>
  <c r="R32" i="10"/>
  <c r="V24" i="10"/>
  <c r="V22" i="10"/>
  <c r="V19" i="10"/>
  <c r="V10" i="10"/>
  <c r="V8" i="10"/>
  <c r="Q29" i="10"/>
  <c r="P32" i="10"/>
  <c r="Q24" i="10"/>
  <c r="Q10" i="10"/>
  <c r="Q8" i="10"/>
  <c r="V28" i="10"/>
  <c r="V9" i="10"/>
  <c r="Q31" i="10"/>
  <c r="Q28" i="10"/>
  <c r="Q22" i="10"/>
  <c r="Q9" i="10"/>
  <c r="E15" i="10"/>
  <c r="G15" i="10" s="1"/>
  <c r="V4" i="10"/>
  <c r="U4" i="10"/>
  <c r="T4" i="10"/>
  <c r="S4" i="10"/>
  <c r="R4" i="10"/>
  <c r="Q4" i="10"/>
  <c r="P4" i="10"/>
  <c r="O4" i="10"/>
  <c r="N4" i="10"/>
  <c r="L4" i="10"/>
  <c r="K4" i="10"/>
  <c r="J4" i="10"/>
  <c r="I4" i="10"/>
  <c r="H4" i="10"/>
  <c r="G4" i="10"/>
  <c r="F4" i="10"/>
  <c r="E4" i="10"/>
  <c r="D4" i="10"/>
  <c r="C4" i="10"/>
  <c r="U3" i="10"/>
  <c r="T3" i="10"/>
  <c r="S3" i="10"/>
  <c r="R3" i="10"/>
  <c r="P3" i="10"/>
  <c r="O3" i="10"/>
  <c r="N3" i="10"/>
  <c r="K3" i="10"/>
  <c r="J3" i="10"/>
  <c r="I3" i="10"/>
  <c r="H3" i="10"/>
  <c r="F3" i="10"/>
  <c r="E3" i="10"/>
  <c r="D3" i="10"/>
  <c r="C3" i="10"/>
  <c r="I12" i="9"/>
  <c r="I19" i="9" s="1"/>
  <c r="F12" i="9"/>
  <c r="F19" i="9" s="1"/>
  <c r="S3" i="9"/>
  <c r="T3" i="9"/>
  <c r="U3" i="9"/>
  <c r="S4" i="9"/>
  <c r="T4" i="9"/>
  <c r="U4" i="9"/>
  <c r="J3" i="9"/>
  <c r="K3" i="9"/>
  <c r="M3" i="9"/>
  <c r="N3" i="9"/>
  <c r="O3" i="9"/>
  <c r="P3" i="9"/>
  <c r="R3" i="9"/>
  <c r="J4" i="9"/>
  <c r="K4" i="9"/>
  <c r="M4" i="9"/>
  <c r="N4" i="9"/>
  <c r="O4" i="9"/>
  <c r="P4" i="9"/>
  <c r="R4" i="9"/>
  <c r="D3" i="9"/>
  <c r="E3" i="9"/>
  <c r="F3" i="9"/>
  <c r="H3" i="9"/>
  <c r="I3" i="9"/>
  <c r="D4" i="9"/>
  <c r="E4" i="9"/>
  <c r="F4" i="9"/>
  <c r="H4" i="9"/>
  <c r="I4" i="9"/>
  <c r="C4" i="9"/>
  <c r="C3" i="9"/>
  <c r="E192" i="72"/>
  <c r="C192" i="72"/>
  <c r="D192" i="72"/>
  <c r="B194" i="72" l="1"/>
  <c r="F36" i="9"/>
  <c r="F39" i="9" s="1"/>
  <c r="F52" i="9"/>
  <c r="H36" i="9"/>
  <c r="H39" i="9" s="1"/>
  <c r="H52" i="9"/>
  <c r="V34" i="10"/>
  <c r="G21" i="10"/>
  <c r="L31" i="10"/>
  <c r="L29" i="10"/>
  <c r="L9" i="10"/>
  <c r="L22" i="10"/>
  <c r="L10" i="10"/>
  <c r="L34" i="10"/>
  <c r="I36" i="9"/>
  <c r="I39" i="9" s="1"/>
  <c r="D36" i="9"/>
  <c r="D39" i="9" s="1"/>
  <c r="E36" i="9"/>
  <c r="E39" i="9" s="1"/>
  <c r="C36" i="9"/>
  <c r="C39" i="9" s="1"/>
  <c r="F43" i="9"/>
  <c r="L19" i="10"/>
  <c r="L28" i="10"/>
  <c r="I43" i="9"/>
  <c r="H43" i="9"/>
  <c r="Q34" i="10"/>
  <c r="E32" i="10"/>
  <c r="I32" i="10"/>
  <c r="I25" i="10"/>
  <c r="L24" i="10"/>
  <c r="D32" i="10"/>
  <c r="E43" i="9"/>
  <c r="C43" i="9"/>
  <c r="D43" i="9"/>
  <c r="V32" i="10"/>
  <c r="F32" i="10"/>
  <c r="G29" i="10"/>
  <c r="E25" i="10"/>
  <c r="G9" i="10"/>
  <c r="E16" i="10"/>
  <c r="G34" i="10"/>
  <c r="G24" i="10"/>
  <c r="G22" i="10"/>
  <c r="K81" i="1"/>
  <c r="G8" i="10"/>
  <c r="G7" i="10"/>
  <c r="G10" i="10"/>
  <c r="G31" i="10"/>
  <c r="G28" i="10"/>
  <c r="D25" i="10"/>
  <c r="D16" i="10"/>
  <c r="C16" i="10"/>
  <c r="H80" i="1" s="1"/>
  <c r="G6" i="10"/>
  <c r="I16" i="10"/>
  <c r="N80" i="1" s="1"/>
  <c r="L8" i="10"/>
  <c r="Q19" i="10"/>
  <c r="Q32" i="10"/>
  <c r="H16" i="10"/>
  <c r="H25" i="10"/>
  <c r="H32" i="10"/>
  <c r="C32" i="10"/>
  <c r="C193" i="72"/>
  <c r="E193" i="72"/>
  <c r="D193" i="72"/>
  <c r="B195" i="72" l="1"/>
  <c r="H106" i="1"/>
  <c r="H105" i="1"/>
  <c r="N105" i="1"/>
  <c r="O132" i="1"/>
  <c r="S122" i="1"/>
  <c r="M80" i="1"/>
  <c r="J80" i="1"/>
  <c r="I80" i="1"/>
  <c r="G16" i="10"/>
  <c r="L32" i="10"/>
  <c r="I36" i="10"/>
  <c r="L25" i="10"/>
  <c r="N81" i="1"/>
  <c r="H81" i="1"/>
  <c r="E36" i="10"/>
  <c r="F36" i="10"/>
  <c r="G32" i="10"/>
  <c r="D36" i="10"/>
  <c r="G19" i="10"/>
  <c r="G25" i="10" s="1"/>
  <c r="C25" i="10"/>
  <c r="C36" i="10" s="1"/>
  <c r="H36" i="10"/>
  <c r="D194" i="72"/>
  <c r="C194" i="72"/>
  <c r="E194" i="72"/>
  <c r="B196" i="72" l="1"/>
  <c r="I105" i="1"/>
  <c r="I106" i="1"/>
  <c r="J105" i="1"/>
  <c r="J106" i="1"/>
  <c r="M132" i="1"/>
  <c r="M106" i="1"/>
  <c r="M105" i="1"/>
  <c r="N132" i="1"/>
  <c r="I132" i="1"/>
  <c r="J132" i="1"/>
  <c r="K132" i="1"/>
  <c r="O122" i="1"/>
  <c r="M122" i="1"/>
  <c r="R122" i="1"/>
  <c r="N122" i="1"/>
  <c r="J81" i="1"/>
  <c r="L80" i="1"/>
  <c r="I81" i="1"/>
  <c r="M81" i="1"/>
  <c r="G36" i="10"/>
  <c r="E195" i="72"/>
  <c r="D195" i="72"/>
  <c r="C195" i="72"/>
  <c r="B197" i="72" l="1"/>
  <c r="L81" i="1"/>
  <c r="K125" i="1"/>
  <c r="J125" i="1"/>
  <c r="I125" i="1"/>
  <c r="H125" i="1"/>
  <c r="E125" i="1"/>
  <c r="F125" i="1"/>
  <c r="D125" i="1"/>
  <c r="K112" i="1"/>
  <c r="J112" i="1"/>
  <c r="I112" i="1"/>
  <c r="H112" i="1"/>
  <c r="D101" i="1"/>
  <c r="I101" i="1"/>
  <c r="I99" i="1"/>
  <c r="L14" i="1"/>
  <c r="C101" i="1"/>
  <c r="C100" i="1"/>
  <c r="C99" i="1"/>
  <c r="D100" i="1"/>
  <c r="E101" i="1"/>
  <c r="E100" i="1"/>
  <c r="E196" i="72"/>
  <c r="C196" i="72"/>
  <c r="D196" i="72"/>
  <c r="B198" i="72" l="1"/>
  <c r="J41" i="9"/>
  <c r="J43" i="9" s="1"/>
  <c r="K41" i="9"/>
  <c r="K43" i="9" s="1"/>
  <c r="Q28" i="1"/>
  <c r="Q26" i="1"/>
  <c r="Q27" i="1"/>
  <c r="V28" i="1"/>
  <c r="U129" i="1"/>
  <c r="W128" i="1"/>
  <c r="K127" i="1"/>
  <c r="K116" i="1"/>
  <c r="E127" i="1"/>
  <c r="M118" i="1"/>
  <c r="M129" i="1"/>
  <c r="K129" i="1"/>
  <c r="K118" i="1"/>
  <c r="F128" i="1"/>
  <c r="J117" i="1"/>
  <c r="J128" i="1"/>
  <c r="E128" i="1"/>
  <c r="D128" i="1"/>
  <c r="I116" i="1"/>
  <c r="I127" i="1"/>
  <c r="K99" i="1"/>
  <c r="F100" i="1"/>
  <c r="J100" i="1"/>
  <c r="I117" i="1"/>
  <c r="I128" i="1"/>
  <c r="G23" i="1"/>
  <c r="L27" i="1"/>
  <c r="K128" i="1"/>
  <c r="K117" i="1"/>
  <c r="F127" i="1"/>
  <c r="D127" i="1"/>
  <c r="N118" i="1"/>
  <c r="N129" i="1"/>
  <c r="H118" i="1"/>
  <c r="H129" i="1"/>
  <c r="F129" i="1"/>
  <c r="J118" i="1"/>
  <c r="J129" i="1"/>
  <c r="E129" i="1"/>
  <c r="L23" i="1"/>
  <c r="D129" i="1"/>
  <c r="G14" i="1"/>
  <c r="G26" i="1"/>
  <c r="N116" i="1"/>
  <c r="N127" i="1"/>
  <c r="M116" i="1"/>
  <c r="M127" i="1"/>
  <c r="H116" i="1"/>
  <c r="H127" i="1"/>
  <c r="I118" i="1"/>
  <c r="I129" i="1"/>
  <c r="D99" i="1"/>
  <c r="H99" i="1"/>
  <c r="K100" i="1"/>
  <c r="F101" i="1"/>
  <c r="J101" i="1"/>
  <c r="G27" i="1"/>
  <c r="N117" i="1"/>
  <c r="N128" i="1"/>
  <c r="M117" i="1"/>
  <c r="M128" i="1"/>
  <c r="H117" i="1"/>
  <c r="H128" i="1"/>
  <c r="E99" i="1"/>
  <c r="H100" i="1"/>
  <c r="K101" i="1"/>
  <c r="J116" i="1"/>
  <c r="G28" i="1"/>
  <c r="F99" i="1"/>
  <c r="J99" i="1"/>
  <c r="I100" i="1"/>
  <c r="H101" i="1"/>
  <c r="L28" i="1"/>
  <c r="L26" i="1"/>
  <c r="F50" i="9"/>
  <c r="N13" i="1"/>
  <c r="I54" i="10" s="1"/>
  <c r="C197" i="72"/>
  <c r="E197" i="72"/>
  <c r="D197" i="72"/>
  <c r="B199" i="72" l="1"/>
  <c r="L30" i="1"/>
  <c r="G30" i="1"/>
  <c r="Q30" i="1"/>
  <c r="N24" i="1"/>
  <c r="N32" i="1" s="1"/>
  <c r="N106" i="1"/>
  <c r="N276" i="1"/>
  <c r="N5" i="1"/>
  <c r="AB127" i="1"/>
  <c r="AB129" i="1"/>
  <c r="AB128" i="1"/>
  <c r="N222" i="1"/>
  <c r="N223" i="1"/>
  <c r="N224" i="1"/>
  <c r="N225" i="1"/>
  <c r="N226" i="1"/>
  <c r="N102" i="1"/>
  <c r="S112" i="1"/>
  <c r="Q78" i="1"/>
  <c r="V26" i="1"/>
  <c r="W129" i="1"/>
  <c r="Y129" i="1"/>
  <c r="V27" i="1"/>
  <c r="W127" i="1"/>
  <c r="H45" i="9"/>
  <c r="H49" i="9" s="1"/>
  <c r="I45" i="9"/>
  <c r="I49" i="9" s="1"/>
  <c r="E50" i="9"/>
  <c r="D50" i="9"/>
  <c r="O13" i="1"/>
  <c r="J54" i="10" s="1"/>
  <c r="Q77" i="1"/>
  <c r="AA28" i="1"/>
  <c r="Q118" i="1"/>
  <c r="V118" i="1"/>
  <c r="U127" i="1"/>
  <c r="Z129" i="1"/>
  <c r="X127" i="1"/>
  <c r="X128" i="1"/>
  <c r="U128" i="1"/>
  <c r="X129" i="1"/>
  <c r="M112" i="1"/>
  <c r="M125" i="1"/>
  <c r="M99" i="1"/>
  <c r="N112" i="1"/>
  <c r="N125" i="1"/>
  <c r="N99" i="1"/>
  <c r="L116" i="1"/>
  <c r="L117" i="1"/>
  <c r="L118" i="1"/>
  <c r="N101" i="1"/>
  <c r="Q116" i="1"/>
  <c r="Q117" i="1"/>
  <c r="M101" i="1"/>
  <c r="N100" i="1"/>
  <c r="M100" i="1"/>
  <c r="C198" i="72"/>
  <c r="E198" i="72"/>
  <c r="D198" i="72"/>
  <c r="N94" i="1" l="1"/>
  <c r="N42" i="1"/>
  <c r="B200" i="72"/>
  <c r="S115" i="1"/>
  <c r="V30" i="1"/>
  <c r="O24" i="1"/>
  <c r="O32" i="1" s="1"/>
  <c r="O106" i="1"/>
  <c r="AC127" i="1"/>
  <c r="AC129" i="1"/>
  <c r="AC128" i="1"/>
  <c r="AE129" i="1"/>
  <c r="O276" i="1"/>
  <c r="O5" i="1"/>
  <c r="AF28" i="1"/>
  <c r="AG129" i="1" s="1"/>
  <c r="AE128" i="1"/>
  <c r="AF27" i="1"/>
  <c r="AG128" i="1" s="1"/>
  <c r="O222" i="1"/>
  <c r="O223" i="1"/>
  <c r="O224" i="1"/>
  <c r="O225" i="1"/>
  <c r="O226" i="1"/>
  <c r="N232" i="1"/>
  <c r="S232" i="1"/>
  <c r="N231" i="1"/>
  <c r="S231" i="1"/>
  <c r="N230" i="1"/>
  <c r="S230" i="1"/>
  <c r="N229" i="1"/>
  <c r="S229" i="1"/>
  <c r="N228" i="1"/>
  <c r="S228" i="1"/>
  <c r="O102" i="1"/>
  <c r="J46" i="9"/>
  <c r="V116" i="1"/>
  <c r="V117" i="1"/>
  <c r="N41" i="9"/>
  <c r="M41" i="9"/>
  <c r="T112" i="1"/>
  <c r="N126" i="1"/>
  <c r="N115" i="1"/>
  <c r="R115" i="1"/>
  <c r="M126" i="1"/>
  <c r="M115" i="1"/>
  <c r="AA118" i="1"/>
  <c r="Y128" i="1"/>
  <c r="Y127" i="1"/>
  <c r="J45" i="9"/>
  <c r="J49" i="9" s="1"/>
  <c r="N97" i="1"/>
  <c r="M97" i="1"/>
  <c r="J12" i="9"/>
  <c r="J19" i="9" s="1"/>
  <c r="O99" i="1"/>
  <c r="O100" i="1"/>
  <c r="O112" i="1"/>
  <c r="O101" i="1"/>
  <c r="O125" i="1"/>
  <c r="G13" i="1"/>
  <c r="G24" i="1" s="1"/>
  <c r="Q14" i="1"/>
  <c r="AA26" i="1"/>
  <c r="Z127" i="1"/>
  <c r="Z128" i="1"/>
  <c r="AA27" i="1"/>
  <c r="P13" i="1"/>
  <c r="K54" i="10" s="1"/>
  <c r="C199" i="72"/>
  <c r="E199" i="72"/>
  <c r="D199" i="72"/>
  <c r="O94" i="1" l="1"/>
  <c r="O42" i="1"/>
  <c r="B201" i="72"/>
  <c r="AA30" i="1"/>
  <c r="P24" i="1"/>
  <c r="P32" i="1" s="1"/>
  <c r="P49" i="1" s="1"/>
  <c r="P108" i="1" s="1"/>
  <c r="P106" i="1"/>
  <c r="AF118" i="1"/>
  <c r="AF26" i="1"/>
  <c r="AG127" i="1" s="1"/>
  <c r="AE127" i="1"/>
  <c r="D248" i="1"/>
  <c r="E248" i="1" s="1"/>
  <c r="P276" i="1"/>
  <c r="Q276" i="1" s="1"/>
  <c r="P5" i="1"/>
  <c r="AF117" i="1"/>
  <c r="O232" i="1"/>
  <c r="T232" i="1"/>
  <c r="T115" i="1"/>
  <c r="O231" i="1"/>
  <c r="T231" i="1"/>
  <c r="G94" i="1"/>
  <c r="O230" i="1"/>
  <c r="T230" i="1"/>
  <c r="O229" i="1"/>
  <c r="T229" i="1"/>
  <c r="P225" i="1"/>
  <c r="P222" i="1"/>
  <c r="P224" i="1"/>
  <c r="P223" i="1"/>
  <c r="P226" i="1"/>
  <c r="O228" i="1"/>
  <c r="T228" i="1"/>
  <c r="P102" i="1"/>
  <c r="K46" i="9"/>
  <c r="G4" i="1"/>
  <c r="G102" i="1"/>
  <c r="G100" i="1"/>
  <c r="R125" i="1"/>
  <c r="AA116" i="1"/>
  <c r="AA117" i="1"/>
  <c r="H50" i="9"/>
  <c r="K45" i="9"/>
  <c r="K49" i="9" s="1"/>
  <c r="J50" i="9"/>
  <c r="G99" i="1"/>
  <c r="I50" i="9"/>
  <c r="P99" i="1"/>
  <c r="P100" i="1"/>
  <c r="P101" i="1"/>
  <c r="P125" i="1"/>
  <c r="P112" i="1"/>
  <c r="G101" i="1"/>
  <c r="Q13" i="1"/>
  <c r="E200" i="72"/>
  <c r="D200" i="72"/>
  <c r="C200" i="72"/>
  <c r="Q5" i="1" l="1"/>
  <c r="Q4" i="1" s="1"/>
  <c r="P42" i="1"/>
  <c r="B202" i="72"/>
  <c r="AF116" i="1"/>
  <c r="AF30" i="1"/>
  <c r="Q96" i="1"/>
  <c r="Q95" i="1"/>
  <c r="P94" i="1"/>
  <c r="P231" i="1"/>
  <c r="O115" i="1"/>
  <c r="O126" i="1"/>
  <c r="O97" i="1"/>
  <c r="Q225" i="1"/>
  <c r="P229" i="1"/>
  <c r="Q223" i="1"/>
  <c r="P228" i="1"/>
  <c r="Q222" i="1"/>
  <c r="P230" i="1"/>
  <c r="Q224" i="1"/>
  <c r="P232" i="1"/>
  <c r="Q226" i="1"/>
  <c r="P126" i="1"/>
  <c r="Q23" i="1"/>
  <c r="Q102" i="1"/>
  <c r="V78" i="1"/>
  <c r="O41" i="9"/>
  <c r="Q99" i="1"/>
  <c r="G97" i="1"/>
  <c r="Q101" i="1"/>
  <c r="Q100" i="1"/>
  <c r="P41" i="9"/>
  <c r="L7" i="10"/>
  <c r="J28" i="9"/>
  <c r="J52" i="9" s="1"/>
  <c r="K12" i="9"/>
  <c r="K19" i="9" s="1"/>
  <c r="K50" i="9"/>
  <c r="L13" i="1"/>
  <c r="E201" i="72"/>
  <c r="D201" i="72"/>
  <c r="C201" i="72"/>
  <c r="Q94" i="1" l="1"/>
  <c r="B203" i="72"/>
  <c r="L24" i="1"/>
  <c r="L106" i="1"/>
  <c r="Q24" i="1"/>
  <c r="Q97" i="1" s="1"/>
  <c r="P115" i="1"/>
  <c r="P97" i="1"/>
  <c r="Q231" i="1"/>
  <c r="Q219" i="1"/>
  <c r="Q230" i="1"/>
  <c r="Q218" i="1"/>
  <c r="Q228" i="1"/>
  <c r="Q216" i="1"/>
  <c r="Q229" i="1"/>
  <c r="Q217" i="1"/>
  <c r="Q232" i="1"/>
  <c r="R126" i="1"/>
  <c r="L102" i="1"/>
  <c r="L94" i="1"/>
  <c r="J36" i="9"/>
  <c r="J39" i="9" s="1"/>
  <c r="L4" i="1"/>
  <c r="L105" i="1" s="1"/>
  <c r="V77" i="1"/>
  <c r="M46" i="9"/>
  <c r="R41" i="9"/>
  <c r="M45" i="9"/>
  <c r="L112" i="1"/>
  <c r="L99" i="1"/>
  <c r="L101" i="1"/>
  <c r="L100" i="1"/>
  <c r="Q112" i="1"/>
  <c r="E202" i="72"/>
  <c r="C202" i="72"/>
  <c r="D202" i="72"/>
  <c r="B204" i="72" l="1"/>
  <c r="L111" i="1"/>
  <c r="Q111" i="1"/>
  <c r="L115" i="1"/>
  <c r="Q220" i="1"/>
  <c r="AA77" i="1"/>
  <c r="L97" i="1"/>
  <c r="Q115" i="1"/>
  <c r="S41" i="9"/>
  <c r="N45" i="9"/>
  <c r="N49" i="9" s="1"/>
  <c r="K28" i="9"/>
  <c r="K52" i="9" s="1"/>
  <c r="L15" i="10"/>
  <c r="L53" i="10" s="1"/>
  <c r="L54" i="10" s="1"/>
  <c r="C203" i="72"/>
  <c r="E203" i="72"/>
  <c r="D203" i="72"/>
  <c r="B205" i="72" l="1"/>
  <c r="AF77" i="1"/>
  <c r="K36" i="9"/>
  <c r="K39" i="9" s="1"/>
  <c r="N46" i="9"/>
  <c r="N50" i="9" s="1"/>
  <c r="T41" i="9"/>
  <c r="V14" i="1"/>
  <c r="U13" i="1"/>
  <c r="U98" i="1" s="1"/>
  <c r="O45" i="9"/>
  <c r="O49" i="9" s="1"/>
  <c r="E204" i="72"/>
  <c r="C204" i="72"/>
  <c r="D204" i="72"/>
  <c r="K17" i="72" l="1"/>
  <c r="P54" i="10"/>
  <c r="V113" i="1"/>
  <c r="D40" i="65"/>
  <c r="B206" i="72"/>
  <c r="U24" i="1"/>
  <c r="U95" i="1"/>
  <c r="U96" i="1"/>
  <c r="U225" i="1"/>
  <c r="U223" i="1"/>
  <c r="U224" i="1"/>
  <c r="U222" i="1"/>
  <c r="U226" i="1"/>
  <c r="U276" i="1"/>
  <c r="V276" i="1" s="1"/>
  <c r="U5" i="1"/>
  <c r="U42" i="1" s="1"/>
  <c r="AB41" i="9"/>
  <c r="O46" i="9"/>
  <c r="O50" i="9" s="1"/>
  <c r="U41" i="9"/>
  <c r="AA78" i="1"/>
  <c r="P45" i="9"/>
  <c r="P49" i="9" s="1"/>
  <c r="U112" i="1"/>
  <c r="U125" i="1"/>
  <c r="U100" i="1"/>
  <c r="U99" i="1"/>
  <c r="U101" i="1"/>
  <c r="V13" i="1"/>
  <c r="C205" i="72"/>
  <c r="E205" i="72"/>
  <c r="D205" i="72"/>
  <c r="D38" i="65" l="1"/>
  <c r="V98" i="1"/>
  <c r="K25" i="72"/>
  <c r="K26" i="72"/>
  <c r="B207" i="72"/>
  <c r="U21" i="65"/>
  <c r="V96" i="1"/>
  <c r="V95" i="1"/>
  <c r="U231" i="1"/>
  <c r="U232" i="1"/>
  <c r="U228" i="1"/>
  <c r="U230" i="1"/>
  <c r="U229" i="1"/>
  <c r="AC41" i="9"/>
  <c r="Q25" i="10"/>
  <c r="N28" i="9"/>
  <c r="N52" i="9" s="1"/>
  <c r="V112" i="1"/>
  <c r="V101" i="1"/>
  <c r="V99" i="1"/>
  <c r="V100" i="1"/>
  <c r="Q7" i="10"/>
  <c r="V41" i="1"/>
  <c r="C206" i="72"/>
  <c r="E206" i="72"/>
  <c r="D206" i="72"/>
  <c r="B208" i="72" l="1"/>
  <c r="AK77" i="1"/>
  <c r="W130" i="1"/>
  <c r="AE41" i="9"/>
  <c r="AD41" i="9"/>
  <c r="V119" i="1"/>
  <c r="N36" i="9"/>
  <c r="N39" i="9" s="1"/>
  <c r="S25" i="10"/>
  <c r="R25" i="10"/>
  <c r="AA41" i="1"/>
  <c r="C207" i="72"/>
  <c r="E207" i="72"/>
  <c r="D207" i="72"/>
  <c r="B209" i="72" l="1"/>
  <c r="AB130" i="1"/>
  <c r="AF78" i="1"/>
  <c r="AF119" i="1"/>
  <c r="AA119" i="1"/>
  <c r="T25" i="10"/>
  <c r="T81" i="1"/>
  <c r="D208" i="72"/>
  <c r="C208" i="72"/>
  <c r="E208" i="72"/>
  <c r="B210" i="72" l="1"/>
  <c r="U25" i="10"/>
  <c r="E209" i="72"/>
  <c r="C209" i="72"/>
  <c r="D209" i="72"/>
  <c r="B211" i="72" l="1"/>
  <c r="V21" i="10"/>
  <c r="V7" i="10"/>
  <c r="D210" i="72"/>
  <c r="C210" i="72"/>
  <c r="E210" i="72"/>
  <c r="B212" i="72" l="1"/>
  <c r="V25" i="10"/>
  <c r="E211" i="72"/>
  <c r="D211" i="72"/>
  <c r="C211" i="72"/>
  <c r="B213" i="72" l="1"/>
  <c r="D212" i="72"/>
  <c r="C212" i="72"/>
  <c r="E212" i="72"/>
  <c r="B214" i="72" l="1"/>
  <c r="O81" i="1"/>
  <c r="J36" i="10"/>
  <c r="L6" i="10"/>
  <c r="L16" i="10" s="1"/>
  <c r="L36" i="10" s="1"/>
  <c r="E213" i="72"/>
  <c r="D213" i="72"/>
  <c r="C213" i="72"/>
  <c r="B215" i="72" l="1"/>
  <c r="E214" i="72"/>
  <c r="C214" i="72"/>
  <c r="D214" i="72"/>
  <c r="B216" i="72" l="1"/>
  <c r="K36" i="10"/>
  <c r="D215" i="72"/>
  <c r="C215" i="72"/>
  <c r="E215" i="72"/>
  <c r="B217" i="72" l="1"/>
  <c r="Q80" i="1"/>
  <c r="P81" i="1"/>
  <c r="Q81" i="1" s="1"/>
  <c r="E216" i="72"/>
  <c r="C216" i="72"/>
  <c r="D216" i="72"/>
  <c r="B218" i="72" l="1"/>
  <c r="Q105" i="1"/>
  <c r="Q106" i="1"/>
  <c r="Q122" i="1"/>
  <c r="M50" i="9"/>
  <c r="M28" i="9"/>
  <c r="M52" i="9" s="1"/>
  <c r="M12" i="9"/>
  <c r="M19" i="9" s="1"/>
  <c r="M43" i="9"/>
  <c r="M49" i="9"/>
  <c r="C217" i="72"/>
  <c r="D217" i="72"/>
  <c r="E217" i="72"/>
  <c r="B219" i="72" l="1"/>
  <c r="M36" i="9"/>
  <c r="M39" i="9" s="1"/>
  <c r="R81" i="1"/>
  <c r="D218" i="72"/>
  <c r="E218" i="72"/>
  <c r="C218" i="72"/>
  <c r="B220" i="72" l="1"/>
  <c r="N43" i="9"/>
  <c r="O42" i="9"/>
  <c r="N12" i="9"/>
  <c r="N19" i="9" s="1"/>
  <c r="S81" i="1"/>
  <c r="D219" i="72"/>
  <c r="E219" i="72"/>
  <c r="C219" i="72"/>
  <c r="B221" i="72" l="1"/>
  <c r="O43" i="9"/>
  <c r="C220" i="72"/>
  <c r="E220" i="72"/>
  <c r="D220" i="72"/>
  <c r="B222" i="72" l="1"/>
  <c r="P46" i="9"/>
  <c r="P50" i="9" s="1"/>
  <c r="V23" i="1"/>
  <c r="U97" i="1"/>
  <c r="C221" i="72"/>
  <c r="D221" i="72"/>
  <c r="E221" i="72"/>
  <c r="B223" i="72" l="1"/>
  <c r="V24" i="1"/>
  <c r="U115" i="1"/>
  <c r="U126" i="1"/>
  <c r="C222" i="72"/>
  <c r="D222" i="72"/>
  <c r="E222" i="72"/>
  <c r="B224" i="72" l="1"/>
  <c r="V115" i="1"/>
  <c r="V97" i="1"/>
  <c r="D223" i="72"/>
  <c r="E223" i="72"/>
  <c r="C223" i="72"/>
  <c r="B225" i="72" l="1"/>
  <c r="Q6" i="10"/>
  <c r="O28" i="9"/>
  <c r="O12" i="9"/>
  <c r="O19" i="9" s="1"/>
  <c r="D224" i="72"/>
  <c r="E224" i="72"/>
  <c r="C224" i="72"/>
  <c r="B226" i="72" l="1"/>
  <c r="O36" i="9"/>
  <c r="O39" i="9" s="1"/>
  <c r="O52" i="9"/>
  <c r="U253" i="1"/>
  <c r="C225" i="72"/>
  <c r="E225" i="72"/>
  <c r="D225" i="72"/>
  <c r="B227" i="72" l="1"/>
  <c r="U247" i="1"/>
  <c r="U246" i="1"/>
  <c r="V244" i="1"/>
  <c r="E226" i="72"/>
  <c r="C226" i="72"/>
  <c r="D226" i="72"/>
  <c r="B228" i="72" l="1"/>
  <c r="W245" i="1"/>
  <c r="V246" i="1"/>
  <c r="V245" i="1"/>
  <c r="W247" i="1"/>
  <c r="W246" i="1"/>
  <c r="D227" i="72"/>
  <c r="E227" i="72"/>
  <c r="C227" i="72"/>
  <c r="B229" i="72" l="1"/>
  <c r="X247" i="1"/>
  <c r="X246" i="1"/>
  <c r="E228" i="72"/>
  <c r="D228" i="72"/>
  <c r="C228" i="72"/>
  <c r="B230" i="72" l="1"/>
  <c r="Y247" i="1"/>
  <c r="Y246" i="1"/>
  <c r="C229" i="72"/>
  <c r="D229" i="72"/>
  <c r="E229" i="72"/>
  <c r="B231" i="72" l="1"/>
  <c r="Z247" i="1"/>
  <c r="Z246" i="1"/>
  <c r="AA244" i="1"/>
  <c r="AF245" i="1" s="1"/>
  <c r="D230" i="72"/>
  <c r="E230" i="72"/>
  <c r="C230" i="72"/>
  <c r="B232" i="72" l="1"/>
  <c r="AA246" i="1"/>
  <c r="AA245" i="1"/>
  <c r="C231" i="72"/>
  <c r="D231" i="72"/>
  <c r="E231" i="72"/>
  <c r="B233" i="72" l="1"/>
  <c r="W13" i="1"/>
  <c r="W98" i="1" s="1"/>
  <c r="W253" i="1"/>
  <c r="W251" i="1"/>
  <c r="W252" i="1"/>
  <c r="D232" i="72"/>
  <c r="E232" i="72"/>
  <c r="C232" i="72"/>
  <c r="L17" i="72" l="1"/>
  <c r="R54" i="10"/>
  <c r="B234" i="72"/>
  <c r="W24" i="1"/>
  <c r="W24" i="65"/>
  <c r="W96" i="1"/>
  <c r="W95" i="1"/>
  <c r="W222" i="1"/>
  <c r="W228" i="1" s="1"/>
  <c r="W225" i="1"/>
  <c r="W231" i="1" s="1"/>
  <c r="W224" i="1"/>
  <c r="W230" i="1" s="1"/>
  <c r="W223" i="1"/>
  <c r="W229" i="1" s="1"/>
  <c r="W226" i="1"/>
  <c r="W232" i="1" s="1"/>
  <c r="W276" i="1"/>
  <c r="E5" i="12"/>
  <c r="AG244" i="1"/>
  <c r="W125" i="1"/>
  <c r="W101" i="1"/>
  <c r="W100" i="1"/>
  <c r="R45" i="9"/>
  <c r="R49" i="9" s="1"/>
  <c r="W99" i="1"/>
  <c r="W112" i="1"/>
  <c r="C233" i="72"/>
  <c r="D233" i="72"/>
  <c r="E233" i="72"/>
  <c r="L26" i="72" l="1"/>
  <c r="L25" i="72"/>
  <c r="B235" i="72"/>
  <c r="W20" i="65"/>
  <c r="W25" i="65"/>
  <c r="AG247" i="1"/>
  <c r="AG246" i="1"/>
  <c r="AH244" i="1"/>
  <c r="C234" i="72"/>
  <c r="D234" i="72"/>
  <c r="E234" i="72"/>
  <c r="B236" i="72" l="1"/>
  <c r="W22" i="65"/>
  <c r="W21" i="65"/>
  <c r="AH246" i="1"/>
  <c r="AI244" i="1"/>
  <c r="AH247" i="1"/>
  <c r="AF246" i="1"/>
  <c r="D235" i="72"/>
  <c r="E235" i="72"/>
  <c r="C235" i="72"/>
  <c r="B237" i="72" l="1"/>
  <c r="AI246" i="1"/>
  <c r="AJ244" i="1"/>
  <c r="AL244" i="1" s="1"/>
  <c r="AI247" i="1"/>
  <c r="C236" i="72"/>
  <c r="D236" i="72"/>
  <c r="E236" i="72"/>
  <c r="B238" i="72" l="1"/>
  <c r="AL247" i="1"/>
  <c r="AL246" i="1"/>
  <c r="AM244" i="1"/>
  <c r="AJ246" i="1"/>
  <c r="AJ247" i="1"/>
  <c r="AK244" i="1"/>
  <c r="X253" i="1"/>
  <c r="X252" i="1"/>
  <c r="X251" i="1"/>
  <c r="E237" i="72"/>
  <c r="D237" i="72"/>
  <c r="C237" i="72"/>
  <c r="B239" i="72" l="1"/>
  <c r="AM246" i="1"/>
  <c r="AM247" i="1"/>
  <c r="AN244" i="1"/>
  <c r="AK246" i="1"/>
  <c r="AK245" i="1"/>
  <c r="X13" i="1"/>
  <c r="X98" i="1" s="1"/>
  <c r="C238" i="72"/>
  <c r="D238" i="72"/>
  <c r="E238" i="72"/>
  <c r="M17" i="72" l="1"/>
  <c r="S54" i="10"/>
  <c r="B240" i="72"/>
  <c r="AN246" i="1"/>
  <c r="AO244" i="1"/>
  <c r="AQ244" i="1" s="1"/>
  <c r="AN247" i="1"/>
  <c r="X24" i="1"/>
  <c r="X97" i="1" s="1"/>
  <c r="X24" i="65"/>
  <c r="X96" i="1"/>
  <c r="X95" i="1"/>
  <c r="X222" i="1"/>
  <c r="X228" i="1" s="1"/>
  <c r="X224" i="1"/>
  <c r="X230" i="1" s="1"/>
  <c r="X225" i="1"/>
  <c r="X231" i="1" s="1"/>
  <c r="X223" i="1"/>
  <c r="X229" i="1" s="1"/>
  <c r="X226" i="1"/>
  <c r="X232" i="1" s="1"/>
  <c r="X112" i="1"/>
  <c r="E6" i="12"/>
  <c r="X276" i="1"/>
  <c r="X101" i="1"/>
  <c r="X99" i="1"/>
  <c r="X125" i="1"/>
  <c r="X100" i="1"/>
  <c r="S45" i="9"/>
  <c r="S46" i="9"/>
  <c r="C239" i="72"/>
  <c r="D239" i="72"/>
  <c r="E239" i="72"/>
  <c r="AQ246" i="1" l="1"/>
  <c r="AR244" i="1"/>
  <c r="AQ247" i="1"/>
  <c r="M26" i="72"/>
  <c r="M25" i="72"/>
  <c r="B241" i="72"/>
  <c r="X20" i="65"/>
  <c r="AO247" i="1"/>
  <c r="AO246" i="1"/>
  <c r="X25" i="65"/>
  <c r="X115" i="1"/>
  <c r="D240" i="72"/>
  <c r="E240" i="72"/>
  <c r="C240" i="72"/>
  <c r="AR246" i="1" l="1"/>
  <c r="AS244" i="1"/>
  <c r="AR247" i="1"/>
  <c r="B242" i="72"/>
  <c r="X22" i="65"/>
  <c r="X21" i="65"/>
  <c r="E241" i="72"/>
  <c r="C241" i="72"/>
  <c r="D241" i="72"/>
  <c r="AS246" i="1" l="1"/>
  <c r="AT244" i="1"/>
  <c r="AV244" i="1" s="1"/>
  <c r="AS247" i="1"/>
  <c r="B243" i="72"/>
  <c r="C242" i="72"/>
  <c r="D242" i="72"/>
  <c r="E242" i="72"/>
  <c r="AV247" i="1" l="1"/>
  <c r="AW244" i="1"/>
  <c r="AV246" i="1"/>
  <c r="AT246" i="1"/>
  <c r="AT247" i="1"/>
  <c r="B244" i="72"/>
  <c r="Y252" i="1"/>
  <c r="Y251" i="1"/>
  <c r="E243" i="72"/>
  <c r="D243" i="72"/>
  <c r="C243" i="72"/>
  <c r="AW247" i="1" l="1"/>
  <c r="AW246" i="1"/>
  <c r="AX244" i="1"/>
  <c r="B245" i="72"/>
  <c r="Y13" i="1"/>
  <c r="Y98" i="1" s="1"/>
  <c r="E244" i="72"/>
  <c r="D244" i="72"/>
  <c r="C244" i="72"/>
  <c r="AX246" i="1" l="1"/>
  <c r="AX247" i="1"/>
  <c r="AY244" i="1"/>
  <c r="BA244" i="1" s="1"/>
  <c r="N17" i="72"/>
  <c r="T54" i="10"/>
  <c r="B246" i="72"/>
  <c r="Y24" i="1"/>
  <c r="Y126" i="1" s="1"/>
  <c r="Y24" i="65"/>
  <c r="AD112" i="1"/>
  <c r="Y95" i="1"/>
  <c r="Y96" i="1"/>
  <c r="Y222" i="1"/>
  <c r="Y223" i="1"/>
  <c r="Y224" i="1"/>
  <c r="Y226" i="1"/>
  <c r="Y225" i="1"/>
  <c r="E7" i="12"/>
  <c r="Y5" i="1"/>
  <c r="Y94" i="1" s="1"/>
  <c r="Y276" i="1"/>
  <c r="Y100" i="1"/>
  <c r="Y125" i="1"/>
  <c r="Y99" i="1"/>
  <c r="T45" i="9"/>
  <c r="T49" i="9" s="1"/>
  <c r="Y112" i="1"/>
  <c r="Y101" i="1"/>
  <c r="E245" i="72"/>
  <c r="D245" i="72"/>
  <c r="C245" i="72"/>
  <c r="BA247" i="1" l="1"/>
  <c r="BB244" i="1"/>
  <c r="BA246" i="1"/>
  <c r="AY247" i="1"/>
  <c r="AY246" i="1"/>
  <c r="N25" i="72"/>
  <c r="N26" i="72"/>
  <c r="B247" i="72"/>
  <c r="Y20" i="65"/>
  <c r="Z24" i="65"/>
  <c r="Z20" i="65" s="1"/>
  <c r="Y25" i="65"/>
  <c r="AD25" i="65"/>
  <c r="Y229" i="1"/>
  <c r="AD229" i="1"/>
  <c r="Y230" i="1"/>
  <c r="AD230" i="1"/>
  <c r="Y228" i="1"/>
  <c r="AD228" i="1"/>
  <c r="Y231" i="1"/>
  <c r="AD231" i="1"/>
  <c r="Y232" i="1"/>
  <c r="AD232" i="1"/>
  <c r="Y97" i="1"/>
  <c r="Y115" i="1"/>
  <c r="Y42" i="1"/>
  <c r="T46" i="9"/>
  <c r="T50" i="9" s="1"/>
  <c r="C246" i="72"/>
  <c r="D246" i="72"/>
  <c r="E246" i="72"/>
  <c r="BB247" i="1" l="1"/>
  <c r="BB246" i="1"/>
  <c r="BC244" i="1"/>
  <c r="B248" i="72"/>
  <c r="Y22" i="65"/>
  <c r="Y21" i="65"/>
  <c r="AD22" i="65"/>
  <c r="AA249" i="1"/>
  <c r="AF250" i="1" s="1"/>
  <c r="Z252" i="1"/>
  <c r="Z251" i="1"/>
  <c r="C247" i="72"/>
  <c r="E247" i="72"/>
  <c r="D247" i="72"/>
  <c r="BD244" i="1" l="1"/>
  <c r="BC247" i="1"/>
  <c r="BC246" i="1"/>
  <c r="B249" i="72"/>
  <c r="AA14" i="1"/>
  <c r="AA251" i="1"/>
  <c r="AA250" i="1"/>
  <c r="Z13" i="1"/>
  <c r="Z98" i="1" s="1"/>
  <c r="C248" i="72"/>
  <c r="E248" i="72"/>
  <c r="D248" i="72"/>
  <c r="BD247" i="1" l="1"/>
  <c r="BD246" i="1"/>
  <c r="O17" i="72"/>
  <c r="U54" i="10"/>
  <c r="AA113" i="1"/>
  <c r="E40" i="65"/>
  <c r="E41" i="65" s="1"/>
  <c r="B250" i="72"/>
  <c r="Z24" i="1"/>
  <c r="AA13" i="1"/>
  <c r="AA98" i="1" s="1"/>
  <c r="Z95" i="1"/>
  <c r="Z96" i="1"/>
  <c r="Z223" i="1"/>
  <c r="Z225" i="1"/>
  <c r="Z224" i="1"/>
  <c r="Z222" i="1"/>
  <c r="Z226" i="1"/>
  <c r="E8" i="12"/>
  <c r="Z5" i="1"/>
  <c r="Z94" i="1" s="1"/>
  <c r="Z276" i="1"/>
  <c r="AA276" i="1" s="1"/>
  <c r="AC13" i="1"/>
  <c r="AC98" i="1" s="1"/>
  <c r="AB13" i="1"/>
  <c r="AB98" i="1" s="1"/>
  <c r="Z100" i="1"/>
  <c r="Z99" i="1"/>
  <c r="Z125" i="1"/>
  <c r="Z112" i="1"/>
  <c r="U45" i="9"/>
  <c r="U49" i="9" s="1"/>
  <c r="Z101" i="1"/>
  <c r="E249" i="72"/>
  <c r="C249" i="72"/>
  <c r="D249" i="72"/>
  <c r="P17" i="72" l="1"/>
  <c r="AB54" i="10"/>
  <c r="Q17" i="72"/>
  <c r="AC54" i="10"/>
  <c r="O26" i="72"/>
  <c r="O25" i="72"/>
  <c r="Z97" i="1"/>
  <c r="Z32" i="1"/>
  <c r="Z49" i="1" s="1"/>
  <c r="B251" i="72"/>
  <c r="AC24" i="1"/>
  <c r="AC32" i="1" s="1"/>
  <c r="AC24" i="65"/>
  <c r="AC20" i="65" s="1"/>
  <c r="Z231" i="1"/>
  <c r="AE231" i="1"/>
  <c r="Z229" i="1"/>
  <c r="AE229" i="1"/>
  <c r="E25" i="65"/>
  <c r="E38" i="65"/>
  <c r="Z232" i="1"/>
  <c r="AE232" i="1"/>
  <c r="Z228" i="1"/>
  <c r="AE228" i="1"/>
  <c r="Z25" i="65"/>
  <c r="AE25" i="65"/>
  <c r="AB24" i="1"/>
  <c r="AG115" i="1" s="1"/>
  <c r="AB24" i="65"/>
  <c r="AB20" i="65" s="1"/>
  <c r="Z230" i="1"/>
  <c r="AE230" i="1"/>
  <c r="AC99" i="1"/>
  <c r="AC101" i="1"/>
  <c r="AC100" i="1"/>
  <c r="AB99" i="1"/>
  <c r="AB101" i="1"/>
  <c r="AB100" i="1"/>
  <c r="AD125" i="1"/>
  <c r="AC223" i="1"/>
  <c r="AC229" i="1" s="1"/>
  <c r="AC224" i="1"/>
  <c r="AC230" i="1" s="1"/>
  <c r="AC225" i="1"/>
  <c r="AC231" i="1" s="1"/>
  <c r="AC222" i="1"/>
  <c r="AC228" i="1" s="1"/>
  <c r="AC226" i="1"/>
  <c r="AC232" i="1" s="1"/>
  <c r="AA100" i="1"/>
  <c r="AA101" i="1"/>
  <c r="AB222" i="1"/>
  <c r="AB228" i="1" s="1"/>
  <c r="AB225" i="1"/>
  <c r="AB231" i="1" s="1"/>
  <c r="AB224" i="1"/>
  <c r="AB230" i="1" s="1"/>
  <c r="AB223" i="1"/>
  <c r="AB229" i="1" s="1"/>
  <c r="AB226" i="1"/>
  <c r="AB232" i="1" s="1"/>
  <c r="E9" i="12"/>
  <c r="AA99" i="1"/>
  <c r="AA112" i="1"/>
  <c r="AA96" i="1"/>
  <c r="AA95" i="1"/>
  <c r="AC95" i="1"/>
  <c r="AC96" i="1"/>
  <c r="AB96" i="1"/>
  <c r="AB95" i="1"/>
  <c r="E11" i="12"/>
  <c r="L11" i="12" s="1"/>
  <c r="E10" i="12"/>
  <c r="AC45" i="9"/>
  <c r="AC49" i="9" s="1"/>
  <c r="AC125" i="1"/>
  <c r="AC112" i="1"/>
  <c r="AB45" i="9"/>
  <c r="AB49" i="9" s="1"/>
  <c r="AB112" i="1"/>
  <c r="AB46" i="9"/>
  <c r="AB50" i="9" s="1"/>
  <c r="AB125" i="1"/>
  <c r="Z42" i="1"/>
  <c r="U46" i="9"/>
  <c r="U50" i="9" s="1"/>
  <c r="Z126" i="1"/>
  <c r="Z115" i="1"/>
  <c r="D250" i="72"/>
  <c r="C250" i="72"/>
  <c r="E250" i="72"/>
  <c r="Q25" i="72" l="1"/>
  <c r="Q26" i="72"/>
  <c r="P26" i="72"/>
  <c r="P25" i="72"/>
  <c r="Z108" i="1"/>
  <c r="Z52" i="1"/>
  <c r="Z39" i="1" s="1"/>
  <c r="B252" i="72"/>
  <c r="AF20" i="65"/>
  <c r="E39" i="65"/>
  <c r="E22" i="65"/>
  <c r="AC49" i="1"/>
  <c r="Z21" i="65"/>
  <c r="Z22" i="65"/>
  <c r="AE22" i="65"/>
  <c r="AC25" i="65"/>
  <c r="AB25" i="65"/>
  <c r="AG249" i="1"/>
  <c r="AG252" i="1" s="1"/>
  <c r="E12" i="12"/>
  <c r="L12" i="12" s="1"/>
  <c r="AC97" i="1"/>
  <c r="AD45" i="9"/>
  <c r="AD49" i="9" s="1"/>
  <c r="AD46" i="9"/>
  <c r="AD50" i="9" s="1"/>
  <c r="AI50" i="9" s="1"/>
  <c r="AN50" i="9" s="1"/>
  <c r="AS50" i="9" s="1"/>
  <c r="AX50" i="9" s="1"/>
  <c r="BC50" i="9" s="1"/>
  <c r="AC46" i="9"/>
  <c r="AC50" i="9" s="1"/>
  <c r="AD126" i="1"/>
  <c r="AC115" i="1"/>
  <c r="C251" i="72"/>
  <c r="D251" i="72"/>
  <c r="E251" i="72"/>
  <c r="AC52" i="1" l="1"/>
  <c r="AC108" i="1"/>
  <c r="Z71" i="1"/>
  <c r="Z72" i="1"/>
  <c r="B253" i="72"/>
  <c r="AB21" i="65"/>
  <c r="AB22" i="65"/>
  <c r="AC21" i="65"/>
  <c r="AC22" i="65"/>
  <c r="AD21" i="65"/>
  <c r="AD115" i="1"/>
  <c r="AD97" i="1"/>
  <c r="AG251" i="1"/>
  <c r="AH249" i="1"/>
  <c r="AH252" i="1" s="1"/>
  <c r="AG253" i="1"/>
  <c r="AC126" i="1"/>
  <c r="AB97" i="1"/>
  <c r="AF251" i="1"/>
  <c r="AF14" i="1"/>
  <c r="F40" i="65" s="1"/>
  <c r="F41" i="65" s="1"/>
  <c r="AB126" i="1"/>
  <c r="E252" i="72"/>
  <c r="C252" i="72"/>
  <c r="D252" i="72"/>
  <c r="AC39" i="1" l="1"/>
  <c r="AC71" i="1" s="1"/>
  <c r="AC72" i="1" s="1"/>
  <c r="AC74" i="1"/>
  <c r="AC75" i="1"/>
  <c r="B254" i="72"/>
  <c r="AI249" i="1"/>
  <c r="AJ249" i="1" s="1"/>
  <c r="AL249" i="1" s="1"/>
  <c r="AH251" i="1"/>
  <c r="AF113" i="1"/>
  <c r="AF13" i="1"/>
  <c r="AE96" i="1"/>
  <c r="AE95" i="1"/>
  <c r="AH253" i="1"/>
  <c r="E13" i="12"/>
  <c r="AE5" i="1"/>
  <c r="AE42" i="1" s="1"/>
  <c r="AE45" i="9"/>
  <c r="AE49" i="9" s="1"/>
  <c r="AE125" i="1"/>
  <c r="AE112" i="1"/>
  <c r="D253" i="72"/>
  <c r="E253" i="72"/>
  <c r="C253" i="72"/>
  <c r="AF98" i="1" l="1"/>
  <c r="F65" i="65"/>
  <c r="B255" i="72"/>
  <c r="AM249" i="1"/>
  <c r="AL253" i="1"/>
  <c r="AL251" i="1"/>
  <c r="AL252" i="1"/>
  <c r="F24" i="65"/>
  <c r="F20" i="65" s="1"/>
  <c r="AI252" i="1"/>
  <c r="AI253" i="1"/>
  <c r="AI251" i="1"/>
  <c r="AF205" i="1"/>
  <c r="L13" i="12"/>
  <c r="C35" i="12"/>
  <c r="AF96" i="1"/>
  <c r="AF101" i="1"/>
  <c r="AF100" i="1"/>
  <c r="AF112" i="1"/>
  <c r="AF99" i="1"/>
  <c r="E14" i="12"/>
  <c r="L14" i="12" s="1"/>
  <c r="AF95" i="1"/>
  <c r="AK249" i="1"/>
  <c r="AJ251" i="1"/>
  <c r="AJ252" i="1"/>
  <c r="AJ253" i="1"/>
  <c r="E254" i="72"/>
  <c r="D254" i="72"/>
  <c r="C254" i="72"/>
  <c r="B256" i="72" l="1"/>
  <c r="F25" i="65"/>
  <c r="F38" i="65"/>
  <c r="AM252" i="1"/>
  <c r="AN249" i="1"/>
  <c r="AM253" i="1"/>
  <c r="AM251" i="1"/>
  <c r="AK251" i="1"/>
  <c r="AP251" i="1" s="1"/>
  <c r="AU251" i="1" s="1"/>
  <c r="AK250" i="1"/>
  <c r="C255" i="72"/>
  <c r="D255" i="72"/>
  <c r="E255" i="72"/>
  <c r="B257" i="72" l="1"/>
  <c r="F39" i="65"/>
  <c r="F22" i="65"/>
  <c r="AO249" i="1"/>
  <c r="AQ249" i="1" s="1"/>
  <c r="AN252" i="1"/>
  <c r="AN253" i="1"/>
  <c r="AN251" i="1"/>
  <c r="AP249" i="1"/>
  <c r="AU249" i="1" s="1"/>
  <c r="AU250" i="1" s="1"/>
  <c r="AZ251" i="1"/>
  <c r="E256" i="72"/>
  <c r="D256" i="72"/>
  <c r="C256" i="72"/>
  <c r="BE251" i="1" l="1"/>
  <c r="AQ252" i="1"/>
  <c r="AQ253" i="1"/>
  <c r="AQ251" i="1"/>
  <c r="AR249" i="1"/>
  <c r="AQ259" i="1"/>
  <c r="B258" i="72"/>
  <c r="AO253" i="1"/>
  <c r="AO252" i="1"/>
  <c r="AO251" i="1"/>
  <c r="AP250" i="1"/>
  <c r="E257" i="72"/>
  <c r="D257" i="72"/>
  <c r="C257" i="72"/>
  <c r="BF251" i="1" l="1"/>
  <c r="BG251" i="1" s="1"/>
  <c r="BH251" i="1" s="1"/>
  <c r="BI251" i="1" s="1"/>
  <c r="BJ251" i="1" s="1"/>
  <c r="AR252" i="1"/>
  <c r="AR253" i="1"/>
  <c r="AS249" i="1"/>
  <c r="AR251" i="1"/>
  <c r="AR259" i="1"/>
  <c r="B259" i="72"/>
  <c r="AZ249" i="1"/>
  <c r="BE249" i="1" s="1"/>
  <c r="BE250" i="1" s="1"/>
  <c r="D258" i="72"/>
  <c r="E258" i="72"/>
  <c r="C258" i="72"/>
  <c r="AS252" i="1" l="1"/>
  <c r="AS251" i="1"/>
  <c r="AS253" i="1"/>
  <c r="AT249" i="1"/>
  <c r="AV249" i="1" s="1"/>
  <c r="B260" i="72"/>
  <c r="AZ250" i="1"/>
  <c r="E259" i="72"/>
  <c r="C259" i="72"/>
  <c r="D259" i="72"/>
  <c r="AV252" i="1" l="1"/>
  <c r="AV253" i="1"/>
  <c r="AW249" i="1"/>
  <c r="AV251" i="1"/>
  <c r="AV259" i="1"/>
  <c r="AV260" i="1" s="1"/>
  <c r="AT253" i="1"/>
  <c r="AT251" i="1"/>
  <c r="AT252" i="1"/>
  <c r="B261" i="72"/>
  <c r="BF249" i="1"/>
  <c r="C260" i="72"/>
  <c r="D260" i="72"/>
  <c r="E260" i="72"/>
  <c r="AX249" i="1" l="1"/>
  <c r="AW252" i="1"/>
  <c r="AW253" i="1"/>
  <c r="AW251" i="1"/>
  <c r="AW259" i="1"/>
  <c r="AW260" i="1" s="1"/>
  <c r="B262" i="72"/>
  <c r="BG249" i="1"/>
  <c r="BF250" i="1"/>
  <c r="D261" i="72"/>
  <c r="C261" i="72"/>
  <c r="E261" i="72"/>
  <c r="AX252" i="1" l="1"/>
  <c r="AX251" i="1"/>
  <c r="AY249" i="1"/>
  <c r="BA249" i="1" s="1"/>
  <c r="AX253" i="1"/>
  <c r="B263" i="72"/>
  <c r="BG250" i="1"/>
  <c r="BH249" i="1"/>
  <c r="D262" i="72"/>
  <c r="E262" i="72"/>
  <c r="C262" i="72"/>
  <c r="BA252" i="1" l="1"/>
  <c r="BA253" i="1"/>
  <c r="BB249" i="1"/>
  <c r="BA251" i="1"/>
  <c r="AY253" i="1"/>
  <c r="AY251" i="1"/>
  <c r="AY252" i="1"/>
  <c r="B264" i="72"/>
  <c r="BH250" i="1"/>
  <c r="BI249" i="1"/>
  <c r="E263" i="72"/>
  <c r="D263" i="72"/>
  <c r="C263" i="72"/>
  <c r="BC249" i="1" l="1"/>
  <c r="BB251" i="1"/>
  <c r="BB252" i="1"/>
  <c r="BB253" i="1"/>
  <c r="BB259" i="1"/>
  <c r="BB260" i="1" s="1"/>
  <c r="B265" i="72"/>
  <c r="BI250" i="1"/>
  <c r="BJ249" i="1"/>
  <c r="E264" i="72"/>
  <c r="D264" i="72"/>
  <c r="C264" i="72"/>
  <c r="BC251" i="1" l="1"/>
  <c r="BD249" i="1"/>
  <c r="BC252" i="1"/>
  <c r="BC253" i="1"/>
  <c r="BC259" i="1"/>
  <c r="B266" i="72"/>
  <c r="BJ250" i="1"/>
  <c r="C265" i="72"/>
  <c r="D265" i="72"/>
  <c r="E265" i="72"/>
  <c r="BD252" i="1" l="1"/>
  <c r="BD251" i="1"/>
  <c r="BD253" i="1"/>
  <c r="B267" i="72"/>
  <c r="P42" i="9"/>
  <c r="P43" i="9" s="1"/>
  <c r="P12" i="9"/>
  <c r="P19" i="9" s="1"/>
  <c r="P28" i="9"/>
  <c r="P52" i="9" s="1"/>
  <c r="Q15" i="10"/>
  <c r="Q53" i="10" s="1"/>
  <c r="Q54" i="10" s="1"/>
  <c r="C266" i="72"/>
  <c r="D266" i="72"/>
  <c r="E266" i="72"/>
  <c r="B268" i="72" l="1"/>
  <c r="Q16" i="10"/>
  <c r="Q36" i="10" s="1"/>
  <c r="P16" i="10"/>
  <c r="C267" i="72"/>
  <c r="D267" i="72"/>
  <c r="E267" i="72"/>
  <c r="B269" i="72" l="1"/>
  <c r="U80" i="1"/>
  <c r="P36" i="10"/>
  <c r="E268" i="72"/>
  <c r="C268" i="72"/>
  <c r="D268" i="72"/>
  <c r="B270" i="72" l="1"/>
  <c r="U105" i="1"/>
  <c r="U106" i="1"/>
  <c r="U122" i="1"/>
  <c r="U132" i="1"/>
  <c r="V80" i="1"/>
  <c r="U81" i="1"/>
  <c r="C269" i="72"/>
  <c r="D269" i="72"/>
  <c r="E269" i="72"/>
  <c r="B271" i="72" l="1"/>
  <c r="V106" i="1"/>
  <c r="V81" i="1"/>
  <c r="V122" i="1"/>
  <c r="P36" i="9"/>
  <c r="P39" i="9" s="1"/>
  <c r="E270" i="72"/>
  <c r="C270" i="72"/>
  <c r="D270" i="72"/>
  <c r="B272" i="72" l="1"/>
  <c r="U94" i="1"/>
  <c r="E271" i="72"/>
  <c r="C271" i="72"/>
  <c r="D271" i="72"/>
  <c r="B273" i="72" l="1"/>
  <c r="C272" i="72"/>
  <c r="D272" i="72"/>
  <c r="E272" i="72"/>
  <c r="B274" i="72" l="1"/>
  <c r="T5" i="1"/>
  <c r="D273" i="72"/>
  <c r="C273" i="72"/>
  <c r="E273" i="72"/>
  <c r="J7" i="72" l="1"/>
  <c r="J10" i="72"/>
  <c r="B275" i="72"/>
  <c r="T94" i="1"/>
  <c r="T42" i="1"/>
  <c r="V5" i="1"/>
  <c r="V94" i="1" s="1"/>
  <c r="E274" i="72"/>
  <c r="D274" i="72"/>
  <c r="C274" i="72"/>
  <c r="J28" i="72" l="1"/>
  <c r="B276" i="72"/>
  <c r="V4" i="1"/>
  <c r="AB138" i="1"/>
  <c r="D275" i="72"/>
  <c r="E275" i="72"/>
  <c r="C275" i="72"/>
  <c r="B277" i="72" l="1"/>
  <c r="V105" i="1"/>
  <c r="V111" i="1"/>
  <c r="AA164" i="1"/>
  <c r="AA176" i="1" s="1"/>
  <c r="AA191" i="1" s="1"/>
  <c r="W168" i="1"/>
  <c r="W167" i="1"/>
  <c r="X168" i="1"/>
  <c r="W4" i="1"/>
  <c r="L16" i="72" s="1"/>
  <c r="D276" i="72"/>
  <c r="C276" i="72"/>
  <c r="E276" i="72"/>
  <c r="J13" i="72" l="1"/>
  <c r="J31" i="72" s="1"/>
  <c r="B278" i="72"/>
  <c r="AA178" i="1"/>
  <c r="AA179" i="1"/>
  <c r="Z165" i="1"/>
  <c r="Y165" i="1"/>
  <c r="X165" i="1"/>
  <c r="W165" i="1"/>
  <c r="AA182" i="1"/>
  <c r="W275" i="1"/>
  <c r="W111" i="1"/>
  <c r="W5" i="1"/>
  <c r="W94" i="1" s="1"/>
  <c r="AA167" i="1"/>
  <c r="W158" i="1"/>
  <c r="AA157" i="1"/>
  <c r="X159" i="1"/>
  <c r="W159" i="1"/>
  <c r="D277" i="72"/>
  <c r="E277" i="72"/>
  <c r="C277" i="72"/>
  <c r="B279" i="72" l="1"/>
  <c r="AA180" i="1"/>
  <c r="AA183" i="1"/>
  <c r="W184" i="1"/>
  <c r="W126" i="1"/>
  <c r="R46" i="9"/>
  <c r="R50" i="9" s="1"/>
  <c r="AA23" i="1"/>
  <c r="AA24" i="1" s="1"/>
  <c r="W42" i="1"/>
  <c r="AA158" i="1"/>
  <c r="C278" i="72"/>
  <c r="D278" i="72"/>
  <c r="E278" i="72"/>
  <c r="B280" i="72" l="1"/>
  <c r="AA184" i="1"/>
  <c r="AA185" i="1"/>
  <c r="W97" i="1"/>
  <c r="W115" i="1"/>
  <c r="X126" i="1"/>
  <c r="AB115" i="1"/>
  <c r="R28" i="9"/>
  <c r="R36" i="9" s="1"/>
  <c r="R39" i="9" s="1"/>
  <c r="C279" i="72"/>
  <c r="E279" i="72"/>
  <c r="D279" i="72"/>
  <c r="B281" i="72" l="1"/>
  <c r="AA115" i="1"/>
  <c r="AA97" i="1"/>
  <c r="S16" i="10"/>
  <c r="S46" i="10" s="1"/>
  <c r="E280" i="72"/>
  <c r="C280" i="72"/>
  <c r="D280" i="72"/>
  <c r="B282" i="72" l="1"/>
  <c r="S48" i="10"/>
  <c r="X82" i="1" s="1"/>
  <c r="X83" i="1" s="1"/>
  <c r="T16" i="10"/>
  <c r="T46" i="10" s="1"/>
  <c r="T28" i="9"/>
  <c r="T36" i="9" s="1"/>
  <c r="T39" i="9" s="1"/>
  <c r="X80" i="1"/>
  <c r="S36" i="10"/>
  <c r="E281" i="72"/>
  <c r="D281" i="72"/>
  <c r="C281" i="72"/>
  <c r="B283" i="72" l="1"/>
  <c r="T48" i="10"/>
  <c r="Y82" i="1" s="1"/>
  <c r="Y83" i="1" s="1"/>
  <c r="X106" i="1"/>
  <c r="G6" i="12"/>
  <c r="U28" i="9"/>
  <c r="T36" i="10"/>
  <c r="Y80" i="1"/>
  <c r="X81" i="1"/>
  <c r="X122" i="1"/>
  <c r="E282" i="72"/>
  <c r="D282" i="72"/>
  <c r="C282" i="72"/>
  <c r="B284" i="72" l="1"/>
  <c r="Y105" i="1"/>
  <c r="Y106" i="1"/>
  <c r="U36" i="9"/>
  <c r="U39" i="9" s="1"/>
  <c r="U52" i="9"/>
  <c r="G7" i="12"/>
  <c r="U16" i="10"/>
  <c r="U46" i="10" s="1"/>
  <c r="V15" i="10"/>
  <c r="V53" i="10" s="1"/>
  <c r="V54" i="10" s="1"/>
  <c r="Y81" i="1"/>
  <c r="Y132" i="1"/>
  <c r="Y122" i="1"/>
  <c r="D283" i="72"/>
  <c r="E283" i="72"/>
  <c r="C283" i="72"/>
  <c r="B285" i="72" l="1"/>
  <c r="U48" i="10"/>
  <c r="Z82" i="1" s="1"/>
  <c r="Z83" i="1" s="1"/>
  <c r="U36" i="10"/>
  <c r="Z80" i="1"/>
  <c r="C284" i="72"/>
  <c r="D284" i="72"/>
  <c r="E284" i="72"/>
  <c r="B286" i="72" l="1"/>
  <c r="Z105" i="1"/>
  <c r="Z106" i="1"/>
  <c r="G8" i="12"/>
  <c r="Z122" i="1"/>
  <c r="Z132" i="1"/>
  <c r="Z81" i="1"/>
  <c r="E285" i="72"/>
  <c r="D285" i="72"/>
  <c r="C285" i="72"/>
  <c r="B287" i="72" l="1"/>
  <c r="AB16" i="10"/>
  <c r="AB46" i="10" s="1"/>
  <c r="AE94" i="1"/>
  <c r="E286" i="72"/>
  <c r="C286" i="72"/>
  <c r="D286" i="72"/>
  <c r="B288" i="72" l="1"/>
  <c r="AB48" i="10"/>
  <c r="AB82" i="1" s="1"/>
  <c r="AB107" i="1" s="1"/>
  <c r="AB36" i="10"/>
  <c r="AB80" i="1"/>
  <c r="C287" i="72"/>
  <c r="D287" i="72"/>
  <c r="E287" i="72"/>
  <c r="B289" i="72" l="1"/>
  <c r="AB106" i="1"/>
  <c r="AB83" i="1"/>
  <c r="G10" i="12"/>
  <c r="AB81" i="1"/>
  <c r="AB132" i="1"/>
  <c r="C288" i="72"/>
  <c r="D288" i="72"/>
  <c r="E288" i="72"/>
  <c r="B290" i="72" l="1"/>
  <c r="AD16" i="10"/>
  <c r="AD46" i="10" s="1"/>
  <c r="AC16" i="10"/>
  <c r="AC46" i="10" s="1"/>
  <c r="D289" i="72"/>
  <c r="E289" i="72"/>
  <c r="C289" i="72"/>
  <c r="B291" i="72" l="1"/>
  <c r="AC48" i="10"/>
  <c r="AC82" i="1" s="1"/>
  <c r="AC107" i="1" s="1"/>
  <c r="AD48" i="10"/>
  <c r="AD82" i="1" s="1"/>
  <c r="AD107" i="1" s="1"/>
  <c r="AD36" i="10"/>
  <c r="AD80" i="1"/>
  <c r="AC36" i="10"/>
  <c r="AC80" i="1"/>
  <c r="E290" i="72"/>
  <c r="D290" i="72"/>
  <c r="C290" i="72"/>
  <c r="B292" i="72" l="1"/>
  <c r="AD83" i="1"/>
  <c r="AC83" i="1"/>
  <c r="AC106" i="1"/>
  <c r="AD106" i="1"/>
  <c r="AD122" i="1"/>
  <c r="AD132" i="1"/>
  <c r="G12" i="12"/>
  <c r="M12" i="12" s="1"/>
  <c r="G11" i="12"/>
  <c r="M11" i="12" s="1"/>
  <c r="AC122" i="1"/>
  <c r="AC132" i="1"/>
  <c r="AC81" i="1"/>
  <c r="AD81" i="1"/>
  <c r="AF15" i="10"/>
  <c r="AF53" i="10" s="1"/>
  <c r="AF54" i="10" s="1"/>
  <c r="C291" i="72"/>
  <c r="E291" i="72"/>
  <c r="D291" i="72"/>
  <c r="B293" i="72" l="1"/>
  <c r="V6" i="10"/>
  <c r="V16" i="10" s="1"/>
  <c r="D292" i="72"/>
  <c r="E292" i="72"/>
  <c r="C292" i="72"/>
  <c r="B294" i="72" l="1"/>
  <c r="V36" i="10"/>
  <c r="R16" i="10"/>
  <c r="R46" i="10" s="1"/>
  <c r="C293" i="72"/>
  <c r="D293" i="72"/>
  <c r="E293" i="72"/>
  <c r="B295" i="72" l="1"/>
  <c r="R48" i="10"/>
  <c r="V46" i="10"/>
  <c r="W80" i="1"/>
  <c r="R36" i="10"/>
  <c r="R39" i="10" s="1"/>
  <c r="S38" i="10" s="1"/>
  <c r="S39" i="10" s="1"/>
  <c r="T38" i="10" s="1"/>
  <c r="T39" i="10" s="1"/>
  <c r="U38" i="10" s="1"/>
  <c r="U39" i="10" s="1"/>
  <c r="AB38" i="10" s="1"/>
  <c r="AB39" i="10" s="1"/>
  <c r="AC38" i="10" s="1"/>
  <c r="AC39" i="10" s="1"/>
  <c r="AD38" i="10" s="1"/>
  <c r="AD39" i="10" s="1"/>
  <c r="AE38" i="10" s="1"/>
  <c r="D294" i="72"/>
  <c r="E294" i="72"/>
  <c r="C294" i="72"/>
  <c r="B296" i="72" l="1"/>
  <c r="V48" i="10"/>
  <c r="AA82" i="1" s="1"/>
  <c r="W82" i="1"/>
  <c r="W83" i="1" s="1"/>
  <c r="W106" i="1"/>
  <c r="W105" i="1"/>
  <c r="R52" i="9"/>
  <c r="R12" i="9"/>
  <c r="R19" i="9" s="1"/>
  <c r="R42" i="9"/>
  <c r="R43" i="9" s="1"/>
  <c r="X132" i="1"/>
  <c r="W132" i="1"/>
  <c r="W122" i="1"/>
  <c r="G5" i="12"/>
  <c r="AB122" i="1"/>
  <c r="AA80" i="1"/>
  <c r="W81" i="1"/>
  <c r="D295" i="72"/>
  <c r="C295" i="72"/>
  <c r="E295" i="72"/>
  <c r="AA83" i="1" l="1"/>
  <c r="AA84" i="1"/>
  <c r="B297" i="72"/>
  <c r="AA106" i="1"/>
  <c r="AA81" i="1"/>
  <c r="S42" i="9"/>
  <c r="S43" i="9" s="1"/>
  <c r="AA122" i="1"/>
  <c r="G9" i="12"/>
  <c r="C296" i="72"/>
  <c r="D296" i="72"/>
  <c r="E296" i="72"/>
  <c r="B298" i="72" l="1"/>
  <c r="T52" i="9"/>
  <c r="T12" i="9"/>
  <c r="T19" i="9" s="1"/>
  <c r="T42" i="9"/>
  <c r="T43" i="9" s="1"/>
  <c r="D297" i="72"/>
  <c r="C297" i="72"/>
  <c r="E297" i="72"/>
  <c r="B299" i="72" l="1"/>
  <c r="U42" i="9"/>
  <c r="U43" i="9" s="1"/>
  <c r="U12" i="9"/>
  <c r="U19" i="9" s="1"/>
  <c r="C298" i="72"/>
  <c r="E298" i="72"/>
  <c r="D298" i="72"/>
  <c r="B300" i="72" l="1"/>
  <c r="AB12" i="9"/>
  <c r="AB19" i="9" s="1"/>
  <c r="AB42" i="9"/>
  <c r="AB43" i="9" s="1"/>
  <c r="E299" i="72"/>
  <c r="C299" i="72"/>
  <c r="D299" i="72"/>
  <c r="B301" i="72" l="1"/>
  <c r="AC12" i="9"/>
  <c r="AC19" i="9" s="1"/>
  <c r="AC42" i="9"/>
  <c r="AC43" i="9" s="1"/>
  <c r="C300" i="72"/>
  <c r="D300" i="72"/>
  <c r="E300" i="72"/>
  <c r="B302" i="72" l="1"/>
  <c r="AD12" i="9"/>
  <c r="AD19" i="9" s="1"/>
  <c r="AD42" i="9"/>
  <c r="AD43" i="9" s="1"/>
  <c r="E301" i="72"/>
  <c r="C301" i="72"/>
  <c r="D301" i="72"/>
  <c r="B303" i="72" l="1"/>
  <c r="S49" i="9"/>
  <c r="S12" i="9"/>
  <c r="S19" i="9" s="1"/>
  <c r="S50" i="9"/>
  <c r="S28" i="9"/>
  <c r="S52" i="9" s="1"/>
  <c r="E302" i="72"/>
  <c r="C302" i="72"/>
  <c r="D302" i="72"/>
  <c r="B304" i="72" l="1"/>
  <c r="AH50" i="9"/>
  <c r="AM50" i="9" s="1"/>
  <c r="AR50" i="9" s="1"/>
  <c r="AW50" i="9" s="1"/>
  <c r="BB50" i="9" s="1"/>
  <c r="S36" i="9"/>
  <c r="S39" i="9" s="1"/>
  <c r="X137" i="1"/>
  <c r="X138" i="1"/>
  <c r="Y138" i="1"/>
  <c r="X4" i="1"/>
  <c r="M16" i="72" s="1"/>
  <c r="E303" i="72"/>
  <c r="D303" i="72"/>
  <c r="C303" i="72"/>
  <c r="B305" i="72" l="1"/>
  <c r="X105" i="1"/>
  <c r="X5" i="1"/>
  <c r="X42" i="1" s="1"/>
  <c r="AA42" i="1" s="1"/>
  <c r="AA137" i="1"/>
  <c r="X275" i="1"/>
  <c r="AA275" i="1" s="1"/>
  <c r="X111" i="1"/>
  <c r="C304" i="72"/>
  <c r="D304" i="72"/>
  <c r="E304" i="72"/>
  <c r="B306" i="72" l="1"/>
  <c r="AH259" i="1"/>
  <c r="X94" i="1"/>
  <c r="AA5" i="1"/>
  <c r="AC4" i="1"/>
  <c r="AC137" i="1"/>
  <c r="AC138" i="1"/>
  <c r="D305" i="72"/>
  <c r="C305" i="72"/>
  <c r="E305" i="72"/>
  <c r="AC105" i="1" l="1"/>
  <c r="Q16" i="72"/>
  <c r="B307" i="72"/>
  <c r="AH137" i="1"/>
  <c r="AA4" i="1"/>
  <c r="AH260" i="1"/>
  <c r="AA94" i="1"/>
  <c r="C11" i="12"/>
  <c r="K11" i="12" s="1"/>
  <c r="AC111" i="1"/>
  <c r="AC5" i="1"/>
  <c r="AC42" i="1" s="1"/>
  <c r="C306" i="72"/>
  <c r="D306" i="72"/>
  <c r="E306" i="72"/>
  <c r="B308" i="72" l="1"/>
  <c r="C9" i="12"/>
  <c r="AA105" i="1"/>
  <c r="AA111" i="1"/>
  <c r="AC94" i="1"/>
  <c r="E307" i="72"/>
  <c r="C307" i="72"/>
  <c r="D307" i="72"/>
  <c r="B309" i="72" l="1"/>
  <c r="AA140" i="1"/>
  <c r="AA141" i="1" s="1"/>
  <c r="Y141" i="1"/>
  <c r="C308" i="72"/>
  <c r="E308" i="72"/>
  <c r="D308" i="72"/>
  <c r="B310" i="72" l="1"/>
  <c r="AB4" i="1"/>
  <c r="AB158" i="1"/>
  <c r="AC159" i="1"/>
  <c r="AF157" i="1"/>
  <c r="AB159" i="1"/>
  <c r="D309" i="72"/>
  <c r="C309" i="72"/>
  <c r="E309" i="72"/>
  <c r="AB105" i="1" l="1"/>
  <c r="P16" i="72"/>
  <c r="B311" i="72"/>
  <c r="AB111" i="1"/>
  <c r="AB5" i="1"/>
  <c r="AB42" i="1" s="1"/>
  <c r="C10" i="12"/>
  <c r="AF158" i="1"/>
  <c r="E310" i="72"/>
  <c r="C310" i="72"/>
  <c r="D310" i="72"/>
  <c r="B312" i="72" l="1"/>
  <c r="AB94" i="1"/>
  <c r="AB28" i="9"/>
  <c r="AB52" i="9" s="1"/>
  <c r="E311" i="72"/>
  <c r="D311" i="72"/>
  <c r="C311" i="72"/>
  <c r="B313" i="72" l="1"/>
  <c r="AB36" i="9"/>
  <c r="AC28" i="9"/>
  <c r="AC52" i="9" s="1"/>
  <c r="D312" i="72"/>
  <c r="C312" i="72"/>
  <c r="E312" i="72"/>
  <c r="B314" i="72" l="1"/>
  <c r="AB38" i="9"/>
  <c r="AB39" i="9" s="1"/>
  <c r="AC36" i="9"/>
  <c r="C313" i="72"/>
  <c r="E313" i="72"/>
  <c r="D313" i="72"/>
  <c r="B315" i="72" l="1"/>
  <c r="AC38" i="9"/>
  <c r="AC39" i="9" s="1"/>
  <c r="E314" i="72"/>
  <c r="C314" i="72"/>
  <c r="D314" i="72"/>
  <c r="B316" i="72" l="1"/>
  <c r="AB141" i="1"/>
  <c r="D315" i="72"/>
  <c r="C315" i="72"/>
  <c r="E315" i="72"/>
  <c r="B317" i="72" l="1"/>
  <c r="AG259" i="1"/>
  <c r="AH138" i="1"/>
  <c r="AG137" i="1"/>
  <c r="AG138" i="1"/>
  <c r="C316" i="72"/>
  <c r="D316" i="72"/>
  <c r="E316" i="72"/>
  <c r="B318" i="72" l="1"/>
  <c r="AG260" i="1"/>
  <c r="AB168" i="1"/>
  <c r="AC168" i="1"/>
  <c r="AB167" i="1"/>
  <c r="E317" i="72"/>
  <c r="D317" i="72"/>
  <c r="C317" i="72"/>
  <c r="B319" i="72" l="1"/>
  <c r="AB161" i="1"/>
  <c r="AG162" i="1" s="1"/>
  <c r="AB166" i="1"/>
  <c r="E318" i="72"/>
  <c r="D318" i="72"/>
  <c r="C318" i="72"/>
  <c r="B320" i="72" l="1"/>
  <c r="AB162" i="1"/>
  <c r="D319" i="72"/>
  <c r="E319" i="72"/>
  <c r="C319" i="72"/>
  <c r="B321" i="72" l="1"/>
  <c r="AK7" i="10"/>
  <c r="AK41" i="1"/>
  <c r="AL130" i="1" s="1"/>
  <c r="E320" i="72"/>
  <c r="D320" i="72"/>
  <c r="C320" i="72"/>
  <c r="B322" i="72" l="1"/>
  <c r="AK119" i="1"/>
  <c r="E321" i="72"/>
  <c r="D321" i="72"/>
  <c r="C321" i="72"/>
  <c r="B323" i="72" l="1"/>
  <c r="AP119" i="1"/>
  <c r="D322" i="72"/>
  <c r="C322" i="72"/>
  <c r="E322" i="72"/>
  <c r="B324" i="72" l="1"/>
  <c r="E323" i="72"/>
  <c r="D323" i="72"/>
  <c r="C323" i="72"/>
  <c r="B325" i="72" l="1"/>
  <c r="E324" i="72"/>
  <c r="D324" i="72"/>
  <c r="C324" i="72"/>
  <c r="B326" i="72" l="1"/>
  <c r="BF119" i="1"/>
  <c r="C325" i="72"/>
  <c r="E325" i="72"/>
  <c r="D325" i="72"/>
  <c r="B327" i="72" l="1"/>
  <c r="BG119" i="1"/>
  <c r="C326" i="72"/>
  <c r="E326" i="72"/>
  <c r="D326" i="72"/>
  <c r="B328" i="72" l="1"/>
  <c r="BH119" i="1"/>
  <c r="D327" i="72"/>
  <c r="C327" i="72"/>
  <c r="E327" i="72"/>
  <c r="B329" i="72" l="1"/>
  <c r="BI119" i="1"/>
  <c r="D328" i="72"/>
  <c r="E328" i="72"/>
  <c r="C328" i="72"/>
  <c r="B330" i="72" l="1"/>
  <c r="BJ119" i="1"/>
  <c r="AD167" i="1"/>
  <c r="AD168" i="1"/>
  <c r="AD161" i="1"/>
  <c r="C329" i="72"/>
  <c r="D329" i="72"/>
  <c r="E329" i="72"/>
  <c r="B331" i="72" l="1"/>
  <c r="AD162" i="1"/>
  <c r="AD166" i="1"/>
  <c r="E330" i="72"/>
  <c r="C330" i="72"/>
  <c r="D330" i="72"/>
  <c r="B332" i="72" l="1"/>
  <c r="AD184" i="1"/>
  <c r="D331" i="72"/>
  <c r="E331" i="72"/>
  <c r="C331" i="72"/>
  <c r="B333" i="72" l="1"/>
  <c r="AE24" i="1"/>
  <c r="D332" i="72"/>
  <c r="C332" i="72"/>
  <c r="E332" i="72"/>
  <c r="B334" i="72" l="1"/>
  <c r="AE32" i="1"/>
  <c r="AF182" i="1"/>
  <c r="C333" i="72"/>
  <c r="E333" i="72"/>
  <c r="D333" i="72"/>
  <c r="AE43" i="1" l="1"/>
  <c r="AE49" i="1"/>
  <c r="B335" i="72"/>
  <c r="AE102" i="1"/>
  <c r="AF23" i="1"/>
  <c r="AF24" i="1" s="1"/>
  <c r="AG126" i="1" s="1"/>
  <c r="AE46" i="9"/>
  <c r="AE50" i="9" s="1"/>
  <c r="AJ50" i="9" s="1"/>
  <c r="AO50" i="9" s="1"/>
  <c r="AT50" i="9" s="1"/>
  <c r="AY50" i="9" s="1"/>
  <c r="BD50" i="9" s="1"/>
  <c r="C334" i="72"/>
  <c r="D334" i="72"/>
  <c r="E334" i="72"/>
  <c r="AE52" i="1" l="1"/>
  <c r="AE108" i="1"/>
  <c r="B336" i="72"/>
  <c r="AE115" i="1"/>
  <c r="AE126" i="1"/>
  <c r="AE97" i="1"/>
  <c r="C335" i="72"/>
  <c r="E335" i="72"/>
  <c r="D335" i="72"/>
  <c r="AE39" i="1" l="1"/>
  <c r="AE71" i="1" s="1"/>
  <c r="AE72" i="1" s="1"/>
  <c r="AE74" i="1"/>
  <c r="AE75" i="1"/>
  <c r="B337" i="72"/>
  <c r="AI117" i="1"/>
  <c r="AI116" i="1"/>
  <c r="AJ116" i="1"/>
  <c r="AH116" i="1"/>
  <c r="AH117" i="1"/>
  <c r="AF97" i="1"/>
  <c r="AF115" i="1"/>
  <c r="D336" i="72"/>
  <c r="C336" i="72"/>
  <c r="E336" i="72"/>
  <c r="AE64" i="1" l="1"/>
  <c r="B338" i="72"/>
  <c r="AJ128" i="1"/>
  <c r="AJ117" i="1"/>
  <c r="AH118" i="1"/>
  <c r="AH129" i="1"/>
  <c r="AJ118" i="1"/>
  <c r="AJ129" i="1"/>
  <c r="AH127" i="1"/>
  <c r="AJ127" i="1"/>
  <c r="AK28" i="1"/>
  <c r="AP118" i="1" s="1"/>
  <c r="AK26" i="1"/>
  <c r="AI127" i="1"/>
  <c r="AK27" i="1"/>
  <c r="AK117" i="1" s="1"/>
  <c r="AI118" i="1"/>
  <c r="AI129" i="1"/>
  <c r="AH128" i="1"/>
  <c r="AI128" i="1"/>
  <c r="D337" i="72"/>
  <c r="E337" i="72"/>
  <c r="C337" i="72"/>
  <c r="B339" i="72" l="1"/>
  <c r="AK30" i="1"/>
  <c r="BA11" i="9"/>
  <c r="BB11" i="9" s="1"/>
  <c r="BC11" i="9" s="1"/>
  <c r="BD11" i="9" s="1"/>
  <c r="AK116" i="1"/>
  <c r="AK118" i="1"/>
  <c r="BK23" i="9"/>
  <c r="BL23" i="9" s="1"/>
  <c r="BM23" i="9" s="1"/>
  <c r="BN23" i="9" s="1"/>
  <c r="BO23" i="9" s="1"/>
  <c r="BP23" i="9" s="1"/>
  <c r="BQ23" i="9" s="1"/>
  <c r="BR23" i="9" s="1"/>
  <c r="BS23" i="9" s="1"/>
  <c r="BT23" i="9" s="1"/>
  <c r="D338" i="72"/>
  <c r="C338" i="72"/>
  <c r="E338" i="72"/>
  <c r="BE11" i="9" l="1"/>
  <c r="BF11" i="9" s="1"/>
  <c r="BG11" i="9" s="1"/>
  <c r="BH11" i="9" s="1"/>
  <c r="BI11" i="9" s="1"/>
  <c r="B340" i="72"/>
  <c r="D339" i="72"/>
  <c r="E339" i="72"/>
  <c r="C339" i="72"/>
  <c r="B341" i="72" l="1"/>
  <c r="BA23" i="9"/>
  <c r="BB23" i="9" s="1"/>
  <c r="BC23" i="9" s="1"/>
  <c r="BD23" i="9" s="1"/>
  <c r="AF6" i="10"/>
  <c r="AF16" i="10" s="1"/>
  <c r="AE16" i="10"/>
  <c r="AE46" i="10" s="1"/>
  <c r="E340" i="72"/>
  <c r="D340" i="72"/>
  <c r="C340" i="72"/>
  <c r="BE23" i="9" l="1"/>
  <c r="BF23" i="9" s="1"/>
  <c r="BG23" i="9" s="1"/>
  <c r="BH23" i="9" s="1"/>
  <c r="BI23" i="9" s="1"/>
  <c r="B342" i="72"/>
  <c r="AF46" i="10"/>
  <c r="AE56" i="10"/>
  <c r="AF36" i="10"/>
  <c r="AE48" i="10"/>
  <c r="AE80" i="1"/>
  <c r="AE36" i="10"/>
  <c r="AE39" i="10" s="1"/>
  <c r="AG38" i="10" s="1"/>
  <c r="D341" i="72"/>
  <c r="C341" i="72"/>
  <c r="E341" i="72"/>
  <c r="B343" i="72" l="1"/>
  <c r="AF48" i="10"/>
  <c r="AF82" i="1" s="1"/>
  <c r="AE82" i="1"/>
  <c r="AE107" i="1" s="1"/>
  <c r="AE105" i="1"/>
  <c r="AE106" i="1"/>
  <c r="AE42" i="9"/>
  <c r="AE43" i="9" s="1"/>
  <c r="AE12" i="9"/>
  <c r="AE19" i="9" s="1"/>
  <c r="AE132" i="1"/>
  <c r="AE122" i="1"/>
  <c r="AE81" i="1"/>
  <c r="AF81" i="1" s="1"/>
  <c r="G13" i="12"/>
  <c r="M13" i="12" s="1"/>
  <c r="AF80" i="1"/>
  <c r="E342" i="72"/>
  <c r="D342" i="72"/>
  <c r="C342" i="72"/>
  <c r="AF107" i="1" l="1"/>
  <c r="AF84" i="1"/>
  <c r="B344" i="72"/>
  <c r="AE83" i="1"/>
  <c r="AF83" i="1"/>
  <c r="AF106" i="1"/>
  <c r="G14" i="12"/>
  <c r="M14" i="12" s="1"/>
  <c r="AF122" i="1"/>
  <c r="C343" i="72"/>
  <c r="E343" i="72"/>
  <c r="D343" i="72"/>
  <c r="B345" i="72" l="1"/>
  <c r="AE138" i="1"/>
  <c r="AD138" i="1"/>
  <c r="AD137" i="1"/>
  <c r="AF136" i="1"/>
  <c r="AF137" i="1" s="1"/>
  <c r="AD140" i="1"/>
  <c r="AD4" i="1"/>
  <c r="E344" i="72"/>
  <c r="C344" i="72"/>
  <c r="D344" i="72"/>
  <c r="AD105" i="1" l="1"/>
  <c r="R16" i="72"/>
  <c r="B346" i="72"/>
  <c r="AD111" i="1"/>
  <c r="AD141" i="1"/>
  <c r="AF140" i="1"/>
  <c r="AF141" i="1" s="1"/>
  <c r="AD5" i="1"/>
  <c r="AD94" i="1" s="1"/>
  <c r="C12" i="12"/>
  <c r="K12" i="12" s="1"/>
  <c r="C345" i="72"/>
  <c r="E345" i="72"/>
  <c r="D345" i="72"/>
  <c r="B347" i="72" l="1"/>
  <c r="AD42" i="1"/>
  <c r="AF5" i="1"/>
  <c r="AF4" i="1" s="1"/>
  <c r="AF105" i="1" s="1"/>
  <c r="C346" i="72"/>
  <c r="E346" i="72"/>
  <c r="D346" i="72"/>
  <c r="B348" i="72" l="1"/>
  <c r="AF94" i="1"/>
  <c r="AF42" i="1"/>
  <c r="AD28" i="9"/>
  <c r="AD52" i="9" s="1"/>
  <c r="C347" i="72"/>
  <c r="E347" i="72"/>
  <c r="D347" i="72"/>
  <c r="B349" i="72" l="1"/>
  <c r="AE28" i="9"/>
  <c r="AE52" i="9" s="1"/>
  <c r="AD36" i="9"/>
  <c r="AD39" i="9" s="1"/>
  <c r="AF111" i="1"/>
  <c r="C14" i="12"/>
  <c r="K14" i="12" s="1"/>
  <c r="E348" i="72"/>
  <c r="D348" i="72"/>
  <c r="C348" i="72"/>
  <c r="B350" i="72" l="1"/>
  <c r="AE36" i="9"/>
  <c r="AE39" i="9" s="1"/>
  <c r="D349" i="72"/>
  <c r="E349" i="72"/>
  <c r="C349" i="72"/>
  <c r="B351" i="72" l="1"/>
  <c r="AA48" i="1"/>
  <c r="C350" i="72"/>
  <c r="D350" i="72"/>
  <c r="E350" i="72"/>
  <c r="B352" i="72" l="1"/>
  <c r="AF48" i="1"/>
  <c r="D351" i="72"/>
  <c r="E351" i="72"/>
  <c r="C351" i="72"/>
  <c r="B353" i="72" l="1"/>
  <c r="AH162" i="1"/>
  <c r="AM162" i="1"/>
  <c r="D352" i="72"/>
  <c r="C352" i="72"/>
  <c r="E352" i="72"/>
  <c r="B354" i="72" l="1"/>
  <c r="E353" i="72"/>
  <c r="C353" i="72"/>
  <c r="D353" i="72"/>
  <c r="B355" i="72" l="1"/>
  <c r="C354" i="72"/>
  <c r="D354" i="72"/>
  <c r="E354" i="72"/>
  <c r="B356" i="72" l="1"/>
  <c r="AE161" i="1"/>
  <c r="AF161" i="1" s="1"/>
  <c r="AF179" i="1"/>
  <c r="AE166" i="1"/>
  <c r="AE167" i="1"/>
  <c r="AE168" i="1"/>
  <c r="AF183" i="1"/>
  <c r="AE184" i="1"/>
  <c r="C355" i="72"/>
  <c r="E355" i="72"/>
  <c r="D355" i="72"/>
  <c r="B357" i="72" l="1"/>
  <c r="AE165" i="1"/>
  <c r="AF176" i="1"/>
  <c r="AF191" i="1" s="1"/>
  <c r="AD165" i="1"/>
  <c r="AF167" i="1"/>
  <c r="AC165" i="1"/>
  <c r="AB165" i="1"/>
  <c r="AF184" i="1"/>
  <c r="AF162" i="1"/>
  <c r="AE162" i="1"/>
  <c r="E356" i="72"/>
  <c r="D356" i="72"/>
  <c r="C356" i="72"/>
  <c r="B358" i="72" l="1"/>
  <c r="AF178" i="1"/>
  <c r="AF177" i="1"/>
  <c r="AF185" i="1"/>
  <c r="AF180" i="1"/>
  <c r="E357" i="72"/>
  <c r="C357" i="72"/>
  <c r="D357" i="72"/>
  <c r="B359" i="72" l="1"/>
  <c r="D358" i="72"/>
  <c r="E358" i="72"/>
  <c r="C358" i="72"/>
  <c r="B360" i="72" l="1"/>
  <c r="E359" i="72"/>
  <c r="D359" i="72"/>
  <c r="C359" i="72"/>
  <c r="B361" i="72" l="1"/>
  <c r="E360" i="72"/>
  <c r="C360" i="72"/>
  <c r="D360" i="72"/>
  <c r="B362" i="72" l="1"/>
  <c r="D361" i="72"/>
  <c r="C361" i="72"/>
  <c r="E361" i="72"/>
  <c r="B363" i="72" l="1"/>
  <c r="D362" i="72"/>
  <c r="E362" i="72"/>
  <c r="C362" i="72"/>
  <c r="B364" i="72" l="1"/>
  <c r="D363" i="72"/>
  <c r="C363" i="72"/>
  <c r="E363" i="72"/>
  <c r="B365" i="72" l="1"/>
  <c r="D364" i="72"/>
  <c r="C364" i="72"/>
  <c r="E364" i="72"/>
  <c r="B366" i="72" l="1"/>
  <c r="C365" i="72"/>
  <c r="D365" i="72"/>
  <c r="E365" i="72"/>
  <c r="B367" i="72" l="1"/>
  <c r="C366" i="72"/>
  <c r="D366" i="72"/>
  <c r="E366" i="72"/>
  <c r="B368" i="72" l="1"/>
  <c r="D367" i="72"/>
  <c r="C367" i="72"/>
  <c r="E367" i="72"/>
  <c r="K7" i="72" l="1"/>
  <c r="K10" i="72"/>
  <c r="B369" i="72"/>
  <c r="E368" i="72"/>
  <c r="C368" i="72"/>
  <c r="D368" i="72"/>
  <c r="K28" i="72" l="1"/>
  <c r="K13" i="72"/>
  <c r="K31" i="72" s="1"/>
  <c r="B370" i="72"/>
  <c r="D369" i="72"/>
  <c r="C369" i="72"/>
  <c r="E369" i="72"/>
  <c r="B371" i="72" l="1"/>
  <c r="E370" i="72"/>
  <c r="D370" i="72"/>
  <c r="C370" i="72"/>
  <c r="B372" i="72" l="1"/>
  <c r="E371" i="72"/>
  <c r="C371" i="72"/>
  <c r="D371" i="72"/>
  <c r="B373" i="72" l="1"/>
  <c r="E372" i="72"/>
  <c r="C372" i="72"/>
  <c r="D372" i="72"/>
  <c r="B374" i="72" l="1"/>
  <c r="D373" i="72"/>
  <c r="E373" i="72"/>
  <c r="C373" i="72"/>
  <c r="B375" i="72" l="1"/>
  <c r="C374" i="72"/>
  <c r="E374" i="72"/>
  <c r="D374" i="72"/>
  <c r="B376" i="72" l="1"/>
  <c r="E375" i="72"/>
  <c r="D375" i="72"/>
  <c r="C375" i="72"/>
  <c r="B377" i="72" l="1"/>
  <c r="C376" i="72"/>
  <c r="D376" i="72"/>
  <c r="E376" i="72"/>
  <c r="B378" i="72" l="1"/>
  <c r="AH167" i="1"/>
  <c r="AH166" i="1"/>
  <c r="AH179" i="1"/>
  <c r="AH168" i="1"/>
  <c r="AH182" i="1"/>
  <c r="AG179" i="1"/>
  <c r="AG180" i="1"/>
  <c r="AG182" i="1"/>
  <c r="D377" i="72"/>
  <c r="C377" i="72"/>
  <c r="E377" i="72"/>
  <c r="B379" i="72" l="1"/>
  <c r="AH180" i="1"/>
  <c r="AG13" i="1"/>
  <c r="AG158" i="1"/>
  <c r="AG159" i="1"/>
  <c r="AG261" i="1"/>
  <c r="AG262" i="1" s="1"/>
  <c r="AG4" i="1"/>
  <c r="AH114" i="1"/>
  <c r="AH13" i="1"/>
  <c r="AH98" i="1" s="1"/>
  <c r="AI261" i="1"/>
  <c r="AI262" i="1" s="1"/>
  <c r="AH159" i="1"/>
  <c r="AH158" i="1"/>
  <c r="AH261" i="1"/>
  <c r="AH262" i="1" s="1"/>
  <c r="D378" i="72"/>
  <c r="E378" i="72"/>
  <c r="C378" i="72"/>
  <c r="AG98" i="1" l="1"/>
  <c r="T16" i="72"/>
  <c r="AG111" i="1"/>
  <c r="U17" i="72"/>
  <c r="AH23" i="1"/>
  <c r="T17" i="72"/>
  <c r="AG24" i="65"/>
  <c r="AG97" i="1"/>
  <c r="AG96" i="1"/>
  <c r="AG101" i="1"/>
  <c r="AG95" i="1"/>
  <c r="AG125" i="1"/>
  <c r="AG100" i="1"/>
  <c r="AG23" i="1"/>
  <c r="AG46" i="9" s="1"/>
  <c r="AG50" i="9" s="1"/>
  <c r="AL50" i="9" s="1"/>
  <c r="AQ50" i="9" s="1"/>
  <c r="AV50" i="9" s="1"/>
  <c r="BA50" i="9" s="1"/>
  <c r="AG99" i="1"/>
  <c r="AG112" i="1"/>
  <c r="AG54" i="10"/>
  <c r="B380" i="72"/>
  <c r="AH185" i="1"/>
  <c r="AH187" i="1"/>
  <c r="AH21" i="1"/>
  <c r="AH24" i="65"/>
  <c r="AH20" i="65" s="1"/>
  <c r="AH275" i="1"/>
  <c r="C16" i="12"/>
  <c r="K16" i="12" s="1"/>
  <c r="AH111" i="1"/>
  <c r="AH5" i="1"/>
  <c r="AH125" i="1"/>
  <c r="AH276" i="1"/>
  <c r="AH99" i="1"/>
  <c r="AH95" i="1"/>
  <c r="AH112" i="1"/>
  <c r="AH45" i="9"/>
  <c r="AH100" i="1"/>
  <c r="AH101" i="1"/>
  <c r="E16" i="12"/>
  <c r="L16" i="12" s="1"/>
  <c r="AH96" i="1"/>
  <c r="C15" i="12"/>
  <c r="K15" i="12" s="1"/>
  <c r="AG275" i="1"/>
  <c r="AG5" i="1"/>
  <c r="AG94" i="1" s="1"/>
  <c r="AG45" i="9"/>
  <c r="AG49" i="9" s="1"/>
  <c r="AG21" i="1"/>
  <c r="E15" i="12"/>
  <c r="AG276" i="1"/>
  <c r="AG32" i="1"/>
  <c r="D379" i="72"/>
  <c r="E379" i="72"/>
  <c r="C379" i="72"/>
  <c r="AG49" i="1" l="1"/>
  <c r="AG108" i="1" s="1"/>
  <c r="AG36" i="1"/>
  <c r="AG102" i="1"/>
  <c r="AG20" i="65"/>
  <c r="T26" i="72"/>
  <c r="T25" i="72"/>
  <c r="U25" i="72"/>
  <c r="U26" i="72"/>
  <c r="B381" i="72"/>
  <c r="AH22" i="65"/>
  <c r="AH188" i="1"/>
  <c r="AG25" i="65"/>
  <c r="AH94" i="1"/>
  <c r="AH42" i="1"/>
  <c r="L15" i="12"/>
  <c r="C36" i="12"/>
  <c r="AG42" i="1"/>
  <c r="AG43" i="1" s="1"/>
  <c r="E380" i="72"/>
  <c r="D380" i="72"/>
  <c r="C380" i="72"/>
  <c r="AG104" i="1" l="1"/>
  <c r="AG103" i="1"/>
  <c r="B382" i="72"/>
  <c r="AG28" i="9"/>
  <c r="AG36" i="9" s="1"/>
  <c r="AP117" i="1"/>
  <c r="AH52" i="10"/>
  <c r="AH53" i="10" s="1"/>
  <c r="AH54" i="10" s="1"/>
  <c r="AG21" i="65"/>
  <c r="AG22" i="65"/>
  <c r="D381" i="72"/>
  <c r="E381" i="72"/>
  <c r="C381" i="72"/>
  <c r="B383" i="72" l="1"/>
  <c r="AP116" i="1"/>
  <c r="E382" i="72"/>
  <c r="C382" i="72"/>
  <c r="D382" i="72"/>
  <c r="B384" i="72" l="1"/>
  <c r="E383" i="72"/>
  <c r="C383" i="72"/>
  <c r="D383" i="72"/>
  <c r="B385" i="72" l="1"/>
  <c r="AH21" i="65"/>
  <c r="E384" i="72"/>
  <c r="C384" i="72"/>
  <c r="D384" i="72"/>
  <c r="B386" i="72" l="1"/>
  <c r="AH25" i="65"/>
  <c r="D385" i="72"/>
  <c r="C385" i="72"/>
  <c r="E385" i="72"/>
  <c r="B387" i="72" l="1"/>
  <c r="D386" i="72"/>
  <c r="C386" i="72"/>
  <c r="E386" i="72"/>
  <c r="B388" i="72" l="1"/>
  <c r="D387" i="72"/>
  <c r="C387" i="72"/>
  <c r="E387" i="72"/>
  <c r="B389" i="72" l="1"/>
  <c r="E388" i="72"/>
  <c r="C388" i="72"/>
  <c r="D388" i="72"/>
  <c r="B390" i="72" l="1"/>
  <c r="D389" i="72"/>
  <c r="C389" i="72"/>
  <c r="E389" i="72"/>
  <c r="B391" i="72" l="1"/>
  <c r="C390" i="72"/>
  <c r="E390" i="72"/>
  <c r="D390" i="72"/>
  <c r="B392" i="72" l="1"/>
  <c r="C391" i="72"/>
  <c r="D391" i="72"/>
  <c r="E391" i="72"/>
  <c r="B393" i="72" l="1"/>
  <c r="D392" i="72"/>
  <c r="E392" i="72"/>
  <c r="C392" i="72"/>
  <c r="B394" i="72" l="1"/>
  <c r="E393" i="72"/>
  <c r="D393" i="72"/>
  <c r="C393" i="72"/>
  <c r="B395" i="72" l="1"/>
  <c r="D394" i="72"/>
  <c r="C394" i="72"/>
  <c r="E394" i="72"/>
  <c r="B396" i="72" l="1"/>
  <c r="C395" i="72"/>
  <c r="D395" i="72"/>
  <c r="E395" i="72"/>
  <c r="B397" i="72" l="1"/>
  <c r="C396" i="72"/>
  <c r="D396" i="72"/>
  <c r="E396" i="72"/>
  <c r="B398" i="72" l="1"/>
  <c r="D397" i="72"/>
  <c r="E397" i="72"/>
  <c r="C397" i="72"/>
  <c r="B399" i="72" l="1"/>
  <c r="C398" i="72"/>
  <c r="E398" i="72"/>
  <c r="D398" i="72"/>
  <c r="B400" i="72" l="1"/>
  <c r="C399" i="72"/>
  <c r="D399" i="72"/>
  <c r="E399" i="72"/>
  <c r="B401" i="72" l="1"/>
  <c r="C400" i="72"/>
  <c r="E400" i="72"/>
  <c r="D400" i="72"/>
  <c r="B402" i="72" l="1"/>
  <c r="AE69" i="1"/>
  <c r="AE103" i="1"/>
  <c r="AE104" i="1"/>
  <c r="E35" i="12"/>
  <c r="D401" i="72"/>
  <c r="E401" i="72"/>
  <c r="C401" i="72"/>
  <c r="B403" i="72" l="1"/>
  <c r="AB32" i="1"/>
  <c r="D402" i="72"/>
  <c r="E402" i="72"/>
  <c r="C402" i="72"/>
  <c r="B404" i="72" l="1"/>
  <c r="AF38" i="1"/>
  <c r="AB49" i="1"/>
  <c r="AB102" i="1"/>
  <c r="AB43" i="1"/>
  <c r="E403" i="72"/>
  <c r="D403" i="72"/>
  <c r="C403" i="72"/>
  <c r="AB56" i="10" l="1"/>
  <c r="AG120" i="1"/>
  <c r="AB52" i="1"/>
  <c r="AB108" i="1"/>
  <c r="B405" i="72"/>
  <c r="AB69" i="1"/>
  <c r="AB103" i="1"/>
  <c r="AB104" i="1"/>
  <c r="AD32" i="1"/>
  <c r="AD49" i="1" s="1"/>
  <c r="C404" i="72"/>
  <c r="D404" i="72"/>
  <c r="E404" i="72"/>
  <c r="AB75" i="1" l="1"/>
  <c r="AB74" i="1"/>
  <c r="AD108" i="1"/>
  <c r="AD52" i="1"/>
  <c r="AB39" i="1"/>
  <c r="B406" i="72"/>
  <c r="AD69" i="1"/>
  <c r="AC43" i="1"/>
  <c r="AD102" i="1"/>
  <c r="AC69" i="1"/>
  <c r="AC102" i="1"/>
  <c r="AD43" i="1"/>
  <c r="AD56" i="10" s="1"/>
  <c r="D405" i="72"/>
  <c r="C405" i="72"/>
  <c r="E405" i="72"/>
  <c r="AD39" i="1" l="1"/>
  <c r="AD71" i="1" s="1"/>
  <c r="AD72" i="1" s="1"/>
  <c r="AD74" i="1"/>
  <c r="AD75" i="1"/>
  <c r="AF52" i="1"/>
  <c r="AC131" i="1"/>
  <c r="AC56" i="10"/>
  <c r="AB71" i="1"/>
  <c r="AB72" i="1" s="1"/>
  <c r="B407" i="72"/>
  <c r="AC104" i="1"/>
  <c r="AC103" i="1"/>
  <c r="AD104" i="1"/>
  <c r="AE131" i="1"/>
  <c r="AD103" i="1"/>
  <c r="AD131" i="1"/>
  <c r="C406" i="72"/>
  <c r="D406" i="72"/>
  <c r="E406" i="72"/>
  <c r="AF39" i="1" l="1"/>
  <c r="AF71" i="1" s="1"/>
  <c r="AF74" i="1"/>
  <c r="AF75" i="1"/>
  <c r="B408" i="72"/>
  <c r="AG66" i="1"/>
  <c r="AG52" i="1"/>
  <c r="E407" i="72"/>
  <c r="D407" i="72"/>
  <c r="C407" i="72"/>
  <c r="AF72" i="1" l="1"/>
  <c r="AG39" i="1"/>
  <c r="AG74" i="1"/>
  <c r="AG75" i="1"/>
  <c r="B409" i="72"/>
  <c r="AG16" i="10"/>
  <c r="AG80" i="1" s="1"/>
  <c r="AG69" i="1"/>
  <c r="AG121" i="1" s="1"/>
  <c r="E36" i="12"/>
  <c r="C408" i="72"/>
  <c r="D408" i="72"/>
  <c r="E408" i="72"/>
  <c r="B410" i="72" l="1"/>
  <c r="AG106" i="1"/>
  <c r="AG132" i="1"/>
  <c r="AG105" i="1"/>
  <c r="AG122" i="1"/>
  <c r="E409" i="72"/>
  <c r="D409" i="72"/>
  <c r="C409" i="72"/>
  <c r="B411" i="72" l="1"/>
  <c r="AG71" i="1"/>
  <c r="AG72" i="1" s="1"/>
  <c r="AG46" i="10"/>
  <c r="AG56" i="10" s="1"/>
  <c r="AG36" i="10"/>
  <c r="D410" i="72"/>
  <c r="E410" i="72"/>
  <c r="C410" i="72"/>
  <c r="B412" i="72" l="1"/>
  <c r="AG39" i="10"/>
  <c r="AH38" i="10" s="1"/>
  <c r="G15" i="12"/>
  <c r="M15" i="12" s="1"/>
  <c r="AG81" i="1"/>
  <c r="AG48" i="10"/>
  <c r="C411" i="72"/>
  <c r="D411" i="72"/>
  <c r="E411" i="72"/>
  <c r="B413" i="72" l="1"/>
  <c r="AG82" i="1"/>
  <c r="AG52" i="9"/>
  <c r="AG42" i="9"/>
  <c r="AG43" i="9" s="1"/>
  <c r="AG12" i="9"/>
  <c r="AG19" i="9" s="1"/>
  <c r="AG39" i="9" s="1"/>
  <c r="C412" i="72"/>
  <c r="D412" i="72"/>
  <c r="E412" i="72"/>
  <c r="AG107" i="1" l="1"/>
  <c r="B414" i="72"/>
  <c r="AG83" i="1"/>
  <c r="E413" i="72"/>
  <c r="D413" i="72"/>
  <c r="C413" i="72"/>
  <c r="B415" i="72" l="1"/>
  <c r="D414" i="72"/>
  <c r="E414" i="72"/>
  <c r="C414" i="72"/>
  <c r="B416" i="72" l="1"/>
  <c r="E415" i="72"/>
  <c r="C415" i="72"/>
  <c r="D415" i="72"/>
  <c r="B417" i="72" l="1"/>
  <c r="W32" i="1"/>
  <c r="Y32" i="1"/>
  <c r="X32" i="1"/>
  <c r="C416" i="72"/>
  <c r="E416" i="72"/>
  <c r="D416" i="72"/>
  <c r="B418" i="72" l="1"/>
  <c r="W49" i="1"/>
  <c r="W69" i="1" s="1"/>
  <c r="X102" i="1"/>
  <c r="X49" i="1"/>
  <c r="X108" i="1" s="1"/>
  <c r="Y49" i="1"/>
  <c r="Z43" i="1"/>
  <c r="Y43" i="1"/>
  <c r="Y102" i="1"/>
  <c r="Z102" i="1"/>
  <c r="W102" i="1"/>
  <c r="W43" i="1"/>
  <c r="R56" i="10" s="1"/>
  <c r="X43" i="1"/>
  <c r="S56" i="10" s="1"/>
  <c r="E417" i="72"/>
  <c r="C417" i="72"/>
  <c r="D417" i="72"/>
  <c r="Z131" i="1" l="1"/>
  <c r="T56" i="10"/>
  <c r="AE120" i="1"/>
  <c r="U56" i="10"/>
  <c r="Y52" i="1"/>
  <c r="Y39" i="1" s="1"/>
  <c r="Y108" i="1"/>
  <c r="W52" i="1"/>
  <c r="W108" i="1"/>
  <c r="B419" i="72"/>
  <c r="X69" i="1"/>
  <c r="X52" i="1"/>
  <c r="Z103" i="1"/>
  <c r="AB131" i="1"/>
  <c r="Z104" i="1"/>
  <c r="Z69" i="1"/>
  <c r="AC120" i="1"/>
  <c r="X104" i="1"/>
  <c r="X103" i="1"/>
  <c r="X131" i="1"/>
  <c r="Y69" i="1"/>
  <c r="AB121" i="1"/>
  <c r="W103" i="1"/>
  <c r="W104" i="1"/>
  <c r="AB120" i="1"/>
  <c r="Y104" i="1"/>
  <c r="Y131" i="1"/>
  <c r="AD120" i="1"/>
  <c r="Y103" i="1"/>
  <c r="C418" i="72"/>
  <c r="E418" i="72"/>
  <c r="D418" i="72"/>
  <c r="Y72" i="1" l="1"/>
  <c r="Y71" i="1"/>
  <c r="AA52" i="1"/>
  <c r="W39" i="1"/>
  <c r="B420" i="72"/>
  <c r="AC121" i="1"/>
  <c r="AE121" i="1"/>
  <c r="AD121" i="1"/>
  <c r="E419" i="72"/>
  <c r="C419" i="72"/>
  <c r="D419" i="72"/>
  <c r="B421" i="72" l="1"/>
  <c r="S32" i="1"/>
  <c r="T32" i="1"/>
  <c r="U32" i="1"/>
  <c r="R32" i="1"/>
  <c r="D420" i="72"/>
  <c r="E420" i="72"/>
  <c r="C420" i="72"/>
  <c r="B422" i="72" l="1"/>
  <c r="R49" i="1"/>
  <c r="S49" i="1"/>
  <c r="T49" i="1"/>
  <c r="U49" i="1"/>
  <c r="T102" i="1"/>
  <c r="R43" i="1"/>
  <c r="T43" i="1"/>
  <c r="Y120" i="1" s="1"/>
  <c r="U102" i="1"/>
  <c r="R102" i="1"/>
  <c r="U43" i="1"/>
  <c r="S102" i="1"/>
  <c r="E421" i="72"/>
  <c r="D421" i="72"/>
  <c r="C421" i="72"/>
  <c r="R52" i="1" l="1"/>
  <c r="R39" i="1" s="1"/>
  <c r="R108" i="1"/>
  <c r="U52" i="1"/>
  <c r="U39" i="1" s="1"/>
  <c r="U108" i="1"/>
  <c r="T52" i="1"/>
  <c r="T108" i="1"/>
  <c r="S52" i="1"/>
  <c r="S39" i="1" s="1"/>
  <c r="S108" i="1"/>
  <c r="B423" i="72"/>
  <c r="V42" i="1"/>
  <c r="R104" i="1"/>
  <c r="W120" i="1"/>
  <c r="R103" i="1"/>
  <c r="U69" i="1"/>
  <c r="T104" i="1"/>
  <c r="T103" i="1"/>
  <c r="T69" i="1"/>
  <c r="U131" i="1"/>
  <c r="Z120" i="1"/>
  <c r="W131" i="1"/>
  <c r="U104" i="1"/>
  <c r="U103" i="1"/>
  <c r="S69" i="1"/>
  <c r="S43" i="1"/>
  <c r="R69" i="1"/>
  <c r="V48" i="1"/>
  <c r="E422" i="72"/>
  <c r="D422" i="72"/>
  <c r="C422" i="72"/>
  <c r="U72" i="1" l="1"/>
  <c r="U71" i="1"/>
  <c r="V52" i="1"/>
  <c r="R72" i="1"/>
  <c r="R71" i="1"/>
  <c r="B424" i="72"/>
  <c r="Z121" i="1"/>
  <c r="X120" i="1"/>
  <c r="S104" i="1"/>
  <c r="S103" i="1"/>
  <c r="S131" i="1"/>
  <c r="T131" i="1"/>
  <c r="X121" i="1"/>
  <c r="W121" i="1"/>
  <c r="Y121" i="1"/>
  <c r="C423" i="72"/>
  <c r="E423" i="72"/>
  <c r="D423" i="72"/>
  <c r="B425" i="72" l="1"/>
  <c r="P43" i="1"/>
  <c r="P52" i="1"/>
  <c r="P39" i="1" s="1"/>
  <c r="O43" i="1"/>
  <c r="N49" i="1"/>
  <c r="N108" i="1" s="1"/>
  <c r="N43" i="1"/>
  <c r="M52" i="1"/>
  <c r="M39" i="1" s="1"/>
  <c r="Q42" i="1"/>
  <c r="C424" i="72"/>
  <c r="D424" i="72"/>
  <c r="E424" i="72"/>
  <c r="P71" i="1" l="1"/>
  <c r="P72" i="1"/>
  <c r="B426" i="72"/>
  <c r="M72" i="1"/>
  <c r="M71" i="1"/>
  <c r="O49" i="1"/>
  <c r="Q48" i="1"/>
  <c r="O103" i="1"/>
  <c r="O104" i="1"/>
  <c r="T120" i="1"/>
  <c r="O131" i="1"/>
  <c r="S120" i="1"/>
  <c r="N103" i="1"/>
  <c r="N104" i="1"/>
  <c r="P69" i="1"/>
  <c r="N52" i="1"/>
  <c r="N39" i="1" s="1"/>
  <c r="U120" i="1"/>
  <c r="P104" i="1"/>
  <c r="P131" i="1"/>
  <c r="R131" i="1"/>
  <c r="P103" i="1"/>
  <c r="M69" i="1"/>
  <c r="M43" i="1"/>
  <c r="N131" i="1" s="1"/>
  <c r="E425" i="72"/>
  <c r="C425" i="72"/>
  <c r="D425" i="72"/>
  <c r="N72" i="1" l="1"/>
  <c r="N71" i="1"/>
  <c r="O52" i="1"/>
  <c r="O39" i="1" s="1"/>
  <c r="Q39" i="1" s="1"/>
  <c r="O108" i="1"/>
  <c r="B427" i="72"/>
  <c r="O69" i="1"/>
  <c r="T121" i="1" s="1"/>
  <c r="N69" i="1"/>
  <c r="R121" i="1"/>
  <c r="U121" i="1"/>
  <c r="M104" i="1"/>
  <c r="R120" i="1"/>
  <c r="M103" i="1"/>
  <c r="C426" i="72"/>
  <c r="D426" i="72"/>
  <c r="E426" i="72"/>
  <c r="O71" i="1" l="1"/>
  <c r="O72" i="1"/>
  <c r="Q52" i="1"/>
  <c r="B428" i="72"/>
  <c r="S121" i="1"/>
  <c r="J32" i="1"/>
  <c r="I32" i="1"/>
  <c r="H32" i="1"/>
  <c r="H48" i="1" s="1"/>
  <c r="K32" i="1"/>
  <c r="C427" i="72"/>
  <c r="D427" i="72"/>
  <c r="E427" i="72"/>
  <c r="I42" i="1" l="1"/>
  <c r="I43" i="1" s="1"/>
  <c r="I48" i="1"/>
  <c r="I49" i="1" s="1"/>
  <c r="I69" i="1" s="1"/>
  <c r="B429" i="72"/>
  <c r="H49" i="1"/>
  <c r="K48" i="1"/>
  <c r="K49" i="1" s="1"/>
  <c r="K42" i="1"/>
  <c r="K43" i="1" s="1"/>
  <c r="J42" i="1"/>
  <c r="J43" i="1" s="1"/>
  <c r="H42" i="1"/>
  <c r="J48" i="1"/>
  <c r="E428" i="72"/>
  <c r="C428" i="72"/>
  <c r="D428" i="72"/>
  <c r="I108" i="1" l="1"/>
  <c r="L42" i="1"/>
  <c r="N120" i="1"/>
  <c r="I103" i="1"/>
  <c r="I104" i="1"/>
  <c r="B430" i="72"/>
  <c r="L48" i="1"/>
  <c r="J49" i="1"/>
  <c r="J69" i="1" s="1"/>
  <c r="K69" i="1"/>
  <c r="K108" i="1"/>
  <c r="K103" i="1"/>
  <c r="M131" i="1"/>
  <c r="K131" i="1"/>
  <c r="P120" i="1"/>
  <c r="K104" i="1"/>
  <c r="O120" i="1"/>
  <c r="J103" i="1"/>
  <c r="J131" i="1"/>
  <c r="J104" i="1"/>
  <c r="I72" i="1"/>
  <c r="I71" i="1"/>
  <c r="N121" i="1"/>
  <c r="H108" i="1"/>
  <c r="H69" i="1"/>
  <c r="H43" i="1"/>
  <c r="D429" i="72"/>
  <c r="E429" i="72"/>
  <c r="C429" i="72"/>
  <c r="J108" i="1" l="1"/>
  <c r="B431" i="72"/>
  <c r="M121" i="1"/>
  <c r="H72" i="1"/>
  <c r="H71" i="1"/>
  <c r="K72" i="1"/>
  <c r="K71" i="1"/>
  <c r="P121" i="1"/>
  <c r="M120" i="1"/>
  <c r="H104" i="1"/>
  <c r="H103" i="1"/>
  <c r="I131" i="1"/>
  <c r="O121" i="1"/>
  <c r="J72" i="1"/>
  <c r="J71" i="1"/>
  <c r="F32" i="1"/>
  <c r="F48" i="1" s="1"/>
  <c r="D32" i="1"/>
  <c r="D48" i="1" s="1"/>
  <c r="D49" i="1" s="1"/>
  <c r="E32" i="1"/>
  <c r="C32" i="1"/>
  <c r="C42" i="1" s="1"/>
  <c r="D430" i="72"/>
  <c r="C430" i="72"/>
  <c r="E430" i="72"/>
  <c r="B432" i="72" l="1"/>
  <c r="D108" i="1"/>
  <c r="D69" i="1"/>
  <c r="F42" i="1"/>
  <c r="F43" i="1" s="1"/>
  <c r="C48" i="1"/>
  <c r="C49" i="1" s="1"/>
  <c r="D42" i="1"/>
  <c r="E48" i="1"/>
  <c r="E49" i="1" s="1"/>
  <c r="C43" i="1"/>
  <c r="E42" i="1"/>
  <c r="E43" i="1" s="1"/>
  <c r="F49" i="1"/>
  <c r="D431" i="72"/>
  <c r="C431" i="72"/>
  <c r="E431" i="72"/>
  <c r="G42" i="1" l="1"/>
  <c r="D43" i="1"/>
  <c r="D104" i="1" s="1"/>
  <c r="B433" i="72"/>
  <c r="E108" i="1"/>
  <c r="E69" i="1"/>
  <c r="C69" i="1"/>
  <c r="C108" i="1"/>
  <c r="F108" i="1"/>
  <c r="F69" i="1"/>
  <c r="F104" i="1"/>
  <c r="K120" i="1"/>
  <c r="H131" i="1"/>
  <c r="F131" i="1"/>
  <c r="F103" i="1"/>
  <c r="E103" i="1"/>
  <c r="E104" i="1"/>
  <c r="J120" i="1"/>
  <c r="I121" i="1"/>
  <c r="D71" i="1"/>
  <c r="D72" i="1"/>
  <c r="G48" i="1"/>
  <c r="C104" i="1"/>
  <c r="H120" i="1"/>
  <c r="C103" i="1"/>
  <c r="C432" i="72"/>
  <c r="E432" i="72"/>
  <c r="D432" i="72"/>
  <c r="D103" i="1" l="1"/>
  <c r="D131" i="1"/>
  <c r="E131" i="1"/>
  <c r="I120" i="1"/>
  <c r="B434" i="72"/>
  <c r="C72" i="1"/>
  <c r="C71" i="1"/>
  <c r="H121" i="1"/>
  <c r="F72" i="1"/>
  <c r="K121" i="1"/>
  <c r="F71" i="1"/>
  <c r="E71" i="1"/>
  <c r="J121" i="1"/>
  <c r="E72" i="1"/>
  <c r="Q32" i="1"/>
  <c r="Q49" i="1" s="1"/>
  <c r="D433" i="72"/>
  <c r="E433" i="72"/>
  <c r="C433" i="72"/>
  <c r="B435" i="72" l="1"/>
  <c r="Q69" i="1"/>
  <c r="Q108" i="1"/>
  <c r="Q43" i="1"/>
  <c r="E434" i="72"/>
  <c r="D434" i="72"/>
  <c r="C434" i="72"/>
  <c r="B436" i="72" l="1"/>
  <c r="Q104" i="1"/>
  <c r="Q103" i="1"/>
  <c r="Q71" i="1"/>
  <c r="Q72" i="1"/>
  <c r="L32" i="1"/>
  <c r="L49" i="1" s="1"/>
  <c r="C435" i="72"/>
  <c r="E435" i="72"/>
  <c r="D435" i="72"/>
  <c r="B437" i="72" l="1"/>
  <c r="L69" i="1"/>
  <c r="L108" i="1"/>
  <c r="L43" i="1"/>
  <c r="D436" i="72"/>
  <c r="C436" i="72"/>
  <c r="E436" i="72"/>
  <c r="B438" i="72" l="1"/>
  <c r="Q120" i="1"/>
  <c r="L103" i="1"/>
  <c r="L104" i="1"/>
  <c r="Q121" i="1"/>
  <c r="L72" i="1"/>
  <c r="L71" i="1"/>
  <c r="G32" i="1"/>
  <c r="G43" i="1" s="1"/>
  <c r="E437" i="72"/>
  <c r="D437" i="72"/>
  <c r="C437" i="72"/>
  <c r="B439" i="72" l="1"/>
  <c r="G104" i="1"/>
  <c r="G103" i="1"/>
  <c r="L120" i="1"/>
  <c r="G49" i="1"/>
  <c r="C438" i="72"/>
  <c r="D438" i="72"/>
  <c r="E438" i="72"/>
  <c r="B440" i="72" l="1"/>
  <c r="G108" i="1"/>
  <c r="G69" i="1"/>
  <c r="D439" i="72"/>
  <c r="C439" i="72"/>
  <c r="E439" i="72"/>
  <c r="B441" i="72" l="1"/>
  <c r="L121" i="1"/>
  <c r="G72" i="1"/>
  <c r="G71" i="1"/>
  <c r="V32" i="1"/>
  <c r="V49" i="1" s="1"/>
  <c r="C440" i="72"/>
  <c r="E440" i="72"/>
  <c r="D440" i="72"/>
  <c r="B442" i="72" l="1"/>
  <c r="V108" i="1"/>
  <c r="V69" i="1"/>
  <c r="V43" i="1"/>
  <c r="V102" i="1"/>
  <c r="C441" i="72"/>
  <c r="E441" i="72"/>
  <c r="D441" i="72"/>
  <c r="B443" i="72" l="1"/>
  <c r="V103" i="1"/>
  <c r="V104" i="1"/>
  <c r="V120" i="1"/>
  <c r="V121" i="1"/>
  <c r="AA32" i="1"/>
  <c r="C442" i="72"/>
  <c r="D442" i="72"/>
  <c r="E442" i="72"/>
  <c r="B444" i="72" l="1"/>
  <c r="AA43" i="1"/>
  <c r="AA49" i="1"/>
  <c r="AA102" i="1"/>
  <c r="D443" i="72"/>
  <c r="E443" i="72"/>
  <c r="C443" i="72"/>
  <c r="B445" i="72" l="1"/>
  <c r="AA120" i="1"/>
  <c r="V56" i="10"/>
  <c r="AA104" i="1"/>
  <c r="AA103" i="1"/>
  <c r="AA69" i="1"/>
  <c r="AA108" i="1"/>
  <c r="E444" i="72"/>
  <c r="D444" i="72"/>
  <c r="C444" i="72"/>
  <c r="B446" i="72" l="1"/>
  <c r="AA121" i="1"/>
  <c r="AF32" i="1"/>
  <c r="AF49" i="1" s="1"/>
  <c r="C445" i="72"/>
  <c r="E445" i="72"/>
  <c r="D445" i="72"/>
  <c r="B447" i="72" l="1"/>
  <c r="AF102" i="1"/>
  <c r="AF69" i="1"/>
  <c r="AF108" i="1"/>
  <c r="AF43" i="1"/>
  <c r="E446" i="72"/>
  <c r="D446" i="72"/>
  <c r="C446" i="72"/>
  <c r="AF56" i="10" l="1"/>
  <c r="AG131" i="1"/>
  <c r="B448" i="72"/>
  <c r="AF120" i="1"/>
  <c r="AF104" i="1"/>
  <c r="AF103" i="1"/>
  <c r="AF121" i="1"/>
  <c r="D447" i="72"/>
  <c r="E447" i="72"/>
  <c r="C447" i="72"/>
  <c r="B449" i="72" l="1"/>
  <c r="C448" i="72"/>
  <c r="E448" i="72"/>
  <c r="D448" i="72"/>
  <c r="B450" i="72" l="1"/>
  <c r="W72" i="1"/>
  <c r="D449" i="72"/>
  <c r="C449" i="72"/>
  <c r="E449" i="72"/>
  <c r="B451" i="72" l="1"/>
  <c r="W71" i="1"/>
  <c r="C450" i="72"/>
  <c r="E450" i="72"/>
  <c r="D450" i="72"/>
  <c r="B452" i="72" l="1"/>
  <c r="S72" i="1"/>
  <c r="S71" i="1"/>
  <c r="D451" i="72"/>
  <c r="C451" i="72"/>
  <c r="E451" i="72"/>
  <c r="B453" i="72" l="1"/>
  <c r="X39" i="1"/>
  <c r="X71" i="1" s="1"/>
  <c r="AA38" i="1"/>
  <c r="AA39" i="1" s="1"/>
  <c r="C452" i="72"/>
  <c r="D452" i="72"/>
  <c r="E452" i="72"/>
  <c r="B454" i="72" l="1"/>
  <c r="X72" i="1"/>
  <c r="E453" i="72"/>
  <c r="D453" i="72"/>
  <c r="C453" i="72"/>
  <c r="B455" i="72" l="1"/>
  <c r="AA72" i="1"/>
  <c r="AA71" i="1"/>
  <c r="V38" i="1"/>
  <c r="T39" i="1"/>
  <c r="T71" i="1" s="1"/>
  <c r="E454" i="72"/>
  <c r="C454" i="72"/>
  <c r="D454" i="72"/>
  <c r="V39" i="1" l="1"/>
  <c r="V72" i="1" s="1"/>
  <c r="B456" i="72"/>
  <c r="T72" i="1"/>
  <c r="D455" i="72"/>
  <c r="C455" i="72"/>
  <c r="E455" i="72"/>
  <c r="V71" i="1" l="1"/>
  <c r="B457" i="72"/>
  <c r="I11" i="65"/>
  <c r="C456" i="72"/>
  <c r="E456" i="72"/>
  <c r="D456" i="72"/>
  <c r="B458" i="72" l="1"/>
  <c r="I14" i="65"/>
  <c r="E457" i="72"/>
  <c r="D457" i="72"/>
  <c r="C457" i="72"/>
  <c r="B459" i="72" l="1"/>
  <c r="I13" i="65"/>
  <c r="D458" i="72"/>
  <c r="E458" i="72"/>
  <c r="C458" i="72"/>
  <c r="L7" i="72" l="1"/>
  <c r="L8" i="72" s="1"/>
  <c r="L10" i="72"/>
  <c r="L11" i="72" s="1"/>
  <c r="B460" i="72"/>
  <c r="C459" i="72"/>
  <c r="E459" i="72"/>
  <c r="D459" i="72"/>
  <c r="L13" i="72" l="1"/>
  <c r="L28" i="72"/>
  <c r="B461" i="72"/>
  <c r="E460" i="72"/>
  <c r="C460" i="72"/>
  <c r="D460" i="72"/>
  <c r="L14" i="72" l="1"/>
  <c r="L31" i="72"/>
  <c r="B462" i="72"/>
  <c r="E461" i="72"/>
  <c r="D461" i="72"/>
  <c r="C461" i="72"/>
  <c r="B463" i="72" l="1"/>
  <c r="E462" i="72"/>
  <c r="D462" i="72"/>
  <c r="C462" i="72"/>
  <c r="B464" i="72" l="1"/>
  <c r="C463" i="72"/>
  <c r="E463" i="72"/>
  <c r="D463" i="72"/>
  <c r="B465" i="72" l="1"/>
  <c r="AG146" i="1"/>
  <c r="AG145" i="1"/>
  <c r="AG154" i="1"/>
  <c r="AG152" i="1"/>
  <c r="AG144" i="1"/>
  <c r="AG140" i="1"/>
  <c r="AL141" i="1" s="1"/>
  <c r="D464" i="72"/>
  <c r="C464" i="72"/>
  <c r="E464" i="72"/>
  <c r="B466" i="72" l="1"/>
  <c r="AG141" i="1"/>
  <c r="AH146" i="1"/>
  <c r="AH145" i="1"/>
  <c r="AH140" i="1"/>
  <c r="AM141" i="1" s="1"/>
  <c r="AH152" i="1"/>
  <c r="AH144" i="1"/>
  <c r="D465" i="72"/>
  <c r="C465" i="72"/>
  <c r="E465" i="72"/>
  <c r="B467" i="72" l="1"/>
  <c r="AH126" i="1"/>
  <c r="AH115" i="1"/>
  <c r="AH97" i="1"/>
  <c r="AH141" i="1"/>
  <c r="AH46" i="9"/>
  <c r="AH28" i="9" s="1"/>
  <c r="AH36" i="9" s="1"/>
  <c r="C466" i="72"/>
  <c r="D466" i="72"/>
  <c r="E466" i="72"/>
  <c r="B468" i="72" l="1"/>
  <c r="AI138" i="1"/>
  <c r="AH102" i="1"/>
  <c r="AH43" i="1"/>
  <c r="AH49" i="1"/>
  <c r="AH108" i="1" s="1"/>
  <c r="D467" i="72"/>
  <c r="E467" i="72"/>
  <c r="C467" i="72"/>
  <c r="B469" i="72" l="1"/>
  <c r="AI111" i="1"/>
  <c r="AI259" i="1"/>
  <c r="AI260" i="1" s="1"/>
  <c r="AI137" i="1"/>
  <c r="AH66" i="1"/>
  <c r="AH69" i="1" s="1"/>
  <c r="AH121" i="1" s="1"/>
  <c r="AH120" i="1"/>
  <c r="AH131" i="1"/>
  <c r="AH103" i="1"/>
  <c r="AH104" i="1"/>
  <c r="C468" i="72"/>
  <c r="E468" i="72"/>
  <c r="D468" i="72"/>
  <c r="AI275" i="1" l="1"/>
  <c r="AK275" i="1" s="1"/>
  <c r="V16" i="72"/>
  <c r="B470" i="72"/>
  <c r="C17" i="12"/>
  <c r="K17" i="12" s="1"/>
  <c r="AH52" i="1"/>
  <c r="C469" i="72"/>
  <c r="D469" i="72"/>
  <c r="E469" i="72"/>
  <c r="AH75" i="1" l="1"/>
  <c r="AH74" i="1"/>
  <c r="B471" i="72"/>
  <c r="AH39" i="1"/>
  <c r="D470" i="72"/>
  <c r="C470" i="72"/>
  <c r="E470" i="72"/>
  <c r="B472" i="72" l="1"/>
  <c r="AH16" i="10"/>
  <c r="AH71" i="1"/>
  <c r="AH72" i="1" s="1"/>
  <c r="D471" i="72"/>
  <c r="E471" i="72"/>
  <c r="C471" i="72"/>
  <c r="B473" i="72" l="1"/>
  <c r="AH80" i="1"/>
  <c r="AH36" i="10"/>
  <c r="AH46" i="10"/>
  <c r="E472" i="72"/>
  <c r="C472" i="72"/>
  <c r="D472" i="72"/>
  <c r="B474" i="72" l="1"/>
  <c r="AH56" i="10"/>
  <c r="AH48" i="10"/>
  <c r="AH39" i="10"/>
  <c r="AI38" i="10" s="1"/>
  <c r="AH122" i="1"/>
  <c r="AH132" i="1"/>
  <c r="G16" i="12"/>
  <c r="M16" i="12" s="1"/>
  <c r="AH106" i="1"/>
  <c r="AH105" i="1"/>
  <c r="AH81" i="1"/>
  <c r="C473" i="72"/>
  <c r="D473" i="72"/>
  <c r="E473" i="72"/>
  <c r="B475" i="72" l="1"/>
  <c r="AH82" i="1"/>
  <c r="AH52" i="9"/>
  <c r="AH42" i="9"/>
  <c r="AH43" i="9" s="1"/>
  <c r="AH12" i="9"/>
  <c r="C474" i="72"/>
  <c r="E474" i="72"/>
  <c r="D474" i="72"/>
  <c r="AH39" i="9" l="1"/>
  <c r="AH19" i="9"/>
  <c r="B476" i="72"/>
  <c r="AH83" i="1"/>
  <c r="AH107" i="1"/>
  <c r="C475" i="72"/>
  <c r="E475" i="72"/>
  <c r="D475" i="72"/>
  <c r="B477" i="72" l="1"/>
  <c r="D476" i="72"/>
  <c r="E476" i="72"/>
  <c r="C476" i="72"/>
  <c r="B478" i="72" l="1"/>
  <c r="E477" i="72"/>
  <c r="C477" i="72"/>
  <c r="D477" i="72"/>
  <c r="B479" i="72" l="1"/>
  <c r="C478" i="72"/>
  <c r="E478" i="72"/>
  <c r="D478" i="72"/>
  <c r="B480" i="72" l="1"/>
  <c r="C479" i="72"/>
  <c r="E479" i="72"/>
  <c r="D479" i="72"/>
  <c r="B481" i="72" l="1"/>
  <c r="D480" i="72"/>
  <c r="C480" i="72"/>
  <c r="E480" i="72"/>
  <c r="B482" i="72" l="1"/>
  <c r="E481" i="72"/>
  <c r="C481" i="72"/>
  <c r="D481" i="72"/>
  <c r="B483" i="72" l="1"/>
  <c r="E482" i="72"/>
  <c r="C482" i="72"/>
  <c r="D482" i="72"/>
  <c r="B484" i="72" l="1"/>
  <c r="D483" i="72"/>
  <c r="E483" i="72"/>
  <c r="C483" i="72"/>
  <c r="B485" i="72" l="1"/>
  <c r="D484" i="72"/>
  <c r="C484" i="72"/>
  <c r="E484" i="72"/>
  <c r="B486" i="72" l="1"/>
  <c r="C485" i="72"/>
  <c r="E485" i="72"/>
  <c r="D485" i="72"/>
  <c r="B487" i="72" l="1"/>
  <c r="E486" i="72"/>
  <c r="C486" i="72"/>
  <c r="D486" i="72"/>
  <c r="B488" i="72" l="1"/>
  <c r="D487" i="72"/>
  <c r="C487" i="72"/>
  <c r="E487" i="72"/>
  <c r="B489" i="72" l="1"/>
  <c r="D488" i="72"/>
  <c r="E488" i="72"/>
  <c r="C488" i="72"/>
  <c r="B490" i="72" l="1"/>
  <c r="C489" i="72"/>
  <c r="E489" i="72"/>
  <c r="D489" i="72"/>
  <c r="B491" i="72" l="1"/>
  <c r="E490" i="72"/>
  <c r="D490" i="72"/>
  <c r="C490" i="72"/>
  <c r="B492" i="72" l="1"/>
  <c r="D491" i="72"/>
  <c r="C491" i="72"/>
  <c r="E491" i="72"/>
  <c r="B493" i="72" l="1"/>
  <c r="E492" i="72"/>
  <c r="D492" i="72"/>
  <c r="C492" i="72"/>
  <c r="B494" i="72" l="1"/>
  <c r="E493" i="72"/>
  <c r="D493" i="72"/>
  <c r="C493" i="72"/>
  <c r="B495" i="72" l="1"/>
  <c r="C494" i="72"/>
  <c r="E494" i="72"/>
  <c r="D494" i="72"/>
  <c r="B496" i="72" l="1"/>
  <c r="D495" i="72"/>
  <c r="C495" i="72"/>
  <c r="E495" i="72"/>
  <c r="B497" i="72" l="1"/>
  <c r="D496" i="72"/>
  <c r="C496" i="72"/>
  <c r="E496" i="72"/>
  <c r="B498" i="72" l="1"/>
  <c r="D497" i="72"/>
  <c r="E497" i="72"/>
  <c r="C497" i="72"/>
  <c r="B499" i="72" l="1"/>
  <c r="E498" i="72"/>
  <c r="D498" i="72"/>
  <c r="C498" i="72"/>
  <c r="B500" i="72" l="1"/>
  <c r="C499" i="72"/>
  <c r="E499" i="72"/>
  <c r="D499" i="72"/>
  <c r="B501" i="72" l="1"/>
  <c r="D500" i="72"/>
  <c r="C500" i="72"/>
  <c r="E500" i="72"/>
  <c r="B502" i="72" l="1"/>
  <c r="C501" i="72"/>
  <c r="E501" i="72"/>
  <c r="D501" i="72"/>
  <c r="B503" i="72" l="1"/>
  <c r="C502" i="72"/>
  <c r="E502" i="72"/>
  <c r="D502" i="72"/>
  <c r="B504" i="72" l="1"/>
  <c r="E503" i="72"/>
  <c r="D503" i="72"/>
  <c r="C503" i="72"/>
  <c r="B505" i="72" l="1"/>
  <c r="D504" i="72"/>
  <c r="C504" i="72"/>
  <c r="E504" i="72"/>
  <c r="B506" i="72" l="1"/>
  <c r="E505" i="72"/>
  <c r="D505" i="72"/>
  <c r="C505" i="72"/>
  <c r="B507" i="72" l="1"/>
  <c r="E506" i="72"/>
  <c r="C506" i="72"/>
  <c r="D506" i="72"/>
  <c r="B508" i="72" l="1"/>
  <c r="D507" i="72"/>
  <c r="C507" i="72"/>
  <c r="E507" i="72"/>
  <c r="B509" i="72" l="1"/>
  <c r="E508" i="72"/>
  <c r="D508" i="72"/>
  <c r="C508" i="72"/>
  <c r="B510" i="72" l="1"/>
  <c r="D509" i="72"/>
  <c r="C509" i="72"/>
  <c r="E509" i="72"/>
  <c r="B511" i="72" l="1"/>
  <c r="E510" i="72"/>
  <c r="D510" i="72"/>
  <c r="C510" i="72"/>
  <c r="B512" i="72" l="1"/>
  <c r="D511" i="72"/>
  <c r="E511" i="72"/>
  <c r="C511" i="72"/>
  <c r="B513" i="72" l="1"/>
  <c r="D512" i="72"/>
  <c r="E512" i="72"/>
  <c r="C512" i="72"/>
  <c r="B514" i="72" l="1"/>
  <c r="C513" i="72"/>
  <c r="D513" i="72"/>
  <c r="E513" i="72"/>
  <c r="B515" i="72" l="1"/>
  <c r="C514" i="72"/>
  <c r="E514" i="72"/>
  <c r="D514" i="72"/>
  <c r="B516" i="72" l="1"/>
  <c r="E515" i="72"/>
  <c r="D515" i="72"/>
  <c r="C515" i="72"/>
  <c r="B517" i="72" l="1"/>
  <c r="E516" i="72"/>
  <c r="D516" i="72"/>
  <c r="C516" i="72"/>
  <c r="B518" i="72" l="1"/>
  <c r="D517" i="72"/>
  <c r="C517" i="72"/>
  <c r="E517" i="72"/>
  <c r="B519" i="72" l="1"/>
  <c r="C518" i="72"/>
  <c r="D518" i="72"/>
  <c r="E518" i="72"/>
  <c r="B520" i="72" l="1"/>
  <c r="C519" i="72"/>
  <c r="E519" i="72"/>
  <c r="D519" i="72"/>
  <c r="B521" i="72" l="1"/>
  <c r="E520" i="72"/>
  <c r="D520" i="72"/>
  <c r="C520" i="72"/>
  <c r="B522" i="72" l="1"/>
  <c r="D521" i="72"/>
  <c r="E521" i="72"/>
  <c r="C521" i="72"/>
  <c r="B523" i="72" l="1"/>
  <c r="C522" i="72"/>
  <c r="E522" i="72"/>
  <c r="D522" i="72"/>
  <c r="B524" i="72" l="1"/>
  <c r="D523" i="72"/>
  <c r="C523" i="72"/>
  <c r="E523" i="72"/>
  <c r="B525" i="72" l="1"/>
  <c r="D524" i="72"/>
  <c r="C524" i="72"/>
  <c r="E524" i="72"/>
  <c r="B526" i="72" l="1"/>
  <c r="D525" i="72"/>
  <c r="C525" i="72"/>
  <c r="E525" i="72"/>
  <c r="B527" i="72" l="1"/>
  <c r="D526" i="72"/>
  <c r="C526" i="72"/>
  <c r="E526" i="72"/>
  <c r="B528" i="72" l="1"/>
  <c r="C527" i="72"/>
  <c r="D527" i="72"/>
  <c r="E527" i="72"/>
  <c r="B529" i="72" l="1"/>
  <c r="C528" i="72"/>
  <c r="D528" i="72"/>
  <c r="E528" i="72"/>
  <c r="B530" i="72" l="1"/>
  <c r="C529" i="72"/>
  <c r="D529" i="72"/>
  <c r="E529" i="72"/>
  <c r="B531" i="72" l="1"/>
  <c r="D530" i="72"/>
  <c r="E530" i="72"/>
  <c r="C530" i="72"/>
  <c r="B532" i="72" l="1"/>
  <c r="E531" i="72"/>
  <c r="C531" i="72"/>
  <c r="D531" i="72"/>
  <c r="B533" i="72" l="1"/>
  <c r="D532" i="72"/>
  <c r="C532" i="72"/>
  <c r="E532" i="72"/>
  <c r="B534" i="72" l="1"/>
  <c r="E533" i="72"/>
  <c r="D533" i="72"/>
  <c r="C533" i="72"/>
  <c r="B535" i="72" l="1"/>
  <c r="C534" i="72"/>
  <c r="E534" i="72"/>
  <c r="D534" i="72"/>
  <c r="B536" i="72" l="1"/>
  <c r="D535" i="72"/>
  <c r="C535" i="72"/>
  <c r="E535" i="72"/>
  <c r="B537" i="72" l="1"/>
  <c r="D536" i="72"/>
  <c r="C536" i="72"/>
  <c r="E536" i="72"/>
  <c r="B538" i="72" l="1"/>
  <c r="E537" i="72"/>
  <c r="C537" i="72"/>
  <c r="D537" i="72"/>
  <c r="B539" i="72" l="1"/>
  <c r="D538" i="72"/>
  <c r="C538" i="72"/>
  <c r="E538" i="72"/>
  <c r="B540" i="72" l="1"/>
  <c r="E539" i="72"/>
  <c r="D539" i="72"/>
  <c r="C539" i="72"/>
  <c r="B541" i="72" l="1"/>
  <c r="E540" i="72"/>
  <c r="C540" i="72"/>
  <c r="D540" i="72"/>
  <c r="B542" i="72" l="1"/>
  <c r="E541" i="72"/>
  <c r="D541" i="72"/>
  <c r="C541" i="72"/>
  <c r="B543" i="72" l="1"/>
  <c r="E542" i="72"/>
  <c r="C542" i="72"/>
  <c r="D542" i="72"/>
  <c r="B544" i="72" l="1"/>
  <c r="C543" i="72"/>
  <c r="E543" i="72"/>
  <c r="D543" i="72"/>
  <c r="B545" i="72" l="1"/>
  <c r="C544" i="72"/>
  <c r="E544" i="72"/>
  <c r="D544" i="72"/>
  <c r="B546" i="72" l="1"/>
  <c r="E545" i="72"/>
  <c r="C545" i="72"/>
  <c r="D545" i="72"/>
  <c r="B547" i="72" l="1"/>
  <c r="E546" i="72"/>
  <c r="D546" i="72"/>
  <c r="C546" i="72"/>
  <c r="B548" i="72" l="1"/>
  <c r="C547" i="72"/>
  <c r="E547" i="72"/>
  <c r="D547" i="72"/>
  <c r="B549" i="72" l="1"/>
  <c r="C548" i="72"/>
  <c r="D548" i="72"/>
  <c r="E548" i="72"/>
  <c r="B550" i="72" l="1"/>
  <c r="D549" i="72"/>
  <c r="E549" i="72"/>
  <c r="C549" i="72"/>
  <c r="M7" i="72" l="1"/>
  <c r="M8" i="72" s="1"/>
  <c r="M10" i="72"/>
  <c r="M11" i="72" s="1"/>
  <c r="B551" i="72"/>
  <c r="D550" i="72"/>
  <c r="C550" i="72"/>
  <c r="E550" i="72"/>
  <c r="M13" i="72" l="1"/>
  <c r="M28" i="72"/>
  <c r="B552" i="72"/>
  <c r="E551" i="72"/>
  <c r="D551" i="72"/>
  <c r="C551" i="72"/>
  <c r="M14" i="72" l="1"/>
  <c r="M31" i="72"/>
  <c r="B553" i="72"/>
  <c r="E552" i="72"/>
  <c r="C552" i="72"/>
  <c r="D552" i="72"/>
  <c r="B554" i="72" l="1"/>
  <c r="D553" i="72"/>
  <c r="C553" i="72"/>
  <c r="E553" i="72"/>
  <c r="B555" i="72" l="1"/>
  <c r="D554" i="72"/>
  <c r="E554" i="72"/>
  <c r="C554" i="72"/>
  <c r="B556" i="72" l="1"/>
  <c r="E555" i="72"/>
  <c r="D555" i="72"/>
  <c r="C555" i="72"/>
  <c r="B557" i="72" l="1"/>
  <c r="E556" i="72"/>
  <c r="D556" i="72"/>
  <c r="C556" i="72"/>
  <c r="B558" i="72" l="1"/>
  <c r="C557" i="72"/>
  <c r="D557" i="72"/>
  <c r="E557" i="72"/>
  <c r="B559" i="72" l="1"/>
  <c r="E558" i="72"/>
  <c r="D558" i="72"/>
  <c r="C558" i="72"/>
  <c r="B560" i="72" l="1"/>
  <c r="E559" i="72"/>
  <c r="C559" i="72"/>
  <c r="D559" i="72"/>
  <c r="B561" i="72" l="1"/>
  <c r="C560" i="72"/>
  <c r="E560" i="72"/>
  <c r="D560" i="72"/>
  <c r="B562" i="72" l="1"/>
  <c r="E561" i="72"/>
  <c r="C561" i="72"/>
  <c r="D561" i="72"/>
  <c r="B563" i="72" l="1"/>
  <c r="C562" i="72"/>
  <c r="E562" i="72"/>
  <c r="D562" i="72"/>
  <c r="B564" i="72" l="1"/>
  <c r="C563" i="72"/>
  <c r="E563" i="72"/>
  <c r="D563" i="72"/>
  <c r="B565" i="72" l="1"/>
  <c r="D564" i="72"/>
  <c r="C564" i="72"/>
  <c r="E564" i="72"/>
  <c r="B566" i="72" l="1"/>
  <c r="D565" i="72"/>
  <c r="E565" i="72"/>
  <c r="C565" i="72"/>
  <c r="B567" i="72" l="1"/>
  <c r="E566" i="72"/>
  <c r="C566" i="72"/>
  <c r="D566" i="72"/>
  <c r="B568" i="72" l="1"/>
  <c r="E567" i="72"/>
  <c r="D567" i="72"/>
  <c r="C567" i="72"/>
  <c r="B569" i="72" l="1"/>
  <c r="E568" i="72"/>
  <c r="D568" i="72"/>
  <c r="C568" i="72"/>
  <c r="B570" i="72" l="1"/>
  <c r="C569" i="72"/>
  <c r="E569" i="72"/>
  <c r="D569" i="72"/>
  <c r="B571" i="72" l="1"/>
  <c r="D570" i="72"/>
  <c r="C570" i="72"/>
  <c r="E570" i="72"/>
  <c r="B572" i="72" l="1"/>
  <c r="D571" i="72"/>
  <c r="C571" i="72"/>
  <c r="E571" i="72"/>
  <c r="B573" i="72" l="1"/>
  <c r="E572" i="72"/>
  <c r="C572" i="72"/>
  <c r="D572" i="72"/>
  <c r="B574" i="72" l="1"/>
  <c r="C573" i="72"/>
  <c r="E573" i="72"/>
  <c r="D573" i="72"/>
  <c r="B575" i="72" l="1"/>
  <c r="D574" i="72"/>
  <c r="C574" i="72"/>
  <c r="E574" i="72"/>
  <c r="B576" i="72" l="1"/>
  <c r="E575" i="72"/>
  <c r="D575" i="72"/>
  <c r="C575" i="72"/>
  <c r="B577" i="72" l="1"/>
  <c r="D576" i="72"/>
  <c r="E576" i="72"/>
  <c r="C576" i="72"/>
  <c r="B578" i="72" l="1"/>
  <c r="C577" i="72"/>
  <c r="E577" i="72"/>
  <c r="D577" i="72"/>
  <c r="B579" i="72" l="1"/>
  <c r="E578" i="72"/>
  <c r="C578" i="72"/>
  <c r="D578" i="72"/>
  <c r="B580" i="72" l="1"/>
  <c r="E579" i="72"/>
  <c r="C579" i="72"/>
  <c r="D579" i="72"/>
  <c r="B581" i="72" l="1"/>
  <c r="E580" i="72"/>
  <c r="C580" i="72"/>
  <c r="D580" i="72"/>
  <c r="B582" i="72" l="1"/>
  <c r="C581" i="72"/>
  <c r="E581" i="72"/>
  <c r="D581" i="72"/>
  <c r="B583" i="72" l="1"/>
  <c r="D582" i="72"/>
  <c r="C582" i="72"/>
  <c r="E582" i="72"/>
  <c r="B584" i="72" l="1"/>
  <c r="E583" i="72"/>
  <c r="D583" i="72"/>
  <c r="C583" i="72"/>
  <c r="B585" i="72" l="1"/>
  <c r="D584" i="72"/>
  <c r="C584" i="72"/>
  <c r="E584" i="72"/>
  <c r="B586" i="72" l="1"/>
  <c r="E585" i="72"/>
  <c r="C585" i="72"/>
  <c r="D585" i="72"/>
  <c r="B587" i="72" l="1"/>
  <c r="E586" i="72"/>
  <c r="C586" i="72"/>
  <c r="D586" i="72"/>
  <c r="B588" i="72" l="1"/>
  <c r="E587" i="72"/>
  <c r="C587" i="72"/>
  <c r="D587" i="72"/>
  <c r="B589" i="72" l="1"/>
  <c r="C588" i="72"/>
  <c r="D588" i="72"/>
  <c r="E588" i="72"/>
  <c r="B590" i="72" l="1"/>
  <c r="E589" i="72"/>
  <c r="D589" i="72"/>
  <c r="C589" i="72"/>
  <c r="B591" i="72" l="1"/>
  <c r="C590" i="72"/>
  <c r="E590" i="72"/>
  <c r="D590" i="72"/>
  <c r="B592" i="72" l="1"/>
  <c r="D591" i="72"/>
  <c r="C591" i="72"/>
  <c r="E591" i="72"/>
  <c r="B593" i="72" l="1"/>
  <c r="D592" i="72"/>
  <c r="E592" i="72"/>
  <c r="C592" i="72"/>
  <c r="B594" i="72" l="1"/>
  <c r="C593" i="72"/>
  <c r="D593" i="72"/>
  <c r="E593" i="72"/>
  <c r="B595" i="72" l="1"/>
  <c r="D594" i="72"/>
  <c r="C594" i="72"/>
  <c r="E594" i="72"/>
  <c r="B596" i="72" l="1"/>
  <c r="D595" i="72"/>
  <c r="C595" i="72"/>
  <c r="E595" i="72"/>
  <c r="B597" i="72" l="1"/>
  <c r="C596" i="72"/>
  <c r="D596" i="72"/>
  <c r="E596" i="72"/>
  <c r="B598" i="72" l="1"/>
  <c r="E597" i="72"/>
  <c r="C597" i="72"/>
  <c r="D597" i="72"/>
  <c r="B599" i="72" l="1"/>
  <c r="C598" i="72"/>
  <c r="D598" i="72"/>
  <c r="E598" i="72"/>
  <c r="B600" i="72" l="1"/>
  <c r="E599" i="72"/>
  <c r="D599" i="72"/>
  <c r="C599" i="72"/>
  <c r="B601" i="72" l="1"/>
  <c r="C600" i="72"/>
  <c r="E600" i="72"/>
  <c r="D600" i="72"/>
  <c r="B602" i="72" l="1"/>
  <c r="E601" i="72"/>
  <c r="D601" i="72"/>
  <c r="C601" i="72"/>
  <c r="B603" i="72" l="1"/>
  <c r="C602" i="72"/>
  <c r="E602" i="72"/>
  <c r="D602" i="72"/>
  <c r="B604" i="72" l="1"/>
  <c r="E603" i="72"/>
  <c r="D603" i="72"/>
  <c r="C603" i="72"/>
  <c r="B605" i="72" l="1"/>
  <c r="E604" i="72"/>
  <c r="D604" i="72"/>
  <c r="C604" i="72"/>
  <c r="B606" i="72" l="1"/>
  <c r="C605" i="72"/>
  <c r="D605" i="72"/>
  <c r="E605" i="72"/>
  <c r="B607" i="72" l="1"/>
  <c r="E606" i="72"/>
  <c r="C606" i="72"/>
  <c r="D606" i="72"/>
  <c r="B608" i="72" l="1"/>
  <c r="E607" i="72"/>
  <c r="C607" i="72"/>
  <c r="D607" i="72"/>
  <c r="B609" i="72" l="1"/>
  <c r="D608" i="72"/>
  <c r="E608" i="72"/>
  <c r="C608" i="72"/>
  <c r="B610" i="72" l="1"/>
  <c r="D609" i="72"/>
  <c r="C609" i="72"/>
  <c r="E609" i="72"/>
  <c r="B611" i="72" l="1"/>
  <c r="C610" i="72"/>
  <c r="D610" i="72"/>
  <c r="E610" i="72"/>
  <c r="B612" i="72" l="1"/>
  <c r="C611" i="72"/>
  <c r="E611" i="72"/>
  <c r="D611" i="72"/>
  <c r="B613" i="72" l="1"/>
  <c r="D612" i="72"/>
  <c r="E612" i="72"/>
  <c r="C612" i="72"/>
  <c r="B614" i="72" l="1"/>
  <c r="E613" i="72"/>
  <c r="D613" i="72"/>
  <c r="C613" i="72"/>
  <c r="B615" i="72" l="1"/>
  <c r="D614" i="72"/>
  <c r="C614" i="72"/>
  <c r="E614" i="72"/>
  <c r="B616" i="72" l="1"/>
  <c r="E615" i="72"/>
  <c r="D615" i="72"/>
  <c r="C615" i="72"/>
  <c r="B617" i="72" l="1"/>
  <c r="C616" i="72"/>
  <c r="D616" i="72"/>
  <c r="E616" i="72"/>
  <c r="B618" i="72" l="1"/>
  <c r="E617" i="72"/>
  <c r="D617" i="72"/>
  <c r="C617" i="72"/>
  <c r="B619" i="72" l="1"/>
  <c r="E618" i="72"/>
  <c r="C618" i="72"/>
  <c r="D618" i="72"/>
  <c r="B620" i="72" l="1"/>
  <c r="E619" i="72"/>
  <c r="C619" i="72"/>
  <c r="D619" i="72"/>
  <c r="B621" i="72" l="1"/>
  <c r="D620" i="72"/>
  <c r="C620" i="72"/>
  <c r="E620" i="72"/>
  <c r="B622" i="72" l="1"/>
  <c r="C621" i="72"/>
  <c r="D621" i="72"/>
  <c r="E621" i="72"/>
  <c r="B623" i="72" l="1"/>
  <c r="D622" i="72"/>
  <c r="C622" i="72"/>
  <c r="E622" i="72"/>
  <c r="B624" i="72" l="1"/>
  <c r="C623" i="72"/>
  <c r="D623" i="72"/>
  <c r="E623" i="72"/>
  <c r="B625" i="72" l="1"/>
  <c r="C624" i="72"/>
  <c r="D624" i="72"/>
  <c r="E624" i="72"/>
  <c r="B626" i="72" l="1"/>
  <c r="D625" i="72"/>
  <c r="E625" i="72"/>
  <c r="C625" i="72"/>
  <c r="B627" i="72" l="1"/>
  <c r="E626" i="72"/>
  <c r="D626" i="72"/>
  <c r="C626" i="72"/>
  <c r="B628" i="72" l="1"/>
  <c r="C627" i="72"/>
  <c r="E627" i="72"/>
  <c r="D627" i="72"/>
  <c r="B629" i="72" l="1"/>
  <c r="E628" i="72"/>
  <c r="C628" i="72"/>
  <c r="D628" i="72"/>
  <c r="B630" i="72" l="1"/>
  <c r="C629" i="72"/>
  <c r="E629" i="72"/>
  <c r="D629" i="72"/>
  <c r="B631" i="72" l="1"/>
  <c r="C630" i="72"/>
  <c r="E630" i="72"/>
  <c r="D630" i="72"/>
  <c r="B632" i="72" l="1"/>
  <c r="C631" i="72"/>
  <c r="E631" i="72"/>
  <c r="D631" i="72"/>
  <c r="B633" i="72" l="1"/>
  <c r="D632" i="72"/>
  <c r="C632" i="72"/>
  <c r="E632" i="72"/>
  <c r="B634" i="72" l="1"/>
  <c r="E633" i="72"/>
  <c r="C633" i="72"/>
  <c r="D633" i="72"/>
  <c r="B635" i="72" l="1"/>
  <c r="D634" i="72"/>
  <c r="C634" i="72"/>
  <c r="E634" i="72"/>
  <c r="B636" i="72" l="1"/>
  <c r="C635" i="72"/>
  <c r="D635" i="72"/>
  <c r="E635" i="72"/>
  <c r="B637" i="72" l="1"/>
  <c r="E636" i="72"/>
  <c r="C636" i="72"/>
  <c r="D636" i="72"/>
  <c r="B638" i="72" l="1"/>
  <c r="E637" i="72"/>
  <c r="D637" i="72"/>
  <c r="C637" i="72"/>
  <c r="B639" i="72" l="1"/>
  <c r="E638" i="72"/>
  <c r="C638" i="72"/>
  <c r="D638" i="72"/>
  <c r="B640" i="72" l="1"/>
  <c r="E639" i="72"/>
  <c r="D639" i="72"/>
  <c r="C639" i="72"/>
  <c r="B641" i="72" l="1"/>
  <c r="E640" i="72"/>
  <c r="D640" i="72"/>
  <c r="C640" i="72"/>
  <c r="B642" i="72" l="1"/>
  <c r="E641" i="72"/>
  <c r="D641" i="72"/>
  <c r="C641" i="72"/>
  <c r="N10" i="72" l="1"/>
  <c r="N11" i="72" s="1"/>
  <c r="N7" i="72"/>
  <c r="N8" i="72" s="1"/>
  <c r="B643" i="72"/>
  <c r="E642" i="72"/>
  <c r="C642" i="72"/>
  <c r="D642" i="72"/>
  <c r="N13" i="72" l="1"/>
  <c r="N28" i="72"/>
  <c r="B644" i="72"/>
  <c r="C643" i="72"/>
  <c r="D643" i="72"/>
  <c r="E643" i="72"/>
  <c r="N14" i="72" l="1"/>
  <c r="N31" i="72"/>
  <c r="B645" i="72"/>
  <c r="E644" i="72"/>
  <c r="C644" i="72"/>
  <c r="D644" i="72"/>
  <c r="B646" i="72" l="1"/>
  <c r="D645" i="72"/>
  <c r="E645" i="72"/>
  <c r="C645" i="72"/>
  <c r="B647" i="72" l="1"/>
  <c r="D646" i="72"/>
  <c r="C646" i="72"/>
  <c r="E646" i="72"/>
  <c r="B648" i="72" l="1"/>
  <c r="C647" i="72"/>
  <c r="D647" i="72"/>
  <c r="E647" i="72"/>
  <c r="B649" i="72" l="1"/>
  <c r="D648" i="72"/>
  <c r="E648" i="72"/>
  <c r="C648" i="72"/>
  <c r="B650" i="72" l="1"/>
  <c r="C649" i="72"/>
  <c r="D649" i="72"/>
  <c r="E649" i="72"/>
  <c r="B651" i="72" l="1"/>
  <c r="E650" i="72"/>
  <c r="C650" i="72"/>
  <c r="D650" i="72"/>
  <c r="B652" i="72" l="1"/>
  <c r="C651" i="72"/>
  <c r="E651" i="72"/>
  <c r="D651" i="72"/>
  <c r="B653" i="72" l="1"/>
  <c r="C652" i="72"/>
  <c r="D652" i="72"/>
  <c r="E652" i="72"/>
  <c r="B654" i="72" l="1"/>
  <c r="D653" i="72"/>
  <c r="E653" i="72"/>
  <c r="C653" i="72"/>
  <c r="B655" i="72" l="1"/>
  <c r="C654" i="72"/>
  <c r="E654" i="72"/>
  <c r="D654" i="72"/>
  <c r="B656" i="72" l="1"/>
  <c r="C655" i="72"/>
  <c r="D655" i="72"/>
  <c r="E655" i="72"/>
  <c r="B657" i="72" l="1"/>
  <c r="E656" i="72"/>
  <c r="C656" i="72"/>
  <c r="D656" i="72"/>
  <c r="B658" i="72" l="1"/>
  <c r="D657" i="72"/>
  <c r="C657" i="72"/>
  <c r="E657" i="72"/>
  <c r="B659" i="72" l="1"/>
  <c r="C658" i="72"/>
  <c r="D658" i="72"/>
  <c r="E658" i="72"/>
  <c r="B660" i="72" l="1"/>
  <c r="E659" i="72"/>
  <c r="D659" i="72"/>
  <c r="C659" i="72"/>
  <c r="B661" i="72" l="1"/>
  <c r="C660" i="72"/>
  <c r="E660" i="72"/>
  <c r="D660" i="72"/>
  <c r="B662" i="72" l="1"/>
  <c r="E661" i="72"/>
  <c r="D661" i="72"/>
  <c r="C661" i="72"/>
  <c r="B663" i="72" l="1"/>
  <c r="E662" i="72"/>
  <c r="C662" i="72"/>
  <c r="D662" i="72"/>
  <c r="B664" i="72" l="1"/>
  <c r="D663" i="72"/>
  <c r="E663" i="72"/>
  <c r="C663" i="72"/>
  <c r="B665" i="72" l="1"/>
  <c r="E664" i="72"/>
  <c r="C664" i="72"/>
  <c r="D664" i="72"/>
  <c r="B666" i="72" l="1"/>
  <c r="C665" i="72"/>
  <c r="E665" i="72"/>
  <c r="D665" i="72"/>
  <c r="B667" i="72" l="1"/>
  <c r="E666" i="72"/>
  <c r="D666" i="72"/>
  <c r="C666" i="72"/>
  <c r="B668" i="72" l="1"/>
  <c r="D667" i="72"/>
  <c r="E667" i="72"/>
  <c r="C667" i="72"/>
  <c r="B669" i="72" l="1"/>
  <c r="D668" i="72"/>
  <c r="E668" i="72"/>
  <c r="C668" i="72"/>
  <c r="B670" i="72" l="1"/>
  <c r="C669" i="72"/>
  <c r="D669" i="72"/>
  <c r="E669" i="72"/>
  <c r="B671" i="72" l="1"/>
  <c r="C670" i="72"/>
  <c r="D670" i="72"/>
  <c r="E670" i="72"/>
  <c r="B672" i="72" l="1"/>
  <c r="C671" i="72"/>
  <c r="E671" i="72"/>
  <c r="D671" i="72"/>
  <c r="B673" i="72" l="1"/>
  <c r="C672" i="72"/>
  <c r="E672" i="72"/>
  <c r="D672" i="72"/>
  <c r="B674" i="72" l="1"/>
  <c r="E673" i="72"/>
  <c r="C673" i="72"/>
  <c r="D673" i="72"/>
  <c r="B675" i="72" l="1"/>
  <c r="E674" i="72"/>
  <c r="D674" i="72"/>
  <c r="C674" i="72"/>
  <c r="B676" i="72" l="1"/>
  <c r="D675" i="72"/>
  <c r="C675" i="72"/>
  <c r="E675" i="72"/>
  <c r="B677" i="72" l="1"/>
  <c r="C676" i="72"/>
  <c r="E676" i="72"/>
  <c r="D676" i="72"/>
  <c r="B678" i="72" l="1"/>
  <c r="D677" i="72"/>
  <c r="E677" i="72"/>
  <c r="C677" i="72"/>
  <c r="B679" i="72" l="1"/>
  <c r="C678" i="72"/>
  <c r="E678" i="72"/>
  <c r="D678" i="72"/>
  <c r="B680" i="72" l="1"/>
  <c r="C679" i="72"/>
  <c r="D679" i="72"/>
  <c r="E679" i="72"/>
  <c r="B681" i="72" l="1"/>
  <c r="C680" i="72"/>
  <c r="D680" i="72"/>
  <c r="E680" i="72"/>
  <c r="B682" i="72" l="1"/>
  <c r="E681" i="72"/>
  <c r="C681" i="72"/>
  <c r="D681" i="72"/>
  <c r="B683" i="72" l="1"/>
  <c r="E682" i="72"/>
  <c r="D682" i="72"/>
  <c r="C682" i="72"/>
  <c r="B684" i="72" l="1"/>
  <c r="C683" i="72"/>
  <c r="E683" i="72"/>
  <c r="D683" i="72"/>
  <c r="B685" i="72" l="1"/>
  <c r="E684" i="72"/>
  <c r="D684" i="72"/>
  <c r="C684" i="72"/>
  <c r="B686" i="72" l="1"/>
  <c r="E685" i="72"/>
  <c r="C685" i="72"/>
  <c r="D685" i="72"/>
  <c r="B687" i="72" l="1"/>
  <c r="D686" i="72"/>
  <c r="E686" i="72"/>
  <c r="C686" i="72"/>
  <c r="B688" i="72" l="1"/>
  <c r="C687" i="72"/>
  <c r="D687" i="72"/>
  <c r="E687" i="72"/>
  <c r="B689" i="72" l="1"/>
  <c r="D688" i="72"/>
  <c r="E688" i="72"/>
  <c r="C688" i="72"/>
  <c r="B690" i="72" l="1"/>
  <c r="D689" i="72"/>
  <c r="E689" i="72"/>
  <c r="C689" i="72"/>
  <c r="B691" i="72" l="1"/>
  <c r="D690" i="72"/>
  <c r="C690" i="72"/>
  <c r="E690" i="72"/>
  <c r="B692" i="72" l="1"/>
  <c r="E691" i="72"/>
  <c r="D691" i="72"/>
  <c r="C691" i="72"/>
  <c r="B693" i="72" l="1"/>
  <c r="E692" i="72"/>
  <c r="D692" i="72"/>
  <c r="C692" i="72"/>
  <c r="B694" i="72" l="1"/>
  <c r="C693" i="72"/>
  <c r="E693" i="72"/>
  <c r="D693" i="72"/>
  <c r="B695" i="72" l="1"/>
  <c r="E694" i="72"/>
  <c r="D694" i="72"/>
  <c r="C694" i="72"/>
  <c r="B696" i="72" l="1"/>
  <c r="D695" i="72"/>
  <c r="E695" i="72"/>
  <c r="C695" i="72"/>
  <c r="B697" i="72" l="1"/>
  <c r="E696" i="72"/>
  <c r="D696" i="72"/>
  <c r="C696" i="72"/>
  <c r="B698" i="72" l="1"/>
  <c r="C697" i="72"/>
  <c r="E697" i="72"/>
  <c r="D697" i="72"/>
  <c r="B699" i="72" l="1"/>
  <c r="D698" i="72"/>
  <c r="E698" i="72"/>
  <c r="C698" i="72"/>
  <c r="B700" i="72" l="1"/>
  <c r="E699" i="72"/>
  <c r="D699" i="72"/>
  <c r="C699" i="72"/>
  <c r="B701" i="72" l="1"/>
  <c r="D700" i="72"/>
  <c r="E700" i="72"/>
  <c r="C700" i="72"/>
  <c r="B702" i="72" l="1"/>
  <c r="C701" i="72"/>
  <c r="D701" i="72"/>
  <c r="E701" i="72"/>
  <c r="B703" i="72" l="1"/>
  <c r="D702" i="72"/>
  <c r="C702" i="72"/>
  <c r="E702" i="72"/>
  <c r="B704" i="72" l="1"/>
  <c r="C703" i="72"/>
  <c r="D703" i="72"/>
  <c r="E703" i="72"/>
  <c r="B705" i="72" l="1"/>
  <c r="E704" i="72"/>
  <c r="C704" i="72"/>
  <c r="D704" i="72"/>
  <c r="B706" i="72" l="1"/>
  <c r="D705" i="72"/>
  <c r="E705" i="72"/>
  <c r="C705" i="72"/>
  <c r="B707" i="72" l="1"/>
  <c r="E706" i="72"/>
  <c r="C706" i="72"/>
  <c r="D706" i="72"/>
  <c r="B708" i="72" l="1"/>
  <c r="E707" i="72"/>
  <c r="D707" i="72"/>
  <c r="C707" i="72"/>
  <c r="B709" i="72" l="1"/>
  <c r="C708" i="72"/>
  <c r="D708" i="72"/>
  <c r="E708" i="72"/>
  <c r="B710" i="72" l="1"/>
  <c r="C709" i="72"/>
  <c r="D709" i="72"/>
  <c r="E709" i="72"/>
  <c r="B711" i="72" l="1"/>
  <c r="D710" i="72"/>
  <c r="E710" i="72"/>
  <c r="C710" i="72"/>
  <c r="B712" i="72" l="1"/>
  <c r="E711" i="72"/>
  <c r="C711" i="72"/>
  <c r="D711" i="72"/>
  <c r="B713" i="72" l="1"/>
  <c r="C712" i="72"/>
  <c r="E712" i="72"/>
  <c r="D712" i="72"/>
  <c r="B714" i="72" l="1"/>
  <c r="C713" i="72"/>
  <c r="E713" i="72"/>
  <c r="D713" i="72"/>
  <c r="B715" i="72" l="1"/>
  <c r="D714" i="72"/>
  <c r="E714" i="72"/>
  <c r="C714" i="72"/>
  <c r="B716" i="72" l="1"/>
  <c r="E715" i="72"/>
  <c r="C715" i="72"/>
  <c r="D715" i="72"/>
  <c r="B717" i="72" l="1"/>
  <c r="E716" i="72"/>
  <c r="C716" i="72"/>
  <c r="D716" i="72"/>
  <c r="B718" i="72" l="1"/>
  <c r="D717" i="72"/>
  <c r="E717" i="72"/>
  <c r="C717" i="72"/>
  <c r="B719" i="72" l="1"/>
  <c r="E718" i="72"/>
  <c r="C718" i="72"/>
  <c r="D718" i="72"/>
  <c r="B720" i="72" l="1"/>
  <c r="E719" i="72"/>
  <c r="D719" i="72"/>
  <c r="C719" i="72"/>
  <c r="B721" i="72" l="1"/>
  <c r="C720" i="72"/>
  <c r="D720" i="72"/>
  <c r="E720" i="72"/>
  <c r="B722" i="72" l="1"/>
  <c r="E721" i="72"/>
  <c r="C721" i="72"/>
  <c r="D721" i="72"/>
  <c r="B723" i="72" l="1"/>
  <c r="D722" i="72"/>
  <c r="C722" i="72"/>
  <c r="E722" i="72"/>
  <c r="B724" i="72" l="1"/>
  <c r="E723" i="72"/>
  <c r="C723" i="72"/>
  <c r="D723" i="72"/>
  <c r="B725" i="72" l="1"/>
  <c r="D724" i="72"/>
  <c r="E724" i="72"/>
  <c r="C724" i="72"/>
  <c r="B726" i="72" l="1"/>
  <c r="E725" i="72"/>
  <c r="D725" i="72"/>
  <c r="C725" i="72"/>
  <c r="B727" i="72" l="1"/>
  <c r="E726" i="72"/>
  <c r="D726" i="72"/>
  <c r="C726" i="72"/>
  <c r="B728" i="72" l="1"/>
  <c r="D727" i="72"/>
  <c r="C727" i="72"/>
  <c r="E727" i="72"/>
  <c r="B729" i="72" l="1"/>
  <c r="D728" i="72"/>
  <c r="C728" i="72"/>
  <c r="E728" i="72"/>
  <c r="B730" i="72" l="1"/>
  <c r="C729" i="72"/>
  <c r="E729" i="72"/>
  <c r="D729" i="72"/>
  <c r="B731" i="72" l="1"/>
  <c r="E730" i="72"/>
  <c r="D730" i="72"/>
  <c r="C730" i="72"/>
  <c r="B732" i="72" l="1"/>
  <c r="C731" i="72"/>
  <c r="D731" i="72"/>
  <c r="E731" i="72"/>
  <c r="B733" i="72" l="1"/>
  <c r="C732" i="72"/>
  <c r="D732" i="72"/>
  <c r="E732" i="72"/>
  <c r="B734" i="72" l="1"/>
  <c r="D733" i="72"/>
  <c r="E733" i="72"/>
  <c r="C733" i="72"/>
  <c r="O7" i="72" l="1"/>
  <c r="O8" i="72" s="1"/>
  <c r="O10" i="72"/>
  <c r="O11" i="72" s="1"/>
  <c r="B735" i="72"/>
  <c r="C734" i="72"/>
  <c r="D734" i="72"/>
  <c r="E734" i="72"/>
  <c r="O13" i="72" l="1"/>
  <c r="O31" i="72" s="1"/>
  <c r="O28" i="72"/>
  <c r="B736" i="72"/>
  <c r="E735" i="72"/>
  <c r="C735" i="72"/>
  <c r="D735" i="72"/>
  <c r="O14" i="72" l="1"/>
  <c r="B737" i="72"/>
  <c r="E736" i="72"/>
  <c r="D736" i="72"/>
  <c r="C736" i="72"/>
  <c r="B738" i="72" l="1"/>
  <c r="D737" i="72"/>
  <c r="C737" i="72"/>
  <c r="E737" i="72"/>
  <c r="B739" i="72" l="1"/>
  <c r="E738" i="72"/>
  <c r="D738" i="72"/>
  <c r="C738" i="72"/>
  <c r="B740" i="72" l="1"/>
  <c r="E739" i="72"/>
  <c r="D739" i="72"/>
  <c r="C739" i="72"/>
  <c r="B741" i="72" l="1"/>
  <c r="E740" i="72"/>
  <c r="D740" i="72"/>
  <c r="C740" i="72"/>
  <c r="B742" i="72" l="1"/>
  <c r="C741" i="72"/>
  <c r="D741" i="72"/>
  <c r="E741" i="72"/>
  <c r="B743" i="72" l="1"/>
  <c r="E742" i="72"/>
  <c r="C742" i="72"/>
  <c r="D742" i="72"/>
  <c r="B744" i="72" l="1"/>
  <c r="D743" i="72"/>
  <c r="E743" i="72"/>
  <c r="C743" i="72"/>
  <c r="B745" i="72" l="1"/>
  <c r="D744" i="72"/>
  <c r="C744" i="72"/>
  <c r="E744" i="72"/>
  <c r="B746" i="72" l="1"/>
  <c r="E745" i="72"/>
  <c r="C745" i="72"/>
  <c r="D745" i="72"/>
  <c r="B747" i="72" l="1"/>
  <c r="E746" i="72"/>
  <c r="C746" i="72"/>
  <c r="D746" i="72"/>
  <c r="B748" i="72" l="1"/>
  <c r="C747" i="72"/>
  <c r="D747" i="72"/>
  <c r="E747" i="72"/>
  <c r="B749" i="72" l="1"/>
  <c r="D748" i="72"/>
  <c r="E748" i="72"/>
  <c r="C748" i="72"/>
  <c r="B750" i="72" l="1"/>
  <c r="C749" i="72"/>
  <c r="E749" i="72"/>
  <c r="D749" i="72"/>
  <c r="B751" i="72" l="1"/>
  <c r="E750" i="72"/>
  <c r="D750" i="72"/>
  <c r="C750" i="72"/>
  <c r="B752" i="72" l="1"/>
  <c r="D751" i="72"/>
  <c r="E751" i="72"/>
  <c r="C751" i="72"/>
  <c r="B753" i="72" l="1"/>
  <c r="D752" i="72"/>
  <c r="C752" i="72"/>
  <c r="E752" i="72"/>
  <c r="B754" i="72" l="1"/>
  <c r="E753" i="72"/>
  <c r="C753" i="72"/>
  <c r="D753" i="72"/>
  <c r="B755" i="72" l="1"/>
  <c r="D754" i="72"/>
  <c r="C754" i="72"/>
  <c r="E754" i="72"/>
  <c r="B756" i="72" l="1"/>
  <c r="E755" i="72"/>
  <c r="C755" i="72"/>
  <c r="D755" i="72"/>
  <c r="B757" i="72" l="1"/>
  <c r="D756" i="72"/>
  <c r="C756" i="72"/>
  <c r="E756" i="72"/>
  <c r="B758" i="72" l="1"/>
  <c r="C757" i="72"/>
  <c r="E757" i="72"/>
  <c r="D757" i="72"/>
  <c r="B759" i="72" l="1"/>
  <c r="C758" i="72"/>
  <c r="D758" i="72"/>
  <c r="E758" i="72"/>
  <c r="B760" i="72" l="1"/>
  <c r="E759" i="72"/>
  <c r="D759" i="72"/>
  <c r="C759" i="72"/>
  <c r="B761" i="72" l="1"/>
  <c r="D760" i="72"/>
  <c r="E760" i="72"/>
  <c r="C760" i="72"/>
  <c r="B762" i="72" l="1"/>
  <c r="D761" i="72"/>
  <c r="E761" i="72"/>
  <c r="C761" i="72"/>
  <c r="B763" i="72" l="1"/>
  <c r="C762" i="72"/>
  <c r="D762" i="72"/>
  <c r="E762" i="72"/>
  <c r="B764" i="72" l="1"/>
  <c r="E763" i="72"/>
  <c r="D763" i="72"/>
  <c r="C763" i="72"/>
  <c r="B765" i="72" l="1"/>
  <c r="E764" i="72"/>
  <c r="D764" i="72"/>
  <c r="C764" i="72"/>
  <c r="B766" i="72" l="1"/>
  <c r="E765" i="72"/>
  <c r="D765" i="72"/>
  <c r="C765" i="72"/>
  <c r="B767" i="72" l="1"/>
  <c r="C766" i="72"/>
  <c r="E766" i="72"/>
  <c r="D766" i="72"/>
  <c r="B768" i="72" l="1"/>
  <c r="C767" i="72"/>
  <c r="E767" i="72"/>
  <c r="D767" i="72"/>
  <c r="B769" i="72" l="1"/>
  <c r="C768" i="72"/>
  <c r="D768" i="72"/>
  <c r="E768" i="72"/>
  <c r="B770" i="72" l="1"/>
  <c r="E769" i="72"/>
  <c r="D769" i="72"/>
  <c r="C769" i="72"/>
  <c r="B771" i="72" l="1"/>
  <c r="E770" i="72"/>
  <c r="D770" i="72"/>
  <c r="C770" i="72"/>
  <c r="B772" i="72" l="1"/>
  <c r="D771" i="72"/>
  <c r="C771" i="72"/>
  <c r="E771" i="72"/>
  <c r="B773" i="72" l="1"/>
  <c r="C772" i="72"/>
  <c r="D772" i="72"/>
  <c r="E772" i="72"/>
  <c r="B774" i="72" l="1"/>
  <c r="E773" i="72"/>
  <c r="C773" i="72"/>
  <c r="D773" i="72"/>
  <c r="B775" i="72" l="1"/>
  <c r="C774" i="72"/>
  <c r="D774" i="72"/>
  <c r="E774" i="72"/>
  <c r="B776" i="72" l="1"/>
  <c r="D775" i="72"/>
  <c r="E775" i="72"/>
  <c r="C775" i="72"/>
  <c r="B777" i="72" l="1"/>
  <c r="E776" i="72"/>
  <c r="D776" i="72"/>
  <c r="C776" i="72"/>
  <c r="B778" i="72" l="1"/>
  <c r="C777" i="72"/>
  <c r="E777" i="72"/>
  <c r="D777" i="72"/>
  <c r="B779" i="72" l="1"/>
  <c r="C778" i="72"/>
  <c r="E778" i="72"/>
  <c r="D778" i="72"/>
  <c r="B780" i="72" l="1"/>
  <c r="E779" i="72"/>
  <c r="D779" i="72"/>
  <c r="C779" i="72"/>
  <c r="B781" i="72" l="1"/>
  <c r="E780" i="72"/>
  <c r="D780" i="72"/>
  <c r="C780" i="72"/>
  <c r="B782" i="72" l="1"/>
  <c r="C781" i="72"/>
  <c r="D781" i="72"/>
  <c r="E781" i="72"/>
  <c r="B783" i="72" l="1"/>
  <c r="D782" i="72"/>
  <c r="C782" i="72"/>
  <c r="E782" i="72"/>
  <c r="B784" i="72" l="1"/>
  <c r="C783" i="72"/>
  <c r="D783" i="72"/>
  <c r="E783" i="72"/>
  <c r="B785" i="72" l="1"/>
  <c r="E784" i="72"/>
  <c r="D784" i="72"/>
  <c r="C784" i="72"/>
  <c r="B786" i="72" l="1"/>
  <c r="D785" i="72"/>
  <c r="C785" i="72"/>
  <c r="E785" i="72"/>
  <c r="B787" i="72" l="1"/>
  <c r="D786" i="72"/>
  <c r="E786" i="72"/>
  <c r="C786" i="72"/>
  <c r="B788" i="72" l="1"/>
  <c r="D787" i="72"/>
  <c r="E787" i="72"/>
  <c r="C787" i="72"/>
  <c r="B789" i="72" l="1"/>
  <c r="E788" i="72"/>
  <c r="C788" i="72"/>
  <c r="D788" i="72"/>
  <c r="B790" i="72" l="1"/>
  <c r="D789" i="72"/>
  <c r="C789" i="72"/>
  <c r="E789" i="72"/>
  <c r="B791" i="72" l="1"/>
  <c r="C790" i="72"/>
  <c r="E790" i="72"/>
  <c r="D790" i="72"/>
  <c r="B792" i="72" l="1"/>
  <c r="D791" i="72"/>
  <c r="E791" i="72"/>
  <c r="C791" i="72"/>
  <c r="B793" i="72" l="1"/>
  <c r="C792" i="72"/>
  <c r="D792" i="72"/>
  <c r="E792" i="72"/>
  <c r="B794" i="72" l="1"/>
  <c r="C793" i="72"/>
  <c r="D793" i="72"/>
  <c r="E793" i="72"/>
  <c r="B795" i="72" l="1"/>
  <c r="D794" i="72"/>
  <c r="C794" i="72"/>
  <c r="E794" i="72"/>
  <c r="B796" i="72" l="1"/>
  <c r="C795" i="72"/>
  <c r="E795" i="72"/>
  <c r="D795" i="72"/>
  <c r="B797" i="72" l="1"/>
  <c r="E796" i="72"/>
  <c r="D796" i="72"/>
  <c r="C796" i="72"/>
  <c r="B798" i="72" l="1"/>
  <c r="C797" i="72"/>
  <c r="E797" i="72"/>
  <c r="D797" i="72"/>
  <c r="B799" i="72" l="1"/>
  <c r="E798" i="72"/>
  <c r="C798" i="72"/>
  <c r="D798" i="72"/>
  <c r="B800" i="72" l="1"/>
  <c r="E799" i="72"/>
  <c r="D799" i="72"/>
  <c r="C799" i="72"/>
  <c r="B801" i="72" l="1"/>
  <c r="C800" i="72"/>
  <c r="E800" i="72"/>
  <c r="D800" i="72"/>
  <c r="B802" i="72" l="1"/>
  <c r="E801" i="72"/>
  <c r="C801" i="72"/>
  <c r="D801" i="72"/>
  <c r="B803" i="72" l="1"/>
  <c r="C802" i="72"/>
  <c r="E802" i="72"/>
  <c r="D802" i="72"/>
  <c r="B804" i="72" l="1"/>
  <c r="C803" i="72"/>
  <c r="D803" i="72"/>
  <c r="E803" i="72"/>
  <c r="B805" i="72" l="1"/>
  <c r="E804" i="72"/>
  <c r="C804" i="72"/>
  <c r="D804" i="72"/>
  <c r="B806" i="72" l="1"/>
  <c r="C805" i="72"/>
  <c r="E805" i="72"/>
  <c r="D805" i="72"/>
  <c r="B807" i="72" l="1"/>
  <c r="E806" i="72"/>
  <c r="C806" i="72"/>
  <c r="D806" i="72"/>
  <c r="B808" i="72" l="1"/>
  <c r="D807" i="72"/>
  <c r="C807" i="72"/>
  <c r="E807" i="72"/>
  <c r="B809" i="72" l="1"/>
  <c r="C808" i="72"/>
  <c r="E808" i="72"/>
  <c r="D808" i="72"/>
  <c r="B810" i="72" l="1"/>
  <c r="C809" i="72"/>
  <c r="D809" i="72"/>
  <c r="E809" i="72"/>
  <c r="B811" i="72" l="1"/>
  <c r="E810" i="72"/>
  <c r="D810" i="72"/>
  <c r="C810" i="72"/>
  <c r="B812" i="72" l="1"/>
  <c r="D811" i="72"/>
  <c r="E811" i="72"/>
  <c r="C811" i="72"/>
  <c r="B813" i="72" l="1"/>
  <c r="D812" i="72"/>
  <c r="C812" i="72"/>
  <c r="E812" i="72"/>
  <c r="B814" i="72" l="1"/>
  <c r="D813" i="72"/>
  <c r="C813" i="72"/>
  <c r="E813" i="72"/>
  <c r="B815" i="72" l="1"/>
  <c r="E814" i="72"/>
  <c r="C814" i="72"/>
  <c r="D814" i="72"/>
  <c r="B816" i="72" l="1"/>
  <c r="C815" i="72"/>
  <c r="D815" i="72"/>
  <c r="E815" i="72"/>
  <c r="B817" i="72" l="1"/>
  <c r="C816" i="72"/>
  <c r="E816" i="72"/>
  <c r="D816" i="72"/>
  <c r="B818" i="72" l="1"/>
  <c r="E817" i="72"/>
  <c r="C817" i="72"/>
  <c r="D817" i="72"/>
  <c r="B819" i="72" l="1"/>
  <c r="E818" i="72"/>
  <c r="D818" i="72"/>
  <c r="C818" i="72"/>
  <c r="B820" i="72" l="1"/>
  <c r="C819" i="72"/>
  <c r="E819" i="72"/>
  <c r="D819" i="72"/>
  <c r="B821" i="72" l="1"/>
  <c r="E820" i="72"/>
  <c r="C820" i="72"/>
  <c r="D820" i="72"/>
  <c r="B822" i="72" l="1"/>
  <c r="E821" i="72"/>
  <c r="C821" i="72"/>
  <c r="D821" i="72"/>
  <c r="B823" i="72" l="1"/>
  <c r="C822" i="72"/>
  <c r="D822" i="72"/>
  <c r="E822" i="72"/>
  <c r="B824" i="72" l="1"/>
  <c r="D823" i="72"/>
  <c r="E823" i="72"/>
  <c r="C823" i="72"/>
  <c r="P7" i="72" l="1"/>
  <c r="P8" i="72" s="1"/>
  <c r="P10" i="72"/>
  <c r="P11" i="72" s="1"/>
  <c r="B825" i="72"/>
  <c r="E824" i="72"/>
  <c r="D824" i="72"/>
  <c r="C824" i="72"/>
  <c r="P13" i="72" l="1"/>
  <c r="P28" i="72"/>
  <c r="B826" i="72"/>
  <c r="D825" i="72"/>
  <c r="E825" i="72"/>
  <c r="C825" i="72"/>
  <c r="P31" i="72" l="1"/>
  <c r="P14" i="72"/>
  <c r="B827" i="72"/>
  <c r="C826" i="72"/>
  <c r="D826" i="72"/>
  <c r="E826" i="72"/>
  <c r="B828" i="72" l="1"/>
  <c r="D827" i="72"/>
  <c r="C827" i="72"/>
  <c r="E827" i="72"/>
  <c r="B829" i="72" l="1"/>
  <c r="C828" i="72"/>
  <c r="D828" i="72"/>
  <c r="E828" i="72"/>
  <c r="B830" i="72" l="1"/>
  <c r="E829" i="72"/>
  <c r="C829" i="72"/>
  <c r="D829" i="72"/>
  <c r="B831" i="72" l="1"/>
  <c r="C830" i="72"/>
  <c r="D830" i="72"/>
  <c r="E830" i="72"/>
  <c r="B832" i="72" l="1"/>
  <c r="D831" i="72"/>
  <c r="C831" i="72"/>
  <c r="E831" i="72"/>
  <c r="B833" i="72" l="1"/>
  <c r="E832" i="72"/>
  <c r="D832" i="72"/>
  <c r="C832" i="72"/>
  <c r="B834" i="72" l="1"/>
  <c r="D833" i="72"/>
  <c r="C833" i="72"/>
  <c r="E833" i="72"/>
  <c r="B835" i="72" l="1"/>
  <c r="D834" i="72"/>
  <c r="C834" i="72"/>
  <c r="E834" i="72"/>
  <c r="B836" i="72" l="1"/>
  <c r="E835" i="72"/>
  <c r="C835" i="72"/>
  <c r="D835" i="72"/>
  <c r="B837" i="72" l="1"/>
  <c r="E836" i="72"/>
  <c r="D836" i="72"/>
  <c r="C836" i="72"/>
  <c r="B838" i="72" l="1"/>
  <c r="C837" i="72"/>
  <c r="D837" i="72"/>
  <c r="E837" i="72"/>
  <c r="B839" i="72" l="1"/>
  <c r="D838" i="72"/>
  <c r="E838" i="72"/>
  <c r="C838" i="72"/>
  <c r="B840" i="72" l="1"/>
  <c r="D839" i="72"/>
  <c r="C839" i="72"/>
  <c r="E839" i="72"/>
  <c r="B841" i="72" l="1"/>
  <c r="D840" i="72"/>
  <c r="E840" i="72"/>
  <c r="C840" i="72"/>
  <c r="B842" i="72" l="1"/>
  <c r="E841" i="72"/>
  <c r="D841" i="72"/>
  <c r="C841" i="72"/>
  <c r="B843" i="72" l="1"/>
  <c r="D842" i="72"/>
  <c r="C842" i="72"/>
  <c r="E842" i="72"/>
  <c r="B844" i="72" l="1"/>
  <c r="E843" i="72"/>
  <c r="C843" i="72"/>
  <c r="D843" i="72"/>
  <c r="B845" i="72" l="1"/>
  <c r="E844" i="72"/>
  <c r="D844" i="72"/>
  <c r="C844" i="72"/>
  <c r="B846" i="72" l="1"/>
  <c r="E845" i="72"/>
  <c r="C845" i="72"/>
  <c r="D845" i="72"/>
  <c r="B847" i="72" l="1"/>
  <c r="E846" i="72"/>
  <c r="C846" i="72"/>
  <c r="D846" i="72"/>
  <c r="B848" i="72" l="1"/>
  <c r="E847" i="72"/>
  <c r="D847" i="72"/>
  <c r="C847" i="72"/>
  <c r="B849" i="72" l="1"/>
  <c r="E848" i="72"/>
  <c r="C848" i="72"/>
  <c r="D848" i="72"/>
  <c r="B850" i="72" l="1"/>
  <c r="C849" i="72"/>
  <c r="D849" i="72"/>
  <c r="E849" i="72"/>
  <c r="B851" i="72" l="1"/>
  <c r="E850" i="72"/>
  <c r="D850" i="72"/>
  <c r="C850" i="72"/>
  <c r="B852" i="72" l="1"/>
  <c r="C851" i="72"/>
  <c r="E851" i="72"/>
  <c r="D851" i="72"/>
  <c r="B853" i="72" l="1"/>
  <c r="E852" i="72"/>
  <c r="C852" i="72"/>
  <c r="D852" i="72"/>
  <c r="B854" i="72" l="1"/>
  <c r="E853" i="72"/>
  <c r="D853" i="72"/>
  <c r="C853" i="72"/>
  <c r="B855" i="72" l="1"/>
  <c r="D854" i="72"/>
  <c r="C854" i="72"/>
  <c r="E854" i="72"/>
  <c r="B856" i="72" l="1"/>
  <c r="E855" i="72"/>
  <c r="C855" i="72"/>
  <c r="D855" i="72"/>
  <c r="B857" i="72" l="1"/>
  <c r="E856" i="72"/>
  <c r="C856" i="72"/>
  <c r="D856" i="72"/>
  <c r="B858" i="72" l="1"/>
  <c r="C857" i="72"/>
  <c r="E857" i="72"/>
  <c r="D857" i="72"/>
  <c r="B859" i="72" l="1"/>
  <c r="C858" i="72"/>
  <c r="D858" i="72"/>
  <c r="E858" i="72"/>
  <c r="B860" i="72" l="1"/>
  <c r="E859" i="72"/>
  <c r="C859" i="72"/>
  <c r="D859" i="72"/>
  <c r="B861" i="72" l="1"/>
  <c r="E860" i="72"/>
  <c r="D860" i="72"/>
  <c r="C860" i="72"/>
  <c r="B862" i="72" l="1"/>
  <c r="D861" i="72"/>
  <c r="C861" i="72"/>
  <c r="E861" i="72"/>
  <c r="B863" i="72" l="1"/>
  <c r="E862" i="72"/>
  <c r="D862" i="72"/>
  <c r="C862" i="72"/>
  <c r="B864" i="72" l="1"/>
  <c r="E863" i="72"/>
  <c r="C863" i="72"/>
  <c r="D863" i="72"/>
  <c r="B865" i="72" l="1"/>
  <c r="E864" i="72"/>
  <c r="C864" i="72"/>
  <c r="D864" i="72"/>
  <c r="B866" i="72" l="1"/>
  <c r="D865" i="72"/>
  <c r="E865" i="72"/>
  <c r="C865" i="72"/>
  <c r="B867" i="72" l="1"/>
  <c r="E866" i="72"/>
  <c r="C866" i="72"/>
  <c r="D866" i="72"/>
  <c r="B868" i="72" l="1"/>
  <c r="C867" i="72"/>
  <c r="E867" i="72"/>
  <c r="D867" i="72"/>
  <c r="B869" i="72" l="1"/>
  <c r="C868" i="72"/>
  <c r="E868" i="72"/>
  <c r="D868" i="72"/>
  <c r="B870" i="72" l="1"/>
  <c r="D869" i="72"/>
  <c r="E869" i="72"/>
  <c r="C869" i="72"/>
  <c r="B871" i="72" l="1"/>
  <c r="E870" i="72"/>
  <c r="C870" i="72"/>
  <c r="D870" i="72"/>
  <c r="B872" i="72" l="1"/>
  <c r="C871" i="72"/>
  <c r="E871" i="72"/>
  <c r="D871" i="72"/>
  <c r="B873" i="72" l="1"/>
  <c r="D872" i="72"/>
  <c r="C872" i="72"/>
  <c r="E872" i="72"/>
  <c r="B874" i="72" l="1"/>
  <c r="C873" i="72"/>
  <c r="E873" i="72"/>
  <c r="D873" i="72"/>
  <c r="B875" i="72" l="1"/>
  <c r="D874" i="72"/>
  <c r="E874" i="72"/>
  <c r="C874" i="72"/>
  <c r="B876" i="72" l="1"/>
  <c r="E875" i="72"/>
  <c r="D875" i="72"/>
  <c r="C875" i="72"/>
  <c r="B877" i="72" l="1"/>
  <c r="E876" i="72"/>
  <c r="C876" i="72"/>
  <c r="D876" i="72"/>
  <c r="B878" i="72" l="1"/>
  <c r="E877" i="72"/>
  <c r="C877" i="72"/>
  <c r="D877" i="72"/>
  <c r="B879" i="72" l="1"/>
  <c r="D878" i="72"/>
  <c r="E878" i="72"/>
  <c r="C878" i="72"/>
  <c r="B880" i="72" l="1"/>
  <c r="C879" i="72"/>
  <c r="E879" i="72"/>
  <c r="D879" i="72"/>
  <c r="B881" i="72" l="1"/>
  <c r="E880" i="72"/>
  <c r="C880" i="72"/>
  <c r="D880" i="72"/>
  <c r="B882" i="72" l="1"/>
  <c r="C881" i="72"/>
  <c r="D881" i="72"/>
  <c r="E881" i="72"/>
  <c r="B883" i="72" l="1"/>
  <c r="E882" i="72"/>
  <c r="D882" i="72"/>
  <c r="C882" i="72"/>
  <c r="B884" i="72" l="1"/>
  <c r="D883" i="72"/>
  <c r="E883" i="72"/>
  <c r="C883" i="72"/>
  <c r="B885" i="72" l="1"/>
  <c r="E884" i="72"/>
  <c r="C884" i="72"/>
  <c r="D884" i="72"/>
  <c r="B886" i="72" l="1"/>
  <c r="D885" i="72"/>
  <c r="C885" i="72"/>
  <c r="E885" i="72"/>
  <c r="B887" i="72" l="1"/>
  <c r="E886" i="72"/>
  <c r="C886" i="72"/>
  <c r="D886" i="72"/>
  <c r="B888" i="72" l="1"/>
  <c r="E887" i="72"/>
  <c r="D887" i="72"/>
  <c r="C887" i="72"/>
  <c r="B889" i="72" l="1"/>
  <c r="C888" i="72"/>
  <c r="E888" i="72"/>
  <c r="D888" i="72"/>
  <c r="B890" i="72" l="1"/>
  <c r="D889" i="72"/>
  <c r="E889" i="72"/>
  <c r="C889" i="72"/>
  <c r="B891" i="72" l="1"/>
  <c r="E890" i="72"/>
  <c r="C890" i="72"/>
  <c r="D890" i="72"/>
  <c r="B892" i="72" l="1"/>
  <c r="D891" i="72"/>
  <c r="C891" i="72"/>
  <c r="E891" i="72"/>
  <c r="B893" i="72" l="1"/>
  <c r="E892" i="72"/>
  <c r="C892" i="72"/>
  <c r="D892" i="72"/>
  <c r="B894" i="72" l="1"/>
  <c r="C893" i="72"/>
  <c r="D893" i="72"/>
  <c r="E893" i="72"/>
  <c r="B895" i="72" l="1"/>
  <c r="C894" i="72"/>
  <c r="E894" i="72"/>
  <c r="D894" i="72"/>
  <c r="B896" i="72" l="1"/>
  <c r="C895" i="72"/>
  <c r="E895" i="72"/>
  <c r="D895" i="72"/>
  <c r="B897" i="72" l="1"/>
  <c r="D896" i="72"/>
  <c r="E896" i="72"/>
  <c r="C896" i="72"/>
  <c r="B898" i="72" l="1"/>
  <c r="C897" i="72"/>
  <c r="D897" i="72"/>
  <c r="E897" i="72"/>
  <c r="B899" i="72" l="1"/>
  <c r="E898" i="72"/>
  <c r="C898" i="72"/>
  <c r="D898" i="72"/>
  <c r="B900" i="72" l="1"/>
  <c r="C899" i="72"/>
  <c r="E899" i="72"/>
  <c r="D899" i="72"/>
  <c r="B901" i="72" l="1"/>
  <c r="E900" i="72"/>
  <c r="C900" i="72"/>
  <c r="D900" i="72"/>
  <c r="B902" i="72" l="1"/>
  <c r="C901" i="72"/>
  <c r="E901" i="72"/>
  <c r="D901" i="72"/>
  <c r="B903" i="72" l="1"/>
  <c r="C902" i="72"/>
  <c r="E902" i="72"/>
  <c r="D902" i="72"/>
  <c r="B904" i="72" l="1"/>
  <c r="D903" i="72"/>
  <c r="E903" i="72"/>
  <c r="C903" i="72"/>
  <c r="B905" i="72" l="1"/>
  <c r="E904" i="72"/>
  <c r="C904" i="72"/>
  <c r="D904" i="72"/>
  <c r="B906" i="72" l="1"/>
  <c r="E905" i="72"/>
  <c r="C905" i="72"/>
  <c r="D905" i="72"/>
  <c r="B907" i="72" l="1"/>
  <c r="D906" i="72"/>
  <c r="E906" i="72"/>
  <c r="C906" i="72"/>
  <c r="B908" i="72" l="1"/>
  <c r="C907" i="72"/>
  <c r="E907" i="72"/>
  <c r="D907" i="72"/>
  <c r="B909" i="72" l="1"/>
  <c r="D908" i="72"/>
  <c r="C908" i="72"/>
  <c r="E908" i="72"/>
  <c r="B910" i="72" l="1"/>
  <c r="D909" i="72"/>
  <c r="E909" i="72"/>
  <c r="C909" i="72"/>
  <c r="B911" i="72" l="1"/>
  <c r="C910" i="72"/>
  <c r="E910" i="72"/>
  <c r="D910" i="72"/>
  <c r="B912" i="72" l="1"/>
  <c r="D911" i="72"/>
  <c r="E911" i="72"/>
  <c r="C911" i="72"/>
  <c r="B913" i="72" l="1"/>
  <c r="C912" i="72"/>
  <c r="D912" i="72"/>
  <c r="E912" i="72"/>
  <c r="B914" i="72" l="1"/>
  <c r="D913" i="72"/>
  <c r="C913" i="72"/>
  <c r="E913" i="72"/>
  <c r="B915" i="72" l="1"/>
  <c r="D914" i="72"/>
  <c r="C914" i="72"/>
  <c r="E914" i="72"/>
  <c r="Q7" i="72" l="1"/>
  <c r="Q8" i="72" s="1"/>
  <c r="Q10" i="72"/>
  <c r="Q11" i="72" s="1"/>
  <c r="B916" i="72"/>
  <c r="E915" i="72"/>
  <c r="D915" i="72"/>
  <c r="C915" i="72"/>
  <c r="Q13" i="72" l="1"/>
  <c r="Q28" i="72"/>
  <c r="B917" i="72"/>
  <c r="E916" i="72"/>
  <c r="D916" i="72"/>
  <c r="C916" i="72"/>
  <c r="Q14" i="72" l="1"/>
  <c r="Q31" i="72"/>
  <c r="B918" i="72"/>
  <c r="C917" i="72"/>
  <c r="D917" i="72"/>
  <c r="E917" i="72"/>
  <c r="B919" i="72" l="1"/>
  <c r="C918" i="72"/>
  <c r="E918" i="72"/>
  <c r="D918" i="72"/>
  <c r="B920" i="72" l="1"/>
  <c r="D919" i="72"/>
  <c r="E919" i="72"/>
  <c r="C919" i="72"/>
  <c r="B921" i="72" l="1"/>
  <c r="E920" i="72"/>
  <c r="C920" i="72"/>
  <c r="D920" i="72"/>
  <c r="B922" i="72" l="1"/>
  <c r="C921" i="72"/>
  <c r="D921" i="72"/>
  <c r="E921" i="72"/>
  <c r="B923" i="72" l="1"/>
  <c r="D922" i="72"/>
  <c r="C922" i="72"/>
  <c r="E922" i="72"/>
  <c r="B924" i="72" l="1"/>
  <c r="C923" i="72"/>
  <c r="E923" i="72"/>
  <c r="D923" i="72"/>
  <c r="B925" i="72" l="1"/>
  <c r="C924" i="72"/>
  <c r="D924" i="72"/>
  <c r="E924" i="72"/>
  <c r="B926" i="72" l="1"/>
  <c r="E925" i="72"/>
  <c r="D925" i="72"/>
  <c r="C925" i="72"/>
  <c r="B927" i="72" l="1"/>
  <c r="E926" i="72"/>
  <c r="C926" i="72"/>
  <c r="D926" i="72"/>
  <c r="B928" i="72" l="1"/>
  <c r="C927" i="72"/>
  <c r="E927" i="72"/>
  <c r="D927" i="72"/>
  <c r="B929" i="72" l="1"/>
  <c r="D928" i="72"/>
  <c r="E928" i="72"/>
  <c r="C928" i="72"/>
  <c r="B930" i="72" l="1"/>
  <c r="E929" i="72"/>
  <c r="C929" i="72"/>
  <c r="D929" i="72"/>
  <c r="B931" i="72" l="1"/>
  <c r="D930" i="72"/>
  <c r="E930" i="72"/>
  <c r="C930" i="72"/>
  <c r="B932" i="72" l="1"/>
  <c r="E931" i="72"/>
  <c r="C931" i="72"/>
  <c r="D931" i="72"/>
  <c r="B933" i="72" l="1"/>
  <c r="D932" i="72"/>
  <c r="E932" i="72"/>
  <c r="C932" i="72"/>
  <c r="B934" i="72" l="1"/>
  <c r="C933" i="72"/>
  <c r="E933" i="72"/>
  <c r="D933" i="72"/>
  <c r="B935" i="72" l="1"/>
  <c r="E934" i="72"/>
  <c r="C934" i="72"/>
  <c r="D934" i="72"/>
  <c r="B936" i="72" l="1"/>
  <c r="C935" i="72"/>
  <c r="D935" i="72"/>
  <c r="E935" i="72"/>
  <c r="B937" i="72" l="1"/>
  <c r="E936" i="72"/>
  <c r="D936" i="72"/>
  <c r="C936" i="72"/>
  <c r="B938" i="72" l="1"/>
  <c r="C937" i="72"/>
  <c r="E937" i="72"/>
  <c r="D937" i="72"/>
  <c r="B939" i="72" l="1"/>
  <c r="E938" i="72"/>
  <c r="D938" i="72"/>
  <c r="C938" i="72"/>
  <c r="B940" i="72" l="1"/>
  <c r="E939" i="72"/>
  <c r="D939" i="72"/>
  <c r="C939" i="72"/>
  <c r="B941" i="72" l="1"/>
  <c r="D940" i="72"/>
  <c r="C940" i="72"/>
  <c r="E940" i="72"/>
  <c r="B942" i="72" l="1"/>
  <c r="D941" i="72"/>
  <c r="C941" i="72"/>
  <c r="E941" i="72"/>
  <c r="B943" i="72" l="1"/>
  <c r="D942" i="72"/>
  <c r="C942" i="72"/>
  <c r="E942" i="72"/>
  <c r="B944" i="72" l="1"/>
  <c r="E943" i="72"/>
  <c r="D943" i="72"/>
  <c r="C943" i="72"/>
  <c r="B945" i="72" l="1"/>
  <c r="D944" i="72"/>
  <c r="E944" i="72"/>
  <c r="C944" i="72"/>
  <c r="B946" i="72" l="1"/>
  <c r="C945" i="72"/>
  <c r="D945" i="72"/>
  <c r="E945" i="72"/>
  <c r="B947" i="72" l="1"/>
  <c r="D946" i="72"/>
  <c r="C946" i="72"/>
  <c r="E946" i="72"/>
  <c r="B948" i="72" l="1"/>
  <c r="E947" i="72"/>
  <c r="D947" i="72"/>
  <c r="C947" i="72"/>
  <c r="B949" i="72" l="1"/>
  <c r="E948" i="72"/>
  <c r="D948" i="72"/>
  <c r="C948" i="72"/>
  <c r="B950" i="72" l="1"/>
  <c r="D949" i="72"/>
  <c r="E949" i="72"/>
  <c r="C949" i="72"/>
  <c r="B951" i="72" l="1"/>
  <c r="E950" i="72"/>
  <c r="C950" i="72"/>
  <c r="D950" i="72"/>
  <c r="B952" i="72" l="1"/>
  <c r="E951" i="72"/>
  <c r="D951" i="72"/>
  <c r="C951" i="72"/>
  <c r="B953" i="72" l="1"/>
  <c r="D952" i="72"/>
  <c r="E952" i="72"/>
  <c r="C952" i="72"/>
  <c r="B954" i="72" l="1"/>
  <c r="D953" i="72"/>
  <c r="C953" i="72"/>
  <c r="E953" i="72"/>
  <c r="B955" i="72" l="1"/>
  <c r="E954" i="72"/>
  <c r="C954" i="72"/>
  <c r="D954" i="72"/>
  <c r="B956" i="72" l="1"/>
  <c r="D955" i="72"/>
  <c r="C955" i="72"/>
  <c r="E955" i="72"/>
  <c r="B957" i="72" l="1"/>
  <c r="D956" i="72"/>
  <c r="C956" i="72"/>
  <c r="E956" i="72"/>
  <c r="B958" i="72" l="1"/>
  <c r="E957" i="72"/>
  <c r="C957" i="72"/>
  <c r="D957" i="72"/>
  <c r="B959" i="72" l="1"/>
  <c r="D958" i="72"/>
  <c r="C958" i="72"/>
  <c r="E958" i="72"/>
  <c r="B960" i="72" l="1"/>
  <c r="D959" i="72"/>
  <c r="E959" i="72"/>
  <c r="C959" i="72"/>
  <c r="B961" i="72" l="1"/>
  <c r="D960" i="72"/>
  <c r="C960" i="72"/>
  <c r="E960" i="72"/>
  <c r="B962" i="72" l="1"/>
  <c r="E961" i="72"/>
  <c r="C961" i="72"/>
  <c r="D961" i="72"/>
  <c r="B963" i="72" l="1"/>
  <c r="D962" i="72"/>
  <c r="C962" i="72"/>
  <c r="E962" i="72"/>
  <c r="B964" i="72" l="1"/>
  <c r="D963" i="72"/>
  <c r="C963" i="72"/>
  <c r="E963" i="72"/>
  <c r="B965" i="72" l="1"/>
  <c r="E964" i="72"/>
  <c r="C964" i="72"/>
  <c r="D964" i="72"/>
  <c r="B966" i="72" l="1"/>
  <c r="D965" i="72"/>
  <c r="E965" i="72"/>
  <c r="C965" i="72"/>
  <c r="B967" i="72" l="1"/>
  <c r="D966" i="72"/>
  <c r="E966" i="72"/>
  <c r="C966" i="72"/>
  <c r="B968" i="72" l="1"/>
  <c r="D967" i="72"/>
  <c r="E967" i="72"/>
  <c r="C967" i="72"/>
  <c r="B969" i="72" l="1"/>
  <c r="D968" i="72"/>
  <c r="C968" i="72"/>
  <c r="E968" i="72"/>
  <c r="B970" i="72" l="1"/>
  <c r="E969" i="72"/>
  <c r="C969" i="72"/>
  <c r="D969" i="72"/>
  <c r="B971" i="72" l="1"/>
  <c r="E970" i="72"/>
  <c r="C970" i="72"/>
  <c r="D970" i="72"/>
  <c r="B972" i="72" l="1"/>
  <c r="D971" i="72"/>
  <c r="C971" i="72"/>
  <c r="E971" i="72"/>
  <c r="B973" i="72" l="1"/>
  <c r="D972" i="72"/>
  <c r="C972" i="72"/>
  <c r="E972" i="72"/>
  <c r="B974" i="72" l="1"/>
  <c r="D973" i="72"/>
  <c r="C973" i="72"/>
  <c r="E973" i="72"/>
  <c r="B975" i="72" l="1"/>
  <c r="E974" i="72"/>
  <c r="D974" i="72"/>
  <c r="C974" i="72"/>
  <c r="B976" i="72" l="1"/>
  <c r="C975" i="72"/>
  <c r="D975" i="72"/>
  <c r="E975" i="72"/>
  <c r="B977" i="72" l="1"/>
  <c r="E976" i="72"/>
  <c r="D976" i="72"/>
  <c r="C976" i="72"/>
  <c r="B978" i="72" l="1"/>
  <c r="E977" i="72"/>
  <c r="D977" i="72"/>
  <c r="C977" i="72"/>
  <c r="B979" i="72" l="1"/>
  <c r="C978" i="72"/>
  <c r="D978" i="72"/>
  <c r="E978" i="72"/>
  <c r="B980" i="72" l="1"/>
  <c r="C979" i="72"/>
  <c r="D979" i="72"/>
  <c r="E979" i="72"/>
  <c r="B981" i="72" l="1"/>
  <c r="D980" i="72"/>
  <c r="E980" i="72"/>
  <c r="C980" i="72"/>
  <c r="B982" i="72" l="1"/>
  <c r="C981" i="72"/>
  <c r="E981" i="72"/>
  <c r="D981" i="72"/>
  <c r="B983" i="72" l="1"/>
  <c r="E982" i="72"/>
  <c r="C982" i="72"/>
  <c r="D982" i="72"/>
  <c r="B984" i="72" l="1"/>
  <c r="C983" i="72"/>
  <c r="E983" i="72"/>
  <c r="D983" i="72"/>
  <c r="B985" i="72" l="1"/>
  <c r="C984" i="72"/>
  <c r="D984" i="72"/>
  <c r="E984" i="72"/>
  <c r="B986" i="72" l="1"/>
  <c r="C985" i="72"/>
  <c r="E985" i="72"/>
  <c r="D985" i="72"/>
  <c r="B987" i="72" l="1"/>
  <c r="E986" i="72"/>
  <c r="C986" i="72"/>
  <c r="D986" i="72"/>
  <c r="B988" i="72" l="1"/>
  <c r="E987" i="72"/>
  <c r="D987" i="72"/>
  <c r="C987" i="72"/>
  <c r="B989" i="72" l="1"/>
  <c r="C988" i="72"/>
  <c r="D988" i="72"/>
  <c r="E988" i="72"/>
  <c r="B990" i="72" l="1"/>
  <c r="D989" i="72"/>
  <c r="C989" i="72"/>
  <c r="E989" i="72"/>
  <c r="B991" i="72" l="1"/>
  <c r="D990" i="72"/>
  <c r="E990" i="72"/>
  <c r="C990" i="72"/>
  <c r="B992" i="72" l="1"/>
  <c r="E991" i="72"/>
  <c r="D991" i="72"/>
  <c r="C991" i="72"/>
  <c r="B993" i="72" l="1"/>
  <c r="E992" i="72"/>
  <c r="C992" i="72"/>
  <c r="D992" i="72"/>
  <c r="B994" i="72" l="1"/>
  <c r="D993" i="72"/>
  <c r="E993" i="72"/>
  <c r="C993" i="72"/>
  <c r="B995" i="72" l="1"/>
  <c r="D994" i="72"/>
  <c r="E994" i="72"/>
  <c r="C994" i="72"/>
  <c r="B996" i="72" l="1"/>
  <c r="D995" i="72"/>
  <c r="C995" i="72"/>
  <c r="E995" i="72"/>
  <c r="B997" i="72" l="1"/>
  <c r="D996" i="72"/>
  <c r="C996" i="72"/>
  <c r="E996" i="72"/>
  <c r="B998" i="72" l="1"/>
  <c r="C997" i="72"/>
  <c r="E997" i="72"/>
  <c r="D997" i="72"/>
  <c r="B999" i="72" l="1"/>
  <c r="D998" i="72"/>
  <c r="E998" i="72"/>
  <c r="C998" i="72"/>
  <c r="B1000" i="72" l="1"/>
  <c r="D999" i="72"/>
  <c r="E999" i="72"/>
  <c r="C999" i="72"/>
  <c r="B1001" i="72" l="1"/>
  <c r="D1000" i="72"/>
  <c r="C1000" i="72"/>
  <c r="E1000" i="72"/>
  <c r="B1002" i="72" l="1"/>
  <c r="C1001" i="72"/>
  <c r="D1001" i="72"/>
  <c r="E1001" i="72"/>
  <c r="B1003" i="72" l="1"/>
  <c r="E1002" i="72"/>
  <c r="C1002" i="72"/>
  <c r="D1002" i="72"/>
  <c r="B1004" i="72" l="1"/>
  <c r="C1003" i="72"/>
  <c r="D1003" i="72"/>
  <c r="E1003" i="72"/>
  <c r="B1005" i="72" l="1"/>
  <c r="E1004" i="72"/>
  <c r="C1004" i="72"/>
  <c r="D1004" i="72"/>
  <c r="B1006" i="72" l="1"/>
  <c r="C1005" i="72"/>
  <c r="D1005" i="72"/>
  <c r="E1005" i="72"/>
  <c r="B1007" i="72" l="1"/>
  <c r="E1006" i="72"/>
  <c r="D1006" i="72"/>
  <c r="C1006" i="72"/>
  <c r="R10" i="72" l="1"/>
  <c r="R11" i="72" s="1"/>
  <c r="R7" i="72"/>
  <c r="R8" i="72" s="1"/>
  <c r="B1008" i="72"/>
  <c r="C1007" i="72"/>
  <c r="E1007" i="72"/>
  <c r="D1007" i="72"/>
  <c r="R13" i="72" l="1"/>
  <c r="R14" i="72" s="1"/>
  <c r="R28" i="72"/>
  <c r="B1009" i="72"/>
  <c r="E1008" i="72"/>
  <c r="C1008" i="72"/>
  <c r="D1008" i="72"/>
  <c r="R31" i="72" l="1"/>
  <c r="B1010" i="72"/>
  <c r="E1009" i="72"/>
  <c r="C1009" i="72"/>
  <c r="D1009" i="72"/>
  <c r="B1011" i="72" l="1"/>
  <c r="D1010" i="72"/>
  <c r="E1010" i="72"/>
  <c r="C1010" i="72"/>
  <c r="B1012" i="72" l="1"/>
  <c r="E1011" i="72"/>
  <c r="D1011" i="72"/>
  <c r="C1011" i="72"/>
  <c r="B1013" i="72" l="1"/>
  <c r="E1012" i="72"/>
  <c r="D1012" i="72"/>
  <c r="C1012" i="72"/>
  <c r="B1014" i="72" l="1"/>
  <c r="E1013" i="72"/>
  <c r="C1013" i="72"/>
  <c r="D1013" i="72"/>
  <c r="B1015" i="72" l="1"/>
  <c r="C1014" i="72"/>
  <c r="E1014" i="72"/>
  <c r="D1014" i="72"/>
  <c r="B1016" i="72" l="1"/>
  <c r="C1015" i="72"/>
  <c r="E1015" i="72"/>
  <c r="D1015" i="72"/>
  <c r="B1017" i="72" l="1"/>
  <c r="C1016" i="72"/>
  <c r="D1016" i="72"/>
  <c r="E1016" i="72"/>
  <c r="B1018" i="72" l="1"/>
  <c r="C1017" i="72"/>
  <c r="E1017" i="72"/>
  <c r="D1017" i="72"/>
  <c r="B1019" i="72" l="1"/>
  <c r="E1018" i="72"/>
  <c r="D1018" i="72"/>
  <c r="C1018" i="72"/>
  <c r="B1020" i="72" l="1"/>
  <c r="E1019" i="72"/>
  <c r="D1019" i="72"/>
  <c r="C1019" i="72"/>
  <c r="B1021" i="72" l="1"/>
  <c r="C1020" i="72"/>
  <c r="D1020" i="72"/>
  <c r="E1020" i="72"/>
  <c r="B1022" i="72" l="1"/>
  <c r="D1021" i="72"/>
  <c r="E1021" i="72"/>
  <c r="C1021" i="72"/>
  <c r="B1023" i="72" l="1"/>
  <c r="E1022" i="72"/>
  <c r="D1022" i="72"/>
  <c r="C1022" i="72"/>
  <c r="B1024" i="72" l="1"/>
  <c r="C1023" i="72"/>
  <c r="D1023" i="72"/>
  <c r="E1023" i="72"/>
  <c r="B1025" i="72" l="1"/>
  <c r="E1024" i="72"/>
  <c r="C1024" i="72"/>
  <c r="D1024" i="72"/>
  <c r="B1026" i="72" l="1"/>
  <c r="C1025" i="72"/>
  <c r="E1025" i="72"/>
  <c r="D1025" i="72"/>
  <c r="B1027" i="72" l="1"/>
  <c r="E1026" i="72"/>
  <c r="C1026" i="72"/>
  <c r="D1026" i="72"/>
  <c r="B1028" i="72" l="1"/>
  <c r="D1027" i="72"/>
  <c r="E1027" i="72"/>
  <c r="C1027" i="72"/>
  <c r="B1029" i="72" l="1"/>
  <c r="C1028" i="72"/>
  <c r="D1028" i="72"/>
  <c r="E1028" i="72"/>
  <c r="B1030" i="72" l="1"/>
  <c r="C1029" i="72"/>
  <c r="D1029" i="72"/>
  <c r="E1029" i="72"/>
  <c r="B1031" i="72" l="1"/>
  <c r="E1030" i="72"/>
  <c r="C1030" i="72"/>
  <c r="D1030" i="72"/>
  <c r="B1032" i="72" l="1"/>
  <c r="E1031" i="72"/>
  <c r="C1031" i="72"/>
  <c r="D1031" i="72"/>
  <c r="B1033" i="72" l="1"/>
  <c r="C1032" i="72"/>
  <c r="D1032" i="72"/>
  <c r="E1032" i="72"/>
  <c r="B1034" i="72" l="1"/>
  <c r="C1033" i="72"/>
  <c r="E1033" i="72"/>
  <c r="D1033" i="72"/>
  <c r="B1035" i="72" l="1"/>
  <c r="C1034" i="72"/>
  <c r="D1034" i="72"/>
  <c r="E1034" i="72"/>
  <c r="B1036" i="72" l="1"/>
  <c r="E1035" i="72"/>
  <c r="C1035" i="72"/>
  <c r="D1035" i="72"/>
  <c r="B1037" i="72" l="1"/>
  <c r="D1036" i="72"/>
  <c r="E1036" i="72"/>
  <c r="C1036" i="72"/>
  <c r="B1038" i="72" l="1"/>
  <c r="D1037" i="72"/>
  <c r="E1037" i="72"/>
  <c r="C1037" i="72"/>
  <c r="B1039" i="72" l="1"/>
  <c r="E1038" i="72"/>
  <c r="D1038" i="72"/>
  <c r="C1038" i="72"/>
  <c r="B1040" i="72" l="1"/>
  <c r="D1039" i="72"/>
  <c r="C1039" i="72"/>
  <c r="E1039" i="72"/>
  <c r="B1041" i="72" l="1"/>
  <c r="E1040" i="72"/>
  <c r="D1040" i="72"/>
  <c r="C1040" i="72"/>
  <c r="B1042" i="72" l="1"/>
  <c r="E1041" i="72"/>
  <c r="C1041" i="72"/>
  <c r="D1041" i="72"/>
  <c r="B1043" i="72" l="1"/>
  <c r="E1042" i="72"/>
  <c r="D1042" i="72"/>
  <c r="C1042" i="72"/>
  <c r="B1044" i="72" l="1"/>
  <c r="C1043" i="72"/>
  <c r="D1043" i="72"/>
  <c r="E1043" i="72"/>
  <c r="B1045" i="72" l="1"/>
  <c r="D1044" i="72"/>
  <c r="C1044" i="72"/>
  <c r="E1044" i="72"/>
  <c r="B1046" i="72" l="1"/>
  <c r="D1045" i="72"/>
  <c r="C1045" i="72"/>
  <c r="E1045" i="72"/>
  <c r="B1047" i="72" l="1"/>
  <c r="C1046" i="72"/>
  <c r="E1046" i="72"/>
  <c r="D1046" i="72"/>
  <c r="B1048" i="72" l="1"/>
  <c r="C1047" i="72"/>
  <c r="D1047" i="72"/>
  <c r="E1047" i="72"/>
  <c r="B1049" i="72" l="1"/>
  <c r="E1048" i="72"/>
  <c r="D1048" i="72"/>
  <c r="C1048" i="72"/>
  <c r="B1050" i="72" l="1"/>
  <c r="C1049" i="72"/>
  <c r="E1049" i="72"/>
  <c r="D1049" i="72"/>
  <c r="B1051" i="72" l="1"/>
  <c r="C1050" i="72"/>
  <c r="E1050" i="72"/>
  <c r="D1050" i="72"/>
  <c r="B1052" i="72" l="1"/>
  <c r="E1051" i="72"/>
  <c r="D1051" i="72"/>
  <c r="C1051" i="72"/>
  <c r="B1053" i="72" l="1"/>
  <c r="E1052" i="72"/>
  <c r="C1052" i="72"/>
  <c r="D1052" i="72"/>
  <c r="B1054" i="72" l="1"/>
  <c r="E1053" i="72"/>
  <c r="C1053" i="72"/>
  <c r="D1053" i="72"/>
  <c r="B1055" i="72" l="1"/>
  <c r="E1054" i="72"/>
  <c r="C1054" i="72"/>
  <c r="D1054" i="72"/>
  <c r="B1056" i="72" l="1"/>
  <c r="C1055" i="72"/>
  <c r="D1055" i="72"/>
  <c r="E1055" i="72"/>
  <c r="B1057" i="72" l="1"/>
  <c r="D1056" i="72"/>
  <c r="C1056" i="72"/>
  <c r="E1056" i="72"/>
  <c r="B1058" i="72" l="1"/>
  <c r="E1057" i="72"/>
  <c r="C1057" i="72"/>
  <c r="D1057" i="72"/>
  <c r="B1059" i="72" l="1"/>
  <c r="C1058" i="72"/>
  <c r="D1058" i="72"/>
  <c r="E1058" i="72"/>
  <c r="B1060" i="72" l="1"/>
  <c r="E1059" i="72"/>
  <c r="D1059" i="72"/>
  <c r="C1059" i="72"/>
  <c r="B1061" i="72" l="1"/>
  <c r="C1060" i="72"/>
  <c r="D1060" i="72"/>
  <c r="E1060" i="72"/>
  <c r="B1062" i="72" l="1"/>
  <c r="E1061" i="72"/>
  <c r="D1061" i="72"/>
  <c r="C1061" i="72"/>
  <c r="B1063" i="72" l="1"/>
  <c r="E1062" i="72"/>
  <c r="C1062" i="72"/>
  <c r="D1062" i="72"/>
  <c r="B1064" i="72" l="1"/>
  <c r="E1063" i="72"/>
  <c r="D1063" i="72"/>
  <c r="C1063" i="72"/>
  <c r="B1065" i="72" l="1"/>
  <c r="E1064" i="72"/>
  <c r="C1064" i="72"/>
  <c r="D1064" i="72"/>
  <c r="B1066" i="72" l="1"/>
  <c r="C1065" i="72"/>
  <c r="D1065" i="72"/>
  <c r="E1065" i="72"/>
  <c r="B1067" i="72" l="1"/>
  <c r="D1066" i="72"/>
  <c r="E1066" i="72"/>
  <c r="C1066" i="72"/>
  <c r="B1068" i="72" l="1"/>
  <c r="C1067" i="72"/>
  <c r="D1067" i="72"/>
  <c r="E1067" i="72"/>
  <c r="B1069" i="72" l="1"/>
  <c r="D1068" i="72"/>
  <c r="E1068" i="72"/>
  <c r="C1068" i="72"/>
  <c r="B1070" i="72" l="1"/>
  <c r="E1069" i="72"/>
  <c r="D1069" i="72"/>
  <c r="C1069" i="72"/>
  <c r="B1071" i="72" l="1"/>
  <c r="E1070" i="72"/>
  <c r="D1070" i="72"/>
  <c r="C1070" i="72"/>
  <c r="B1072" i="72" l="1"/>
  <c r="C1071" i="72"/>
  <c r="D1071" i="72"/>
  <c r="E1071" i="72"/>
  <c r="B1073" i="72" l="1"/>
  <c r="E1072" i="72"/>
  <c r="D1072" i="72"/>
  <c r="C1072" i="72"/>
  <c r="B1074" i="72" l="1"/>
  <c r="C1073" i="72"/>
  <c r="E1073" i="72"/>
  <c r="D1073" i="72"/>
  <c r="B1075" i="72" l="1"/>
  <c r="D1074" i="72"/>
  <c r="E1074" i="72"/>
  <c r="C1074" i="72"/>
  <c r="B1076" i="72" l="1"/>
  <c r="E1075" i="72"/>
  <c r="C1075" i="72"/>
  <c r="D1075" i="72"/>
  <c r="B1077" i="72" l="1"/>
  <c r="E1076" i="72"/>
  <c r="D1076" i="72"/>
  <c r="C1076" i="72"/>
  <c r="B1078" i="72" l="1"/>
  <c r="C1077" i="72"/>
  <c r="D1077" i="72"/>
  <c r="E1077" i="72"/>
  <c r="B1079" i="72" l="1"/>
  <c r="C1078" i="72"/>
  <c r="D1078" i="72"/>
  <c r="E1078" i="72"/>
  <c r="B1080" i="72" l="1"/>
  <c r="D1079" i="72"/>
  <c r="E1079" i="72"/>
  <c r="C1079" i="72"/>
  <c r="B1081" i="72" l="1"/>
  <c r="E1080" i="72"/>
  <c r="D1080" i="72"/>
  <c r="C1080" i="72"/>
  <c r="B1082" i="72" l="1"/>
  <c r="C1081" i="72"/>
  <c r="E1081" i="72"/>
  <c r="D1081" i="72"/>
  <c r="B1083" i="72" l="1"/>
  <c r="D1082" i="72"/>
  <c r="C1082" i="72"/>
  <c r="E1082" i="72"/>
  <c r="B1084" i="72" l="1"/>
  <c r="D1083" i="72"/>
  <c r="C1083" i="72"/>
  <c r="E1083" i="72"/>
  <c r="B1085" i="72" l="1"/>
  <c r="C1084" i="72"/>
  <c r="E1084" i="72"/>
  <c r="D1084" i="72"/>
  <c r="B1086" i="72" l="1"/>
  <c r="D1085" i="72"/>
  <c r="C1085" i="72"/>
  <c r="E1085" i="72"/>
  <c r="B1087" i="72" l="1"/>
  <c r="C1086" i="72"/>
  <c r="D1086" i="72"/>
  <c r="E1086" i="72"/>
  <c r="B1088" i="72" l="1"/>
  <c r="D1087" i="72"/>
  <c r="E1087" i="72"/>
  <c r="C1087" i="72"/>
  <c r="B1089" i="72" l="1"/>
  <c r="E1088" i="72"/>
  <c r="C1088" i="72"/>
  <c r="D1088" i="72"/>
  <c r="B1090" i="72" l="1"/>
  <c r="C1089" i="72"/>
  <c r="D1089" i="72"/>
  <c r="E1089" i="72"/>
  <c r="B1091" i="72" l="1"/>
  <c r="C1090" i="72"/>
  <c r="E1090" i="72"/>
  <c r="D1090" i="72"/>
  <c r="B1092" i="72" l="1"/>
  <c r="D1091" i="72"/>
  <c r="E1091" i="72"/>
  <c r="C1091" i="72"/>
  <c r="B1093" i="72" l="1"/>
  <c r="C1092" i="72"/>
  <c r="E1092" i="72"/>
  <c r="D1092" i="72"/>
  <c r="B1094" i="72" l="1"/>
  <c r="E1093" i="72"/>
  <c r="C1093" i="72"/>
  <c r="D1093" i="72"/>
  <c r="B1095" i="72" l="1"/>
  <c r="C1094" i="72"/>
  <c r="D1094" i="72"/>
  <c r="E1094" i="72"/>
  <c r="B1096" i="72" l="1"/>
  <c r="D1095" i="72"/>
  <c r="C1095" i="72"/>
  <c r="E1095" i="72"/>
  <c r="B1097" i="72" l="1"/>
  <c r="D1096" i="72"/>
  <c r="C1096" i="72"/>
  <c r="E1096" i="72"/>
  <c r="B1098" i="72" l="1"/>
  <c r="D1097" i="72"/>
  <c r="C1097" i="72"/>
  <c r="E1097" i="72"/>
  <c r="B1099" i="72" l="1"/>
  <c r="C1098" i="72"/>
  <c r="E1098" i="72"/>
  <c r="D1098" i="72"/>
  <c r="S7" i="72" l="1"/>
  <c r="S8" i="72" s="1"/>
  <c r="S10" i="72"/>
  <c r="S11" i="72" s="1"/>
  <c r="B1100" i="72"/>
  <c r="E1099" i="72"/>
  <c r="D1099" i="72"/>
  <c r="C1099" i="72"/>
  <c r="S13" i="72" l="1"/>
  <c r="S14" i="72" s="1"/>
  <c r="S28" i="72"/>
  <c r="B1101" i="72"/>
  <c r="C1100" i="72"/>
  <c r="E1100" i="72"/>
  <c r="D1100" i="72"/>
  <c r="S31" i="72" l="1"/>
  <c r="B1102" i="72"/>
  <c r="D1101" i="72"/>
  <c r="E1101" i="72"/>
  <c r="C1101" i="72"/>
  <c r="B1103" i="72" l="1"/>
  <c r="D1102" i="72"/>
  <c r="E1102" i="72"/>
  <c r="C1102" i="72"/>
  <c r="B1104" i="72" l="1"/>
  <c r="D1103" i="72"/>
  <c r="E1103" i="72"/>
  <c r="C1103" i="72"/>
  <c r="B1105" i="72" l="1"/>
  <c r="E1104" i="72"/>
  <c r="D1104" i="72"/>
  <c r="C1104" i="72"/>
  <c r="B1106" i="72" l="1"/>
  <c r="E1105" i="72"/>
  <c r="C1105" i="72"/>
  <c r="D1105" i="72"/>
  <c r="B1107" i="72" l="1"/>
  <c r="C1106" i="72"/>
  <c r="E1106" i="72"/>
  <c r="D1106" i="72"/>
  <c r="B1108" i="72" l="1"/>
  <c r="C1107" i="72"/>
  <c r="E1107" i="72"/>
  <c r="D1107" i="72"/>
  <c r="B1109" i="72" l="1"/>
  <c r="D1108" i="72"/>
  <c r="C1108" i="72"/>
  <c r="E1108" i="72"/>
  <c r="B1110" i="72" l="1"/>
  <c r="E1109" i="72"/>
  <c r="C1109" i="72"/>
  <c r="D1109" i="72"/>
  <c r="B1111" i="72" l="1"/>
  <c r="C1110" i="72"/>
  <c r="D1110" i="72"/>
  <c r="E1110" i="72"/>
  <c r="B1112" i="72" l="1"/>
  <c r="C1111" i="72"/>
  <c r="D1111" i="72"/>
  <c r="E1111" i="72"/>
  <c r="B1113" i="72" l="1"/>
  <c r="E1112" i="72"/>
  <c r="D1112" i="72"/>
  <c r="C1112" i="72"/>
  <c r="B1114" i="72" l="1"/>
  <c r="D1113" i="72"/>
  <c r="E1113" i="72"/>
  <c r="C1113" i="72"/>
  <c r="B1115" i="72" l="1"/>
  <c r="D1114" i="72"/>
  <c r="E1114" i="72"/>
  <c r="C1114" i="72"/>
  <c r="B1116" i="72" l="1"/>
  <c r="D1115" i="72"/>
  <c r="E1115" i="72"/>
  <c r="C1115" i="72"/>
  <c r="B1117" i="72" l="1"/>
  <c r="C1116" i="72"/>
  <c r="E1116" i="72"/>
  <c r="D1116" i="72"/>
  <c r="B1118" i="72" l="1"/>
  <c r="E1117" i="72"/>
  <c r="D1117" i="72"/>
  <c r="C1117" i="72"/>
  <c r="B1119" i="72" l="1"/>
  <c r="C1118" i="72"/>
  <c r="D1118" i="72"/>
  <c r="E1118" i="72"/>
  <c r="B1120" i="72" l="1"/>
  <c r="D1119" i="72"/>
  <c r="E1119" i="72"/>
  <c r="C1119" i="72"/>
  <c r="B1121" i="72" l="1"/>
  <c r="E1120" i="72"/>
  <c r="D1120" i="72"/>
  <c r="C1120" i="72"/>
  <c r="B1122" i="72" l="1"/>
  <c r="D1121" i="72"/>
  <c r="E1121" i="72"/>
  <c r="C1121" i="72"/>
  <c r="B1123" i="72" l="1"/>
  <c r="C1122" i="72"/>
  <c r="D1122" i="72"/>
  <c r="E1122" i="72"/>
  <c r="B1124" i="72" l="1"/>
  <c r="D1123" i="72"/>
  <c r="C1123" i="72"/>
  <c r="E1123" i="72"/>
  <c r="B1125" i="72" l="1"/>
  <c r="D1124" i="72"/>
  <c r="E1124" i="72"/>
  <c r="C1124" i="72"/>
  <c r="B1126" i="72" l="1"/>
  <c r="C1125" i="72"/>
  <c r="D1125" i="72"/>
  <c r="E1125" i="72"/>
  <c r="B1127" i="72" l="1"/>
  <c r="D1126" i="72"/>
  <c r="E1126" i="72"/>
  <c r="C1126" i="72"/>
  <c r="B1128" i="72" l="1"/>
  <c r="E1127" i="72"/>
  <c r="D1127" i="72"/>
  <c r="C1127" i="72"/>
  <c r="B1129" i="72" l="1"/>
  <c r="D1128" i="72"/>
  <c r="C1128" i="72"/>
  <c r="E1128" i="72"/>
  <c r="B1130" i="72" l="1"/>
  <c r="D1129" i="72"/>
  <c r="C1129" i="72"/>
  <c r="E1129" i="72"/>
  <c r="B1131" i="72" l="1"/>
  <c r="C1130" i="72"/>
  <c r="E1130" i="72"/>
  <c r="D1130" i="72"/>
  <c r="B1132" i="72" l="1"/>
  <c r="C1131" i="72"/>
  <c r="D1131" i="72"/>
  <c r="E1131" i="72"/>
  <c r="B1133" i="72" l="1"/>
  <c r="D1132" i="72"/>
  <c r="E1132" i="72"/>
  <c r="C1132" i="72"/>
  <c r="B1134" i="72" l="1"/>
  <c r="C1133" i="72"/>
  <c r="E1133" i="72"/>
  <c r="D1133" i="72"/>
  <c r="B1135" i="72" l="1"/>
  <c r="E1134" i="72"/>
  <c r="D1134" i="72"/>
  <c r="C1134" i="72"/>
  <c r="B1136" i="72" l="1"/>
  <c r="E1135" i="72"/>
  <c r="D1135" i="72"/>
  <c r="C1135" i="72"/>
  <c r="B1137" i="72" l="1"/>
  <c r="C1136" i="72"/>
  <c r="D1136" i="72"/>
  <c r="E1136" i="72"/>
  <c r="B1138" i="72" l="1"/>
  <c r="C1137" i="72"/>
  <c r="D1137" i="72"/>
  <c r="E1137" i="72"/>
  <c r="B1139" i="72" l="1"/>
  <c r="D1138" i="72"/>
  <c r="E1138" i="72"/>
  <c r="C1138" i="72"/>
  <c r="B1140" i="72" l="1"/>
  <c r="E1139" i="72"/>
  <c r="C1139" i="72"/>
  <c r="D1139" i="72"/>
  <c r="B1141" i="72" l="1"/>
  <c r="E1140" i="72"/>
  <c r="D1140" i="72"/>
  <c r="C1140" i="72"/>
  <c r="B1142" i="72" l="1"/>
  <c r="C1141" i="72"/>
  <c r="D1141" i="72"/>
  <c r="E1141" i="72"/>
  <c r="B1143" i="72" l="1"/>
  <c r="E1142" i="72"/>
  <c r="C1142" i="72"/>
  <c r="D1142" i="72"/>
  <c r="B1144" i="72" l="1"/>
  <c r="D1143" i="72"/>
  <c r="C1143" i="72"/>
  <c r="E1143" i="72"/>
  <c r="B1145" i="72" l="1"/>
  <c r="E1144" i="72"/>
  <c r="D1144" i="72"/>
  <c r="C1144" i="72"/>
  <c r="B1146" i="72" l="1"/>
  <c r="C1145" i="72"/>
  <c r="E1145" i="72"/>
  <c r="D1145" i="72"/>
  <c r="B1147" i="72" l="1"/>
  <c r="E1146" i="72"/>
  <c r="C1146" i="72"/>
  <c r="D1146" i="72"/>
  <c r="B1148" i="72" l="1"/>
  <c r="D1147" i="72"/>
  <c r="C1147" i="72"/>
  <c r="E1147" i="72"/>
  <c r="B1149" i="72" l="1"/>
  <c r="E1148" i="72"/>
  <c r="D1148" i="72"/>
  <c r="C1148" i="72"/>
  <c r="B1150" i="72" l="1"/>
  <c r="E1149" i="72"/>
  <c r="C1149" i="72"/>
  <c r="D1149" i="72"/>
  <c r="B1151" i="72" l="1"/>
  <c r="C1150" i="72"/>
  <c r="E1150" i="72"/>
  <c r="D1150" i="72"/>
  <c r="B1152" i="72" l="1"/>
  <c r="D1151" i="72"/>
  <c r="E1151" i="72"/>
  <c r="C1151" i="72"/>
  <c r="B1153" i="72" l="1"/>
  <c r="C1152" i="72"/>
  <c r="D1152" i="72"/>
  <c r="E1152" i="72"/>
  <c r="B1154" i="72" l="1"/>
  <c r="C1153" i="72"/>
  <c r="E1153" i="72"/>
  <c r="D1153" i="72"/>
  <c r="B1155" i="72" l="1"/>
  <c r="C1154" i="72"/>
  <c r="E1154" i="72"/>
  <c r="D1154" i="72"/>
  <c r="B1156" i="72" l="1"/>
  <c r="C1155" i="72"/>
  <c r="D1155" i="72"/>
  <c r="E1155" i="72"/>
  <c r="B1157" i="72" l="1"/>
  <c r="C1156" i="72"/>
  <c r="E1156" i="72"/>
  <c r="D1156" i="72"/>
  <c r="B1158" i="72" l="1"/>
  <c r="C1157" i="72"/>
  <c r="E1157" i="72"/>
  <c r="D1157" i="72"/>
  <c r="B1159" i="72" l="1"/>
  <c r="D1158" i="72"/>
  <c r="C1158" i="72"/>
  <c r="E1158" i="72"/>
  <c r="B1160" i="72" l="1"/>
  <c r="C1159" i="72"/>
  <c r="E1159" i="72"/>
  <c r="D1159" i="72"/>
  <c r="B1161" i="72" l="1"/>
  <c r="C1160" i="72"/>
  <c r="D1160" i="72"/>
  <c r="E1160" i="72"/>
  <c r="B1162" i="72" l="1"/>
  <c r="C1161" i="72"/>
  <c r="E1161" i="72"/>
  <c r="D1161" i="72"/>
  <c r="B1163" i="72" l="1"/>
  <c r="C1162" i="72"/>
  <c r="E1162" i="72"/>
  <c r="D1162" i="72"/>
  <c r="B1164" i="72" l="1"/>
  <c r="D1163" i="72"/>
  <c r="E1163" i="72"/>
  <c r="C1163" i="72"/>
  <c r="B1165" i="72" l="1"/>
  <c r="C1164" i="72"/>
  <c r="D1164" i="72"/>
  <c r="E1164" i="72"/>
  <c r="B1166" i="72" l="1"/>
  <c r="D1165" i="72"/>
  <c r="E1165" i="72"/>
  <c r="C1165" i="72"/>
  <c r="B1167" i="72" l="1"/>
  <c r="C1166" i="72"/>
  <c r="E1166" i="72"/>
  <c r="D1166" i="72"/>
  <c r="B1168" i="72" l="1"/>
  <c r="C1167" i="72"/>
  <c r="D1167" i="72"/>
  <c r="E1167" i="72"/>
  <c r="B1169" i="72" l="1"/>
  <c r="D1168" i="72"/>
  <c r="C1168" i="72"/>
  <c r="E1168" i="72"/>
  <c r="B1170" i="72" l="1"/>
  <c r="D1169" i="72"/>
  <c r="E1169" i="72"/>
  <c r="C1169" i="72"/>
  <c r="B1171" i="72" l="1"/>
  <c r="C1170" i="72"/>
  <c r="E1170" i="72"/>
  <c r="D1170" i="72"/>
  <c r="B1172" i="72" l="1"/>
  <c r="D1171" i="72"/>
  <c r="C1171" i="72"/>
  <c r="E1171" i="72"/>
  <c r="B1173" i="72" l="1"/>
  <c r="C1172" i="72"/>
  <c r="D1172" i="72"/>
  <c r="E1172" i="72"/>
  <c r="B1174" i="72" l="1"/>
  <c r="C1173" i="72"/>
  <c r="D1173" i="72"/>
  <c r="E1173" i="72"/>
  <c r="B1175" i="72" l="1"/>
  <c r="E1174" i="72"/>
  <c r="D1174" i="72"/>
  <c r="C1174" i="72"/>
  <c r="B1176" i="72" l="1"/>
  <c r="E1175" i="72"/>
  <c r="D1175" i="72"/>
  <c r="C1175" i="72"/>
  <c r="B1177" i="72" l="1"/>
  <c r="C1176" i="72"/>
  <c r="E1176" i="72"/>
  <c r="D1176" i="72"/>
  <c r="B1178" i="72" l="1"/>
  <c r="C1177" i="72"/>
  <c r="E1177" i="72"/>
  <c r="D1177" i="72"/>
  <c r="B1179" i="72" l="1"/>
  <c r="D1178" i="72"/>
  <c r="C1178" i="72"/>
  <c r="E1178" i="72"/>
  <c r="B1180" i="72" l="1"/>
  <c r="C1179" i="72"/>
  <c r="E1179" i="72"/>
  <c r="D1179" i="72"/>
  <c r="B1181" i="72" l="1"/>
  <c r="E1180" i="72"/>
  <c r="D1180" i="72"/>
  <c r="C1180" i="72"/>
  <c r="B1182" i="72" l="1"/>
  <c r="C1181" i="72"/>
  <c r="E1181" i="72"/>
  <c r="D1181" i="72"/>
  <c r="B1183" i="72" l="1"/>
  <c r="E1182" i="72"/>
  <c r="D1182" i="72"/>
  <c r="C1182" i="72"/>
  <c r="B1184" i="72" l="1"/>
  <c r="C1183" i="72"/>
  <c r="D1183" i="72"/>
  <c r="E1183" i="72"/>
  <c r="B1185" i="72" l="1"/>
  <c r="E1184" i="72"/>
  <c r="D1184" i="72"/>
  <c r="C1184" i="72"/>
  <c r="B1186" i="72" l="1"/>
  <c r="C1185" i="72"/>
  <c r="E1185" i="72"/>
  <c r="D1185" i="72"/>
  <c r="B1187" i="72" l="1"/>
  <c r="E1186" i="72"/>
  <c r="D1186" i="72"/>
  <c r="C1186" i="72"/>
  <c r="B1188" i="72" l="1"/>
  <c r="C1187" i="72"/>
  <c r="D1187" i="72"/>
  <c r="E1187" i="72"/>
  <c r="B1189" i="72" l="1"/>
  <c r="C1188" i="72"/>
  <c r="D1188" i="72"/>
  <c r="E1188" i="72"/>
  <c r="T10" i="72" l="1"/>
  <c r="T11" i="72" s="1"/>
  <c r="B1190" i="72"/>
  <c r="E1189" i="72"/>
  <c r="D1189" i="72"/>
  <c r="C1189" i="72"/>
  <c r="T7" i="72" l="1"/>
  <c r="T28" i="72" s="1"/>
  <c r="T13" i="72"/>
  <c r="T14" i="72" s="1"/>
  <c r="B1191" i="72"/>
  <c r="C1190" i="72"/>
  <c r="D1190" i="72"/>
  <c r="E1190" i="72"/>
  <c r="T31" i="72" l="1"/>
  <c r="T8" i="72"/>
  <c r="B1192" i="72"/>
  <c r="C1191" i="72"/>
  <c r="E1191" i="72"/>
  <c r="D1191" i="72"/>
  <c r="B1193" i="72" l="1"/>
  <c r="E1192" i="72"/>
  <c r="C1192" i="72"/>
  <c r="D1192" i="72"/>
  <c r="B1194" i="72" l="1"/>
  <c r="D1193" i="72"/>
  <c r="C1193" i="72"/>
  <c r="E1193" i="72"/>
  <c r="B1195" i="72" l="1"/>
  <c r="E1194" i="72"/>
  <c r="D1194" i="72"/>
  <c r="C1194" i="72"/>
  <c r="B1196" i="72" l="1"/>
  <c r="E1195" i="72"/>
  <c r="C1195" i="72"/>
  <c r="D1195" i="72"/>
  <c r="B1197" i="72" l="1"/>
  <c r="C1196" i="72"/>
  <c r="D1196" i="72"/>
  <c r="E1196" i="72"/>
  <c r="B1198" i="72" l="1"/>
  <c r="E1197" i="72"/>
  <c r="D1197" i="72"/>
  <c r="C1197" i="72"/>
  <c r="B1199" i="72" l="1"/>
  <c r="C1198" i="72"/>
  <c r="D1198" i="72"/>
  <c r="E1198" i="72"/>
  <c r="B1200" i="72" l="1"/>
  <c r="E1199" i="72"/>
  <c r="C1199" i="72"/>
  <c r="D1199" i="72"/>
  <c r="B1201" i="72" l="1"/>
  <c r="E1200" i="72"/>
  <c r="D1200" i="72"/>
  <c r="C1200" i="72"/>
  <c r="B1202" i="72" l="1"/>
  <c r="D1201" i="72"/>
  <c r="C1201" i="72"/>
  <c r="E1201" i="72"/>
  <c r="B1203" i="72" l="1"/>
  <c r="D1202" i="72"/>
  <c r="C1202" i="72"/>
  <c r="E1202" i="72"/>
  <c r="B1204" i="72" l="1"/>
  <c r="E1203" i="72"/>
  <c r="C1203" i="72"/>
  <c r="D1203" i="72"/>
  <c r="B1205" i="72" l="1"/>
  <c r="D1204" i="72"/>
  <c r="C1204" i="72"/>
  <c r="E1204" i="72"/>
  <c r="B1206" i="72" l="1"/>
  <c r="D1205" i="72"/>
  <c r="C1205" i="72"/>
  <c r="E1205" i="72"/>
  <c r="B1207" i="72" l="1"/>
  <c r="C1206" i="72"/>
  <c r="D1206" i="72"/>
  <c r="E1206" i="72"/>
  <c r="B1208" i="72" l="1"/>
  <c r="D1207" i="72"/>
  <c r="C1207" i="72"/>
  <c r="E1207" i="72"/>
  <c r="B1209" i="72" l="1"/>
  <c r="D1208" i="72"/>
  <c r="C1208" i="72"/>
  <c r="E1208" i="72"/>
  <c r="B1210" i="72" l="1"/>
  <c r="C1209" i="72"/>
  <c r="E1209" i="72"/>
  <c r="D1209" i="72"/>
  <c r="B1211" i="72" l="1"/>
  <c r="E1210" i="72"/>
  <c r="C1210" i="72"/>
  <c r="D1210" i="72"/>
  <c r="B1212" i="72" l="1"/>
  <c r="E1211" i="72"/>
  <c r="D1211" i="72"/>
  <c r="C1211" i="72"/>
  <c r="B1213" i="72" l="1"/>
  <c r="D1212" i="72"/>
  <c r="E1212" i="72"/>
  <c r="C1212" i="72"/>
  <c r="B1214" i="72" l="1"/>
  <c r="D1213" i="72"/>
  <c r="C1213" i="72"/>
  <c r="E1213" i="72"/>
  <c r="B1215" i="72" l="1"/>
  <c r="D1214" i="72"/>
  <c r="E1214" i="72"/>
  <c r="C1214" i="72"/>
  <c r="B1216" i="72" l="1"/>
  <c r="E1215" i="72"/>
  <c r="C1215" i="72"/>
  <c r="D1215" i="72"/>
  <c r="B1217" i="72" l="1"/>
  <c r="C1216" i="72"/>
  <c r="D1216" i="72"/>
  <c r="E1216" i="72"/>
  <c r="B1218" i="72" l="1"/>
  <c r="E1217" i="72"/>
  <c r="C1217" i="72"/>
  <c r="D1217" i="72"/>
  <c r="B1219" i="72" l="1"/>
  <c r="C1218" i="72"/>
  <c r="D1218" i="72"/>
  <c r="E1218" i="72"/>
  <c r="B1220" i="72" l="1"/>
  <c r="D1219" i="72"/>
  <c r="C1219" i="72"/>
  <c r="E1219" i="72"/>
  <c r="B1221" i="72" l="1"/>
  <c r="C1220" i="72"/>
  <c r="D1220" i="72"/>
  <c r="E1220" i="72"/>
  <c r="B1222" i="72" l="1"/>
  <c r="C1221" i="72"/>
  <c r="D1221" i="72"/>
  <c r="E1221" i="72"/>
  <c r="B1223" i="72" l="1"/>
  <c r="D1222" i="72"/>
  <c r="C1222" i="72"/>
  <c r="E1222" i="72"/>
  <c r="B1224" i="72" l="1"/>
  <c r="E1223" i="72"/>
  <c r="C1223" i="72"/>
  <c r="D1223" i="72"/>
  <c r="B1225" i="72" l="1"/>
  <c r="E1224" i="72"/>
  <c r="C1224" i="72"/>
  <c r="D1224" i="72"/>
  <c r="B1226" i="72" l="1"/>
  <c r="D1225" i="72"/>
  <c r="C1225" i="72"/>
  <c r="E1225" i="72"/>
  <c r="B1227" i="72" l="1"/>
  <c r="C1226" i="72"/>
  <c r="D1226" i="72"/>
  <c r="E1226" i="72"/>
  <c r="B1228" i="72" l="1"/>
  <c r="D1227" i="72"/>
  <c r="E1227" i="72"/>
  <c r="C1227" i="72"/>
  <c r="B1229" i="72" l="1"/>
  <c r="E1228" i="72"/>
  <c r="D1228" i="72"/>
  <c r="C1228" i="72"/>
  <c r="B1230" i="72" l="1"/>
  <c r="E1229" i="72"/>
  <c r="D1229" i="72"/>
  <c r="C1229" i="72"/>
  <c r="B1231" i="72" l="1"/>
  <c r="C1230" i="72"/>
  <c r="E1230" i="72"/>
  <c r="D1230" i="72"/>
  <c r="B1232" i="72" l="1"/>
  <c r="C1231" i="72"/>
  <c r="E1231" i="72"/>
  <c r="D1231" i="72"/>
  <c r="B1233" i="72" l="1"/>
  <c r="D1232" i="72"/>
  <c r="C1232" i="72"/>
  <c r="E1232" i="72"/>
  <c r="B1234" i="72" l="1"/>
  <c r="D1233" i="72"/>
  <c r="E1233" i="72"/>
  <c r="C1233" i="72"/>
  <c r="B1235" i="72" l="1"/>
  <c r="E1234" i="72"/>
  <c r="D1234" i="72"/>
  <c r="C1234" i="72"/>
  <c r="B1236" i="72" l="1"/>
  <c r="C1235" i="72"/>
  <c r="D1235" i="72"/>
  <c r="E1235" i="72"/>
  <c r="B1237" i="72" l="1"/>
  <c r="C1236" i="72"/>
  <c r="D1236" i="72"/>
  <c r="E1236" i="72"/>
  <c r="B1238" i="72" l="1"/>
  <c r="E1237" i="72"/>
  <c r="C1237" i="72"/>
  <c r="D1237" i="72"/>
  <c r="B1239" i="72" l="1"/>
  <c r="D1238" i="72"/>
  <c r="E1238" i="72"/>
  <c r="C1238" i="72"/>
  <c r="B1240" i="72" l="1"/>
  <c r="E1239" i="72"/>
  <c r="D1239" i="72"/>
  <c r="C1239" i="72"/>
  <c r="B1241" i="72" l="1"/>
  <c r="C1240" i="72"/>
  <c r="E1240" i="72"/>
  <c r="D1240" i="72"/>
  <c r="B1242" i="72" l="1"/>
  <c r="D1241" i="72"/>
  <c r="E1241" i="72"/>
  <c r="C1241" i="72"/>
  <c r="B1243" i="72" l="1"/>
  <c r="D1242" i="72"/>
  <c r="E1242" i="72"/>
  <c r="C1242" i="72"/>
  <c r="B1244" i="72" l="1"/>
  <c r="C1243" i="72"/>
  <c r="D1243" i="72"/>
  <c r="E1243" i="72"/>
  <c r="B1245" i="72" l="1"/>
  <c r="D1244" i="72"/>
  <c r="C1244" i="72"/>
  <c r="E1244" i="72"/>
  <c r="B1246" i="72" l="1"/>
  <c r="E1245" i="72"/>
  <c r="C1245" i="72"/>
  <c r="D1245" i="72"/>
  <c r="B1247" i="72" l="1"/>
  <c r="E1246" i="72"/>
  <c r="C1246" i="72"/>
  <c r="D1246" i="72"/>
  <c r="B1248" i="72" l="1"/>
  <c r="E1247" i="72"/>
  <c r="D1247" i="72"/>
  <c r="C1247" i="72"/>
  <c r="B1249" i="72" l="1"/>
  <c r="E1248" i="72"/>
  <c r="C1248" i="72"/>
  <c r="D1248" i="72"/>
  <c r="B1250" i="72" l="1"/>
  <c r="C1249" i="72"/>
  <c r="D1249" i="72"/>
  <c r="E1249" i="72"/>
  <c r="B1251" i="72" l="1"/>
  <c r="E1250" i="72"/>
  <c r="C1250" i="72"/>
  <c r="D1250" i="72"/>
  <c r="B1252" i="72" l="1"/>
  <c r="C1251" i="72"/>
  <c r="E1251" i="72"/>
  <c r="D1251" i="72"/>
  <c r="B1253" i="72" l="1"/>
  <c r="C1252" i="72"/>
  <c r="D1252" i="72"/>
  <c r="E1252" i="72"/>
  <c r="B1254" i="72" l="1"/>
  <c r="D1253" i="72"/>
  <c r="C1253" i="72"/>
  <c r="E1253" i="72"/>
  <c r="B1255" i="72" l="1"/>
  <c r="D1254" i="72"/>
  <c r="E1254" i="72"/>
  <c r="C1254" i="72"/>
  <c r="B1256" i="72" l="1"/>
  <c r="E1255" i="72"/>
  <c r="C1255" i="72"/>
  <c r="D1255" i="72"/>
  <c r="B1257" i="72" l="1"/>
  <c r="C1256" i="72"/>
  <c r="D1256" i="72"/>
  <c r="E1256" i="72"/>
  <c r="B1258" i="72" l="1"/>
  <c r="D1257" i="72"/>
  <c r="C1257" i="72"/>
  <c r="E1257" i="72"/>
  <c r="B1259" i="72" l="1"/>
  <c r="C1258" i="72"/>
  <c r="E1258" i="72"/>
  <c r="D1258" i="72"/>
  <c r="B1260" i="72" l="1"/>
  <c r="D1259" i="72"/>
  <c r="C1259" i="72"/>
  <c r="E1259" i="72"/>
  <c r="B1261" i="72" l="1"/>
  <c r="C1260" i="72"/>
  <c r="E1260" i="72"/>
  <c r="D1260" i="72"/>
  <c r="B1262" i="72" l="1"/>
  <c r="E1261" i="72"/>
  <c r="D1261" i="72"/>
  <c r="C1261" i="72"/>
  <c r="B1263" i="72" l="1"/>
  <c r="C1262" i="72"/>
  <c r="E1262" i="72"/>
  <c r="D1262" i="72"/>
  <c r="B1264" i="72" l="1"/>
  <c r="D1263" i="72"/>
  <c r="C1263" i="72"/>
  <c r="E1263" i="72"/>
  <c r="B1265" i="72" l="1"/>
  <c r="E1264" i="72"/>
  <c r="D1264" i="72"/>
  <c r="C1264" i="72"/>
  <c r="B1266" i="72" l="1"/>
  <c r="E1265" i="72"/>
  <c r="C1265" i="72"/>
  <c r="D1265" i="72"/>
  <c r="B1267" i="72" l="1"/>
  <c r="D1266" i="72"/>
  <c r="E1266" i="72"/>
  <c r="C1266" i="72"/>
  <c r="B1268" i="72" l="1"/>
  <c r="E1267" i="72"/>
  <c r="C1267" i="72"/>
  <c r="D1267" i="72"/>
  <c r="B1269" i="72" l="1"/>
  <c r="E1268" i="72"/>
  <c r="C1268" i="72"/>
  <c r="D1268" i="72"/>
  <c r="B1270" i="72" l="1"/>
  <c r="C1269" i="72"/>
  <c r="D1269" i="72"/>
  <c r="E1269" i="72"/>
  <c r="B1271" i="72" l="1"/>
  <c r="E1270" i="72"/>
  <c r="D1270" i="72"/>
  <c r="C1270" i="72"/>
  <c r="B1272" i="72" l="1"/>
  <c r="C1271" i="72"/>
  <c r="E1271" i="72"/>
  <c r="D1271" i="72"/>
  <c r="B1273" i="72" l="1"/>
  <c r="C1272" i="72"/>
  <c r="D1272" i="72"/>
  <c r="E1272" i="72"/>
  <c r="B1274" i="72" l="1"/>
  <c r="E1273" i="72"/>
  <c r="C1273" i="72"/>
  <c r="D1273" i="72"/>
  <c r="B1275" i="72" l="1"/>
  <c r="C1274" i="72"/>
  <c r="D1274" i="72"/>
  <c r="E1274" i="72"/>
  <c r="B1276" i="72" l="1"/>
  <c r="C1275" i="72"/>
  <c r="E1275" i="72"/>
  <c r="D1275" i="72"/>
  <c r="B1277" i="72" l="1"/>
  <c r="C1276" i="72"/>
  <c r="D1276" i="72"/>
  <c r="E1276" i="72"/>
  <c r="B1278" i="72" l="1"/>
  <c r="C1277" i="72"/>
  <c r="E1277" i="72"/>
  <c r="D1277" i="72"/>
  <c r="B1279" i="72" l="1"/>
  <c r="C1278" i="72"/>
  <c r="E1278" i="72"/>
  <c r="D1278" i="72"/>
  <c r="B1280" i="72" l="1"/>
  <c r="D1279" i="72"/>
  <c r="E1279" i="72"/>
  <c r="C1279" i="72"/>
  <c r="U7" i="72" l="1"/>
  <c r="U8" i="72" s="1"/>
  <c r="U10" i="72"/>
  <c r="U11" i="72" s="1"/>
  <c r="B1281" i="72"/>
  <c r="D1280" i="72"/>
  <c r="C1280" i="72"/>
  <c r="E1280" i="72"/>
  <c r="U13" i="72" l="1"/>
  <c r="U28" i="72"/>
  <c r="B1282" i="72"/>
  <c r="E1281" i="72"/>
  <c r="D1281" i="72"/>
  <c r="C1281" i="72"/>
  <c r="U14" i="72" l="1"/>
  <c r="U31" i="72"/>
  <c r="B1283" i="72"/>
  <c r="C1282" i="72"/>
  <c r="D1282" i="72"/>
  <c r="E1282" i="72"/>
  <c r="B1284" i="72" l="1"/>
  <c r="D1283" i="72"/>
  <c r="E1283" i="72"/>
  <c r="C1283" i="72"/>
  <c r="B1285" i="72" l="1"/>
  <c r="D1284" i="72"/>
  <c r="C1284" i="72"/>
  <c r="E1284" i="72"/>
  <c r="B1286" i="72" l="1"/>
  <c r="D1285" i="72"/>
  <c r="C1285" i="72"/>
  <c r="E1285" i="72"/>
  <c r="B1287" i="72" l="1"/>
  <c r="D1286" i="72"/>
  <c r="C1286" i="72"/>
  <c r="E1286" i="72"/>
  <c r="B1288" i="72" l="1"/>
  <c r="C1287" i="72"/>
  <c r="E1287" i="72"/>
  <c r="D1287" i="72"/>
  <c r="B1289" i="72" l="1"/>
  <c r="E1288" i="72"/>
  <c r="C1288" i="72"/>
  <c r="D1288" i="72"/>
  <c r="B1290" i="72" l="1"/>
  <c r="D1289" i="72"/>
  <c r="E1289" i="72"/>
  <c r="C1289" i="72"/>
  <c r="B1291" i="72" l="1"/>
  <c r="D1290" i="72"/>
  <c r="E1290" i="72"/>
  <c r="C1290" i="72"/>
  <c r="B1292" i="72" l="1"/>
  <c r="D1291" i="72"/>
  <c r="E1291" i="72"/>
  <c r="C1291" i="72"/>
  <c r="B1293" i="72" l="1"/>
  <c r="E1292" i="72"/>
  <c r="D1292" i="72"/>
  <c r="C1292" i="72"/>
  <c r="B1294" i="72" l="1"/>
  <c r="D1293" i="72"/>
  <c r="E1293" i="72"/>
  <c r="C1293" i="72"/>
  <c r="B1295" i="72" l="1"/>
  <c r="D1294" i="72"/>
  <c r="E1294" i="72"/>
  <c r="C1294" i="72"/>
  <c r="B1296" i="72" l="1"/>
  <c r="E1295" i="72"/>
  <c r="C1295" i="72"/>
  <c r="D1295" i="72"/>
  <c r="B1297" i="72" l="1"/>
  <c r="C1296" i="72"/>
  <c r="E1296" i="72"/>
  <c r="D1296" i="72"/>
  <c r="B1298" i="72" l="1"/>
  <c r="E1297" i="72"/>
  <c r="C1297" i="72"/>
  <c r="D1297" i="72"/>
  <c r="B1299" i="72" l="1"/>
  <c r="E1298" i="72"/>
  <c r="C1298" i="72"/>
  <c r="D1298" i="72"/>
  <c r="B1300" i="72" l="1"/>
  <c r="E1299" i="72"/>
  <c r="C1299" i="72"/>
  <c r="D1299" i="72"/>
  <c r="B1301" i="72" l="1"/>
  <c r="E1300" i="72"/>
  <c r="D1300" i="72"/>
  <c r="C1300" i="72"/>
  <c r="B1302" i="72" l="1"/>
  <c r="E1301" i="72"/>
  <c r="D1301" i="72"/>
  <c r="C1301" i="72"/>
  <c r="B1303" i="72" l="1"/>
  <c r="E1302" i="72"/>
  <c r="C1302" i="72"/>
  <c r="D1302" i="72"/>
  <c r="B1304" i="72" l="1"/>
  <c r="C1303" i="72"/>
  <c r="E1303" i="72"/>
  <c r="D1303" i="72"/>
  <c r="B1305" i="72" l="1"/>
  <c r="D1304" i="72"/>
  <c r="E1304" i="72"/>
  <c r="C1304" i="72"/>
  <c r="B1306" i="72" l="1"/>
  <c r="C1305" i="72"/>
  <c r="D1305" i="72"/>
  <c r="E1305" i="72"/>
  <c r="B1307" i="72" l="1"/>
  <c r="E1306" i="72"/>
  <c r="D1306" i="72"/>
  <c r="C1306" i="72"/>
  <c r="B1308" i="72" l="1"/>
  <c r="D1307" i="72"/>
  <c r="C1307" i="72"/>
  <c r="E1307" i="72"/>
  <c r="B1309" i="72" l="1"/>
  <c r="D1308" i="72"/>
  <c r="C1308" i="72"/>
  <c r="E1308" i="72"/>
  <c r="B1310" i="72" l="1"/>
  <c r="C1309" i="72"/>
  <c r="D1309" i="72"/>
  <c r="E1309" i="72"/>
  <c r="B1311" i="72" l="1"/>
  <c r="C1310" i="72"/>
  <c r="E1310" i="72"/>
  <c r="D1310" i="72"/>
  <c r="B1312" i="72" l="1"/>
  <c r="E1311" i="72"/>
  <c r="D1311" i="72"/>
  <c r="C1311" i="72"/>
  <c r="B1313" i="72" l="1"/>
  <c r="C1312" i="72"/>
  <c r="D1312" i="72"/>
  <c r="E1312" i="72"/>
  <c r="B1314" i="72" l="1"/>
  <c r="C1313" i="72"/>
  <c r="E1313" i="72"/>
  <c r="D1313" i="72"/>
  <c r="B1315" i="72" l="1"/>
  <c r="C1314" i="72"/>
  <c r="E1314" i="72"/>
  <c r="D1314" i="72"/>
  <c r="B1316" i="72" l="1"/>
  <c r="D1315" i="72"/>
  <c r="C1315" i="72"/>
  <c r="E1315" i="72"/>
  <c r="B1317" i="72" l="1"/>
  <c r="C1316" i="72"/>
  <c r="D1316" i="72"/>
  <c r="E1316" i="72"/>
  <c r="B1318" i="72" l="1"/>
  <c r="E1317" i="72"/>
  <c r="C1317" i="72"/>
  <c r="D1317" i="72"/>
  <c r="B1319" i="72" l="1"/>
  <c r="D1318" i="72"/>
  <c r="C1318" i="72"/>
  <c r="E1318" i="72"/>
  <c r="B1320" i="72" l="1"/>
  <c r="D1319" i="72"/>
  <c r="E1319" i="72"/>
  <c r="C1319" i="72"/>
  <c r="B1321" i="72" l="1"/>
  <c r="C1320" i="72"/>
  <c r="D1320" i="72"/>
  <c r="E1320" i="72"/>
  <c r="B1322" i="72" l="1"/>
  <c r="D1321" i="72"/>
  <c r="C1321" i="72"/>
  <c r="E1321" i="72"/>
  <c r="B1323" i="72" l="1"/>
  <c r="E1322" i="72"/>
  <c r="C1322" i="72"/>
  <c r="D1322" i="72"/>
  <c r="B1324" i="72" l="1"/>
  <c r="D1323" i="72"/>
  <c r="C1323" i="72"/>
  <c r="E1323" i="72"/>
  <c r="B1325" i="72" l="1"/>
  <c r="D1324" i="72"/>
  <c r="C1324" i="72"/>
  <c r="E1324" i="72"/>
  <c r="B1326" i="72" l="1"/>
  <c r="C1325" i="72"/>
  <c r="E1325" i="72"/>
  <c r="D1325" i="72"/>
  <c r="B1327" i="72" l="1"/>
  <c r="E1326" i="72"/>
  <c r="D1326" i="72"/>
  <c r="C1326" i="72"/>
  <c r="B1328" i="72" l="1"/>
  <c r="E1327" i="72"/>
  <c r="D1327" i="72"/>
  <c r="C1327" i="72"/>
  <c r="B1329" i="72" l="1"/>
  <c r="D1328" i="72"/>
  <c r="C1328" i="72"/>
  <c r="E1328" i="72"/>
  <c r="B1330" i="72" l="1"/>
  <c r="C1329" i="72"/>
  <c r="E1329" i="72"/>
  <c r="D1329" i="72"/>
  <c r="B1331" i="72" l="1"/>
  <c r="C1330" i="72"/>
  <c r="E1330" i="72"/>
  <c r="D1330" i="72"/>
  <c r="B1332" i="72" l="1"/>
  <c r="C1331" i="72"/>
  <c r="D1331" i="72"/>
  <c r="E1331" i="72"/>
  <c r="B1333" i="72" l="1"/>
  <c r="C1332" i="72"/>
  <c r="E1332" i="72"/>
  <c r="D1332" i="72"/>
  <c r="B1334" i="72" l="1"/>
  <c r="E1333" i="72"/>
  <c r="D1333" i="72"/>
  <c r="C1333" i="72"/>
  <c r="B1335" i="72" l="1"/>
  <c r="E1334" i="72"/>
  <c r="D1334" i="72"/>
  <c r="C1334" i="72"/>
  <c r="B1336" i="72" l="1"/>
  <c r="E1335" i="72"/>
  <c r="C1335" i="72"/>
  <c r="D1335" i="72"/>
  <c r="B1337" i="72" l="1"/>
  <c r="D1336" i="72"/>
  <c r="E1336" i="72"/>
  <c r="C1336" i="72"/>
  <c r="B1338" i="72" l="1"/>
  <c r="E1337" i="72"/>
  <c r="D1337" i="72"/>
  <c r="C1337" i="72"/>
  <c r="B1339" i="72" l="1"/>
  <c r="C1338" i="72"/>
  <c r="E1338" i="72"/>
  <c r="D1338" i="72"/>
  <c r="B1340" i="72" l="1"/>
  <c r="E1339" i="72"/>
  <c r="D1339" i="72"/>
  <c r="C1339" i="72"/>
  <c r="B1341" i="72" l="1"/>
  <c r="E1340" i="72"/>
  <c r="D1340" i="72"/>
  <c r="C1340" i="72"/>
  <c r="B1342" i="72" l="1"/>
  <c r="C1341" i="72"/>
  <c r="E1341" i="72"/>
  <c r="D1341" i="72"/>
  <c r="B1343" i="72" l="1"/>
  <c r="E1342" i="72"/>
  <c r="C1342" i="72"/>
  <c r="D1342" i="72"/>
  <c r="B1344" i="72" l="1"/>
  <c r="C1343" i="72"/>
  <c r="D1343" i="72"/>
  <c r="E1343" i="72"/>
  <c r="B1345" i="72" l="1"/>
  <c r="C1344" i="72"/>
  <c r="D1344" i="72"/>
  <c r="E1344" i="72"/>
  <c r="B1346" i="72" l="1"/>
  <c r="C1345" i="72"/>
  <c r="D1345" i="72"/>
  <c r="E1345" i="72"/>
  <c r="B1347" i="72" l="1"/>
  <c r="C1346" i="72"/>
  <c r="E1346" i="72"/>
  <c r="D1346" i="72"/>
  <c r="B1348" i="72" l="1"/>
  <c r="E1347" i="72"/>
  <c r="C1347" i="72"/>
  <c r="D1347" i="72"/>
  <c r="B1349" i="72" l="1"/>
  <c r="E1348" i="72"/>
  <c r="D1348" i="72"/>
  <c r="C1348" i="72"/>
  <c r="B1350" i="72" l="1"/>
  <c r="E1349" i="72"/>
  <c r="C1349" i="72"/>
  <c r="D1349" i="72"/>
  <c r="B1351" i="72" l="1"/>
  <c r="E1350" i="72"/>
  <c r="D1350" i="72"/>
  <c r="C1350" i="72"/>
  <c r="B1352" i="72" l="1"/>
  <c r="D1351" i="72"/>
  <c r="C1351" i="72"/>
  <c r="E1351" i="72"/>
  <c r="B1353" i="72" l="1"/>
  <c r="D1352" i="72"/>
  <c r="E1352" i="72"/>
  <c r="C1352" i="72"/>
  <c r="B1354" i="72" l="1"/>
  <c r="C1353" i="72"/>
  <c r="D1353" i="72"/>
  <c r="E1353" i="72"/>
  <c r="B1355" i="72" l="1"/>
  <c r="D1354" i="72"/>
  <c r="E1354" i="72"/>
  <c r="C1354" i="72"/>
  <c r="B1356" i="72" l="1"/>
  <c r="E1355" i="72"/>
  <c r="D1355" i="72"/>
  <c r="C1355" i="72"/>
  <c r="B1357" i="72" l="1"/>
  <c r="E1356" i="72"/>
  <c r="D1356" i="72"/>
  <c r="C1356" i="72"/>
  <c r="B1358" i="72" l="1"/>
  <c r="E1357" i="72"/>
  <c r="C1357" i="72"/>
  <c r="D1357" i="72"/>
  <c r="B1359" i="72" l="1"/>
  <c r="E1358" i="72"/>
  <c r="C1358" i="72"/>
  <c r="D1358" i="72"/>
  <c r="B1360" i="72" l="1"/>
  <c r="C1359" i="72"/>
  <c r="E1359" i="72"/>
  <c r="D1359" i="72"/>
  <c r="B1361" i="72" l="1"/>
  <c r="C1360" i="72"/>
  <c r="E1360" i="72"/>
  <c r="D1360" i="72"/>
  <c r="B1362" i="72" l="1"/>
  <c r="C1361" i="72"/>
  <c r="D1361" i="72"/>
  <c r="E1361" i="72"/>
  <c r="B1363" i="72" l="1"/>
  <c r="D1362" i="72"/>
  <c r="E1362" i="72"/>
  <c r="C1362" i="72"/>
  <c r="B1364" i="72" l="1"/>
  <c r="E1363" i="72"/>
  <c r="C1363" i="72"/>
  <c r="D1363" i="72"/>
  <c r="B1365" i="72" l="1"/>
  <c r="C1364" i="72"/>
  <c r="E1364" i="72"/>
  <c r="D1364" i="72"/>
  <c r="B1366" i="72" l="1"/>
  <c r="E1365" i="72"/>
  <c r="D1365" i="72"/>
  <c r="C1365" i="72"/>
  <c r="B1367" i="72" l="1"/>
  <c r="D1366" i="72"/>
  <c r="C1366" i="72"/>
  <c r="E1366" i="72"/>
  <c r="B1368" i="72" l="1"/>
  <c r="C1367" i="72"/>
  <c r="E1367" i="72"/>
  <c r="D1367" i="72"/>
  <c r="B1369" i="72" l="1"/>
  <c r="D1368" i="72"/>
  <c r="C1368" i="72"/>
  <c r="E1368" i="72"/>
  <c r="B1370" i="72" l="1"/>
  <c r="D1369" i="72"/>
  <c r="C1369" i="72"/>
  <c r="E1369" i="72"/>
  <c r="B1371" i="72" l="1"/>
  <c r="C1370" i="72"/>
  <c r="D1370" i="72"/>
  <c r="E1370" i="72"/>
  <c r="B1372" i="72" l="1"/>
  <c r="D1371" i="72"/>
  <c r="C1371" i="72"/>
  <c r="E1371" i="72"/>
  <c r="V7" i="72" l="1"/>
  <c r="V8" i="72" s="1"/>
  <c r="V10" i="72"/>
  <c r="V11" i="72" s="1"/>
  <c r="B1373" i="72"/>
  <c r="E1372" i="72"/>
  <c r="C1372" i="72"/>
  <c r="D1372" i="72"/>
  <c r="V13" i="72" l="1"/>
  <c r="V14" i="72" s="1"/>
  <c r="B1374" i="72"/>
  <c r="E1373" i="72"/>
  <c r="D1373" i="72"/>
  <c r="C1373" i="72"/>
  <c r="B1375" i="72" l="1"/>
  <c r="D1374" i="72"/>
  <c r="C1374" i="72"/>
  <c r="E1374" i="72"/>
  <c r="B1376" i="72" l="1"/>
  <c r="D1375" i="72"/>
  <c r="E1375" i="72"/>
  <c r="C1375" i="72"/>
  <c r="B1377" i="72" l="1"/>
  <c r="D1376" i="72"/>
  <c r="C1376" i="72"/>
  <c r="E1376" i="72"/>
  <c r="B1378" i="72" l="1"/>
  <c r="C1377" i="72"/>
  <c r="D1377" i="72"/>
  <c r="E1377" i="72"/>
  <c r="B1379" i="72" l="1"/>
  <c r="D1378" i="72"/>
  <c r="E1378" i="72"/>
  <c r="C1378" i="72"/>
  <c r="B1380" i="72" l="1"/>
  <c r="D1379" i="72"/>
  <c r="E1379" i="72"/>
  <c r="C1379" i="72"/>
  <c r="B1381" i="72" l="1"/>
  <c r="E1380" i="72"/>
  <c r="C1380" i="72"/>
  <c r="D1380" i="72"/>
  <c r="B1382" i="72" l="1"/>
  <c r="C1381" i="72"/>
  <c r="E1381" i="72"/>
  <c r="D1381" i="72"/>
  <c r="B1383" i="72" l="1"/>
  <c r="D1382" i="72"/>
  <c r="C1382" i="72"/>
  <c r="E1382" i="72"/>
  <c r="B1384" i="72" l="1"/>
  <c r="D1383" i="72"/>
  <c r="C1383" i="72"/>
  <c r="E1383" i="72"/>
  <c r="B1385" i="72" l="1"/>
  <c r="E1384" i="72"/>
  <c r="C1384" i="72"/>
  <c r="D1384" i="72"/>
  <c r="B1386" i="72" l="1"/>
  <c r="D1385" i="72"/>
  <c r="E1385" i="72"/>
  <c r="C1385" i="72"/>
  <c r="B1387" i="72" l="1"/>
  <c r="C1386" i="72"/>
  <c r="D1386" i="72"/>
  <c r="E1386" i="72"/>
  <c r="B1388" i="72" l="1"/>
  <c r="E1387" i="72"/>
  <c r="D1387" i="72"/>
  <c r="C1387" i="72"/>
  <c r="B1389" i="72" l="1"/>
  <c r="E1388" i="72"/>
  <c r="D1388" i="72"/>
  <c r="C1388" i="72"/>
  <c r="B1390" i="72" l="1"/>
  <c r="E1389" i="72"/>
  <c r="D1389" i="72"/>
  <c r="C1389" i="72"/>
  <c r="B1391" i="72" l="1"/>
  <c r="C1390" i="72"/>
  <c r="E1390" i="72"/>
  <c r="D1390" i="72"/>
  <c r="B1392" i="72" l="1"/>
  <c r="E1391" i="72"/>
  <c r="C1391" i="72"/>
  <c r="D1391" i="72"/>
  <c r="B1393" i="72" l="1"/>
  <c r="E1392" i="72"/>
  <c r="C1392" i="72"/>
  <c r="D1392" i="72"/>
  <c r="B1394" i="72" l="1"/>
  <c r="D1393" i="72"/>
  <c r="E1393" i="72"/>
  <c r="C1393" i="72"/>
  <c r="B1395" i="72" l="1"/>
  <c r="C1394" i="72"/>
  <c r="E1394" i="72"/>
  <c r="D1394" i="72"/>
  <c r="B1396" i="72" l="1"/>
  <c r="E1395" i="72"/>
  <c r="D1395" i="72"/>
  <c r="C1395" i="72"/>
  <c r="B1397" i="72" l="1"/>
  <c r="E1396" i="72"/>
  <c r="C1396" i="72"/>
  <c r="D1396" i="72"/>
  <c r="B1398" i="72" l="1"/>
  <c r="C1397" i="72"/>
  <c r="D1397" i="72"/>
  <c r="E1397" i="72"/>
  <c r="B1399" i="72" l="1"/>
  <c r="E1398" i="72"/>
  <c r="C1398" i="72"/>
  <c r="D1398" i="72"/>
  <c r="B1400" i="72" l="1"/>
  <c r="E1399" i="72"/>
  <c r="C1399" i="72"/>
  <c r="D1399" i="72"/>
  <c r="B1401" i="72" l="1"/>
  <c r="C1400" i="72"/>
  <c r="E1400" i="72"/>
  <c r="D1400" i="72"/>
  <c r="B1402" i="72" l="1"/>
  <c r="D1401" i="72"/>
  <c r="C1401" i="72"/>
  <c r="E1401" i="72"/>
  <c r="B1403" i="72" l="1"/>
  <c r="D1402" i="72"/>
  <c r="E1402" i="72"/>
  <c r="C1402" i="72"/>
  <c r="B1404" i="72" l="1"/>
  <c r="E1403" i="72"/>
  <c r="C1403" i="72"/>
  <c r="D1403" i="72"/>
  <c r="B1405" i="72" l="1"/>
  <c r="C1404" i="72"/>
  <c r="E1404" i="72"/>
  <c r="D1404" i="72"/>
  <c r="B1406" i="72" l="1"/>
  <c r="D1405" i="72"/>
  <c r="C1405" i="72"/>
  <c r="E1405" i="72"/>
  <c r="B1407" i="72" l="1"/>
  <c r="E1406" i="72"/>
  <c r="D1406" i="72"/>
  <c r="C1406" i="72"/>
  <c r="B1408" i="72" l="1"/>
  <c r="E1407" i="72"/>
  <c r="D1407" i="72"/>
  <c r="C1407" i="72"/>
  <c r="B1409" i="72" l="1"/>
  <c r="D1408" i="72"/>
  <c r="C1408" i="72"/>
  <c r="E1408" i="72"/>
  <c r="B1410" i="72" l="1"/>
  <c r="C1409" i="72"/>
  <c r="E1409" i="72"/>
  <c r="D1409" i="72"/>
  <c r="B1411" i="72" l="1"/>
  <c r="C1410" i="72"/>
  <c r="D1410" i="72"/>
  <c r="E1410" i="72"/>
  <c r="B1412" i="72" l="1"/>
  <c r="E1411" i="72"/>
  <c r="D1411" i="72"/>
  <c r="C1411" i="72"/>
  <c r="B1413" i="72" l="1"/>
  <c r="C1412" i="72"/>
  <c r="E1412" i="72"/>
  <c r="D1412" i="72"/>
  <c r="B1414" i="72" l="1"/>
  <c r="D1413" i="72"/>
  <c r="C1413" i="72"/>
  <c r="E1413" i="72"/>
  <c r="B1415" i="72" l="1"/>
  <c r="D1414" i="72"/>
  <c r="E1414" i="72"/>
  <c r="C1414" i="72"/>
  <c r="B1416" i="72" l="1"/>
  <c r="C1415" i="72"/>
  <c r="E1415" i="72"/>
  <c r="D1415" i="72"/>
  <c r="B1417" i="72" l="1"/>
  <c r="C1416" i="72"/>
  <c r="D1416" i="72"/>
  <c r="E1416" i="72"/>
  <c r="B1418" i="72" l="1"/>
  <c r="E1417" i="72"/>
  <c r="C1417" i="72"/>
  <c r="D1417" i="72"/>
  <c r="B1419" i="72" l="1"/>
  <c r="C1418" i="72"/>
  <c r="E1418" i="72"/>
  <c r="D1418" i="72"/>
  <c r="B1420" i="72" l="1"/>
  <c r="C1419" i="72"/>
  <c r="E1419" i="72"/>
  <c r="D1419" i="72"/>
  <c r="B1421" i="72" l="1"/>
  <c r="D1420" i="72"/>
  <c r="C1420" i="72"/>
  <c r="E1420" i="72"/>
  <c r="B1422" i="72" l="1"/>
  <c r="D1421" i="72"/>
  <c r="C1421" i="72"/>
  <c r="E1421" i="72"/>
  <c r="B1423" i="72" l="1"/>
  <c r="D1422" i="72"/>
  <c r="C1422" i="72"/>
  <c r="E1422" i="72"/>
  <c r="B1424" i="72" l="1"/>
  <c r="D1423" i="72"/>
  <c r="C1423" i="72"/>
  <c r="E1423" i="72"/>
  <c r="B1425" i="72" l="1"/>
  <c r="C1424" i="72"/>
  <c r="D1424" i="72"/>
  <c r="E1424" i="72"/>
  <c r="B1426" i="72" l="1"/>
  <c r="D1425" i="72"/>
  <c r="E1425" i="72"/>
  <c r="C1425" i="72"/>
  <c r="B1427" i="72" l="1"/>
  <c r="D1426" i="72"/>
  <c r="C1426" i="72"/>
  <c r="E1426" i="72"/>
  <c r="B1428" i="72" l="1"/>
  <c r="E1427" i="72"/>
  <c r="C1427" i="72"/>
  <c r="D1427" i="72"/>
  <c r="B1429" i="72" l="1"/>
  <c r="D1428" i="72"/>
  <c r="E1428" i="72"/>
  <c r="C1428" i="72"/>
  <c r="B1430" i="72" l="1"/>
  <c r="C1429" i="72"/>
  <c r="E1429" i="72"/>
  <c r="D1429" i="72"/>
  <c r="B1431" i="72" l="1"/>
  <c r="E1430" i="72"/>
  <c r="D1430" i="72"/>
  <c r="C1430" i="72"/>
  <c r="B1432" i="72" l="1"/>
  <c r="E1431" i="72"/>
  <c r="C1431" i="72"/>
  <c r="D1431" i="72"/>
  <c r="B1433" i="72" l="1"/>
  <c r="C1432" i="72"/>
  <c r="E1432" i="72"/>
  <c r="D1432" i="72"/>
  <c r="B1434" i="72" l="1"/>
  <c r="E1433" i="72"/>
  <c r="C1433" i="72"/>
  <c r="D1433" i="72"/>
  <c r="B1435" i="72" l="1"/>
  <c r="C1434" i="72"/>
  <c r="D1434" i="72"/>
  <c r="E1434" i="72"/>
  <c r="B1436" i="72" l="1"/>
  <c r="D1435" i="72"/>
  <c r="E1435" i="72"/>
  <c r="C1435" i="72"/>
  <c r="B1437" i="72" l="1"/>
  <c r="E1436" i="72"/>
  <c r="D1436" i="72"/>
  <c r="C1436" i="72"/>
  <c r="B1438" i="72" l="1"/>
  <c r="E1437" i="72"/>
  <c r="D1437" i="72"/>
  <c r="C1437" i="72"/>
  <c r="B1439" i="72" l="1"/>
  <c r="D1438" i="72"/>
  <c r="E1438" i="72"/>
  <c r="C1438" i="72"/>
  <c r="B1440" i="72" l="1"/>
  <c r="D1439" i="72"/>
  <c r="C1439" i="72"/>
  <c r="E1439" i="72"/>
  <c r="B1441" i="72" l="1"/>
  <c r="C1440" i="72"/>
  <c r="E1440" i="72"/>
  <c r="D1440" i="72"/>
  <c r="B1442" i="72" l="1"/>
  <c r="E1441" i="72"/>
  <c r="D1441" i="72"/>
  <c r="C1441" i="72"/>
  <c r="B1443" i="72" l="1"/>
  <c r="E1442" i="72"/>
  <c r="C1442" i="72"/>
  <c r="D1442" i="72"/>
  <c r="B1444" i="72" l="1"/>
  <c r="D1443" i="72"/>
  <c r="C1443" i="72"/>
  <c r="E1443" i="72"/>
  <c r="B1445" i="72" l="1"/>
  <c r="D1444" i="72"/>
  <c r="C1444" i="72"/>
  <c r="E1444" i="72"/>
  <c r="B1446" i="72" l="1"/>
  <c r="C1445" i="72"/>
  <c r="E1445" i="72"/>
  <c r="D1445" i="72"/>
  <c r="B1447" i="72" l="1"/>
  <c r="D1446" i="72"/>
  <c r="E1446" i="72"/>
  <c r="C1446" i="72"/>
  <c r="B1448" i="72" l="1"/>
  <c r="E1447" i="72"/>
  <c r="D1447" i="72"/>
  <c r="C1447" i="72"/>
  <c r="B1449" i="72" l="1"/>
  <c r="E1448" i="72"/>
  <c r="C1448" i="72"/>
  <c r="D1448" i="72"/>
  <c r="B1450" i="72" l="1"/>
  <c r="E1449" i="72"/>
  <c r="C1449" i="72"/>
  <c r="D1449" i="72"/>
  <c r="B1451" i="72" l="1"/>
  <c r="C1450" i="72"/>
  <c r="D1450" i="72"/>
  <c r="E1450" i="72"/>
  <c r="B1452" i="72" l="1"/>
  <c r="C1451" i="72"/>
  <c r="E1451" i="72"/>
  <c r="D1451" i="72"/>
  <c r="B1453" i="72" l="1"/>
  <c r="C1452" i="72"/>
  <c r="E1452" i="72"/>
  <c r="D1452" i="72"/>
  <c r="B1454" i="72" l="1"/>
  <c r="E1453" i="72"/>
  <c r="D1453" i="72"/>
  <c r="C1453" i="72"/>
  <c r="B1455" i="72" l="1"/>
  <c r="E1454" i="72"/>
  <c r="C1454" i="72"/>
  <c r="D1454" i="72"/>
  <c r="B1456" i="72" l="1"/>
  <c r="C1455" i="72"/>
  <c r="D1455" i="72"/>
  <c r="E1455" i="72"/>
  <c r="B1457" i="72" l="1"/>
  <c r="E1456" i="72"/>
  <c r="D1456" i="72"/>
  <c r="C1456" i="72"/>
  <c r="B1458" i="72" l="1"/>
  <c r="E1457" i="72"/>
  <c r="C1457" i="72"/>
  <c r="D1457" i="72"/>
  <c r="B1459" i="72" l="1"/>
  <c r="E1458" i="72"/>
  <c r="D1458" i="72"/>
  <c r="C1458" i="72"/>
  <c r="B1460" i="72" l="1"/>
  <c r="D1459" i="72"/>
  <c r="E1459" i="72"/>
  <c r="C1459" i="72"/>
  <c r="B1461" i="72" l="1"/>
  <c r="C1460" i="72"/>
  <c r="D1460" i="72"/>
  <c r="E1460" i="72"/>
  <c r="B1462" i="72" l="1"/>
  <c r="E1461" i="72"/>
  <c r="C1461" i="72"/>
  <c r="D1461" i="72"/>
  <c r="B1463" i="72" l="1"/>
  <c r="D1462" i="72"/>
  <c r="E1462" i="72"/>
  <c r="C1462" i="72"/>
  <c r="B1464" i="72" l="1"/>
  <c r="C1463" i="72"/>
  <c r="E1463" i="72"/>
  <c r="D1463" i="72"/>
  <c r="W13" i="72" l="1"/>
  <c r="W14" i="72" s="1"/>
  <c r="W7" i="72"/>
  <c r="W8" i="72" s="1"/>
  <c r="W10" i="72"/>
  <c r="W11" i="72" s="1"/>
  <c r="B1465" i="72"/>
  <c r="D1464" i="72"/>
  <c r="E1464" i="72"/>
  <c r="C1464" i="72"/>
  <c r="B1466" i="72" l="1"/>
  <c r="E1465" i="72"/>
  <c r="C1465" i="72"/>
  <c r="D1465" i="72"/>
  <c r="B1467" i="72" l="1"/>
  <c r="C1466" i="72"/>
  <c r="D1466" i="72"/>
  <c r="E1466" i="72"/>
  <c r="B1468" i="72" l="1"/>
  <c r="D1467" i="72"/>
  <c r="E1467" i="72"/>
  <c r="C1467" i="72"/>
  <c r="B1469" i="72" l="1"/>
  <c r="D1468" i="72"/>
  <c r="E1468" i="72"/>
  <c r="C1468" i="72"/>
  <c r="B1470" i="72" l="1"/>
  <c r="C1469" i="72"/>
  <c r="E1469" i="72"/>
  <c r="D1469" i="72"/>
  <c r="B1471" i="72" l="1"/>
  <c r="D1470" i="72"/>
  <c r="E1470" i="72"/>
  <c r="C1470" i="72"/>
  <c r="B1472" i="72" l="1"/>
  <c r="E1471" i="72"/>
  <c r="C1471" i="72"/>
  <c r="D1471" i="72"/>
  <c r="B1473" i="72" l="1"/>
  <c r="E1472" i="72"/>
  <c r="C1472" i="72"/>
  <c r="D1472" i="72"/>
  <c r="B1474" i="72" l="1"/>
  <c r="E1473" i="72"/>
  <c r="C1473" i="72"/>
  <c r="D1473" i="72"/>
  <c r="B1475" i="72" l="1"/>
  <c r="D1474" i="72"/>
  <c r="C1474" i="72"/>
  <c r="E1474" i="72"/>
  <c r="B1476" i="72" l="1"/>
  <c r="C1475" i="72"/>
  <c r="E1475" i="72"/>
  <c r="D1475" i="72"/>
  <c r="B1477" i="72" l="1"/>
  <c r="E1476" i="72"/>
  <c r="C1476" i="72"/>
  <c r="D1476" i="72"/>
  <c r="B1478" i="72" l="1"/>
  <c r="E1477" i="72"/>
  <c r="D1477" i="72"/>
  <c r="C1477" i="72"/>
  <c r="B1479" i="72" l="1"/>
  <c r="C1478" i="72"/>
  <c r="E1478" i="72"/>
  <c r="D1478" i="72"/>
  <c r="B1480" i="72" l="1"/>
  <c r="D1479" i="72"/>
  <c r="C1479" i="72"/>
  <c r="E1479" i="72"/>
  <c r="B1481" i="72" l="1"/>
  <c r="C1480" i="72"/>
  <c r="D1480" i="72"/>
  <c r="E1480" i="72"/>
  <c r="B1482" i="72" l="1"/>
  <c r="E1481" i="72"/>
  <c r="C1481" i="72"/>
  <c r="D1481" i="72"/>
  <c r="B1483" i="72" l="1"/>
  <c r="E1482" i="72"/>
  <c r="D1482" i="72"/>
  <c r="C1482" i="72"/>
  <c r="B1484" i="72" l="1"/>
  <c r="D1483" i="72"/>
  <c r="C1483" i="72"/>
  <c r="E1483" i="72"/>
  <c r="B1485" i="72" l="1"/>
  <c r="C1484" i="72"/>
  <c r="D1484" i="72"/>
  <c r="E1484" i="72"/>
  <c r="B1486" i="72" l="1"/>
  <c r="C1485" i="72"/>
  <c r="E1485" i="72"/>
  <c r="D1485" i="72"/>
  <c r="B1487" i="72" l="1"/>
  <c r="E1486" i="72"/>
  <c r="C1486" i="72"/>
  <c r="D1486" i="72"/>
  <c r="B1488" i="72" l="1"/>
  <c r="E1487" i="72"/>
  <c r="C1487" i="72"/>
  <c r="D1487" i="72"/>
  <c r="B1489" i="72" l="1"/>
  <c r="D1488" i="72"/>
  <c r="E1488" i="72"/>
  <c r="C1488" i="72"/>
  <c r="B1490" i="72" l="1"/>
  <c r="E1489" i="72"/>
  <c r="D1489" i="72"/>
  <c r="C1489" i="72"/>
  <c r="B1491" i="72" l="1"/>
  <c r="E1490" i="72"/>
  <c r="D1490" i="72"/>
  <c r="C1490" i="72"/>
  <c r="B1492" i="72" l="1"/>
  <c r="C1491" i="72"/>
  <c r="E1491" i="72"/>
  <c r="D1491" i="72"/>
  <c r="B1493" i="72" l="1"/>
  <c r="C1492" i="72"/>
  <c r="D1492" i="72"/>
  <c r="E1492" i="72"/>
  <c r="B1494" i="72" l="1"/>
  <c r="D1493" i="72"/>
  <c r="C1493" i="72"/>
  <c r="E1493" i="72"/>
  <c r="B1495" i="72" l="1"/>
  <c r="C1494" i="72"/>
  <c r="E1494" i="72"/>
  <c r="D1494" i="72"/>
  <c r="B1496" i="72" l="1"/>
  <c r="E1495" i="72"/>
  <c r="D1495" i="72"/>
  <c r="C1495" i="72"/>
  <c r="B1497" i="72" l="1"/>
  <c r="D1496" i="72"/>
  <c r="E1496" i="72"/>
  <c r="C1496" i="72"/>
  <c r="B1498" i="72" l="1"/>
  <c r="D1497" i="72"/>
  <c r="C1497" i="72"/>
  <c r="E1497" i="72"/>
  <c r="B1499" i="72" l="1"/>
  <c r="E1498" i="72"/>
  <c r="D1498" i="72"/>
  <c r="C1498" i="72"/>
  <c r="B1500" i="72" l="1"/>
  <c r="D1499" i="72"/>
  <c r="C1499" i="72"/>
  <c r="E1499" i="72"/>
  <c r="B1501" i="72" l="1"/>
  <c r="D1500" i="72"/>
  <c r="E1500" i="72"/>
  <c r="C1500" i="72"/>
  <c r="B1502" i="72" l="1"/>
  <c r="E1501" i="72"/>
  <c r="C1501" i="72"/>
  <c r="D1501" i="72"/>
  <c r="B1503" i="72" l="1"/>
  <c r="E1502" i="72"/>
  <c r="D1502" i="72"/>
  <c r="C1502" i="72"/>
  <c r="B1504" i="72" l="1"/>
  <c r="C1503" i="72"/>
  <c r="E1503" i="72"/>
  <c r="D1503" i="72"/>
  <c r="B1505" i="72" l="1"/>
  <c r="E1504" i="72"/>
  <c r="C1504" i="72"/>
  <c r="D1504" i="72"/>
  <c r="B1506" i="72" l="1"/>
  <c r="D1505" i="72"/>
  <c r="E1505" i="72"/>
  <c r="C1505" i="72"/>
  <c r="B1507" i="72" l="1"/>
  <c r="C1506" i="72"/>
  <c r="E1506" i="72"/>
  <c r="D1506" i="72"/>
  <c r="B1508" i="72" l="1"/>
  <c r="D1507" i="72"/>
  <c r="C1507" i="72"/>
  <c r="E1507" i="72"/>
  <c r="B1509" i="72" l="1"/>
  <c r="D1508" i="72"/>
  <c r="E1508" i="72"/>
  <c r="C1508" i="72"/>
  <c r="B1510" i="72" l="1"/>
  <c r="C1509" i="72"/>
  <c r="D1509" i="72"/>
  <c r="E1509" i="72"/>
  <c r="B1511" i="72" l="1"/>
  <c r="D1510" i="72"/>
  <c r="C1510" i="72"/>
  <c r="E1510" i="72"/>
  <c r="B1512" i="72" l="1"/>
  <c r="D1511" i="72"/>
  <c r="E1511" i="72"/>
  <c r="C1511" i="72"/>
  <c r="B1513" i="72" l="1"/>
  <c r="D1512" i="72"/>
  <c r="C1512" i="72"/>
  <c r="E1512" i="72"/>
  <c r="B1514" i="72" l="1"/>
  <c r="C1513" i="72"/>
  <c r="E1513" i="72"/>
  <c r="D1513" i="72"/>
  <c r="B1515" i="72" l="1"/>
  <c r="D1514" i="72"/>
  <c r="E1514" i="72"/>
  <c r="C1514" i="72"/>
  <c r="B1516" i="72" l="1"/>
  <c r="E1515" i="72"/>
  <c r="D1515" i="72"/>
  <c r="C1515" i="72"/>
  <c r="B1517" i="72" l="1"/>
  <c r="C1516" i="72"/>
  <c r="D1516" i="72"/>
  <c r="E1516" i="72"/>
  <c r="B1518" i="72" l="1"/>
  <c r="E1517" i="72"/>
  <c r="D1517" i="72"/>
  <c r="C1517" i="72"/>
  <c r="B1519" i="72" l="1"/>
  <c r="D1518" i="72"/>
  <c r="E1518" i="72"/>
  <c r="C1518" i="72"/>
  <c r="B1520" i="72" l="1"/>
  <c r="D1519" i="72"/>
  <c r="C1519" i="72"/>
  <c r="E1519" i="72"/>
  <c r="B1521" i="72" l="1"/>
  <c r="C1520" i="72"/>
  <c r="E1520" i="72"/>
  <c r="D1520" i="72"/>
  <c r="B1522" i="72" l="1"/>
  <c r="E1521" i="72"/>
  <c r="C1521" i="72"/>
  <c r="D1521" i="72"/>
  <c r="B1523" i="72" l="1"/>
  <c r="C1522" i="72"/>
  <c r="E1522" i="72"/>
  <c r="D1522" i="72"/>
  <c r="B1524" i="72" l="1"/>
  <c r="D1523" i="72"/>
  <c r="E1523" i="72"/>
  <c r="C1523" i="72"/>
  <c r="B1525" i="72" l="1"/>
  <c r="C1524" i="72"/>
  <c r="D1524" i="72"/>
  <c r="E1524" i="72"/>
  <c r="B1526" i="72" l="1"/>
  <c r="C1525" i="72"/>
  <c r="E1525" i="72"/>
  <c r="D1525" i="72"/>
  <c r="B1527" i="72" l="1"/>
  <c r="C1526" i="72"/>
  <c r="D1526" i="72"/>
  <c r="E1526" i="72"/>
  <c r="B1528" i="72" l="1"/>
  <c r="C1527" i="72"/>
  <c r="D1527" i="72"/>
  <c r="E1527" i="72"/>
  <c r="B1529" i="72" l="1"/>
  <c r="E1528" i="72"/>
  <c r="C1528" i="72"/>
  <c r="D1528" i="72"/>
  <c r="B1530" i="72" l="1"/>
  <c r="E1529" i="72"/>
  <c r="C1529" i="72"/>
  <c r="D1529" i="72"/>
  <c r="B1531" i="72" l="1"/>
  <c r="E1530" i="72"/>
  <c r="D1530" i="72"/>
  <c r="C1530" i="72"/>
  <c r="B1532" i="72" l="1"/>
  <c r="D1531" i="72"/>
  <c r="C1531" i="72"/>
  <c r="E1531" i="72"/>
  <c r="B1533" i="72" l="1"/>
  <c r="E1532" i="72"/>
  <c r="C1532" i="72"/>
  <c r="D1532" i="72"/>
  <c r="B1534" i="72" l="1"/>
  <c r="E1533" i="72"/>
  <c r="D1533" i="72"/>
  <c r="C1533" i="72"/>
  <c r="B1535" i="72" l="1"/>
  <c r="D1534" i="72"/>
  <c r="C1534" i="72"/>
  <c r="E1534" i="72"/>
  <c r="B1536" i="72" l="1"/>
  <c r="E1535" i="72"/>
  <c r="D1535" i="72"/>
  <c r="C1535" i="72"/>
  <c r="B1537" i="72" l="1"/>
  <c r="D1536" i="72"/>
  <c r="E1536" i="72"/>
  <c r="C1536" i="72"/>
  <c r="B1538" i="72" l="1"/>
  <c r="D1537" i="72"/>
  <c r="E1537" i="72"/>
  <c r="C1537" i="72"/>
  <c r="B1539" i="72" l="1"/>
  <c r="D1538" i="72"/>
  <c r="E1538" i="72"/>
  <c r="C1538" i="72"/>
  <c r="B1540" i="72" l="1"/>
  <c r="C1539" i="72"/>
  <c r="D1539" i="72"/>
  <c r="E1539" i="72"/>
  <c r="B1541" i="72" l="1"/>
  <c r="C1540" i="72"/>
  <c r="D1540" i="72"/>
  <c r="E1540" i="72"/>
  <c r="B1542" i="72" l="1"/>
  <c r="C1541" i="72"/>
  <c r="D1541" i="72"/>
  <c r="E1541" i="72"/>
  <c r="B1543" i="72" l="1"/>
  <c r="E1542" i="72"/>
  <c r="D1542" i="72"/>
  <c r="C1542" i="72"/>
  <c r="B1544" i="72" l="1"/>
  <c r="E1543" i="72"/>
  <c r="C1543" i="72"/>
  <c r="D1543" i="72"/>
  <c r="B1545" i="72" l="1"/>
  <c r="E1544" i="72"/>
  <c r="D1544" i="72"/>
  <c r="C1544" i="72"/>
  <c r="B1546" i="72" l="1"/>
  <c r="E1545" i="72"/>
  <c r="D1545" i="72"/>
  <c r="C1545" i="72"/>
  <c r="B1547" i="72" l="1"/>
  <c r="C1546" i="72"/>
  <c r="E1546" i="72"/>
  <c r="D1546" i="72"/>
  <c r="B1548" i="72" l="1"/>
  <c r="C1547" i="72"/>
  <c r="E1547" i="72"/>
  <c r="D1547" i="72"/>
  <c r="B1549" i="72" l="1"/>
  <c r="E1548" i="72"/>
  <c r="D1548" i="72"/>
  <c r="C1548" i="72"/>
  <c r="B1550" i="72" l="1"/>
  <c r="D1549" i="72"/>
  <c r="E1549" i="72"/>
  <c r="C1549" i="72"/>
  <c r="B1551" i="72" l="1"/>
  <c r="C1550" i="72"/>
  <c r="D1550" i="72"/>
  <c r="E1550" i="72"/>
  <c r="B1552" i="72" l="1"/>
  <c r="D1551" i="72"/>
  <c r="C1551" i="72"/>
  <c r="E1551" i="72"/>
  <c r="B1553" i="72" l="1"/>
  <c r="E1552" i="72"/>
  <c r="D1552" i="72"/>
  <c r="C1552" i="72"/>
  <c r="B1554" i="72" l="1"/>
  <c r="C1553" i="72"/>
  <c r="D1553" i="72"/>
  <c r="E1553" i="72"/>
  <c r="X10" i="72" l="1"/>
  <c r="X11" i="72" s="1"/>
  <c r="X13" i="72"/>
  <c r="X14" i="72" s="1"/>
  <c r="X7" i="72"/>
  <c r="X8" i="72" s="1"/>
  <c r="B1555" i="72"/>
  <c r="C1554" i="72"/>
  <c r="E1554" i="72"/>
  <c r="D1554" i="72"/>
  <c r="Y10" i="72" l="1"/>
  <c r="Y7" i="72"/>
  <c r="Y13" i="72"/>
  <c r="Y14" i="72" s="1"/>
  <c r="B1556" i="72"/>
  <c r="C1555" i="72"/>
  <c r="D1555" i="72"/>
  <c r="E1555" i="72"/>
  <c r="Z13" i="72" l="1"/>
  <c r="AA13" i="72" s="1"/>
  <c r="AA14" i="72" s="1"/>
  <c r="Y8" i="72"/>
  <c r="Z7" i="72"/>
  <c r="Z10" i="72"/>
  <c r="Y11" i="72"/>
  <c r="B1557" i="72"/>
  <c r="D1556" i="72"/>
  <c r="C1556" i="72"/>
  <c r="E1556" i="72"/>
  <c r="Z14" i="72" l="1"/>
  <c r="Z11" i="72"/>
  <c r="AA10" i="72"/>
  <c r="AA11" i="72" s="1"/>
  <c r="Z8" i="72"/>
  <c r="AA7" i="72"/>
  <c r="AA8" i="72" s="1"/>
  <c r="B1558" i="72"/>
  <c r="E1557" i="72"/>
  <c r="D1557" i="72"/>
  <c r="C1557" i="72"/>
  <c r="B1559" i="72" l="1"/>
  <c r="E1558" i="72"/>
  <c r="C1558" i="72"/>
  <c r="D1558" i="72"/>
  <c r="B1560" i="72" l="1"/>
  <c r="C1559" i="72"/>
  <c r="E1559" i="72"/>
  <c r="D1559" i="72"/>
  <c r="B1561" i="72" l="1"/>
  <c r="E1560" i="72"/>
  <c r="C1560" i="72"/>
  <c r="D1560" i="72"/>
  <c r="B1562" i="72" l="1"/>
  <c r="C1561" i="72"/>
  <c r="D1561" i="72"/>
  <c r="E1561" i="72"/>
  <c r="B1563" i="72" l="1"/>
  <c r="D1562" i="72"/>
  <c r="E1562" i="72"/>
  <c r="C1562" i="72"/>
  <c r="B1564" i="72" l="1"/>
  <c r="E1563" i="72"/>
  <c r="D1563" i="72"/>
  <c r="C1563" i="72"/>
  <c r="B1565" i="72" l="1"/>
  <c r="E1564" i="72"/>
  <c r="D1564" i="72"/>
  <c r="C1564" i="72"/>
  <c r="B1566" i="72" l="1"/>
  <c r="E1565" i="72"/>
  <c r="D1565" i="72"/>
  <c r="C1565" i="72"/>
  <c r="B1567" i="72" l="1"/>
  <c r="E1566" i="72"/>
  <c r="C1566" i="72"/>
  <c r="D1566" i="72"/>
  <c r="B1568" i="72" l="1"/>
  <c r="C1567" i="72"/>
  <c r="D1567" i="72"/>
  <c r="E1567" i="72"/>
  <c r="B1569" i="72" l="1"/>
  <c r="C1568" i="72"/>
  <c r="E1568" i="72"/>
  <c r="D1568" i="72"/>
  <c r="B1570" i="72" l="1"/>
  <c r="E1569" i="72"/>
  <c r="D1569" i="72"/>
  <c r="C1569" i="72"/>
  <c r="B1571" i="72" l="1"/>
  <c r="C1570" i="72"/>
  <c r="D1570" i="72"/>
  <c r="E1570" i="72"/>
  <c r="B1572" i="72" l="1"/>
  <c r="D1571" i="72"/>
  <c r="E1571" i="72"/>
  <c r="C1571" i="72"/>
  <c r="B1573" i="72" l="1"/>
  <c r="C1572" i="72"/>
  <c r="D1572" i="72"/>
  <c r="E1572" i="72"/>
  <c r="B1574" i="72" l="1"/>
  <c r="E1573" i="72"/>
  <c r="C1573" i="72"/>
  <c r="D1573" i="72"/>
  <c r="B1575" i="72" l="1"/>
  <c r="C1574" i="72"/>
  <c r="E1574" i="72"/>
  <c r="D1574" i="72"/>
  <c r="B1576" i="72" l="1"/>
  <c r="E1575" i="72"/>
  <c r="D1575" i="72"/>
  <c r="C1575" i="72"/>
  <c r="B1577" i="72" l="1"/>
  <c r="C1576" i="72"/>
  <c r="E1576" i="72"/>
  <c r="D1576" i="72"/>
  <c r="B1578" i="72" l="1"/>
  <c r="E1577" i="72"/>
  <c r="D1577" i="72"/>
  <c r="C1577" i="72"/>
  <c r="B1579" i="72" l="1"/>
  <c r="D1578" i="72"/>
  <c r="E1578" i="72"/>
  <c r="C1578" i="72"/>
  <c r="B1580" i="72" l="1"/>
  <c r="D1579" i="72"/>
  <c r="E1579" i="72"/>
  <c r="C1579" i="72"/>
  <c r="B1581" i="72" l="1"/>
  <c r="D1580" i="72"/>
  <c r="C1580" i="72"/>
  <c r="E1580" i="72"/>
  <c r="B1582" i="72" l="1"/>
  <c r="D1581" i="72"/>
  <c r="C1581" i="72"/>
  <c r="E1581" i="72"/>
  <c r="B1583" i="72" l="1"/>
  <c r="D1582" i="72"/>
  <c r="E1582" i="72"/>
  <c r="C1582" i="72"/>
  <c r="B1584" i="72" l="1"/>
  <c r="E1583" i="72"/>
  <c r="C1583" i="72"/>
  <c r="D1583" i="72"/>
  <c r="B1585" i="72" l="1"/>
  <c r="E1584" i="72"/>
  <c r="C1584" i="72"/>
  <c r="D1584" i="72"/>
  <c r="B1586" i="72" l="1"/>
  <c r="D1585" i="72"/>
  <c r="E1585" i="72"/>
  <c r="C1585" i="72"/>
  <c r="B1587" i="72" l="1"/>
  <c r="C1586" i="72"/>
  <c r="D1586" i="72"/>
  <c r="E1586" i="72"/>
  <c r="B1588" i="72" l="1"/>
  <c r="E1587" i="72"/>
  <c r="C1587" i="72"/>
  <c r="D1587" i="72"/>
  <c r="B1589" i="72" l="1"/>
  <c r="C1588" i="72"/>
  <c r="D1588" i="72"/>
  <c r="E1588" i="72"/>
  <c r="B1590" i="72" l="1"/>
  <c r="D1589" i="72"/>
  <c r="C1589" i="72"/>
  <c r="E1589" i="72"/>
  <c r="B1591" i="72" l="1"/>
  <c r="D1590" i="72"/>
  <c r="C1590" i="72"/>
  <c r="E1590" i="72"/>
  <c r="B1592" i="72" l="1"/>
  <c r="C1591" i="72"/>
  <c r="E1591" i="72"/>
  <c r="D1591" i="72"/>
  <c r="B1593" i="72" l="1"/>
  <c r="D1592" i="72"/>
  <c r="E1592" i="72"/>
  <c r="C1592" i="72"/>
  <c r="B1594" i="72" l="1"/>
  <c r="C1593" i="72"/>
  <c r="D1593" i="72"/>
  <c r="E1593" i="72"/>
  <c r="B1595" i="72" l="1"/>
  <c r="E1594" i="72"/>
  <c r="D1594" i="72"/>
  <c r="C1594" i="72"/>
  <c r="B1596" i="72" l="1"/>
  <c r="D1595" i="72"/>
  <c r="E1595" i="72"/>
  <c r="C1595" i="72"/>
  <c r="B1597" i="72" l="1"/>
  <c r="D1596" i="72"/>
  <c r="C1596" i="72"/>
  <c r="E1596" i="72"/>
  <c r="B1598" i="72" l="1"/>
  <c r="E1597" i="72"/>
  <c r="C1597" i="72"/>
  <c r="D1597" i="72"/>
  <c r="B1599" i="72" l="1"/>
  <c r="E1598" i="72"/>
  <c r="C1598" i="72"/>
  <c r="D1598" i="72"/>
  <c r="B1600" i="72" l="1"/>
  <c r="E1599" i="72"/>
  <c r="D1599" i="72"/>
  <c r="C1599" i="72"/>
  <c r="B1601" i="72" l="1"/>
  <c r="C1600" i="72"/>
  <c r="D1600" i="72"/>
  <c r="E1600" i="72"/>
  <c r="B1602" i="72" l="1"/>
  <c r="E1601" i="72"/>
  <c r="D1601" i="72"/>
  <c r="C1601" i="72"/>
  <c r="B1603" i="72" l="1"/>
  <c r="D1602" i="72"/>
  <c r="E1602" i="72"/>
  <c r="C1602" i="72"/>
  <c r="B1604" i="72" l="1"/>
  <c r="E1603" i="72"/>
  <c r="C1603" i="72"/>
  <c r="D1603" i="72"/>
  <c r="B1605" i="72" l="1"/>
  <c r="D1604" i="72"/>
  <c r="C1604" i="72"/>
  <c r="E1604" i="72"/>
  <c r="B1606" i="72" l="1"/>
  <c r="D1605" i="72"/>
  <c r="C1605" i="72"/>
  <c r="E1605" i="72"/>
  <c r="B1607" i="72" l="1"/>
  <c r="E1606" i="72"/>
  <c r="C1606" i="72"/>
  <c r="D1606" i="72"/>
  <c r="B1608" i="72" l="1"/>
  <c r="D1607" i="72"/>
  <c r="C1607" i="72"/>
  <c r="E1607" i="72"/>
  <c r="B1609" i="72" l="1"/>
  <c r="D1608" i="72"/>
  <c r="E1608" i="72"/>
  <c r="C1608" i="72"/>
  <c r="B1610" i="72" l="1"/>
  <c r="C1609" i="72"/>
  <c r="E1609" i="72"/>
  <c r="D1609" i="72"/>
  <c r="B1611" i="72" l="1"/>
  <c r="C1610" i="72"/>
  <c r="E1610" i="72"/>
  <c r="D1610" i="72"/>
  <c r="B1612" i="72" l="1"/>
  <c r="E1611" i="72"/>
  <c r="C1611" i="72"/>
  <c r="D1611" i="72"/>
  <c r="B1613" i="72" l="1"/>
  <c r="D1612" i="72"/>
  <c r="C1612" i="72"/>
  <c r="E1612" i="72"/>
  <c r="B1614" i="72" l="1"/>
  <c r="E1613" i="72"/>
  <c r="C1613" i="72"/>
  <c r="D1613" i="72"/>
  <c r="B1615" i="72" l="1"/>
  <c r="D1614" i="72"/>
  <c r="C1614" i="72"/>
  <c r="E1614" i="72"/>
  <c r="B1616" i="72" l="1"/>
  <c r="D1615" i="72"/>
  <c r="E1615" i="72"/>
  <c r="C1615" i="72"/>
  <c r="B1617" i="72" l="1"/>
  <c r="C1616" i="72"/>
  <c r="D1616" i="72"/>
  <c r="E1616" i="72"/>
  <c r="B1618" i="72" l="1"/>
  <c r="E1617" i="72"/>
  <c r="D1617" i="72"/>
  <c r="C1617" i="72"/>
  <c r="B1619" i="72" l="1"/>
  <c r="D1618" i="72"/>
  <c r="C1618" i="72"/>
  <c r="E1618" i="72"/>
  <c r="B1620" i="72" l="1"/>
  <c r="C1619" i="72"/>
  <c r="D1619" i="72"/>
  <c r="E1619" i="72"/>
  <c r="B1621" i="72" l="1"/>
  <c r="D1620" i="72"/>
  <c r="C1620" i="72"/>
  <c r="E1620" i="72"/>
  <c r="B1622" i="72" l="1"/>
  <c r="D1621" i="72"/>
  <c r="C1621" i="72"/>
  <c r="E1621" i="72"/>
  <c r="B1623" i="72" l="1"/>
  <c r="C1622" i="72"/>
  <c r="D1622" i="72"/>
  <c r="E1622" i="72"/>
  <c r="B1624" i="72" l="1"/>
  <c r="E1623" i="72"/>
  <c r="D1623" i="72"/>
  <c r="C1623" i="72"/>
  <c r="B1625" i="72" l="1"/>
  <c r="D1624" i="72"/>
  <c r="E1624" i="72"/>
  <c r="C1624" i="72"/>
  <c r="B1626" i="72" l="1"/>
  <c r="D1625" i="72"/>
  <c r="C1625" i="72"/>
  <c r="E1625" i="72"/>
  <c r="B1627" i="72" l="1"/>
  <c r="D1626" i="72"/>
  <c r="C1626" i="72"/>
  <c r="E1626" i="72"/>
  <c r="B1628" i="72" l="1"/>
  <c r="C1627" i="72"/>
  <c r="D1627" i="72"/>
  <c r="E1627" i="72"/>
  <c r="B1629" i="72" l="1"/>
  <c r="E1628" i="72"/>
  <c r="D1628" i="72"/>
  <c r="C1628" i="72"/>
  <c r="B1630" i="72" l="1"/>
  <c r="C1629" i="72"/>
  <c r="E1629" i="72"/>
  <c r="D1629" i="72"/>
  <c r="B1631" i="72" l="1"/>
  <c r="E1630" i="72"/>
  <c r="D1630" i="72"/>
  <c r="C1630" i="72"/>
  <c r="B1632" i="72" l="1"/>
  <c r="D1631" i="72"/>
  <c r="E1631" i="72"/>
  <c r="C1631" i="72"/>
  <c r="B1633" i="72" l="1"/>
  <c r="C1632" i="72"/>
  <c r="E1632" i="72"/>
  <c r="D1632" i="72"/>
  <c r="B1634" i="72" l="1"/>
  <c r="C1633" i="72"/>
  <c r="D1633" i="72"/>
  <c r="E1633" i="72"/>
  <c r="B1635" i="72" l="1"/>
  <c r="E1634" i="72"/>
  <c r="C1634" i="72"/>
  <c r="D1634" i="72"/>
  <c r="B1636" i="72" l="1"/>
  <c r="D1635" i="72"/>
  <c r="C1635" i="72"/>
  <c r="E1635" i="72"/>
  <c r="B1637" i="72" l="1"/>
  <c r="D1636" i="72"/>
  <c r="E1636" i="72"/>
  <c r="C1636" i="72"/>
  <c r="B1638" i="72" l="1"/>
  <c r="C1637" i="72"/>
  <c r="D1637" i="72"/>
  <c r="E1637" i="72"/>
  <c r="B1639" i="72" l="1"/>
  <c r="C1638" i="72"/>
  <c r="D1638" i="72"/>
  <c r="E1638" i="72"/>
  <c r="B1640" i="72" l="1"/>
  <c r="C1639" i="72"/>
  <c r="E1639" i="72"/>
  <c r="D1639" i="72"/>
  <c r="B1641" i="72" l="1"/>
  <c r="C1640" i="72"/>
  <c r="E1640" i="72"/>
  <c r="D1640" i="72"/>
  <c r="B1642" i="72" l="1"/>
  <c r="C1641" i="72"/>
  <c r="D1641" i="72"/>
  <c r="E1641" i="72"/>
  <c r="B1643" i="72" l="1"/>
  <c r="C1642" i="72"/>
  <c r="E1642" i="72"/>
  <c r="D1642" i="72"/>
  <c r="B1644" i="72" l="1"/>
  <c r="D1643" i="72"/>
  <c r="C1643" i="72"/>
  <c r="E1643" i="72"/>
  <c r="B1645" i="72" l="1"/>
  <c r="E1644" i="72"/>
  <c r="D1644" i="72"/>
  <c r="C1644" i="72"/>
  <c r="B1646" i="72" l="1"/>
  <c r="D1645" i="72"/>
  <c r="E1645" i="72"/>
  <c r="C1645" i="72"/>
  <c r="B1647" i="72" l="1"/>
  <c r="D1646" i="72"/>
  <c r="C1646" i="72"/>
  <c r="E1646" i="72"/>
  <c r="B1648" i="72" l="1"/>
  <c r="C1647" i="72"/>
  <c r="E1647" i="72"/>
  <c r="D1647" i="72"/>
  <c r="B1649" i="72" l="1"/>
  <c r="C1648" i="72"/>
  <c r="E1648" i="72"/>
  <c r="D1648" i="72"/>
  <c r="B1650" i="72" l="1"/>
  <c r="D1649" i="72"/>
  <c r="C1649" i="72"/>
  <c r="E1649" i="72"/>
  <c r="B1651" i="72" l="1"/>
  <c r="C1650" i="72"/>
  <c r="D1650" i="72"/>
  <c r="E1650" i="72"/>
  <c r="B1652" i="72" l="1"/>
  <c r="C1651" i="72"/>
  <c r="D1651" i="72"/>
  <c r="E1651" i="72"/>
  <c r="B1653" i="72" l="1"/>
  <c r="E1652" i="72"/>
  <c r="D1652" i="72"/>
  <c r="C1652" i="72"/>
  <c r="B1654" i="72" l="1"/>
  <c r="C1653" i="72"/>
  <c r="E1653" i="72"/>
  <c r="D1653" i="72"/>
  <c r="B1655" i="72" l="1"/>
  <c r="E1654" i="72"/>
  <c r="D1654" i="72"/>
  <c r="C1654" i="72"/>
  <c r="B1656" i="72" l="1"/>
  <c r="E1655" i="72"/>
  <c r="D1655" i="72"/>
  <c r="C1655" i="72"/>
  <c r="B1657" i="72" l="1"/>
  <c r="D1656" i="72"/>
  <c r="E1656" i="72"/>
  <c r="C1656" i="72"/>
  <c r="B1658" i="72" l="1"/>
  <c r="E1657" i="72"/>
  <c r="C1657" i="72"/>
  <c r="D1657" i="72"/>
  <c r="B1659" i="72" l="1"/>
  <c r="C1658" i="72"/>
  <c r="E1658" i="72"/>
  <c r="D1658" i="72"/>
  <c r="B1660" i="72" l="1"/>
  <c r="E1659" i="72"/>
  <c r="C1659" i="72"/>
  <c r="D1659" i="72"/>
  <c r="B1661" i="72" l="1"/>
  <c r="D1660" i="72"/>
  <c r="E1660" i="72"/>
  <c r="C1660" i="72"/>
  <c r="B1662" i="72" l="1"/>
  <c r="C1661" i="72"/>
  <c r="D1661" i="72"/>
  <c r="E1661" i="72"/>
  <c r="B1663" i="72" l="1"/>
  <c r="D1662" i="72"/>
  <c r="C1662" i="72"/>
  <c r="E1662" i="72"/>
  <c r="B1664" i="72" l="1"/>
  <c r="C1663" i="72"/>
  <c r="E1663" i="72"/>
  <c r="D1663" i="72"/>
  <c r="B1665" i="72" l="1"/>
  <c r="D1664" i="72"/>
  <c r="E1664" i="72"/>
  <c r="C1664" i="72"/>
  <c r="B1666" i="72" l="1"/>
  <c r="C1665" i="72"/>
  <c r="D1665" i="72"/>
  <c r="E1665" i="72"/>
  <c r="B1667" i="72" l="1"/>
  <c r="C1666" i="72"/>
  <c r="E1666" i="72"/>
  <c r="D1666" i="72"/>
  <c r="B1668" i="72" l="1"/>
  <c r="C1667" i="72"/>
  <c r="E1667" i="72"/>
  <c r="D1667" i="72"/>
  <c r="B1669" i="72" l="1"/>
  <c r="E1668" i="72"/>
  <c r="C1668" i="72"/>
  <c r="D1668" i="72"/>
  <c r="B1670" i="72" l="1"/>
  <c r="E1669" i="72"/>
  <c r="D1669" i="72"/>
  <c r="C1669" i="72"/>
  <c r="B1671" i="72" l="1"/>
  <c r="D1670" i="72"/>
  <c r="C1670" i="72"/>
  <c r="E1670" i="72"/>
  <c r="B1672" i="72" l="1"/>
  <c r="D1671" i="72"/>
  <c r="E1671" i="72"/>
  <c r="C1671" i="72"/>
  <c r="B1673" i="72" l="1"/>
  <c r="E1672" i="72"/>
  <c r="C1672" i="72"/>
  <c r="D1672" i="72"/>
  <c r="B1674" i="72" l="1"/>
  <c r="E1673" i="72"/>
  <c r="C1673" i="72"/>
  <c r="D1673" i="72"/>
  <c r="B1675" i="72" l="1"/>
  <c r="D1674" i="72"/>
  <c r="C1674" i="72"/>
  <c r="E1674" i="72"/>
  <c r="B1676" i="72" l="1"/>
  <c r="D1675" i="72"/>
  <c r="E1675" i="72"/>
  <c r="C1675" i="72"/>
  <c r="B1677" i="72" l="1"/>
  <c r="D1676" i="72"/>
  <c r="C1676" i="72"/>
  <c r="E1676" i="72"/>
  <c r="B1678" i="72" l="1"/>
  <c r="E1677" i="72"/>
  <c r="D1677" i="72"/>
  <c r="C1677" i="72"/>
  <c r="B1679" i="72" l="1"/>
  <c r="C1678" i="72"/>
  <c r="E1678" i="72"/>
  <c r="D1678" i="72"/>
  <c r="B1680" i="72" l="1"/>
  <c r="D1679" i="72"/>
  <c r="C1679" i="72"/>
  <c r="E1679" i="72"/>
  <c r="B1681" i="72" l="1"/>
  <c r="E1680" i="72"/>
  <c r="D1680" i="72"/>
  <c r="C1680" i="72"/>
  <c r="B1682" i="72" l="1"/>
  <c r="C1681" i="72"/>
  <c r="D1681" i="72"/>
  <c r="E1681" i="72"/>
  <c r="B1683" i="72" l="1"/>
  <c r="C1682" i="72"/>
  <c r="D1682" i="72"/>
  <c r="E1682" i="72"/>
  <c r="B1684" i="72" l="1"/>
  <c r="C1683" i="72"/>
  <c r="E1683" i="72"/>
  <c r="D1683" i="72"/>
  <c r="B1685" i="72" l="1"/>
  <c r="E1684" i="72"/>
  <c r="C1684" i="72"/>
  <c r="D1684" i="72"/>
  <c r="B1686" i="72" l="1"/>
  <c r="C1685" i="72"/>
  <c r="D1685" i="72"/>
  <c r="E1685" i="72"/>
  <c r="B1687" i="72" l="1"/>
  <c r="C1686" i="72"/>
  <c r="D1686" i="72"/>
  <c r="E1686" i="72"/>
  <c r="B1688" i="72" l="1"/>
  <c r="C1687" i="72"/>
  <c r="E1687" i="72"/>
  <c r="D1687" i="72"/>
  <c r="B1689" i="72" l="1"/>
  <c r="C1688" i="72"/>
  <c r="E1688" i="72"/>
  <c r="D1688" i="72"/>
  <c r="B1690" i="72" l="1"/>
  <c r="C1689" i="72"/>
  <c r="E1689" i="72"/>
  <c r="D1689" i="72"/>
  <c r="B1691" i="72" l="1"/>
  <c r="E1690" i="72"/>
  <c r="D1690" i="72"/>
  <c r="C1690" i="72"/>
  <c r="B1692" i="72" l="1"/>
  <c r="D1691" i="72"/>
  <c r="E1691" i="72"/>
  <c r="C1691" i="72"/>
  <c r="B1693" i="72" l="1"/>
  <c r="E1692" i="72"/>
  <c r="D1692" i="72"/>
  <c r="C1692" i="72"/>
  <c r="B1694" i="72" l="1"/>
  <c r="C1693" i="72"/>
  <c r="D1693" i="72"/>
  <c r="E1693" i="72"/>
  <c r="B1695" i="72" l="1"/>
  <c r="E1694" i="72"/>
  <c r="D1694" i="72"/>
  <c r="C1694" i="72"/>
  <c r="B1696" i="72" l="1"/>
  <c r="C1695" i="72"/>
  <c r="D1695" i="72"/>
  <c r="E1695" i="72"/>
  <c r="B1697" i="72" l="1"/>
  <c r="D1696" i="72"/>
  <c r="E1696" i="72"/>
  <c r="C1696" i="72"/>
  <c r="B1698" i="72" l="1"/>
  <c r="D1697" i="72"/>
  <c r="E1697" i="72"/>
  <c r="C1697" i="72"/>
  <c r="B1699" i="72" l="1"/>
  <c r="E1698" i="72"/>
  <c r="C1698" i="72"/>
  <c r="D1698" i="72"/>
  <c r="B1700" i="72" l="1"/>
  <c r="D1699" i="72"/>
  <c r="C1699" i="72"/>
  <c r="E1699" i="72"/>
  <c r="B1701" i="72" l="1"/>
  <c r="C1700" i="72"/>
  <c r="D1700" i="72"/>
  <c r="E1700" i="72"/>
  <c r="B1702" i="72" l="1"/>
  <c r="D1701" i="72"/>
  <c r="E1701" i="72"/>
  <c r="C1701" i="72"/>
  <c r="B1703" i="72" l="1"/>
  <c r="E1702" i="72"/>
  <c r="C1702" i="72"/>
  <c r="D1702" i="72"/>
  <c r="B1704" i="72" l="1"/>
  <c r="D1703" i="72"/>
  <c r="E1703" i="72"/>
  <c r="C1703" i="72"/>
  <c r="B1705" i="72" l="1"/>
  <c r="E1704" i="72"/>
  <c r="C1704" i="72"/>
  <c r="D1704" i="72"/>
  <c r="B1706" i="72" l="1"/>
  <c r="E1705" i="72"/>
  <c r="D1705" i="72"/>
  <c r="C1705" i="72"/>
  <c r="B1707" i="72" l="1"/>
  <c r="D1706" i="72"/>
  <c r="C1706" i="72"/>
  <c r="E1706" i="72"/>
  <c r="B1708" i="72" l="1"/>
  <c r="E1707" i="72"/>
  <c r="D1707" i="72"/>
  <c r="C1707" i="72"/>
  <c r="B1709" i="72" l="1"/>
  <c r="D1708" i="72"/>
  <c r="C1708" i="72"/>
  <c r="E1708" i="72"/>
  <c r="B1710" i="72" l="1"/>
  <c r="D1709" i="72"/>
  <c r="E1709" i="72"/>
  <c r="C1709" i="72"/>
  <c r="B1711" i="72" l="1"/>
  <c r="E1710" i="72"/>
  <c r="D1710" i="72"/>
  <c r="C1710" i="72"/>
  <c r="B1712" i="72" l="1"/>
  <c r="C1711" i="72"/>
  <c r="E1711" i="72"/>
  <c r="D1711" i="72"/>
  <c r="B1713" i="72" l="1"/>
  <c r="C1712" i="72"/>
  <c r="E1712" i="72"/>
  <c r="D1712" i="72"/>
  <c r="B1714" i="72" l="1"/>
  <c r="D1713" i="72"/>
  <c r="E1713" i="72"/>
  <c r="C1713" i="72"/>
  <c r="B1715" i="72" l="1"/>
  <c r="C1714" i="72"/>
  <c r="E1714" i="72"/>
  <c r="D1714" i="72"/>
  <c r="B1716" i="72" l="1"/>
  <c r="D1715" i="72"/>
  <c r="E1715" i="72"/>
  <c r="C1715" i="72"/>
  <c r="B1717" i="72" l="1"/>
  <c r="E1716" i="72"/>
  <c r="C1716" i="72"/>
  <c r="D1716" i="72"/>
  <c r="B1718" i="72" l="1"/>
  <c r="C1717" i="72"/>
  <c r="E1717" i="72"/>
  <c r="D1717" i="72"/>
  <c r="B1719" i="72" l="1"/>
  <c r="C1718" i="72"/>
  <c r="E1718" i="72"/>
  <c r="D1718" i="72"/>
  <c r="B1720" i="72" l="1"/>
  <c r="D1719" i="72"/>
  <c r="C1719" i="72"/>
  <c r="E1719" i="72"/>
  <c r="B1721" i="72" l="1"/>
  <c r="C1720" i="72"/>
  <c r="D1720" i="72"/>
  <c r="E1720" i="72"/>
  <c r="B1722" i="72" l="1"/>
  <c r="C1721" i="72"/>
  <c r="D1721" i="72"/>
  <c r="E1721" i="72"/>
  <c r="B1723" i="72" l="1"/>
  <c r="D1722" i="72"/>
  <c r="C1722" i="72"/>
  <c r="E1722" i="72"/>
  <c r="B1724" i="72" l="1"/>
  <c r="C1723" i="72"/>
  <c r="E1723" i="72"/>
  <c r="D1723" i="72"/>
  <c r="B1725" i="72" l="1"/>
  <c r="D1724" i="72"/>
  <c r="E1724" i="72"/>
  <c r="C1724" i="72"/>
  <c r="B1726" i="72" l="1"/>
  <c r="D1725" i="72"/>
  <c r="E1725" i="72"/>
  <c r="C1725" i="72"/>
  <c r="B1727" i="72" l="1"/>
  <c r="C1726" i="72"/>
  <c r="E1726" i="72"/>
  <c r="D1726" i="72"/>
  <c r="B1728" i="72" l="1"/>
  <c r="D1727" i="72"/>
  <c r="C1727" i="72"/>
  <c r="E1727" i="72"/>
  <c r="B1729" i="72" l="1"/>
  <c r="C1728" i="72"/>
  <c r="D1728" i="72"/>
  <c r="E1728" i="72"/>
  <c r="B1730" i="72" l="1"/>
  <c r="D1729" i="72"/>
  <c r="C1729" i="72"/>
  <c r="E1729" i="72"/>
  <c r="B1731" i="72" l="1"/>
  <c r="C1730" i="72"/>
  <c r="E1730" i="72"/>
  <c r="D1730" i="72"/>
  <c r="B1732" i="72" l="1"/>
  <c r="C1731" i="72"/>
  <c r="E1731" i="72"/>
  <c r="D1731" i="72"/>
  <c r="B1733" i="72" l="1"/>
  <c r="D1732" i="72"/>
  <c r="E1732" i="72"/>
  <c r="C1732" i="72"/>
  <c r="B1734" i="72" l="1"/>
  <c r="E1733" i="72"/>
  <c r="D1733" i="72"/>
  <c r="C1733" i="72"/>
  <c r="B1735" i="72" l="1"/>
  <c r="D1734" i="72"/>
  <c r="E1734" i="72"/>
  <c r="C1734" i="72"/>
  <c r="B1736" i="72" l="1"/>
  <c r="E1735" i="72"/>
  <c r="D1735" i="72"/>
  <c r="C1735" i="72"/>
  <c r="B1737" i="72" l="1"/>
  <c r="E1736" i="72"/>
  <c r="C1736" i="72"/>
  <c r="D1736" i="72"/>
  <c r="B1738" i="72" l="1"/>
  <c r="E1737" i="72"/>
  <c r="C1737" i="72"/>
  <c r="D1737" i="72"/>
  <c r="B1739" i="72" l="1"/>
  <c r="D1738" i="72"/>
  <c r="E1738" i="72"/>
  <c r="C1738" i="72"/>
  <c r="B1740" i="72" l="1"/>
  <c r="C1739" i="72"/>
  <c r="E1739" i="72"/>
  <c r="D1739" i="72"/>
  <c r="B1741" i="72" l="1"/>
  <c r="C1740" i="72"/>
  <c r="E1740" i="72"/>
  <c r="D1740" i="72"/>
  <c r="B1742" i="72" l="1"/>
  <c r="E1741" i="72"/>
  <c r="C1741" i="72"/>
  <c r="D1741" i="72"/>
  <c r="B1743" i="72" l="1"/>
  <c r="E1742" i="72"/>
  <c r="C1742" i="72"/>
  <c r="D1742" i="72"/>
  <c r="B1744" i="72" l="1"/>
  <c r="C1743" i="72"/>
  <c r="D1743" i="72"/>
  <c r="E1743" i="72"/>
  <c r="B1745" i="72" l="1"/>
  <c r="C1744" i="72"/>
  <c r="E1744" i="72"/>
  <c r="D1744" i="72"/>
  <c r="B1746" i="72" l="1"/>
  <c r="E1745" i="72"/>
  <c r="C1745" i="72"/>
  <c r="D1745" i="72"/>
  <c r="B1747" i="72" l="1"/>
  <c r="C1746" i="72"/>
  <c r="D1746" i="72"/>
  <c r="E1746" i="72"/>
  <c r="B1748" i="72" l="1"/>
  <c r="D1747" i="72"/>
  <c r="E1747" i="72"/>
  <c r="C1747" i="72"/>
  <c r="B1749" i="72" l="1"/>
  <c r="E1748" i="72"/>
  <c r="C1748" i="72"/>
  <c r="D1748" i="72"/>
  <c r="B1750" i="72" l="1"/>
  <c r="E1749" i="72"/>
  <c r="C1749" i="72"/>
  <c r="D1749" i="72"/>
  <c r="B1751" i="72" l="1"/>
  <c r="D1750" i="72"/>
  <c r="C1750" i="72"/>
  <c r="E1750" i="72"/>
  <c r="B1752" i="72" l="1"/>
  <c r="E1751" i="72"/>
  <c r="C1751" i="72"/>
  <c r="D1751" i="72"/>
  <c r="B1753" i="72" l="1"/>
  <c r="D1752" i="72"/>
  <c r="E1752" i="72"/>
  <c r="C1752" i="72"/>
  <c r="B1754" i="72" l="1"/>
  <c r="E1753" i="72"/>
  <c r="D1753" i="72"/>
  <c r="C1753" i="72"/>
  <c r="B1755" i="72" l="1"/>
  <c r="D1754" i="72"/>
  <c r="E1754" i="72"/>
  <c r="C1754" i="72"/>
  <c r="B1756" i="72" l="1"/>
  <c r="C1755" i="72"/>
  <c r="D1755" i="72"/>
  <c r="E1755" i="72"/>
  <c r="B1757" i="72" l="1"/>
  <c r="C1756" i="72"/>
  <c r="E1756" i="72"/>
  <c r="D1756" i="72"/>
  <c r="B1758" i="72" l="1"/>
  <c r="C1757" i="72"/>
  <c r="E1757" i="72"/>
  <c r="D1757" i="72"/>
  <c r="B1759" i="72" l="1"/>
  <c r="E1758" i="72"/>
  <c r="D1758" i="72"/>
  <c r="C1758" i="72"/>
  <c r="B1760" i="72" l="1"/>
  <c r="C1759" i="72"/>
  <c r="E1759" i="72"/>
  <c r="D1759" i="72"/>
  <c r="B1761" i="72" l="1"/>
  <c r="C1760" i="72"/>
  <c r="D1760" i="72"/>
  <c r="E1760" i="72"/>
  <c r="B1762" i="72" l="1"/>
  <c r="D1761" i="72"/>
  <c r="E1761" i="72"/>
  <c r="C1761" i="72"/>
  <c r="B1763" i="72" l="1"/>
  <c r="E1762" i="72"/>
  <c r="D1762" i="72"/>
  <c r="C1762" i="72"/>
  <c r="B1764" i="72" l="1"/>
  <c r="D1763" i="72"/>
  <c r="C1763" i="72"/>
  <c r="E1763" i="72"/>
  <c r="B1765" i="72" l="1"/>
  <c r="C1764" i="72"/>
  <c r="D1764" i="72"/>
  <c r="E1764" i="72"/>
  <c r="B1766" i="72" l="1"/>
  <c r="C1765" i="72"/>
  <c r="E1765" i="72"/>
  <c r="D1765" i="72"/>
  <c r="B1767" i="72" l="1"/>
  <c r="D1766" i="72"/>
  <c r="C1766" i="72"/>
  <c r="E1766" i="72"/>
  <c r="B1768" i="72" l="1"/>
  <c r="D1767" i="72"/>
  <c r="E1767" i="72"/>
  <c r="C1767" i="72"/>
  <c r="B1769" i="72" l="1"/>
  <c r="E1768" i="72"/>
  <c r="C1768" i="72"/>
  <c r="D1768" i="72"/>
  <c r="B1770" i="72" l="1"/>
  <c r="D1769" i="72"/>
  <c r="E1769" i="72"/>
  <c r="C1769" i="72"/>
  <c r="B1771" i="72" l="1"/>
  <c r="D1770" i="72"/>
  <c r="C1770" i="72"/>
  <c r="E1770" i="72"/>
  <c r="B1772" i="72" l="1"/>
  <c r="D1771" i="72"/>
  <c r="C1771" i="72"/>
  <c r="E1771" i="72"/>
  <c r="B1773" i="72" l="1"/>
  <c r="C1772" i="72"/>
  <c r="E1772" i="72"/>
  <c r="D1772" i="72"/>
  <c r="B1774" i="72" l="1"/>
  <c r="C1773" i="72"/>
  <c r="D1773" i="72"/>
  <c r="E1773" i="72"/>
  <c r="B1775" i="72" l="1"/>
  <c r="C1774" i="72"/>
  <c r="D1774" i="72"/>
  <c r="E1774" i="72"/>
  <c r="B1776" i="72" l="1"/>
  <c r="C1775" i="72"/>
  <c r="E1775" i="72"/>
  <c r="D1775" i="72"/>
  <c r="B1777" i="72" l="1"/>
  <c r="C1776" i="72"/>
  <c r="D1776" i="72"/>
  <c r="E1776" i="72"/>
  <c r="B1778" i="72" l="1"/>
  <c r="E1777" i="72"/>
  <c r="C1777" i="72"/>
  <c r="D1777" i="72"/>
  <c r="B1779" i="72" l="1"/>
  <c r="E1778" i="72"/>
  <c r="D1778" i="72"/>
  <c r="C1778" i="72"/>
  <c r="B1780" i="72" l="1"/>
  <c r="C1779" i="72"/>
  <c r="D1779" i="72"/>
  <c r="E1779" i="72"/>
  <c r="B1781" i="72" l="1"/>
  <c r="C1780" i="72"/>
  <c r="D1780" i="72"/>
  <c r="E1780" i="72"/>
  <c r="B1782" i="72" l="1"/>
  <c r="C1781" i="72"/>
  <c r="E1781" i="72"/>
  <c r="D1781" i="72"/>
  <c r="B1783" i="72" l="1"/>
  <c r="E1782" i="72"/>
  <c r="C1782" i="72"/>
  <c r="D1782" i="72"/>
  <c r="B1784" i="72" l="1"/>
  <c r="D1783" i="72"/>
  <c r="E1783" i="72"/>
  <c r="C1783" i="72"/>
  <c r="B1785" i="72" l="1"/>
  <c r="E1784" i="72"/>
  <c r="C1784" i="72"/>
  <c r="D1784" i="72"/>
  <c r="B1786" i="72" l="1"/>
  <c r="E1785" i="72"/>
  <c r="D1785" i="72"/>
  <c r="C1785" i="72"/>
  <c r="B1787" i="72" l="1"/>
  <c r="D1786" i="72"/>
  <c r="E1786" i="72"/>
  <c r="C1786" i="72"/>
  <c r="B1788" i="72" l="1"/>
  <c r="E1787" i="72"/>
  <c r="C1787" i="72"/>
  <c r="D1787" i="72"/>
  <c r="B1789" i="72" l="1"/>
  <c r="D1788" i="72"/>
  <c r="C1788" i="72"/>
  <c r="E1788" i="72"/>
  <c r="B1790" i="72" l="1"/>
  <c r="D1789" i="72"/>
  <c r="C1789" i="72"/>
  <c r="E1789" i="72"/>
  <c r="B1791" i="72" l="1"/>
  <c r="E1790" i="72"/>
  <c r="C1790" i="72"/>
  <c r="D1790" i="72"/>
  <c r="B1792" i="72" l="1"/>
  <c r="D1791" i="72"/>
  <c r="C1791" i="72"/>
  <c r="E1791" i="72"/>
  <c r="B1793" i="72" l="1"/>
  <c r="D1792" i="72"/>
  <c r="C1792" i="72"/>
  <c r="E1792" i="72"/>
  <c r="B1794" i="72" l="1"/>
  <c r="C1793" i="72"/>
  <c r="E1793" i="72"/>
  <c r="D1793" i="72"/>
  <c r="B1795" i="72" l="1"/>
  <c r="C1794" i="72"/>
  <c r="E1794" i="72"/>
  <c r="D1794" i="72"/>
  <c r="B1796" i="72" l="1"/>
  <c r="D1795" i="72"/>
  <c r="C1795" i="72"/>
  <c r="E1795" i="72"/>
  <c r="B1797" i="72" l="1"/>
  <c r="D1796" i="72"/>
  <c r="E1796" i="72"/>
  <c r="C1796" i="72"/>
  <c r="B1798" i="72" l="1"/>
  <c r="C1797" i="72"/>
  <c r="D1797" i="72"/>
  <c r="E1797" i="72"/>
  <c r="B1799" i="72" l="1"/>
  <c r="D1798" i="72"/>
  <c r="C1798" i="72"/>
  <c r="E1798" i="72"/>
  <c r="B1800" i="72" l="1"/>
  <c r="C1799" i="72"/>
  <c r="E1799" i="72"/>
  <c r="D1799" i="72"/>
  <c r="B1801" i="72" l="1"/>
  <c r="E1800" i="72"/>
  <c r="D1800" i="72"/>
  <c r="C1800" i="72"/>
  <c r="B1802" i="72" l="1"/>
  <c r="D1801" i="72"/>
  <c r="C1801" i="72"/>
  <c r="E1801" i="72"/>
  <c r="B1803" i="72" l="1"/>
  <c r="E1802" i="72"/>
  <c r="C1802" i="72"/>
  <c r="D1802" i="72"/>
  <c r="B1804" i="72" l="1"/>
  <c r="D1803" i="72"/>
  <c r="E1803" i="72"/>
  <c r="C1803" i="72"/>
  <c r="B1805" i="72" l="1"/>
  <c r="C1804" i="72"/>
  <c r="E1804" i="72"/>
  <c r="D1804" i="72"/>
  <c r="B1806" i="72" l="1"/>
  <c r="C1805" i="72"/>
  <c r="E1805" i="72"/>
  <c r="D1805" i="72"/>
  <c r="B1807" i="72" l="1"/>
  <c r="D1806" i="72"/>
  <c r="C1806" i="72"/>
  <c r="E1806" i="72"/>
  <c r="B1808" i="72" l="1"/>
  <c r="D1807" i="72"/>
  <c r="C1807" i="72"/>
  <c r="E1807" i="72"/>
  <c r="B1809" i="72" l="1"/>
  <c r="D1808" i="72"/>
  <c r="E1808" i="72"/>
  <c r="C1808" i="72"/>
  <c r="B1810" i="72" l="1"/>
  <c r="E1809" i="72"/>
  <c r="D1809" i="72"/>
  <c r="C1809" i="72"/>
  <c r="B1811" i="72" l="1"/>
  <c r="D1810" i="72"/>
  <c r="C1810" i="72"/>
  <c r="E1810" i="72"/>
  <c r="B1812" i="72" l="1"/>
  <c r="C1811" i="72"/>
  <c r="D1811" i="72"/>
  <c r="E1811" i="72"/>
  <c r="B1813" i="72" l="1"/>
  <c r="C1812" i="72"/>
  <c r="D1812" i="72"/>
  <c r="E1812" i="72"/>
  <c r="B1814" i="72" l="1"/>
  <c r="E1813" i="72"/>
  <c r="D1813" i="72"/>
  <c r="C1813" i="72"/>
  <c r="B1815" i="72" l="1"/>
  <c r="C1814" i="72"/>
  <c r="E1814" i="72"/>
  <c r="D1814" i="72"/>
  <c r="B1816" i="72" l="1"/>
  <c r="E1815" i="72"/>
  <c r="C1815" i="72"/>
  <c r="D1815" i="72"/>
  <c r="B1817" i="72" l="1"/>
  <c r="D1816" i="72"/>
  <c r="C1816" i="72"/>
  <c r="E1816" i="72"/>
  <c r="B1818" i="72" l="1"/>
  <c r="D1817" i="72"/>
  <c r="C1817" i="72"/>
  <c r="E1817" i="72"/>
  <c r="B1819" i="72" l="1"/>
  <c r="C1818" i="72"/>
  <c r="E1818" i="72"/>
  <c r="D1818" i="72"/>
  <c r="B1820" i="72" l="1"/>
  <c r="D1819" i="72"/>
  <c r="C1819" i="72"/>
  <c r="E1819" i="72"/>
  <c r="B1821" i="72" l="1"/>
  <c r="C1820" i="72"/>
  <c r="E1820" i="72"/>
  <c r="D1820" i="72"/>
  <c r="B1822" i="72" l="1"/>
  <c r="E1821" i="72"/>
  <c r="C1821" i="72"/>
  <c r="D1821" i="72"/>
  <c r="B1823" i="72" l="1"/>
  <c r="D1822" i="72"/>
  <c r="C1822" i="72"/>
  <c r="E1822" i="72"/>
  <c r="B1824" i="72" l="1"/>
  <c r="E1823" i="72"/>
  <c r="D1823" i="72"/>
  <c r="C1823" i="72"/>
  <c r="B1825" i="72" l="1"/>
  <c r="C1824" i="72"/>
  <c r="E1824" i="72"/>
  <c r="D1824" i="72"/>
  <c r="B1826" i="72" l="1"/>
  <c r="E1825" i="72"/>
  <c r="C1825" i="72"/>
  <c r="D1825" i="72"/>
  <c r="B1827" i="72" l="1"/>
  <c r="E1826" i="72"/>
  <c r="D1826" i="72"/>
  <c r="C1826" i="72"/>
  <c r="B1828" i="72" l="1"/>
  <c r="D1827" i="72"/>
  <c r="C1827" i="72"/>
  <c r="E1827" i="72"/>
  <c r="B1829" i="72" l="1"/>
  <c r="C1828" i="72"/>
  <c r="E1828" i="72"/>
  <c r="D1828" i="72"/>
  <c r="B1830" i="72" l="1"/>
  <c r="D1829" i="72"/>
  <c r="E1829" i="72"/>
  <c r="C1829" i="72"/>
  <c r="B1831" i="72" l="1"/>
  <c r="D1830" i="72"/>
  <c r="E1830" i="72"/>
  <c r="C1830" i="72"/>
  <c r="B1832" i="72" l="1"/>
  <c r="E1831" i="72"/>
  <c r="C1831" i="72"/>
  <c r="D1831" i="72"/>
  <c r="B1833" i="72" l="1"/>
  <c r="E1832" i="72"/>
  <c r="D1832" i="72"/>
  <c r="C1832" i="72"/>
  <c r="B1834" i="72" l="1"/>
  <c r="E1833" i="72"/>
  <c r="C1833" i="72"/>
  <c r="D1833" i="72"/>
  <c r="B1835" i="72" l="1"/>
  <c r="D1834" i="72"/>
  <c r="C1834" i="72"/>
  <c r="E1834" i="72"/>
  <c r="B1836" i="72" l="1"/>
  <c r="D1835" i="72"/>
  <c r="C1835" i="72"/>
  <c r="E1835" i="72"/>
  <c r="B1837" i="72" l="1"/>
  <c r="D1836" i="72"/>
  <c r="C1836" i="72"/>
  <c r="E1836" i="72"/>
  <c r="B1838" i="72" l="1"/>
  <c r="D1837" i="72"/>
  <c r="C1837" i="72"/>
  <c r="E1837" i="72"/>
  <c r="B1839" i="72" l="1"/>
  <c r="E1838" i="72"/>
  <c r="C1838" i="72"/>
  <c r="D1838" i="72"/>
  <c r="B1840" i="72" l="1"/>
  <c r="E1839" i="72"/>
  <c r="D1839" i="72"/>
  <c r="C1839" i="72"/>
  <c r="B1841" i="72" l="1"/>
  <c r="C1840" i="72"/>
  <c r="E1840" i="72"/>
  <c r="D1840" i="72"/>
  <c r="B1842" i="72" l="1"/>
  <c r="C1841" i="72"/>
  <c r="D1841" i="72"/>
  <c r="E1841" i="72"/>
  <c r="B1843" i="72" l="1"/>
  <c r="D1842" i="72"/>
  <c r="E1842" i="72"/>
  <c r="C1842" i="72"/>
  <c r="B1844" i="72" l="1"/>
  <c r="D1843" i="72"/>
  <c r="E1843" i="72"/>
  <c r="C1843" i="72"/>
  <c r="B1845" i="72" l="1"/>
  <c r="C1844" i="72"/>
  <c r="E1844" i="72"/>
  <c r="D1844" i="72"/>
  <c r="B1846" i="72" l="1"/>
  <c r="E1845" i="72"/>
  <c r="D1845" i="72"/>
  <c r="C1845" i="72"/>
  <c r="B1847" i="72" l="1"/>
  <c r="D1846" i="72"/>
  <c r="E1846" i="72"/>
  <c r="C1846" i="72"/>
  <c r="B1848" i="72" l="1"/>
  <c r="E1847" i="72"/>
  <c r="C1847" i="72"/>
  <c r="D1847" i="72"/>
  <c r="B1849" i="72" l="1"/>
  <c r="C1848" i="72"/>
  <c r="E1848" i="72"/>
  <c r="D1848" i="72"/>
  <c r="B1850" i="72" l="1"/>
  <c r="D1849" i="72"/>
  <c r="C1849" i="72"/>
  <c r="E1849" i="72"/>
  <c r="B1851" i="72" l="1"/>
  <c r="D1850" i="72"/>
  <c r="C1850" i="72"/>
  <c r="E1850" i="72"/>
  <c r="B1852" i="72" l="1"/>
  <c r="C1851" i="72"/>
  <c r="E1851" i="72"/>
  <c r="D1851" i="72"/>
  <c r="B1853" i="72" l="1"/>
  <c r="E1852" i="72"/>
  <c r="C1852" i="72"/>
  <c r="D1852" i="72"/>
  <c r="B1854" i="72" l="1"/>
  <c r="D1853" i="72"/>
  <c r="E1853" i="72"/>
  <c r="C1853" i="72"/>
  <c r="B1855" i="72" l="1"/>
  <c r="D1854" i="72"/>
  <c r="E1854" i="72"/>
  <c r="C1854" i="72"/>
  <c r="B1856" i="72" l="1"/>
  <c r="C1855" i="72"/>
  <c r="D1855" i="72"/>
  <c r="E1855" i="72"/>
  <c r="B1857" i="72" l="1"/>
  <c r="C1856" i="72"/>
  <c r="E1856" i="72"/>
  <c r="D1856" i="72"/>
  <c r="B1858" i="72" l="1"/>
  <c r="D1857" i="72"/>
  <c r="C1857" i="72"/>
  <c r="E1857" i="72"/>
  <c r="B1859" i="72" l="1"/>
  <c r="D1858" i="72"/>
  <c r="C1858" i="72"/>
  <c r="E1858" i="72"/>
  <c r="B1860" i="72" l="1"/>
  <c r="E1859" i="72"/>
  <c r="D1859" i="72"/>
  <c r="C1859" i="72"/>
  <c r="B1861" i="72" l="1"/>
  <c r="C1860" i="72"/>
  <c r="D1860" i="72"/>
  <c r="E1860" i="72"/>
  <c r="B1862" i="72" l="1"/>
  <c r="D1861" i="72"/>
  <c r="C1861" i="72"/>
  <c r="E1861" i="72"/>
  <c r="B1863" i="72" l="1"/>
  <c r="D1862" i="72"/>
  <c r="C1862" i="72"/>
  <c r="E1862" i="72"/>
  <c r="B1864" i="72" l="1"/>
  <c r="D1863" i="72"/>
  <c r="E1863" i="72"/>
  <c r="C1863" i="72"/>
  <c r="B1865" i="72" l="1"/>
  <c r="D1864" i="72"/>
  <c r="E1864" i="72"/>
  <c r="C1864" i="72"/>
  <c r="B1866" i="72" l="1"/>
  <c r="E1865" i="72"/>
  <c r="D1865" i="72"/>
  <c r="C1865" i="72"/>
  <c r="B1867" i="72" l="1"/>
  <c r="D1866" i="72"/>
  <c r="C1866" i="72"/>
  <c r="E1866" i="72"/>
  <c r="B1868" i="72" l="1"/>
  <c r="D1867" i="72"/>
  <c r="C1867" i="72"/>
  <c r="E1867" i="72"/>
  <c r="B1869" i="72" l="1"/>
  <c r="D1868" i="72"/>
  <c r="E1868" i="72"/>
  <c r="C1868" i="72"/>
  <c r="B1870" i="72" l="1"/>
  <c r="E1869" i="72"/>
  <c r="D1869" i="72"/>
  <c r="C1869" i="72"/>
  <c r="B1871" i="72" l="1"/>
  <c r="C1870" i="72"/>
  <c r="D1870" i="72"/>
  <c r="E1870" i="72"/>
  <c r="B1872" i="72" l="1"/>
  <c r="C1871" i="72"/>
  <c r="D1871" i="72"/>
  <c r="E1871" i="72"/>
  <c r="B1873" i="72" l="1"/>
  <c r="E1872" i="72"/>
  <c r="C1872" i="72"/>
  <c r="D1872" i="72"/>
  <c r="B1874" i="72" l="1"/>
  <c r="D1873" i="72"/>
  <c r="C1873" i="72"/>
  <c r="E1873" i="72"/>
  <c r="B1875" i="72" l="1"/>
  <c r="E1874" i="72"/>
  <c r="D1874" i="72"/>
  <c r="C1874" i="72"/>
  <c r="B1876" i="72" l="1"/>
  <c r="E1875" i="72"/>
  <c r="C1875" i="72"/>
  <c r="D1875" i="72"/>
  <c r="B1877" i="72" l="1"/>
  <c r="C1876" i="72"/>
  <c r="E1876" i="72"/>
  <c r="D1876" i="72"/>
  <c r="B1878" i="72" l="1"/>
  <c r="E1877" i="72"/>
  <c r="C1877" i="72"/>
  <c r="D1877" i="72"/>
  <c r="B1879" i="72" l="1"/>
  <c r="E1878" i="72"/>
  <c r="D1878" i="72"/>
  <c r="C1878" i="72"/>
  <c r="B1880" i="72" l="1"/>
  <c r="E1879" i="72"/>
  <c r="C1879" i="72"/>
  <c r="D1879" i="72"/>
  <c r="B1881" i="72" l="1"/>
  <c r="C1880" i="72"/>
  <c r="E1880" i="72"/>
  <c r="D1880" i="72"/>
  <c r="B1882" i="72" l="1"/>
  <c r="D1881" i="72"/>
  <c r="E1881" i="72"/>
  <c r="C1881" i="72"/>
  <c r="B1883" i="72" l="1"/>
  <c r="C1882" i="72"/>
  <c r="E1882" i="72"/>
  <c r="D1882" i="72"/>
  <c r="B1884" i="72" l="1"/>
  <c r="E1883" i="72"/>
  <c r="C1883" i="72"/>
  <c r="D1883" i="72"/>
  <c r="B1885" i="72" l="1"/>
  <c r="C1884" i="72"/>
  <c r="D1884" i="72"/>
  <c r="E1884" i="72"/>
  <c r="B1886" i="72" l="1"/>
  <c r="E1885" i="72"/>
  <c r="D1885" i="72"/>
  <c r="C1885" i="72"/>
  <c r="B1887" i="72" l="1"/>
  <c r="D1886" i="72"/>
  <c r="C1886" i="72"/>
  <c r="E1886" i="72"/>
  <c r="B1888" i="72" l="1"/>
  <c r="C1887" i="72"/>
  <c r="D1887" i="72"/>
  <c r="E1887" i="72"/>
  <c r="B1889" i="72" l="1"/>
  <c r="D1888" i="72"/>
  <c r="C1888" i="72"/>
  <c r="E1888" i="72"/>
  <c r="B1890" i="72" l="1"/>
  <c r="D1889" i="72"/>
  <c r="E1889" i="72"/>
  <c r="C1889" i="72"/>
  <c r="B1891" i="72" l="1"/>
  <c r="C1890" i="72"/>
  <c r="E1890" i="72"/>
  <c r="D1890" i="72"/>
  <c r="B1892" i="72" l="1"/>
  <c r="C1891" i="72"/>
  <c r="E1891" i="72"/>
  <c r="D1891" i="72"/>
  <c r="B1893" i="72" l="1"/>
  <c r="E1892" i="72"/>
  <c r="D1892" i="72"/>
  <c r="C1892" i="72"/>
  <c r="B1894" i="72" l="1"/>
  <c r="C1893" i="72"/>
  <c r="E1893" i="72"/>
  <c r="D1893" i="72"/>
  <c r="B1895" i="72" l="1"/>
  <c r="C1894" i="72"/>
  <c r="D1894" i="72"/>
  <c r="E1894" i="72"/>
  <c r="B1896" i="72" l="1"/>
  <c r="E1895" i="72"/>
  <c r="D1895" i="72"/>
  <c r="C1895" i="72"/>
  <c r="B1897" i="72" l="1"/>
  <c r="E1896" i="72"/>
  <c r="C1896" i="72"/>
  <c r="D1896" i="72"/>
  <c r="B1898" i="72" l="1"/>
  <c r="E1897" i="72"/>
  <c r="D1897" i="72"/>
  <c r="C1897" i="72"/>
  <c r="B1899" i="72" l="1"/>
  <c r="D1898" i="72"/>
  <c r="C1898" i="72"/>
  <c r="E1898" i="72"/>
  <c r="B1900" i="72" l="1"/>
  <c r="C1899" i="72"/>
  <c r="E1899" i="72"/>
  <c r="D1899" i="72"/>
  <c r="B1901" i="72" l="1"/>
  <c r="E1900" i="72"/>
  <c r="C1900" i="72"/>
  <c r="D1900" i="72"/>
  <c r="B1902" i="72" l="1"/>
  <c r="E1901" i="72"/>
  <c r="C1901" i="72"/>
  <c r="D1901" i="72"/>
  <c r="B1903" i="72" l="1"/>
  <c r="C1902" i="72"/>
  <c r="E1902" i="72"/>
  <c r="D1902" i="72"/>
  <c r="B1904" i="72" l="1"/>
  <c r="C1903" i="72"/>
  <c r="D1903" i="72"/>
  <c r="E1903" i="72"/>
  <c r="B1905" i="72" l="1"/>
  <c r="D1904" i="72"/>
  <c r="C1904" i="72"/>
  <c r="E1904" i="72"/>
  <c r="B1906" i="72" l="1"/>
  <c r="C1905" i="72"/>
  <c r="E1905" i="72"/>
  <c r="D1905" i="72"/>
  <c r="B1907" i="72" l="1"/>
  <c r="D1906" i="72"/>
  <c r="E1906" i="72"/>
  <c r="C1906" i="72"/>
  <c r="B1908" i="72" l="1"/>
  <c r="E1907" i="72"/>
  <c r="C1907" i="72"/>
  <c r="D1907" i="72"/>
  <c r="B1909" i="72" l="1"/>
  <c r="C1908" i="72"/>
  <c r="E1908" i="72"/>
  <c r="D1908" i="72"/>
  <c r="B1910" i="72" l="1"/>
  <c r="E1909" i="72"/>
  <c r="C1909" i="72"/>
  <c r="D1909" i="72"/>
  <c r="B1911" i="72" l="1"/>
  <c r="C1910" i="72"/>
  <c r="D1910" i="72"/>
  <c r="E1910" i="72"/>
  <c r="B1912" i="72" l="1"/>
  <c r="D1911" i="72"/>
  <c r="C1911" i="72"/>
  <c r="E1911" i="72"/>
  <c r="B1913" i="72" l="1"/>
  <c r="D1912" i="72"/>
  <c r="C1912" i="72"/>
  <c r="E1912" i="72"/>
  <c r="B1914" i="72" l="1"/>
  <c r="E1913" i="72"/>
  <c r="D1913" i="72"/>
  <c r="C1913" i="72"/>
  <c r="B1915" i="72" l="1"/>
  <c r="C1914" i="72"/>
  <c r="D1914" i="72"/>
  <c r="E1914" i="72"/>
  <c r="B1916" i="72" l="1"/>
  <c r="E1915" i="72"/>
  <c r="D1915" i="72"/>
  <c r="C1915" i="72"/>
  <c r="B1917" i="72" l="1"/>
  <c r="E1916" i="72"/>
  <c r="D1916" i="72"/>
  <c r="C1916" i="72"/>
  <c r="B1918" i="72" l="1"/>
  <c r="C1917" i="72"/>
  <c r="D1917" i="72"/>
  <c r="E1917" i="72"/>
  <c r="B1919" i="72" l="1"/>
  <c r="C1918" i="72"/>
  <c r="E1918" i="72"/>
  <c r="D1918" i="72"/>
  <c r="B1920" i="72" l="1"/>
  <c r="C1919" i="72"/>
  <c r="E1919" i="72"/>
  <c r="D1919" i="72"/>
  <c r="B1921" i="72" l="1"/>
  <c r="D1920" i="72"/>
  <c r="C1920" i="72"/>
  <c r="E1920" i="72"/>
  <c r="B1922" i="72" l="1"/>
  <c r="E1921" i="72"/>
  <c r="C1921" i="72"/>
  <c r="D1921" i="72"/>
  <c r="B1923" i="72" l="1"/>
  <c r="E1922" i="72"/>
  <c r="D1922" i="72"/>
  <c r="C1922" i="72"/>
  <c r="B1924" i="72" l="1"/>
  <c r="C1923" i="72"/>
  <c r="D1923" i="72"/>
  <c r="E1923" i="72"/>
  <c r="B1925" i="72" l="1"/>
  <c r="C1924" i="72"/>
  <c r="E1924" i="72"/>
  <c r="D1924" i="72"/>
  <c r="B1926" i="72" l="1"/>
  <c r="D1925" i="72"/>
  <c r="C1925" i="72"/>
  <c r="E1925" i="72"/>
  <c r="B1927" i="72" l="1"/>
  <c r="E1926" i="72"/>
  <c r="C1926" i="72"/>
  <c r="D1926" i="72"/>
  <c r="B1928" i="72" l="1"/>
  <c r="E1927" i="72"/>
  <c r="D1927" i="72"/>
  <c r="C1927" i="72"/>
  <c r="B1929" i="72" l="1"/>
  <c r="E1928" i="72"/>
  <c r="C1928" i="72"/>
  <c r="D1928" i="72"/>
  <c r="B1930" i="72" l="1"/>
  <c r="D1929" i="72"/>
  <c r="C1929" i="72"/>
  <c r="E1929" i="72"/>
  <c r="B1931" i="72" l="1"/>
  <c r="D1930" i="72"/>
  <c r="C1930" i="72"/>
  <c r="E1930" i="72"/>
  <c r="B1932" i="72" l="1"/>
  <c r="E1931" i="72"/>
  <c r="D1931" i="72"/>
  <c r="C1931" i="72"/>
  <c r="B1933" i="72" l="1"/>
  <c r="D1932" i="72"/>
  <c r="E1932" i="72"/>
  <c r="C1932" i="72"/>
  <c r="B1934" i="72" l="1"/>
  <c r="E1933" i="72"/>
  <c r="C1933" i="72"/>
  <c r="D1933" i="72"/>
  <c r="B1935" i="72" l="1"/>
  <c r="C1934" i="72"/>
  <c r="E1934" i="72"/>
  <c r="D1934" i="72"/>
  <c r="B1936" i="72" l="1"/>
  <c r="D1935" i="72"/>
  <c r="E1935" i="72"/>
  <c r="C1935" i="72"/>
  <c r="B1937" i="72" l="1"/>
  <c r="C1936" i="72"/>
  <c r="D1936" i="72"/>
  <c r="E1936" i="72"/>
  <c r="B1938" i="72" l="1"/>
  <c r="E1937" i="72"/>
  <c r="D1937" i="72"/>
  <c r="C1937" i="72"/>
  <c r="B1939" i="72" l="1"/>
  <c r="D1938" i="72"/>
  <c r="E1938" i="72"/>
  <c r="C1938" i="72"/>
  <c r="B1940" i="72" l="1"/>
  <c r="C1939" i="72"/>
  <c r="D1939" i="72"/>
  <c r="E1939" i="72"/>
  <c r="B1941" i="72" l="1"/>
  <c r="C1940" i="72"/>
  <c r="D1940" i="72"/>
  <c r="E1940" i="72"/>
  <c r="B1942" i="72" l="1"/>
  <c r="D1941" i="72"/>
  <c r="C1941" i="72"/>
  <c r="E1941" i="72"/>
  <c r="B1943" i="72" l="1"/>
  <c r="E1942" i="72"/>
  <c r="D1942" i="72"/>
  <c r="C1942" i="72"/>
  <c r="B1944" i="72" l="1"/>
  <c r="D1943" i="72"/>
  <c r="C1943" i="72"/>
  <c r="E1943" i="72"/>
  <c r="B1945" i="72" l="1"/>
  <c r="D1944" i="72"/>
  <c r="E1944" i="72"/>
  <c r="C1944" i="72"/>
  <c r="B1946" i="72" l="1"/>
  <c r="E1945" i="72"/>
  <c r="C1945" i="72"/>
  <c r="D1945" i="72"/>
  <c r="B1947" i="72" l="1"/>
  <c r="C1946" i="72"/>
  <c r="D1946" i="72"/>
  <c r="E1946" i="72"/>
  <c r="B1948" i="72" l="1"/>
  <c r="E1947" i="72"/>
  <c r="C1947" i="72"/>
  <c r="D1947" i="72"/>
  <c r="B1949" i="72" l="1"/>
  <c r="E1948" i="72"/>
  <c r="C1948" i="72"/>
  <c r="D1948" i="72"/>
  <c r="B1950" i="72" l="1"/>
  <c r="E1949" i="72"/>
  <c r="C1949" i="72"/>
  <c r="D1949" i="72"/>
  <c r="B1951" i="72" l="1"/>
  <c r="E1950" i="72"/>
  <c r="D1950" i="72"/>
  <c r="C1950" i="72"/>
  <c r="B1952" i="72" l="1"/>
  <c r="D1951" i="72"/>
  <c r="E1951" i="72"/>
  <c r="C1951" i="72"/>
  <c r="B1953" i="72" l="1"/>
  <c r="C1952" i="72"/>
  <c r="E1952" i="72"/>
  <c r="D1952" i="72"/>
  <c r="B1954" i="72" l="1"/>
  <c r="D1953" i="72"/>
  <c r="E1953" i="72"/>
  <c r="C1953" i="72"/>
  <c r="B1955" i="72" l="1"/>
  <c r="C1954" i="72"/>
  <c r="D1954" i="72"/>
  <c r="E1954" i="72"/>
  <c r="B1956" i="72" l="1"/>
  <c r="E1955" i="72"/>
  <c r="D1955" i="72"/>
  <c r="C1955" i="72"/>
  <c r="B1957" i="72" l="1"/>
  <c r="C1956" i="72"/>
  <c r="D1956" i="72"/>
  <c r="E1956" i="72"/>
  <c r="B1958" i="72" l="1"/>
  <c r="C1957" i="72"/>
  <c r="D1957" i="72"/>
  <c r="E1957" i="72"/>
  <c r="B1959" i="72" l="1"/>
  <c r="E1958" i="72"/>
  <c r="C1958" i="72"/>
  <c r="D1958" i="72"/>
  <c r="B1960" i="72" l="1"/>
  <c r="E1959" i="72"/>
  <c r="D1959" i="72"/>
  <c r="C1959" i="72"/>
  <c r="B1961" i="72" l="1"/>
  <c r="E1960" i="72"/>
  <c r="C1960" i="72"/>
  <c r="D1960" i="72"/>
  <c r="B1962" i="72" l="1"/>
  <c r="D1961" i="72"/>
  <c r="E1961" i="72"/>
  <c r="C1961" i="72"/>
  <c r="B1963" i="72" l="1"/>
  <c r="C1962" i="72"/>
  <c r="D1962" i="72"/>
  <c r="E1962" i="72"/>
  <c r="B1964" i="72" l="1"/>
  <c r="E1963" i="72"/>
  <c r="D1963" i="72"/>
  <c r="C1963" i="72"/>
  <c r="B1965" i="72" l="1"/>
  <c r="D1964" i="72"/>
  <c r="E1964" i="72"/>
  <c r="C1964" i="72"/>
  <c r="B1966" i="72" l="1"/>
  <c r="E1965" i="72"/>
  <c r="D1965" i="72"/>
  <c r="C1965" i="72"/>
  <c r="B1967" i="72" l="1"/>
  <c r="D1966" i="72"/>
  <c r="E1966" i="72"/>
  <c r="C1966" i="72"/>
  <c r="B1968" i="72" l="1"/>
  <c r="E1967" i="72"/>
  <c r="D1967" i="72"/>
  <c r="C1967" i="72"/>
  <c r="B1969" i="72" l="1"/>
  <c r="C1968" i="72"/>
  <c r="E1968" i="72"/>
  <c r="D1968" i="72"/>
  <c r="B1970" i="72" l="1"/>
  <c r="C1969" i="72"/>
  <c r="D1969" i="72"/>
  <c r="E1969" i="72"/>
  <c r="B1971" i="72" l="1"/>
  <c r="E1970" i="72"/>
  <c r="C1970" i="72"/>
  <c r="D1970" i="72"/>
  <c r="B1972" i="72" l="1"/>
  <c r="D1971" i="72"/>
  <c r="E1971" i="72"/>
  <c r="C1971" i="72"/>
  <c r="B1973" i="72" l="1"/>
  <c r="D1972" i="72"/>
  <c r="C1972" i="72"/>
  <c r="E1972" i="72"/>
  <c r="B1974" i="72" l="1"/>
  <c r="D1973" i="72"/>
  <c r="E1973" i="72"/>
  <c r="C1973" i="72"/>
  <c r="B1975" i="72" l="1"/>
  <c r="E1974" i="72"/>
  <c r="D1974" i="72"/>
  <c r="C1974" i="72"/>
  <c r="B1976" i="72" l="1"/>
  <c r="C1975" i="72"/>
  <c r="D1975" i="72"/>
  <c r="E1975" i="72"/>
  <c r="B1977" i="72" l="1"/>
  <c r="D1976" i="72"/>
  <c r="E1976" i="72"/>
  <c r="C1976" i="72"/>
  <c r="B1978" i="72" l="1"/>
  <c r="E1977" i="72"/>
  <c r="D1977" i="72"/>
  <c r="C1977" i="72"/>
  <c r="B1979" i="72" l="1"/>
  <c r="C1978" i="72"/>
  <c r="D1978" i="72"/>
  <c r="E1978" i="72"/>
  <c r="B1980" i="72" l="1"/>
  <c r="E1979" i="72"/>
  <c r="C1979" i="72"/>
  <c r="D1979" i="72"/>
  <c r="B1981" i="72" l="1"/>
  <c r="D1980" i="72"/>
  <c r="C1980" i="72"/>
  <c r="E1980" i="72"/>
  <c r="B1982" i="72" l="1"/>
  <c r="D1981" i="72"/>
  <c r="C1981" i="72"/>
  <c r="E1981" i="72"/>
  <c r="B1983" i="72" l="1"/>
  <c r="D1982" i="72"/>
  <c r="C1982" i="72"/>
  <c r="E1982" i="72"/>
  <c r="B1984" i="72" l="1"/>
  <c r="C1983" i="72"/>
  <c r="E1983" i="72"/>
  <c r="D1983" i="72"/>
  <c r="B1985" i="72" l="1"/>
  <c r="D1984" i="72"/>
  <c r="C1984" i="72"/>
  <c r="E1984" i="72"/>
  <c r="B1986" i="72" l="1"/>
  <c r="E1985" i="72"/>
  <c r="D1985" i="72"/>
  <c r="C1985" i="72"/>
  <c r="B1987" i="72" l="1"/>
  <c r="E1986" i="72"/>
  <c r="C1986" i="72"/>
  <c r="D1986" i="72"/>
  <c r="B1988" i="72" l="1"/>
  <c r="D1987" i="72"/>
  <c r="E1987" i="72"/>
  <c r="C1987" i="72"/>
  <c r="B1989" i="72" l="1"/>
  <c r="C1988" i="72"/>
  <c r="E1988" i="72"/>
  <c r="D1988" i="72"/>
  <c r="B1990" i="72" l="1"/>
  <c r="D1989" i="72"/>
  <c r="C1989" i="72"/>
  <c r="E1989" i="72"/>
  <c r="B1991" i="72" l="1"/>
  <c r="C1990" i="72"/>
  <c r="E1990" i="72"/>
  <c r="D1990" i="72"/>
  <c r="B1992" i="72" l="1"/>
  <c r="E1991" i="72"/>
  <c r="D1991" i="72"/>
  <c r="C1991" i="72"/>
  <c r="B1993" i="72" l="1"/>
  <c r="E1992" i="72"/>
  <c r="C1992" i="72"/>
  <c r="D1992" i="72"/>
  <c r="B1994" i="72" l="1"/>
  <c r="E1993" i="72"/>
  <c r="C1993" i="72"/>
  <c r="D1993" i="72"/>
  <c r="B1995" i="72" l="1"/>
  <c r="C1994" i="72"/>
  <c r="E1994" i="72"/>
  <c r="D1994" i="72"/>
  <c r="B1996" i="72" l="1"/>
  <c r="D1995" i="72"/>
  <c r="C1995" i="72"/>
  <c r="E1995" i="72"/>
  <c r="B1997" i="72" l="1"/>
  <c r="D1996" i="72"/>
  <c r="C1996" i="72"/>
  <c r="E1996" i="72"/>
  <c r="B1998" i="72" l="1"/>
  <c r="C1997" i="72"/>
  <c r="E1997" i="72"/>
  <c r="D1997" i="72"/>
  <c r="B1999" i="72" l="1"/>
  <c r="D1998" i="72"/>
  <c r="E1998" i="72"/>
  <c r="C1998" i="72"/>
  <c r="B2000" i="72" l="1"/>
  <c r="D1999" i="72"/>
  <c r="E1999" i="72"/>
  <c r="C1999" i="72"/>
  <c r="B2001" i="72" l="1"/>
  <c r="E2000" i="72"/>
  <c r="D2000" i="72"/>
  <c r="C2000" i="72"/>
  <c r="B2002" i="72" l="1"/>
  <c r="C2001" i="72"/>
  <c r="D2001" i="72"/>
  <c r="E2001" i="72"/>
  <c r="B2003" i="72" l="1"/>
  <c r="C2002" i="72"/>
  <c r="E2002" i="72"/>
  <c r="D2002" i="72"/>
  <c r="B2004" i="72" l="1"/>
  <c r="E2003" i="72"/>
  <c r="D2003" i="72"/>
  <c r="C2003" i="72"/>
  <c r="B2005" i="72" l="1"/>
  <c r="D2004" i="72"/>
  <c r="E2004" i="72"/>
  <c r="C2004" i="72"/>
  <c r="B2006" i="72" l="1"/>
  <c r="C2005" i="72"/>
  <c r="D2005" i="72"/>
  <c r="E2005" i="72"/>
  <c r="B2007" i="72" l="1"/>
  <c r="E2006" i="72"/>
  <c r="D2006" i="72"/>
  <c r="C2006" i="72"/>
  <c r="B2008" i="72" l="1"/>
  <c r="E2007" i="72"/>
  <c r="C2007" i="72"/>
  <c r="D2007" i="72"/>
  <c r="B2009" i="72" l="1"/>
  <c r="D2008" i="72"/>
  <c r="E2008" i="72"/>
  <c r="C2008" i="72"/>
  <c r="B2010" i="72" l="1"/>
  <c r="C2009" i="72"/>
  <c r="E2009" i="72"/>
  <c r="D2009" i="72"/>
  <c r="B2011" i="72" l="1"/>
  <c r="D2010" i="72"/>
  <c r="E2010" i="72"/>
  <c r="C2010" i="72"/>
  <c r="B2012" i="72" l="1"/>
  <c r="D2011" i="72"/>
  <c r="E2011" i="72"/>
  <c r="C2011" i="72"/>
  <c r="B2013" i="72" l="1"/>
  <c r="E2012" i="72"/>
  <c r="C2012" i="72"/>
  <c r="D2012" i="72"/>
  <c r="B2014" i="72" l="1"/>
  <c r="C2013" i="72"/>
  <c r="E2013" i="72"/>
  <c r="D2013" i="72"/>
  <c r="B2015" i="72" l="1"/>
  <c r="C2014" i="72"/>
  <c r="D2014" i="72"/>
  <c r="E2014" i="72"/>
  <c r="B2016" i="72" l="1"/>
  <c r="E2015" i="72"/>
  <c r="C2015" i="72"/>
  <c r="D2015" i="72"/>
  <c r="B2017" i="72" l="1"/>
  <c r="D2016" i="72"/>
  <c r="C2016" i="72"/>
  <c r="E2016" i="72"/>
  <c r="B2018" i="72" l="1"/>
  <c r="D2017" i="72"/>
  <c r="E2017" i="72"/>
  <c r="C2017" i="72"/>
  <c r="B2019" i="72" l="1"/>
  <c r="E2018" i="72"/>
  <c r="C2018" i="72"/>
  <c r="D2018" i="72"/>
  <c r="B2020" i="72" l="1"/>
  <c r="E2019" i="72"/>
  <c r="C2019" i="72"/>
  <c r="D2019" i="72"/>
  <c r="B2021" i="72" l="1"/>
  <c r="D2020" i="72"/>
  <c r="C2020" i="72"/>
  <c r="E2020" i="72"/>
  <c r="B2022" i="72" l="1"/>
  <c r="E2021" i="72"/>
  <c r="C2021" i="72"/>
  <c r="D2021" i="72"/>
  <c r="B2023" i="72" l="1"/>
  <c r="D2022" i="72"/>
  <c r="C2022" i="72"/>
  <c r="E2022" i="72"/>
  <c r="B2024" i="72" l="1"/>
  <c r="D2023" i="72"/>
  <c r="E2023" i="72"/>
  <c r="C2023" i="72"/>
  <c r="B2025" i="72" l="1"/>
  <c r="D2024" i="72"/>
  <c r="C2024" i="72"/>
  <c r="E2024" i="72"/>
  <c r="B2026" i="72" l="1"/>
  <c r="E2025" i="72"/>
  <c r="C2025" i="72"/>
  <c r="D2025" i="72"/>
  <c r="B2027" i="72" l="1"/>
  <c r="D2026" i="72"/>
  <c r="E2026" i="72"/>
  <c r="C2026" i="72"/>
  <c r="B2028" i="72" l="1"/>
  <c r="C2027" i="72"/>
  <c r="E2027" i="72"/>
  <c r="D2027" i="72"/>
  <c r="B2029" i="72" l="1"/>
  <c r="E2028" i="72"/>
  <c r="D2028" i="72"/>
  <c r="C2028" i="72"/>
  <c r="B2030" i="72" l="1"/>
  <c r="C2029" i="72"/>
  <c r="D2029" i="72"/>
  <c r="E2029" i="72"/>
  <c r="B2031" i="72" l="1"/>
  <c r="C2030" i="72"/>
  <c r="D2030" i="72"/>
  <c r="E2030" i="72"/>
  <c r="B2032" i="72" l="1"/>
  <c r="E2031" i="72"/>
  <c r="D2031" i="72"/>
  <c r="C2031" i="72"/>
  <c r="B2033" i="72" l="1"/>
  <c r="E2032" i="72"/>
  <c r="D2032" i="72"/>
  <c r="C2032" i="72"/>
  <c r="B2034" i="72" l="1"/>
  <c r="C2033" i="72"/>
  <c r="D2033" i="72"/>
  <c r="E2033" i="72"/>
  <c r="B2035" i="72" l="1"/>
  <c r="C2034" i="72"/>
  <c r="E2034" i="72"/>
  <c r="D2034" i="72"/>
  <c r="B2036" i="72" l="1"/>
  <c r="D2035" i="72"/>
  <c r="E2035" i="72"/>
  <c r="C2035" i="72"/>
  <c r="B2037" i="72" l="1"/>
  <c r="D2036" i="72"/>
  <c r="C2036" i="72"/>
  <c r="E2036" i="72"/>
  <c r="B2038" i="72" l="1"/>
  <c r="D2037" i="72"/>
  <c r="C2037" i="72"/>
  <c r="E2037" i="72"/>
  <c r="B2039" i="72" l="1"/>
  <c r="D2038" i="72"/>
  <c r="E2038" i="72"/>
  <c r="C2038" i="72"/>
  <c r="B2040" i="72" l="1"/>
  <c r="E2039" i="72"/>
  <c r="C2039" i="72"/>
  <c r="D2039" i="72"/>
  <c r="B2041" i="72" l="1"/>
  <c r="E2040" i="72"/>
  <c r="D2040" i="72"/>
  <c r="C2040" i="72"/>
  <c r="B2042" i="72" l="1"/>
  <c r="D2041" i="72"/>
  <c r="C2041" i="72"/>
  <c r="E2041" i="72"/>
  <c r="B2043" i="72" l="1"/>
  <c r="E2042" i="72"/>
  <c r="C2042" i="72"/>
  <c r="D2042" i="72"/>
  <c r="B2044" i="72" l="1"/>
  <c r="D2043" i="72"/>
  <c r="C2043" i="72"/>
  <c r="E2043" i="72"/>
  <c r="B2045" i="72" l="1"/>
  <c r="E2044" i="72"/>
  <c r="D2044" i="72"/>
  <c r="C2044" i="72"/>
  <c r="B2046" i="72" l="1"/>
  <c r="C2045" i="72"/>
  <c r="D2045" i="72"/>
  <c r="E2045" i="72"/>
  <c r="B2047" i="72" l="1"/>
  <c r="E2046" i="72"/>
  <c r="D2046" i="72"/>
  <c r="C2046" i="72"/>
  <c r="B2048" i="72" l="1"/>
  <c r="C2047" i="72"/>
  <c r="D2047" i="72"/>
  <c r="E2047" i="72"/>
  <c r="B2049" i="72" l="1"/>
  <c r="E2048" i="72"/>
  <c r="C2048" i="72"/>
  <c r="D2048" i="72"/>
  <c r="B2050" i="72" l="1"/>
  <c r="C2049" i="72"/>
  <c r="E2049" i="72"/>
  <c r="D2049" i="72"/>
  <c r="B2051" i="72" l="1"/>
  <c r="C2050" i="72"/>
  <c r="D2050" i="72"/>
  <c r="E2050" i="72"/>
  <c r="B2052" i="72" l="1"/>
  <c r="D2051" i="72"/>
  <c r="E2051" i="72"/>
  <c r="C2051" i="72"/>
  <c r="B2053" i="72" l="1"/>
  <c r="D2052" i="72"/>
  <c r="C2052" i="72"/>
  <c r="E2052" i="72"/>
  <c r="B2054" i="72" l="1"/>
  <c r="D2053" i="72"/>
  <c r="C2053" i="72"/>
  <c r="E2053" i="72"/>
  <c r="B2055" i="72" l="1"/>
  <c r="D2054" i="72"/>
  <c r="C2054" i="72"/>
  <c r="E2054" i="72"/>
  <c r="B2056" i="72" l="1"/>
  <c r="D2055" i="72"/>
  <c r="E2055" i="72"/>
  <c r="C2055" i="72"/>
  <c r="B2057" i="72" l="1"/>
  <c r="C2056" i="72"/>
  <c r="E2056" i="72"/>
  <c r="D2056" i="72"/>
  <c r="B2058" i="72" l="1"/>
  <c r="C2057" i="72"/>
  <c r="E2057" i="72"/>
  <c r="D2057" i="72"/>
  <c r="B2059" i="72" l="1"/>
  <c r="D2058" i="72"/>
  <c r="E2058" i="72"/>
  <c r="C2058" i="72"/>
  <c r="B2060" i="72" l="1"/>
  <c r="D2059" i="72"/>
  <c r="C2059" i="72"/>
  <c r="E2059" i="72"/>
  <c r="B2061" i="72" l="1"/>
  <c r="D2060" i="72"/>
  <c r="C2060" i="72"/>
  <c r="E2060" i="72"/>
  <c r="B2062" i="72" l="1"/>
  <c r="D2061" i="72"/>
  <c r="E2061" i="72"/>
  <c r="C2061" i="72"/>
  <c r="B2063" i="72" l="1"/>
  <c r="D2062" i="72"/>
  <c r="C2062" i="72"/>
  <c r="E2062" i="72"/>
  <c r="B2064" i="72" l="1"/>
  <c r="E2063" i="72"/>
  <c r="C2063" i="72"/>
  <c r="D2063" i="72"/>
  <c r="B2065" i="72" l="1"/>
  <c r="E2064" i="72"/>
  <c r="D2064" i="72"/>
  <c r="C2064" i="72"/>
  <c r="B2066" i="72" l="1"/>
  <c r="E2065" i="72"/>
  <c r="C2065" i="72"/>
  <c r="D2065" i="72"/>
  <c r="B2067" i="72" l="1"/>
  <c r="C2066" i="72"/>
  <c r="E2066" i="72"/>
  <c r="D2066" i="72"/>
  <c r="B2068" i="72" l="1"/>
  <c r="C2067" i="72"/>
  <c r="D2067" i="72"/>
  <c r="E2067" i="72"/>
  <c r="B2069" i="72" l="1"/>
  <c r="D2068" i="72"/>
  <c r="E2068" i="72"/>
  <c r="C2068" i="72"/>
  <c r="B2070" i="72" l="1"/>
  <c r="C2069" i="72"/>
  <c r="D2069" i="72"/>
  <c r="E2069" i="72"/>
  <c r="B2071" i="72" l="1"/>
  <c r="C2070" i="72"/>
  <c r="E2070" i="72"/>
  <c r="D2070" i="72"/>
  <c r="B2072" i="72" l="1"/>
  <c r="E2071" i="72"/>
  <c r="C2071" i="72"/>
  <c r="D2071" i="72"/>
  <c r="B2073" i="72" l="1"/>
  <c r="E2072" i="72"/>
  <c r="C2072" i="72"/>
  <c r="D2072" i="72"/>
  <c r="B2074" i="72" l="1"/>
  <c r="D2073" i="72"/>
  <c r="C2073" i="72"/>
  <c r="E2073" i="72"/>
  <c r="B2075" i="72" l="1"/>
  <c r="C2074" i="72"/>
  <c r="E2074" i="72"/>
  <c r="D2074" i="72"/>
  <c r="B2076" i="72" l="1"/>
  <c r="D2075" i="72"/>
  <c r="C2075" i="72"/>
  <c r="E2075" i="72"/>
  <c r="B2077" i="72" l="1"/>
  <c r="E2076" i="72"/>
  <c r="D2076" i="72"/>
  <c r="C2076" i="72"/>
  <c r="B2078" i="72" l="1"/>
  <c r="E2077" i="72"/>
  <c r="C2077" i="72"/>
  <c r="D2077" i="72"/>
  <c r="B2079" i="72" l="1"/>
  <c r="E2078" i="72"/>
  <c r="C2078" i="72"/>
  <c r="D2078" i="72"/>
  <c r="B2080" i="72" l="1"/>
  <c r="C2079" i="72"/>
  <c r="E2079" i="72"/>
  <c r="D2079" i="72"/>
  <c r="B2081" i="72" l="1"/>
  <c r="D2080" i="72"/>
  <c r="C2080" i="72"/>
  <c r="E2080" i="72"/>
  <c r="B2082" i="72" l="1"/>
  <c r="C2081" i="72"/>
  <c r="E2081" i="72"/>
  <c r="D2081" i="72"/>
  <c r="B2083" i="72" l="1"/>
  <c r="D2082" i="72"/>
  <c r="E2082" i="72"/>
  <c r="C2082" i="72"/>
  <c r="B2084" i="72" l="1"/>
  <c r="D2083" i="72"/>
  <c r="C2083" i="72"/>
  <c r="E2083" i="72"/>
  <c r="B2085" i="72" l="1"/>
  <c r="D2084" i="72"/>
  <c r="E2084" i="72"/>
  <c r="C2084" i="72"/>
  <c r="B2086" i="72" l="1"/>
  <c r="D2085" i="72"/>
  <c r="E2085" i="72"/>
  <c r="C2085" i="72"/>
  <c r="B2087" i="72" l="1"/>
  <c r="C2086" i="72"/>
  <c r="E2086" i="72"/>
  <c r="D2086" i="72"/>
  <c r="B2088" i="72" l="1"/>
  <c r="E2087" i="72"/>
  <c r="C2087" i="72"/>
  <c r="D2087" i="72"/>
  <c r="B2089" i="72" l="1"/>
  <c r="E2088" i="72"/>
  <c r="D2088" i="72"/>
  <c r="C2088" i="72"/>
  <c r="B2090" i="72" l="1"/>
  <c r="D2089" i="72"/>
  <c r="C2089" i="72"/>
  <c r="E2089" i="72"/>
  <c r="B2091" i="72" l="1"/>
  <c r="C2090" i="72"/>
  <c r="D2090" i="72"/>
  <c r="E2090" i="72"/>
  <c r="B2092" i="72" l="1"/>
  <c r="D2091" i="72"/>
  <c r="E2091" i="72"/>
  <c r="C2091" i="72"/>
  <c r="B2093" i="72" l="1"/>
  <c r="D2092" i="72"/>
  <c r="C2092" i="72"/>
  <c r="E2092" i="72"/>
  <c r="B2094" i="72" l="1"/>
  <c r="C2093" i="72"/>
  <c r="E2093" i="72"/>
  <c r="D2093" i="72"/>
  <c r="B2095" i="72" l="1"/>
  <c r="E2094" i="72"/>
  <c r="D2094" i="72"/>
  <c r="C2094" i="72"/>
  <c r="B2096" i="72" l="1"/>
  <c r="D2095" i="72"/>
  <c r="C2095" i="72"/>
  <c r="E2095" i="72"/>
  <c r="B2097" i="72" l="1"/>
  <c r="E2096" i="72"/>
  <c r="D2096" i="72"/>
  <c r="C2096" i="72"/>
  <c r="B2098" i="72" l="1"/>
  <c r="D2097" i="72"/>
  <c r="C2097" i="72"/>
  <c r="E2097" i="72"/>
  <c r="B2099" i="72" l="1"/>
  <c r="E2098" i="72"/>
  <c r="C2098" i="72"/>
  <c r="D2098" i="72"/>
  <c r="B2100" i="72" l="1"/>
  <c r="E2099" i="72"/>
  <c r="D2099" i="72"/>
  <c r="C2099" i="72"/>
  <c r="B2101" i="72" l="1"/>
  <c r="E2100" i="72"/>
  <c r="C2100" i="72"/>
  <c r="D2100" i="72"/>
  <c r="B2102" i="72" l="1"/>
  <c r="D2101" i="72"/>
  <c r="E2101" i="72"/>
  <c r="C2101" i="72"/>
  <c r="B2103" i="72" l="1"/>
  <c r="E2102" i="72"/>
  <c r="D2102" i="72"/>
  <c r="C2102" i="72"/>
  <c r="B2104" i="72" l="1"/>
  <c r="C2103" i="72"/>
  <c r="D2103" i="72"/>
  <c r="E2103" i="72"/>
  <c r="B2105" i="72" l="1"/>
  <c r="D2104" i="72"/>
  <c r="C2104" i="72"/>
  <c r="E2104" i="72"/>
  <c r="B2106" i="72" l="1"/>
  <c r="C2105" i="72"/>
  <c r="E2105" i="72"/>
  <c r="D2105" i="72"/>
  <c r="B2107" i="72" l="1"/>
  <c r="C2106" i="72"/>
  <c r="D2106" i="72"/>
  <c r="E2106" i="72"/>
  <c r="B2108" i="72" l="1"/>
  <c r="C2107" i="72"/>
  <c r="D2107" i="72"/>
  <c r="E2107" i="72"/>
  <c r="B2109" i="72" l="1"/>
  <c r="D2108" i="72"/>
  <c r="E2108" i="72"/>
  <c r="C2108" i="72"/>
  <c r="B2110" i="72" l="1"/>
  <c r="C2109" i="72"/>
  <c r="E2109" i="72"/>
  <c r="D2109" i="72"/>
  <c r="B2111" i="72" l="1"/>
  <c r="D2110" i="72"/>
  <c r="E2111" i="72"/>
  <c r="E2110" i="72"/>
  <c r="C2110" i="72"/>
  <c r="B2112" i="72" l="1"/>
  <c r="E2112" i="72"/>
  <c r="B2113" i="72" l="1"/>
  <c r="E2113" i="72"/>
  <c r="B2114" i="72" l="1"/>
  <c r="E2114" i="72"/>
  <c r="B2115" i="72" l="1"/>
  <c r="E2115" i="72"/>
  <c r="B2116" i="72" l="1"/>
  <c r="E2116" i="72"/>
  <c r="B2117" i="72" l="1"/>
  <c r="E2117" i="72"/>
  <c r="B2118" i="72" l="1"/>
  <c r="E2118" i="72"/>
  <c r="B2119" i="72" l="1"/>
  <c r="E2119" i="72"/>
  <c r="B2120" i="72" l="1"/>
  <c r="E2120" i="72"/>
  <c r="B2121" i="72" l="1"/>
  <c r="E2121" i="72"/>
  <c r="B2122" i="72" l="1"/>
  <c r="E2122" i="72"/>
  <c r="B2123" i="72" l="1"/>
  <c r="E2123" i="72"/>
  <c r="B2124" i="72" l="1"/>
  <c r="E2124" i="72"/>
  <c r="B2125" i="72" l="1"/>
  <c r="E2125" i="72"/>
  <c r="B2126" i="72" l="1"/>
  <c r="E2126" i="72"/>
  <c r="B2127" i="72" l="1"/>
  <c r="E2127" i="72"/>
  <c r="B2128" i="72" l="1"/>
  <c r="E2128" i="72"/>
  <c r="B2129" i="72" l="1"/>
  <c r="E2129" i="72"/>
  <c r="B2130" i="72" l="1"/>
  <c r="E2130" i="72"/>
  <c r="B2131" i="72" l="1"/>
  <c r="E2131" i="72"/>
  <c r="B2132" i="72" l="1"/>
  <c r="E2132" i="72"/>
  <c r="B2133" i="72" l="1"/>
  <c r="E2133" i="72"/>
  <c r="B2134" i="72" l="1"/>
  <c r="E2134" i="72"/>
  <c r="B2135" i="72" l="1"/>
  <c r="E2135" i="72"/>
  <c r="B2136" i="72" l="1"/>
  <c r="E2136" i="72"/>
  <c r="B2137" i="72" l="1"/>
  <c r="E2137" i="72"/>
  <c r="B2138" i="72" l="1"/>
  <c r="E2138" i="72"/>
  <c r="B2139" i="72" l="1"/>
  <c r="E2139" i="72"/>
  <c r="B2140" i="72" l="1"/>
  <c r="E2140" i="72"/>
  <c r="B2141" i="72" l="1"/>
  <c r="E2141" i="72"/>
  <c r="B2142" i="72" l="1"/>
  <c r="E2142" i="72" s="1"/>
  <c r="B2143" i="72" l="1"/>
  <c r="E2143" i="72"/>
  <c r="B2144" i="72" l="1"/>
  <c r="E2144" i="72"/>
  <c r="B2145" i="72" l="1"/>
  <c r="E2145" i="72"/>
  <c r="B2146" i="72" l="1"/>
  <c r="E2146" i="72"/>
  <c r="B2147" i="72" l="1"/>
  <c r="E2147" i="72"/>
  <c r="B2148" i="72" l="1"/>
  <c r="E2148" i="72"/>
  <c r="B2149" i="72" l="1"/>
  <c r="E2149" i="72"/>
  <c r="B2150" i="72" l="1"/>
  <c r="E2150" i="72"/>
  <c r="B2151" i="72" l="1"/>
  <c r="E2151" i="72"/>
  <c r="B2152" i="72" l="1"/>
  <c r="E2152" i="72"/>
  <c r="B2153" i="72" l="1"/>
  <c r="E2153" i="72"/>
  <c r="B2154" i="72" l="1"/>
  <c r="E2154" i="72"/>
  <c r="B2155" i="72" l="1"/>
  <c r="E2155" i="72"/>
  <c r="B2156" i="72" l="1"/>
  <c r="E2156" i="72"/>
  <c r="B2157" i="72" l="1"/>
  <c r="E2157" i="72"/>
  <c r="B2158" i="72" l="1"/>
  <c r="E2158" i="72"/>
  <c r="B2159" i="72" l="1"/>
  <c r="E2159" i="72"/>
  <c r="B2160" i="72" l="1"/>
  <c r="E2160" i="72"/>
  <c r="B2161" i="72" l="1"/>
  <c r="E2161" i="72"/>
  <c r="B2162" i="72" l="1"/>
  <c r="E2162" i="72"/>
  <c r="B2163" i="72" l="1"/>
  <c r="E2163" i="72"/>
  <c r="B2164" i="72" l="1"/>
  <c r="E2164" i="72"/>
  <c r="B2165" i="72" l="1"/>
  <c r="E2165" i="72"/>
  <c r="B2166" i="72" l="1"/>
  <c r="E2166" i="72"/>
  <c r="B2167" i="72" l="1"/>
  <c r="E2167" i="72"/>
  <c r="B2168" i="72" l="1"/>
  <c r="E2168" i="72"/>
  <c r="B2169" i="72" l="1"/>
  <c r="E2169" i="72"/>
  <c r="B2170" i="72" l="1"/>
  <c r="E2170" i="72"/>
  <c r="B2171" i="72" l="1"/>
  <c r="E2171" i="72"/>
  <c r="B2172" i="72" l="1"/>
  <c r="E2172" i="72"/>
  <c r="B2173" i="72" l="1"/>
  <c r="E2173" i="72"/>
  <c r="B2174" i="72" l="1"/>
  <c r="E2174" i="72"/>
  <c r="B2175" i="72" l="1"/>
  <c r="E2175" i="72"/>
  <c r="B2176" i="72" l="1"/>
  <c r="E2176" i="72"/>
  <c r="B2177" i="72" l="1"/>
  <c r="E2177" i="72"/>
  <c r="B2178" i="72" l="1"/>
  <c r="E2178" i="72"/>
  <c r="B2179" i="72" l="1"/>
  <c r="E2179" i="72"/>
  <c r="B2180" i="72" l="1"/>
  <c r="E2180" i="72"/>
  <c r="B2181" i="72" l="1"/>
  <c r="E2181" i="72"/>
  <c r="B2182" i="72" l="1"/>
  <c r="E2182" i="72"/>
  <c r="B2183" i="72" l="1"/>
  <c r="E2183" i="72"/>
  <c r="B2184" i="72" l="1"/>
  <c r="E2184" i="72"/>
  <c r="B2185" i="72" l="1"/>
  <c r="E2185" i="72"/>
  <c r="B2186" i="72" l="1"/>
  <c r="E2186" i="72" s="1"/>
  <c r="B2187" i="72" l="1"/>
  <c r="E2187" i="72" s="1"/>
  <c r="B2188" i="72" l="1"/>
  <c r="E2188" i="72" s="1"/>
  <c r="B2189" i="72" l="1"/>
  <c r="E2189" i="72"/>
  <c r="B2190" i="72" l="1"/>
  <c r="E2190" i="72" s="1"/>
  <c r="B2191" i="72" l="1"/>
  <c r="E2191" i="72"/>
  <c r="B2192" i="72" l="1"/>
  <c r="E2192" i="72"/>
  <c r="B2193" i="72" l="1"/>
  <c r="E2193" i="72" s="1"/>
  <c r="B2194" i="72" l="1"/>
  <c r="E2194" i="72" s="1"/>
  <c r="AL25" i="10" l="1"/>
  <c r="AM25" i="10" l="1"/>
  <c r="AN25" i="10" l="1"/>
  <c r="AK170" i="1" l="1"/>
  <c r="AK171" i="1" s="1"/>
  <c r="AI17" i="65"/>
  <c r="AI18" i="65"/>
  <c r="AL171" i="1" l="1"/>
  <c r="AJ174" i="1"/>
  <c r="AK173" i="1"/>
  <c r="AK172" i="1" l="1"/>
  <c r="AK174" i="1"/>
  <c r="G16" i="65"/>
  <c r="G18" i="65" s="1"/>
  <c r="AJ18" i="65"/>
  <c r="AJ17" i="65"/>
  <c r="AJ114" i="1"/>
  <c r="AL174" i="1"/>
  <c r="AM171" i="1"/>
  <c r="AN171" i="1" l="1"/>
  <c r="AP170" i="1"/>
  <c r="AL179" i="1"/>
  <c r="AL180" i="1"/>
  <c r="AL166" i="1"/>
  <c r="AL167" i="1"/>
  <c r="AL18" i="65"/>
  <c r="AL17" i="65"/>
  <c r="AL114" i="1" l="1"/>
  <c r="AL158" i="1"/>
  <c r="AL261" i="1"/>
  <c r="AM168" i="1"/>
  <c r="AM167" i="1"/>
  <c r="AM180" i="1"/>
  <c r="AM166" i="1"/>
  <c r="AP171" i="1"/>
  <c r="AO171" i="1"/>
  <c r="AM114" i="1" l="1"/>
  <c r="AL262" i="1"/>
  <c r="AM158" i="1"/>
  <c r="AM261" i="1"/>
  <c r="AM159" i="1"/>
  <c r="AM262" i="1" l="1"/>
  <c r="AI21" i="1" l="1"/>
  <c r="AI112" i="1"/>
  <c r="AI125" i="1"/>
  <c r="AI113" i="1"/>
  <c r="AI114" i="1"/>
  <c r="AK15" i="1"/>
  <c r="AI45" i="9"/>
  <c r="E17" i="12"/>
  <c r="L17" i="12" s="1"/>
  <c r="AI276" i="1"/>
  <c r="AK276" i="1" s="1"/>
  <c r="AI164" i="1"/>
  <c r="G33" i="65" l="1"/>
  <c r="G31" i="65" s="1"/>
  <c r="G32" i="65" s="1"/>
  <c r="G61" i="65"/>
  <c r="G62" i="65" s="1"/>
  <c r="G63" i="65" s="1"/>
  <c r="AI161" i="1"/>
  <c r="AI176" i="1"/>
  <c r="AI178" i="1" s="1"/>
  <c r="AK114" i="1"/>
  <c r="AI168" i="1"/>
  <c r="AI166" i="1"/>
  <c r="AI184" i="1"/>
  <c r="AI179" i="1"/>
  <c r="AI167" i="1"/>
  <c r="G34" i="65" l="1"/>
  <c r="AI162" i="1"/>
  <c r="AN162" i="1"/>
  <c r="AI181" i="1"/>
  <c r="AI180" i="1"/>
  <c r="AI185" i="1"/>
  <c r="AI190" i="1"/>
  <c r="AI182" i="1"/>
  <c r="AL159" i="1" l="1"/>
  <c r="AJ261" i="1"/>
  <c r="AI187" i="1"/>
  <c r="AL182" i="1"/>
  <c r="V17" i="72"/>
  <c r="V26" i="72" s="1"/>
  <c r="V31" i="72" s="1"/>
  <c r="AI24" i="65"/>
  <c r="AI5" i="1"/>
  <c r="AI143" i="1"/>
  <c r="AI144" i="1" s="1"/>
  <c r="AI140" i="1" l="1"/>
  <c r="AI20" i="65"/>
  <c r="AI21" i="65" s="1"/>
  <c r="AI42" i="1"/>
  <c r="AI43" i="1" s="1"/>
  <c r="AI94" i="1"/>
  <c r="AK143" i="1"/>
  <c r="G57" i="65" s="1"/>
  <c r="G58" i="65" s="1"/>
  <c r="G59" i="65" s="1"/>
  <c r="AI25" i="65"/>
  <c r="AI146" i="1"/>
  <c r="AI145" i="1"/>
  <c r="AI154" i="1"/>
  <c r="AI152" i="1"/>
  <c r="V25" i="72"/>
  <c r="V28" i="72" s="1"/>
  <c r="AI188" i="1"/>
  <c r="AM182" i="1"/>
  <c r="AJ262" i="1"/>
  <c r="AN141" i="1" l="1"/>
  <c r="AK145" i="1"/>
  <c r="AK144" i="1"/>
  <c r="AQ146" i="1"/>
  <c r="AK140" i="1"/>
  <c r="AK141" i="1" s="1"/>
  <c r="AI141" i="1"/>
  <c r="AI22" i="65"/>
  <c r="AI103" i="1"/>
  <c r="AI104" i="1"/>
  <c r="AM185" i="1"/>
  <c r="AM187" i="1"/>
  <c r="AL185" i="1"/>
  <c r="AL187" i="1"/>
  <c r="AJ146" i="1"/>
  <c r="AJ145" i="1"/>
  <c r="AK153" i="1"/>
  <c r="AK154" i="1" s="1"/>
  <c r="AI52" i="10"/>
  <c r="AI53" i="10" s="1"/>
  <c r="AI54" i="10" s="1"/>
  <c r="AP140" i="1" l="1"/>
  <c r="AJ113" i="1"/>
  <c r="AK14" i="1"/>
  <c r="AJ13" i="1"/>
  <c r="AJ152" i="1"/>
  <c r="AI46" i="9"/>
  <c r="AI28" i="9" s="1"/>
  <c r="AI36" i="9" s="1"/>
  <c r="AI39" i="9" s="1"/>
  <c r="AL145" i="1"/>
  <c r="AL146" i="1"/>
  <c r="AL152" i="1"/>
  <c r="AL188" i="1"/>
  <c r="AJ259" i="1"/>
  <c r="AJ260" i="1" s="1"/>
  <c r="AK136" i="1"/>
  <c r="AK137" i="1" s="1"/>
  <c r="AJ4" i="1"/>
  <c r="AS138" i="1" l="1"/>
  <c r="AS259" i="1"/>
  <c r="AP141" i="1"/>
  <c r="AJ23" i="1"/>
  <c r="AJ98" i="1"/>
  <c r="AJ21" i="1"/>
  <c r="AL113" i="1"/>
  <c r="AL13" i="1"/>
  <c r="AJ101" i="1"/>
  <c r="AJ112" i="1"/>
  <c r="AJ100" i="1"/>
  <c r="AJ96" i="1"/>
  <c r="AJ99" i="1"/>
  <c r="AJ125" i="1"/>
  <c r="AJ45" i="9"/>
  <c r="E18" i="12"/>
  <c r="L18" i="12" s="1"/>
  <c r="W17" i="72"/>
  <c r="AJ24" i="65"/>
  <c r="AK24" i="65" s="1"/>
  <c r="G40" i="65"/>
  <c r="AK13" i="1"/>
  <c r="G65" i="65" s="1"/>
  <c r="G66" i="65" s="1"/>
  <c r="AK113" i="1"/>
  <c r="AJ95" i="1"/>
  <c r="W16" i="72"/>
  <c r="AJ111" i="1"/>
  <c r="C18" i="12"/>
  <c r="K18" i="12" s="1"/>
  <c r="AJ5" i="1"/>
  <c r="AL138" i="1"/>
  <c r="AL137" i="1"/>
  <c r="AL259" i="1"/>
  <c r="AQ260" i="1" s="1"/>
  <c r="AM152" i="1"/>
  <c r="AM145" i="1"/>
  <c r="AM146" i="1"/>
  <c r="AI126" i="1"/>
  <c r="AI115" i="1"/>
  <c r="AK152" i="1"/>
  <c r="AL260" i="1" l="1"/>
  <c r="AL23" i="1"/>
  <c r="AL46" i="9" s="1"/>
  <c r="AK65" i="10"/>
  <c r="AK98" i="1"/>
  <c r="AL21" i="1"/>
  <c r="AL98" i="1"/>
  <c r="AJ20" i="65"/>
  <c r="AJ46" i="9"/>
  <c r="AK23" i="1"/>
  <c r="AK24" i="1" s="1"/>
  <c r="AM113" i="1"/>
  <c r="AM13" i="1"/>
  <c r="AJ25" i="65"/>
  <c r="G24" i="65"/>
  <c r="G25" i="65" s="1"/>
  <c r="W26" i="72"/>
  <c r="W31" i="72" s="1"/>
  <c r="W25" i="72"/>
  <c r="W28" i="72" s="1"/>
  <c r="X16" i="72"/>
  <c r="AL111" i="1"/>
  <c r="AL275" i="1"/>
  <c r="AL5" i="1"/>
  <c r="AL42" i="1" s="1"/>
  <c r="AK96" i="1"/>
  <c r="AK100" i="1"/>
  <c r="AK99" i="1"/>
  <c r="AK101" i="1"/>
  <c r="AK112" i="1"/>
  <c r="E19" i="12"/>
  <c r="AK95" i="1"/>
  <c r="G41" i="65"/>
  <c r="AL125" i="1"/>
  <c r="AL100" i="1"/>
  <c r="AL101" i="1"/>
  <c r="AL96" i="1"/>
  <c r="AL112" i="1"/>
  <c r="AL276" i="1"/>
  <c r="AL99" i="1"/>
  <c r="AL45" i="9"/>
  <c r="AL24" i="65"/>
  <c r="X17" i="72"/>
  <c r="AL95" i="1"/>
  <c r="AJ94" i="1"/>
  <c r="AJ42" i="1"/>
  <c r="AK5" i="1"/>
  <c r="AM138" i="1"/>
  <c r="AM137" i="1"/>
  <c r="AM259" i="1"/>
  <c r="AR260" i="1" s="1"/>
  <c r="AM4" i="1"/>
  <c r="AN145" i="1"/>
  <c r="AN146" i="1"/>
  <c r="AM23" i="1" l="1"/>
  <c r="AM46" i="9" s="1"/>
  <c r="AS137" i="1"/>
  <c r="AM260" i="1"/>
  <c r="AM98" i="1"/>
  <c r="AM21" i="1"/>
  <c r="AL20" i="65"/>
  <c r="AM275" i="1"/>
  <c r="Y16" i="72"/>
  <c r="AM111" i="1"/>
  <c r="AM5" i="1"/>
  <c r="AM42" i="1" s="1"/>
  <c r="X26" i="72"/>
  <c r="X31" i="72" s="1"/>
  <c r="X25" i="72"/>
  <c r="X28" i="72" s="1"/>
  <c r="AL94" i="1"/>
  <c r="AL28" i="9"/>
  <c r="AK115" i="1"/>
  <c r="AK97" i="1"/>
  <c r="AK32" i="1"/>
  <c r="AK36" i="1" s="1"/>
  <c r="AN137" i="1"/>
  <c r="AN138" i="1"/>
  <c r="AN259" i="1"/>
  <c r="AS260" i="1" s="1"/>
  <c r="AM276" i="1"/>
  <c r="AM96" i="1"/>
  <c r="AM101" i="1"/>
  <c r="AM125" i="1"/>
  <c r="AM112" i="1"/>
  <c r="AM99" i="1"/>
  <c r="AM100" i="1"/>
  <c r="AM45" i="9"/>
  <c r="Y17" i="72"/>
  <c r="AM24" i="65"/>
  <c r="AJ126" i="1"/>
  <c r="AJ115" i="1"/>
  <c r="AJ32" i="1"/>
  <c r="AJ36" i="1" s="1"/>
  <c r="AJ97" i="1"/>
  <c r="L19" i="12"/>
  <c r="C37" i="12"/>
  <c r="AM95" i="1"/>
  <c r="AN113" i="1"/>
  <c r="AJ22" i="65"/>
  <c r="AJ21" i="65"/>
  <c r="G20" i="65"/>
  <c r="AK20" i="65"/>
  <c r="AK22" i="65" s="1"/>
  <c r="AK94" i="1"/>
  <c r="AK4" i="1"/>
  <c r="AK52" i="10"/>
  <c r="AK53" i="10" s="1"/>
  <c r="AK54" i="10" s="1"/>
  <c r="AJ52" i="10"/>
  <c r="AJ53" i="10" s="1"/>
  <c r="AJ54" i="10" s="1"/>
  <c r="BK24" i="9"/>
  <c r="BL24" i="9" s="1"/>
  <c r="BM24" i="9" s="1"/>
  <c r="BN24" i="9" s="1"/>
  <c r="BO24" i="9" s="1"/>
  <c r="BP24" i="9" s="1"/>
  <c r="BQ24" i="9" s="1"/>
  <c r="BR24" i="9" s="1"/>
  <c r="BS24" i="9" s="1"/>
  <c r="BT24" i="9" s="1"/>
  <c r="AO146" i="1"/>
  <c r="AO145" i="1"/>
  <c r="AP143" i="1"/>
  <c r="H57" i="65" s="1"/>
  <c r="H58" i="65" s="1"/>
  <c r="H59" i="65" s="1"/>
  <c r="AL25" i="65"/>
  <c r="AI66" i="1"/>
  <c r="AJ28" i="9"/>
  <c r="AJ36" i="9" s="1"/>
  <c r="BK22" i="9"/>
  <c r="BL22" i="9" s="1"/>
  <c r="BM22" i="9" s="1"/>
  <c r="BN22" i="9" s="1"/>
  <c r="BO22" i="9" s="1"/>
  <c r="BP22" i="9" s="1"/>
  <c r="BQ22" i="9" s="1"/>
  <c r="BR22" i="9" s="1"/>
  <c r="BS22" i="9" s="1"/>
  <c r="BT22" i="9" s="1"/>
  <c r="BK30" i="9"/>
  <c r="BL30" i="9" s="1"/>
  <c r="BM30" i="9" s="1"/>
  <c r="BN30" i="9" s="1"/>
  <c r="BO30" i="9" s="1"/>
  <c r="BP30" i="9" s="1"/>
  <c r="BQ30" i="9" s="1"/>
  <c r="BR30" i="9" s="1"/>
  <c r="BS30" i="9" s="1"/>
  <c r="BT30" i="9" s="1"/>
  <c r="AK42" i="1"/>
  <c r="AL115" i="1"/>
  <c r="AL126" i="1"/>
  <c r="AL32" i="1"/>
  <c r="AL97" i="1"/>
  <c r="AI131" i="1"/>
  <c r="AI120" i="1"/>
  <c r="AL49" i="1" l="1"/>
  <c r="AL108" i="1" s="1"/>
  <c r="AL36" i="1"/>
  <c r="AP144" i="1"/>
  <c r="AQ138" i="1"/>
  <c r="AM20" i="65"/>
  <c r="AN260" i="1"/>
  <c r="AP136" i="1"/>
  <c r="AL52" i="10"/>
  <c r="AL53" i="10" s="1"/>
  <c r="AL54" i="10" s="1"/>
  <c r="AL102" i="1"/>
  <c r="AL43" i="1"/>
  <c r="AK102" i="1"/>
  <c r="AK49" i="1"/>
  <c r="AK43" i="1"/>
  <c r="G22" i="65"/>
  <c r="G38" i="65"/>
  <c r="AM94" i="1"/>
  <c r="AM25" i="65"/>
  <c r="Y26" i="72"/>
  <c r="Y31" i="72" s="1"/>
  <c r="Y25" i="72"/>
  <c r="Y28" i="72" s="1"/>
  <c r="AP145" i="1"/>
  <c r="AP14" i="1"/>
  <c r="AM126" i="1"/>
  <c r="AM115" i="1"/>
  <c r="AM97" i="1"/>
  <c r="AO137" i="1"/>
  <c r="AO138" i="1"/>
  <c r="AO259" i="1"/>
  <c r="AL36" i="9"/>
  <c r="AI69" i="1"/>
  <c r="AI121" i="1" s="1"/>
  <c r="AL22" i="65"/>
  <c r="AL21" i="65"/>
  <c r="AO113" i="1"/>
  <c r="AK111" i="1"/>
  <c r="C19" i="12"/>
  <c r="K19" i="12" s="1"/>
  <c r="AJ102" i="1"/>
  <c r="AJ49" i="1"/>
  <c r="AJ108" i="1" s="1"/>
  <c r="AJ43" i="1"/>
  <c r="AP137" i="1" l="1"/>
  <c r="AO260" i="1"/>
  <c r="AM102" i="1"/>
  <c r="AM43" i="1"/>
  <c r="AM21" i="65"/>
  <c r="AM22" i="65"/>
  <c r="AM52" i="10"/>
  <c r="AM53" i="10" s="1"/>
  <c r="AM54" i="10" s="1"/>
  <c r="AM28" i="9"/>
  <c r="AM36" i="9" s="1"/>
  <c r="AM39" i="9" s="1"/>
  <c r="AK104" i="1"/>
  <c r="AK120" i="1"/>
  <c r="AK103" i="1"/>
  <c r="E37" i="12"/>
  <c r="H40" i="65"/>
  <c r="AP113" i="1"/>
  <c r="AL104" i="1"/>
  <c r="AL120" i="1"/>
  <c r="AL131" i="1"/>
  <c r="AL103" i="1"/>
  <c r="AL52" i="1"/>
  <c r="AL66" i="1"/>
  <c r="AL69" i="1" s="1"/>
  <c r="AJ103" i="1"/>
  <c r="AJ120" i="1"/>
  <c r="AJ104" i="1"/>
  <c r="AJ131" i="1"/>
  <c r="AK50" i="1"/>
  <c r="AJ66" i="1"/>
  <c r="AK66" i="1" s="1"/>
  <c r="AK108" i="1" s="1"/>
  <c r="G39" i="65"/>
  <c r="AL74" i="1" l="1"/>
  <c r="AL75" i="1"/>
  <c r="AL121" i="1"/>
  <c r="AJ52" i="1"/>
  <c r="AL39" i="1"/>
  <c r="AK69" i="1"/>
  <c r="AK121" i="1" s="1"/>
  <c r="AM66" i="1"/>
  <c r="AM69" i="1" s="1"/>
  <c r="AJ69" i="1"/>
  <c r="AJ121" i="1" s="1"/>
  <c r="H41" i="65"/>
  <c r="AI46" i="10"/>
  <c r="AI80" i="1"/>
  <c r="AI36" i="10"/>
  <c r="AM120" i="1"/>
  <c r="AM104" i="1"/>
  <c r="AM103" i="1"/>
  <c r="AM131" i="1"/>
  <c r="AJ75" i="1" l="1"/>
  <c r="AJ74" i="1"/>
  <c r="AM121" i="1"/>
  <c r="AK52" i="1"/>
  <c r="AJ39" i="1"/>
  <c r="AI105" i="1"/>
  <c r="AI106" i="1"/>
  <c r="AI56" i="10"/>
  <c r="AI48" i="10"/>
  <c r="AJ16" i="10"/>
  <c r="AK6" i="10"/>
  <c r="AK16" i="10" s="1"/>
  <c r="AK36" i="10" s="1"/>
  <c r="AI39" i="10"/>
  <c r="AJ38" i="10" s="1"/>
  <c r="AL71" i="1"/>
  <c r="AL72" i="1" s="1"/>
  <c r="AL16" i="10"/>
  <c r="AL46" i="10" s="1"/>
  <c r="AL48" i="10" s="1"/>
  <c r="G17" i="12"/>
  <c r="M17" i="12" s="1"/>
  <c r="AI81" i="1"/>
  <c r="AI122" i="1"/>
  <c r="AI132" i="1"/>
  <c r="AK39" i="1" l="1"/>
  <c r="AK71" i="1" s="1"/>
  <c r="AK72" i="1" s="1"/>
  <c r="AK74" i="1"/>
  <c r="AK75" i="1"/>
  <c r="AJ71" i="1"/>
  <c r="AJ72" i="1"/>
  <c r="AJ36" i="10"/>
  <c r="AJ39" i="10" s="1"/>
  <c r="AL38" i="10" s="1"/>
  <c r="AJ80" i="1"/>
  <c r="AJ46" i="10"/>
  <c r="AL80" i="1"/>
  <c r="AL36" i="10"/>
  <c r="AI82" i="1"/>
  <c r="AI52" i="9"/>
  <c r="AI12" i="9"/>
  <c r="AI19" i="9" s="1"/>
  <c r="AI42" i="9"/>
  <c r="AI43" i="9" s="1"/>
  <c r="AI107" i="1" l="1"/>
  <c r="AL39" i="10"/>
  <c r="AM38" i="10" s="1"/>
  <c r="AL105" i="1"/>
  <c r="AL106" i="1"/>
  <c r="AL132" i="1"/>
  <c r="AL81" i="1"/>
  <c r="AL122" i="1"/>
  <c r="AL56" i="10"/>
  <c r="AL49" i="10"/>
  <c r="AJ56" i="10"/>
  <c r="AJ48" i="10"/>
  <c r="AJ82" i="1" s="1"/>
  <c r="AK46" i="10"/>
  <c r="AM16" i="10"/>
  <c r="AM80" i="1" s="1"/>
  <c r="AJ132" i="1"/>
  <c r="AJ122" i="1"/>
  <c r="AJ81" i="1"/>
  <c r="AK81" i="1" s="1"/>
  <c r="AJ105" i="1"/>
  <c r="AJ106" i="1"/>
  <c r="G18" i="12"/>
  <c r="M18" i="12" s="1"/>
  <c r="AK80" i="1"/>
  <c r="AM71" i="1"/>
  <c r="AM72" i="1" s="1"/>
  <c r="AI83" i="1"/>
  <c r="AM46" i="10" l="1"/>
  <c r="AM48" i="10" s="1"/>
  <c r="AM36" i="10"/>
  <c r="AM39" i="10" s="1"/>
  <c r="AN38" i="10" s="1"/>
  <c r="AK105" i="1"/>
  <c r="AK106" i="1"/>
  <c r="AK122" i="1"/>
  <c r="G19" i="12"/>
  <c r="M19" i="12" s="1"/>
  <c r="AK47" i="10"/>
  <c r="AK56" i="10"/>
  <c r="AJ91" i="1"/>
  <c r="AK48" i="10"/>
  <c r="AK82" i="1" s="1"/>
  <c r="AL82" i="1"/>
  <c r="AJ42" i="9"/>
  <c r="AJ43" i="9" s="1"/>
  <c r="AJ52" i="9"/>
  <c r="AJ12" i="9"/>
  <c r="AK84" i="1" l="1"/>
  <c r="AK85" i="1" s="1"/>
  <c r="AL84" i="1"/>
  <c r="AJ39" i="9"/>
  <c r="AJ19" i="9"/>
  <c r="AK49" i="10"/>
  <c r="AJ83" i="1"/>
  <c r="AJ107" i="1"/>
  <c r="AM56" i="10"/>
  <c r="AM49" i="10"/>
  <c r="AM81" i="1"/>
  <c r="AM105" i="1"/>
  <c r="AM106" i="1"/>
  <c r="AM122" i="1"/>
  <c r="AM132" i="1"/>
  <c r="AL107" i="1"/>
  <c r="AL83" i="1"/>
  <c r="AL52" i="9"/>
  <c r="AL42" i="9"/>
  <c r="AL43" i="9" s="1"/>
  <c r="AL12" i="9"/>
  <c r="AL19" i="9" s="1"/>
  <c r="AL39" i="9" s="1"/>
  <c r="AM82" i="1" l="1"/>
  <c r="AM52" i="9"/>
  <c r="AM42" i="9"/>
  <c r="AM43" i="9" s="1"/>
  <c r="AM12" i="9"/>
  <c r="AM19" i="9" s="1"/>
  <c r="AK107" i="1"/>
  <c r="AK83" i="1"/>
  <c r="AM84" i="1" l="1"/>
  <c r="AM83" i="1"/>
  <c r="AM107" i="1"/>
  <c r="AJ179" i="1" l="1"/>
  <c r="AJ167" i="1"/>
  <c r="AJ166" i="1"/>
  <c r="AL168" i="1"/>
  <c r="AJ168" i="1"/>
  <c r="AJ182" i="1"/>
  <c r="AK182" i="1" s="1"/>
  <c r="AK183" i="1"/>
  <c r="AJ161" i="1"/>
  <c r="AK161" i="1" s="1"/>
  <c r="AK162" i="1" l="1"/>
  <c r="AP162" i="1"/>
  <c r="AO162" i="1"/>
  <c r="AJ162" i="1"/>
  <c r="AJ176" i="1" l="1"/>
  <c r="AJ178" i="1" s="1"/>
  <c r="AJ180" i="1" l="1"/>
  <c r="AJ190" i="1"/>
  <c r="AJ181" i="1"/>
  <c r="AK176" i="1"/>
  <c r="AK178" i="1" s="1"/>
  <c r="AJ185" i="1"/>
  <c r="AK164" i="1" l="1"/>
  <c r="AK180" i="1" s="1"/>
  <c r="AK185" i="1"/>
  <c r="AJ187" i="1"/>
  <c r="AK190" i="1"/>
  <c r="AK191" i="1" s="1"/>
  <c r="AH165" i="1" l="1"/>
  <c r="AK179" i="1"/>
  <c r="AI165" i="1"/>
  <c r="AJ165" i="1"/>
  <c r="AK167" i="1"/>
  <c r="AG165" i="1"/>
  <c r="AK184" i="1"/>
  <c r="AK157" i="1"/>
  <c r="AK158" i="1" s="1"/>
  <c r="AK187" i="1"/>
  <c r="AK188" i="1" s="1"/>
  <c r="AJ188" i="1"/>
  <c r="AM179" i="1" l="1"/>
  <c r="AM174" i="1"/>
  <c r="AM188" i="1"/>
  <c r="AN176" i="1"/>
  <c r="AN178" i="1" s="1"/>
  <c r="AN190" i="1" l="1"/>
  <c r="AN181" i="1"/>
  <c r="AN174" i="1"/>
  <c r="AM17" i="65"/>
  <c r="AM18" i="65"/>
  <c r="AO166" i="1" l="1"/>
  <c r="AO167" i="1"/>
  <c r="AO168" i="1"/>
  <c r="AO182" i="1"/>
  <c r="AN166" i="1"/>
  <c r="AN167" i="1"/>
  <c r="AN168" i="1"/>
  <c r="AN180" i="1"/>
  <c r="AN4" i="1"/>
  <c r="AN182" i="1"/>
  <c r="AN18" i="65"/>
  <c r="AN17" i="65"/>
  <c r="AN179" i="1"/>
  <c r="AO158" i="1" l="1"/>
  <c r="AO261" i="1"/>
  <c r="AO262" i="1" s="1"/>
  <c r="AO159" i="1"/>
  <c r="AN261" i="1"/>
  <c r="AN262" i="1" s="1"/>
  <c r="AP157" i="1"/>
  <c r="AQ159" i="1" s="1"/>
  <c r="AN114" i="1"/>
  <c r="AN13" i="1"/>
  <c r="AN185" i="1"/>
  <c r="AN187" i="1"/>
  <c r="AP183" i="1"/>
  <c r="AP182" i="1"/>
  <c r="AO114" i="1"/>
  <c r="AO13" i="1"/>
  <c r="AO23" i="1" l="1"/>
  <c r="AO46" i="9" s="1"/>
  <c r="AN23" i="1"/>
  <c r="AN46" i="9" s="1"/>
  <c r="AO21" i="1"/>
  <c r="AN96" i="1"/>
  <c r="AN21" i="1"/>
  <c r="AO99" i="1"/>
  <c r="AO100" i="1"/>
  <c r="AO95" i="1"/>
  <c r="AO112" i="1"/>
  <c r="AO101" i="1"/>
  <c r="AO98" i="1"/>
  <c r="AO125" i="1"/>
  <c r="AO45" i="9"/>
  <c r="AA17" i="72"/>
  <c r="AO24" i="65"/>
  <c r="AO20" i="65" s="1"/>
  <c r="AO111" i="1"/>
  <c r="AA16" i="72"/>
  <c r="AO5" i="1"/>
  <c r="AO96" i="1"/>
  <c r="AN188" i="1"/>
  <c r="AN111" i="1"/>
  <c r="Z16" i="72"/>
  <c r="AN275" i="1"/>
  <c r="AN5" i="1"/>
  <c r="AP158" i="1"/>
  <c r="AP4" i="1"/>
  <c r="AN95" i="1"/>
  <c r="AN112" i="1"/>
  <c r="AN125" i="1"/>
  <c r="AN101" i="1"/>
  <c r="AN99" i="1"/>
  <c r="AN276" i="1"/>
  <c r="AN98" i="1"/>
  <c r="AN45" i="9"/>
  <c r="AN100" i="1"/>
  <c r="Z17" i="72"/>
  <c r="AN24" i="65"/>
  <c r="AP23" i="1" l="1"/>
  <c r="AO126" i="1"/>
  <c r="AO115" i="1"/>
  <c r="AO97" i="1"/>
  <c r="AO32" i="1"/>
  <c r="AO49" i="1" s="1"/>
  <c r="AO25" i="65"/>
  <c r="AP111" i="1"/>
  <c r="C20" i="12"/>
  <c r="K20" i="12" s="1"/>
  <c r="Z26" i="72"/>
  <c r="Z31" i="72" s="1"/>
  <c r="Z25" i="72"/>
  <c r="Z28" i="72" s="1"/>
  <c r="AO42" i="1"/>
  <c r="AO94" i="1"/>
  <c r="AA25" i="72"/>
  <c r="AA28" i="72" s="1"/>
  <c r="AA26" i="72"/>
  <c r="AA31" i="72" s="1"/>
  <c r="AN94" i="1"/>
  <c r="AN42" i="1"/>
  <c r="AN115" i="1"/>
  <c r="AN126" i="1"/>
  <c r="AN97" i="1"/>
  <c r="AN32" i="1"/>
  <c r="AN36" i="1" s="1"/>
  <c r="H24" i="65"/>
  <c r="H25" i="65" s="1"/>
  <c r="AN25" i="65"/>
  <c r="AN20" i="65"/>
  <c r="AP20" i="65" l="1"/>
  <c r="AP22" i="65" s="1"/>
  <c r="AO36" i="1"/>
  <c r="AN52" i="10"/>
  <c r="AN53" i="10" s="1"/>
  <c r="AN54" i="10" s="1"/>
  <c r="AO21" i="65"/>
  <c r="AO22" i="65"/>
  <c r="AN102" i="1"/>
  <c r="AN43" i="1"/>
  <c r="AN104" i="1" s="1"/>
  <c r="AO102" i="1"/>
  <c r="AO43" i="1"/>
  <c r="AN22" i="65"/>
  <c r="H20" i="65"/>
  <c r="AN21" i="65"/>
  <c r="AP42" i="1"/>
  <c r="AO52" i="1" l="1"/>
  <c r="AO108" i="1"/>
  <c r="AO52" i="10"/>
  <c r="AO53" i="10" s="1"/>
  <c r="AO54" i="10" s="1"/>
  <c r="AP52" i="10"/>
  <c r="AP53" i="10" s="1"/>
  <c r="AO28" i="9"/>
  <c r="AO36" i="9" s="1"/>
  <c r="AN103" i="1"/>
  <c r="AN120" i="1"/>
  <c r="AN131" i="1"/>
  <c r="H22" i="65"/>
  <c r="AO103" i="1"/>
  <c r="AO120" i="1"/>
  <c r="AO131" i="1"/>
  <c r="AO104" i="1"/>
  <c r="AO74" i="1" l="1"/>
  <c r="AO75" i="1"/>
  <c r="AM44" i="10" l="1"/>
  <c r="AO25" i="10" l="1"/>
  <c r="AP21" i="10"/>
  <c r="AP25" i="10" l="1"/>
  <c r="BA15" i="9" l="1"/>
  <c r="BB15" i="9" s="1"/>
  <c r="BC15" i="9" s="1"/>
  <c r="BD15" i="9" s="1"/>
  <c r="BE15" i="9" l="1"/>
  <c r="BF15" i="9" s="1"/>
  <c r="BG15" i="9" s="1"/>
  <c r="BH15" i="9" s="1"/>
  <c r="BI15" i="9" s="1"/>
  <c r="AN49" i="1" l="1"/>
  <c r="AN108" i="1" s="1"/>
  <c r="AN52" i="1" l="1"/>
  <c r="AN66" i="1"/>
  <c r="AN69" i="1" s="1"/>
  <c r="AN121" i="1" s="1"/>
  <c r="AN74" i="1" l="1"/>
  <c r="AN75" i="1"/>
  <c r="AN39" i="1"/>
  <c r="AN71" i="1" l="1"/>
  <c r="AN72" i="1"/>
  <c r="AN16" i="10"/>
  <c r="AN80" i="1" l="1"/>
  <c r="AN36" i="10"/>
  <c r="AN46" i="10"/>
  <c r="AN48" i="10" s="1"/>
  <c r="AN106" i="1" l="1"/>
  <c r="AN105" i="1"/>
  <c r="AN81" i="1"/>
  <c r="AN122" i="1"/>
  <c r="AN132" i="1"/>
  <c r="AN56" i="10"/>
  <c r="AN39" i="10"/>
  <c r="AO38" i="10" s="1"/>
  <c r="AO54" i="9" l="1"/>
  <c r="AO56" i="9" s="1"/>
  <c r="AN52" i="9"/>
  <c r="AN42" i="9"/>
  <c r="AN43" i="9" s="1"/>
  <c r="AN49" i="10"/>
  <c r="AN82" i="1"/>
  <c r="AN84" i="1" l="1"/>
  <c r="AN107" i="1"/>
  <c r="AP46" i="1"/>
  <c r="AN83" i="1"/>
  <c r="AO66" i="1" l="1"/>
  <c r="AO39" i="1" l="1"/>
  <c r="AO69" i="1"/>
  <c r="AO121" i="1" s="1"/>
  <c r="AP66" i="1"/>
  <c r="AP52" i="1" l="1"/>
  <c r="AP39" i="1" l="1"/>
  <c r="AP72" i="1" s="1"/>
  <c r="AP75" i="1"/>
  <c r="AP74" i="1"/>
  <c r="AO16" i="10"/>
  <c r="AO46" i="10" s="1"/>
  <c r="AO48" i="10" s="1"/>
  <c r="AP6" i="10"/>
  <c r="AP16" i="10" s="1"/>
  <c r="AO72" i="1"/>
  <c r="AO71" i="1"/>
  <c r="AP71" i="1" l="1"/>
  <c r="AP36" i="10"/>
  <c r="AP80" i="1"/>
  <c r="AO36" i="10"/>
  <c r="AO80" i="1"/>
  <c r="AO39" i="10" l="1"/>
  <c r="AO56" i="10"/>
  <c r="AP46" i="10"/>
  <c r="AP122" i="1"/>
  <c r="G20" i="12"/>
  <c r="M20" i="12" s="1"/>
  <c r="AP81" i="1"/>
  <c r="AP105" i="1"/>
  <c r="AO122" i="1"/>
  <c r="AO105" i="1"/>
  <c r="AO106" i="1"/>
  <c r="AO81" i="1"/>
  <c r="AO132" i="1"/>
  <c r="AP62" i="10" l="1"/>
  <c r="AO49" i="10"/>
  <c r="AO82" i="1"/>
  <c r="AP48" i="10"/>
  <c r="AQ54" i="9"/>
  <c r="AQ56" i="9" s="1"/>
  <c r="AO42" i="9"/>
  <c r="AO43" i="9" s="1"/>
  <c r="AO12" i="9"/>
  <c r="AO19" i="9" s="1"/>
  <c r="AO39" i="9" s="1"/>
  <c r="AO52" i="9"/>
  <c r="AQ38" i="10"/>
  <c r="AP38" i="10"/>
  <c r="AP39" i="10" s="1"/>
  <c r="AO84" i="1" l="1"/>
  <c r="AP82" i="1"/>
  <c r="AO107" i="1"/>
  <c r="AO83" i="1"/>
  <c r="AP91" i="1" l="1"/>
  <c r="AP83" i="1"/>
  <c r="AO152" i="1" l="1"/>
  <c r="AP152" i="1" s="1"/>
  <c r="AP153" i="1"/>
  <c r="AP154" i="1" s="1"/>
  <c r="AO154" i="1"/>
  <c r="AR152" i="1" l="1"/>
  <c r="AO18" i="65" l="1"/>
  <c r="AO17" i="65"/>
  <c r="H16" i="65"/>
  <c r="H18" i="65" s="1"/>
  <c r="AO173" i="1"/>
  <c r="AP173" i="1" l="1"/>
  <c r="AP174" i="1" s="1"/>
  <c r="AO176" i="1"/>
  <c r="AO172" i="1"/>
  <c r="AO174" i="1"/>
  <c r="AO179" i="1"/>
  <c r="AP172" i="1" l="1"/>
  <c r="AO178" i="1"/>
  <c r="AO190" i="1"/>
  <c r="AO181" i="1"/>
  <c r="AP176" i="1"/>
  <c r="AO180" i="1"/>
  <c r="AO185" i="1"/>
  <c r="AP178" i="1" l="1"/>
  <c r="AP164" i="1"/>
  <c r="AP190" i="1"/>
  <c r="AP191" i="1" s="1"/>
  <c r="AO187" i="1"/>
  <c r="AX165" i="1" l="1"/>
  <c r="AY165" i="1"/>
  <c r="AQ168" i="1"/>
  <c r="AQ165" i="1"/>
  <c r="AP187" i="1"/>
  <c r="AP188" i="1" s="1"/>
  <c r="AO188" i="1"/>
  <c r="AM165" i="1"/>
  <c r="AP179" i="1"/>
  <c r="AP184" i="1"/>
  <c r="AP180" i="1"/>
  <c r="AO165" i="1"/>
  <c r="AN165" i="1"/>
  <c r="AP15" i="1"/>
  <c r="H61" i="65" s="1"/>
  <c r="AP167" i="1"/>
  <c r="AL165" i="1"/>
  <c r="H62" i="65" l="1"/>
  <c r="H63" i="65" s="1"/>
  <c r="AQ182" i="1"/>
  <c r="H33" i="65"/>
  <c r="AP114" i="1"/>
  <c r="AP13" i="1"/>
  <c r="AP112" i="1" l="1"/>
  <c r="H65" i="65"/>
  <c r="AQ13" i="1"/>
  <c r="AQ114" i="1"/>
  <c r="AQ4" i="1"/>
  <c r="AQ261" i="1"/>
  <c r="AQ262" i="1" s="1"/>
  <c r="AP99" i="1"/>
  <c r="AP98" i="1"/>
  <c r="AP107" i="1"/>
  <c r="AP101" i="1"/>
  <c r="AP106" i="1"/>
  <c r="AP95" i="1"/>
  <c r="AP5" i="1"/>
  <c r="AP94" i="1" s="1"/>
  <c r="AP24" i="1"/>
  <c r="AP21" i="1"/>
  <c r="AP100" i="1"/>
  <c r="AP49" i="10"/>
  <c r="AP96" i="1"/>
  <c r="AP31" i="1"/>
  <c r="AP47" i="10"/>
  <c r="AP54" i="10"/>
  <c r="E20" i="12"/>
  <c r="L20" i="12" s="1"/>
  <c r="AP84" i="1"/>
  <c r="AP65" i="10"/>
  <c r="H34" i="65"/>
  <c r="H31" i="65"/>
  <c r="AP85" i="1" l="1"/>
  <c r="AQ23" i="1"/>
  <c r="AQ46" i="9" s="1"/>
  <c r="AV17" i="1"/>
  <c r="H66" i="65"/>
  <c r="H67" i="65" s="1"/>
  <c r="AQ96" i="1"/>
  <c r="AQ5" i="1"/>
  <c r="AQ42" i="1" s="1"/>
  <c r="AQ43" i="1" s="1"/>
  <c r="AQ111" i="1"/>
  <c r="AQ275" i="1"/>
  <c r="AQ276" i="1"/>
  <c r="AQ101" i="1"/>
  <c r="AQ125" i="1"/>
  <c r="AQ24" i="65"/>
  <c r="AQ98" i="1"/>
  <c r="AQ100" i="1"/>
  <c r="AQ95" i="1"/>
  <c r="AQ45" i="9"/>
  <c r="AQ112" i="1"/>
  <c r="AQ99" i="1"/>
  <c r="AQ21" i="1"/>
  <c r="AP97" i="1"/>
  <c r="AP32" i="1"/>
  <c r="AP115" i="1"/>
  <c r="H32" i="65"/>
  <c r="H38" i="65"/>
  <c r="AQ94" i="1" l="1"/>
  <c r="AQ25" i="65"/>
  <c r="AQ20" i="65"/>
  <c r="AQ126" i="1"/>
  <c r="AQ115" i="1"/>
  <c r="AQ97" i="1"/>
  <c r="H39" i="65"/>
  <c r="AP36" i="1"/>
  <c r="AP102" i="1"/>
  <c r="AP43" i="1"/>
  <c r="AP49" i="1"/>
  <c r="AQ21" i="65" l="1"/>
  <c r="AQ22" i="65"/>
  <c r="AQ52" i="10"/>
  <c r="AQ53" i="10" s="1"/>
  <c r="AQ54" i="10" s="1"/>
  <c r="AQ28" i="9"/>
  <c r="AQ36" i="9" s="1"/>
  <c r="AQ36" i="1"/>
  <c r="AQ102" i="1"/>
  <c r="AP56" i="10"/>
  <c r="AP120" i="1"/>
  <c r="AP103" i="1"/>
  <c r="AP104" i="1"/>
  <c r="AP69" i="1"/>
  <c r="AP121" i="1" s="1"/>
  <c r="AP108" i="1"/>
  <c r="AQ66" i="1" l="1"/>
  <c r="AQ69" i="1" s="1"/>
  <c r="AQ121" i="1" s="1"/>
  <c r="AQ104" i="1"/>
  <c r="AQ131" i="1"/>
  <c r="AQ120" i="1"/>
  <c r="AQ103" i="1"/>
  <c r="AQ39" i="1" l="1"/>
  <c r="AQ16" i="10"/>
  <c r="AQ46" i="10" s="1"/>
  <c r="AQ48" i="10" s="1"/>
  <c r="AQ36" i="10" l="1"/>
  <c r="AQ39" i="10" s="1"/>
  <c r="AR38" i="10" s="1"/>
  <c r="AQ80" i="1"/>
  <c r="AQ71" i="1"/>
  <c r="AQ72" i="1"/>
  <c r="AQ56" i="10"/>
  <c r="AQ81" i="1" l="1"/>
  <c r="AQ122" i="1"/>
  <c r="AQ132" i="1"/>
  <c r="AQ106" i="1"/>
  <c r="AQ105" i="1"/>
  <c r="AQ82" i="1"/>
  <c r="AQ49" i="10"/>
  <c r="AQ12" i="9"/>
  <c r="AQ19" i="9" s="1"/>
  <c r="AQ39" i="9" s="1"/>
  <c r="AQ42" i="9"/>
  <c r="AQ43" i="9" s="1"/>
  <c r="AQ52" i="9"/>
  <c r="AR54" i="9"/>
  <c r="AQ107" i="1" l="1"/>
  <c r="AQ83" i="1"/>
  <c r="AQ84" i="1"/>
  <c r="AP41" i="10" l="1"/>
  <c r="AO44" i="10"/>
  <c r="AP44" i="10" s="1"/>
  <c r="AQ18" i="65"/>
  <c r="AQ17" i="65"/>
  <c r="AQ173" i="1"/>
  <c r="AQ170" i="1" s="1"/>
  <c r="AV171" i="1" l="1"/>
  <c r="AQ171" i="1"/>
  <c r="AQ176" i="1"/>
  <c r="AQ185" i="1" s="1"/>
  <c r="AQ172" i="1"/>
  <c r="AQ174" i="1"/>
  <c r="AQ179" i="1"/>
  <c r="AV178" i="1" l="1"/>
  <c r="BA181" i="1"/>
  <c r="AQ180" i="1"/>
  <c r="AQ181" i="1"/>
  <c r="AQ178" i="1"/>
  <c r="AQ190" i="1"/>
  <c r="AQ187" i="1" s="1"/>
  <c r="AQ188" i="1" s="1"/>
  <c r="AV181" i="1" l="1"/>
  <c r="AV190" i="1"/>
  <c r="AR13" i="1"/>
  <c r="AR166" i="1"/>
  <c r="AR165" i="1"/>
  <c r="AR167" i="1"/>
  <c r="AR168" i="1"/>
  <c r="AR182" i="1"/>
  <c r="AW17" i="1" l="1"/>
  <c r="AR23" i="1"/>
  <c r="AR114" i="1"/>
  <c r="AR158" i="1"/>
  <c r="AR159" i="1"/>
  <c r="AR261" i="1"/>
  <c r="AR262" i="1" s="1"/>
  <c r="AR4" i="1"/>
  <c r="AR5" i="1" l="1"/>
  <c r="AR275" i="1"/>
  <c r="AR111" i="1"/>
  <c r="AR99" i="1"/>
  <c r="AR45" i="9"/>
  <c r="AR98" i="1"/>
  <c r="AR125" i="1"/>
  <c r="AR95" i="1"/>
  <c r="AR276" i="1"/>
  <c r="AR100" i="1"/>
  <c r="AR21" i="1"/>
  <c r="AR101" i="1"/>
  <c r="AR24" i="65"/>
  <c r="AR112" i="1"/>
  <c r="AR46" i="9"/>
  <c r="AR96" i="1"/>
  <c r="AR115" i="1" l="1"/>
  <c r="AR97" i="1"/>
  <c r="AR126" i="1"/>
  <c r="AR32" i="1"/>
  <c r="AR49" i="1" s="1"/>
  <c r="AR25" i="65"/>
  <c r="AR20" i="65"/>
  <c r="AR94" i="1"/>
  <c r="AR28" i="9"/>
  <c r="AR42" i="1"/>
  <c r="AR52" i="10" l="1"/>
  <c r="AR53" i="10" s="1"/>
  <c r="AR54" i="10" s="1"/>
  <c r="AR21" i="65"/>
  <c r="AR22" i="65"/>
  <c r="AR102" i="1"/>
  <c r="AR36" i="1"/>
  <c r="AR43" i="1"/>
  <c r="AR36" i="9"/>
  <c r="AR39" i="9" s="1"/>
  <c r="AR52" i="1" l="1"/>
  <c r="AR108" i="1"/>
  <c r="AR66" i="1" s="1"/>
  <c r="AR69" i="1" s="1"/>
  <c r="AR121" i="1" s="1"/>
  <c r="AR104" i="1"/>
  <c r="AR120" i="1"/>
  <c r="AR103" i="1"/>
  <c r="AR131" i="1"/>
  <c r="AR75" i="1" l="1"/>
  <c r="AR74" i="1"/>
  <c r="AR39" i="1"/>
  <c r="AR16" i="10" l="1"/>
  <c r="AR80" i="1" s="1"/>
  <c r="AR72" i="1"/>
  <c r="AR71" i="1"/>
  <c r="AR36" i="10" l="1"/>
  <c r="AR46" i="10"/>
  <c r="AR48" i="10" s="1"/>
  <c r="AR56" i="10" l="1"/>
  <c r="AR82" i="1"/>
  <c r="AR39" i="10"/>
  <c r="AS38" i="10" s="1"/>
  <c r="AR132" i="1"/>
  <c r="AR105" i="1"/>
  <c r="AR122" i="1"/>
  <c r="AR81" i="1"/>
  <c r="AR106" i="1"/>
  <c r="AR52" i="9" l="1"/>
  <c r="AR42" i="9"/>
  <c r="AR43" i="9" s="1"/>
  <c r="AR12" i="9"/>
  <c r="AR19" i="9" s="1"/>
  <c r="AS54" i="9"/>
  <c r="AS56" i="9" s="1"/>
  <c r="AR49" i="10"/>
  <c r="AR83" i="1" l="1"/>
  <c r="AR107" i="1"/>
  <c r="AR84" i="1"/>
  <c r="AQ44" i="10" l="1"/>
  <c r="AR17" i="65" l="1"/>
  <c r="AR18" i="65"/>
  <c r="AR173" i="1"/>
  <c r="AR170" i="1" s="1"/>
  <c r="AR176" i="1" l="1"/>
  <c r="AR179" i="1"/>
  <c r="AR174" i="1"/>
  <c r="AR178" i="1" l="1"/>
  <c r="AR181" i="1"/>
  <c r="AR190" i="1"/>
  <c r="AR180" i="1"/>
  <c r="AR185" i="1"/>
  <c r="AR187" i="1" l="1"/>
  <c r="AR188" i="1" s="1"/>
  <c r="AS165" i="1" l="1"/>
  <c r="AS167" i="1"/>
  <c r="AS166" i="1"/>
  <c r="AS168" i="1"/>
  <c r="AS182" i="1"/>
  <c r="AS159" i="1" l="1"/>
  <c r="AS158" i="1"/>
  <c r="AS261" i="1"/>
  <c r="AS262" i="1" s="1"/>
  <c r="AS114" i="1"/>
  <c r="AS111" i="1" l="1"/>
  <c r="AS275" i="1"/>
  <c r="AV38" i="1" l="1"/>
  <c r="AX33" i="1" l="1"/>
  <c r="AX38" i="1"/>
  <c r="AW33" i="1"/>
  <c r="AW38" i="1"/>
  <c r="AR56" i="9" l="1"/>
  <c r="AS113" i="1" l="1"/>
  <c r="AS143" i="1"/>
  <c r="AS144" i="1" s="1"/>
  <c r="AS13" i="1"/>
  <c r="AX17" i="1" s="1"/>
  <c r="AS146" i="1" l="1"/>
  <c r="AS145" i="1"/>
  <c r="AS140" i="1"/>
  <c r="AS96" i="1"/>
  <c r="AS99" i="1"/>
  <c r="AS98" i="1"/>
  <c r="AS101" i="1"/>
  <c r="AS125" i="1"/>
  <c r="AS21" i="1"/>
  <c r="AS95" i="1"/>
  <c r="AS45" i="9"/>
  <c r="AS100" i="1"/>
  <c r="AS276" i="1"/>
  <c r="AS5" i="1"/>
  <c r="AS24" i="65"/>
  <c r="AS112" i="1"/>
  <c r="AS94" i="1" l="1"/>
  <c r="AS42" i="1"/>
  <c r="AU140" i="1"/>
  <c r="AS141" i="1"/>
  <c r="AS25" i="65"/>
  <c r="AS20" i="65"/>
  <c r="AX137" i="1" l="1"/>
  <c r="AX138" i="1"/>
  <c r="AX259" i="1"/>
  <c r="AS52" i="10"/>
  <c r="AS53" i="10" s="1"/>
  <c r="AS54" i="10" s="1"/>
  <c r="AT146" i="1"/>
  <c r="AT145" i="1"/>
  <c r="AU143" i="1"/>
  <c r="I57" i="65" s="1"/>
  <c r="I58" i="65" s="1"/>
  <c r="AS22" i="65"/>
  <c r="AS21" i="65"/>
  <c r="AU141" i="1"/>
  <c r="AX260" i="1" l="1"/>
  <c r="BC260" i="1"/>
  <c r="I59" i="65"/>
  <c r="AT138" i="1"/>
  <c r="AT259" i="1"/>
  <c r="AT260" i="1" s="1"/>
  <c r="AT137" i="1"/>
  <c r="AU136" i="1"/>
  <c r="AT113" i="1"/>
  <c r="AY259" i="1"/>
  <c r="AU144" i="1"/>
  <c r="AU145" i="1"/>
  <c r="AU14" i="1"/>
  <c r="AZ136" i="1"/>
  <c r="AU137" i="1" l="1"/>
  <c r="AY260" i="1"/>
  <c r="AZ137" i="1"/>
  <c r="AU113" i="1"/>
  <c r="K57" i="65" l="1"/>
  <c r="K58" i="65" s="1"/>
  <c r="AS152" i="1" l="1"/>
  <c r="AS154" i="1"/>
  <c r="AU153" i="1" l="1"/>
  <c r="AU154" i="1" s="1"/>
  <c r="AU152" i="1" l="1"/>
  <c r="AS97" i="1" l="1"/>
  <c r="AS126" i="1"/>
  <c r="AS115" i="1"/>
  <c r="AS23" i="1"/>
  <c r="AS32" i="1"/>
  <c r="AS49" i="1" l="1"/>
  <c r="AS108" i="1" s="1"/>
  <c r="AS66" i="1" s="1"/>
  <c r="AS69" i="1" s="1"/>
  <c r="AS121" i="1" s="1"/>
  <c r="AS46" i="9"/>
  <c r="AS28" i="9" s="1"/>
  <c r="AS36" i="9" s="1"/>
  <c r="AS36" i="1"/>
  <c r="AS43" i="1"/>
  <c r="AS102" i="1"/>
  <c r="AS52" i="1" l="1"/>
  <c r="AS104" i="1"/>
  <c r="AS131" i="1"/>
  <c r="AS103" i="1"/>
  <c r="AS120" i="1"/>
  <c r="AS74" i="1" l="1"/>
  <c r="AS75" i="1"/>
  <c r="AS39" i="1"/>
  <c r="AS71" i="1" l="1"/>
  <c r="AS72" i="1"/>
  <c r="AS16" i="10"/>
  <c r="AS80" i="1" l="1"/>
  <c r="AS46" i="10"/>
  <c r="AS36" i="10"/>
  <c r="AS105" i="1" l="1"/>
  <c r="AS132" i="1"/>
  <c r="AS122" i="1"/>
  <c r="AS106" i="1"/>
  <c r="AS81" i="1"/>
  <c r="AS39" i="10"/>
  <c r="AT38" i="10" s="1"/>
  <c r="AS56" i="10"/>
  <c r="AS48" i="10"/>
  <c r="AS52" i="9" l="1"/>
  <c r="AS12" i="9"/>
  <c r="AS19" i="9" s="1"/>
  <c r="AS39" i="9" s="1"/>
  <c r="AS42" i="9"/>
  <c r="AS43" i="9" s="1"/>
  <c r="AT54" i="9"/>
  <c r="AT56" i="9" s="1"/>
  <c r="AS82" i="1"/>
  <c r="AS49" i="10"/>
  <c r="BG56" i="9" l="1"/>
  <c r="BH56" i="9" s="1"/>
  <c r="BI56" i="9" s="1"/>
  <c r="AU46" i="1"/>
  <c r="AS84" i="1"/>
  <c r="AS107" i="1"/>
  <c r="AS83" i="1"/>
  <c r="AS17" i="65" l="1"/>
  <c r="AS18" i="65"/>
  <c r="AS173" i="1"/>
  <c r="AS172" i="1" s="1"/>
  <c r="AS176" i="1" l="1"/>
  <c r="AS174" i="1"/>
  <c r="AS179" i="1"/>
  <c r="AS181" i="1" l="1"/>
  <c r="AS190" i="1"/>
  <c r="AS185" i="1"/>
  <c r="AS178" i="1"/>
  <c r="AS180" i="1"/>
  <c r="AS187" i="1" l="1"/>
  <c r="AS188" i="1" l="1"/>
  <c r="AT168" i="1"/>
  <c r="AT166" i="1"/>
  <c r="AT165" i="1"/>
  <c r="AT167" i="1"/>
  <c r="AT182" i="1"/>
  <c r="AT114" i="1" l="1"/>
  <c r="AT13" i="1"/>
  <c r="AT261" i="1"/>
  <c r="AT262" i="1" s="1"/>
  <c r="AU157" i="1"/>
  <c r="AT4" i="1"/>
  <c r="AU182" i="1"/>
  <c r="AT23" i="1" l="1"/>
  <c r="AT96" i="1"/>
  <c r="AT21" i="1"/>
  <c r="AU23" i="1"/>
  <c r="AT46" i="9"/>
  <c r="AU183" i="1"/>
  <c r="AU158" i="1"/>
  <c r="AU4" i="1"/>
  <c r="AT111" i="1"/>
  <c r="AT5" i="1"/>
  <c r="AT42" i="1" s="1"/>
  <c r="AT95" i="1"/>
  <c r="AT100" i="1"/>
  <c r="AT99" i="1"/>
  <c r="AT45" i="9"/>
  <c r="AT125" i="1"/>
  <c r="AT98" i="1"/>
  <c r="AT101" i="1"/>
  <c r="AT112" i="1"/>
  <c r="AT24" i="65"/>
  <c r="AU111" i="1" l="1"/>
  <c r="C24" i="12"/>
  <c r="K24" i="12" s="1"/>
  <c r="AU11" i="1"/>
  <c r="I24" i="65"/>
  <c r="I25" i="65" s="1"/>
  <c r="AT25" i="65"/>
  <c r="AT20" i="65"/>
  <c r="AU42" i="1"/>
  <c r="AT94" i="1"/>
  <c r="AT97" i="1"/>
  <c r="AT126" i="1"/>
  <c r="AT115" i="1"/>
  <c r="AT32" i="1"/>
  <c r="AT49" i="1" s="1"/>
  <c r="AT108" i="1" s="1"/>
  <c r="AU52" i="10" l="1"/>
  <c r="AU53" i="10" s="1"/>
  <c r="AT52" i="10"/>
  <c r="AT53" i="10" s="1"/>
  <c r="AT54" i="10" s="1"/>
  <c r="AT21" i="65"/>
  <c r="BF20" i="65"/>
  <c r="BF22" i="65" s="1"/>
  <c r="AT22" i="65"/>
  <c r="I20" i="65"/>
  <c r="AT102" i="1"/>
  <c r="AT43" i="1"/>
  <c r="AT28" i="9"/>
  <c r="AT36" i="9" s="1"/>
  <c r="AT39" i="9" s="1"/>
  <c r="AT66" i="1" l="1"/>
  <c r="AU66" i="1" s="1"/>
  <c r="AU45" i="1"/>
  <c r="AU33" i="1" s="1"/>
  <c r="AT33" i="1"/>
  <c r="AT36" i="1" s="1"/>
  <c r="AT38" i="1"/>
  <c r="AU38" i="1" s="1"/>
  <c r="I22" i="65"/>
  <c r="AT131" i="1"/>
  <c r="AT104" i="1"/>
  <c r="AT120" i="1"/>
  <c r="AT103" i="1"/>
  <c r="AT52" i="1" l="1"/>
  <c r="AT69" i="1"/>
  <c r="AT121" i="1" s="1"/>
  <c r="AT74" i="1" l="1"/>
  <c r="AT75" i="1"/>
  <c r="AU52" i="1"/>
  <c r="AT39" i="1"/>
  <c r="AT71" i="1" s="1"/>
  <c r="AU39" i="1" l="1"/>
  <c r="AU74" i="1"/>
  <c r="AU75" i="1"/>
  <c r="AT72" i="1"/>
  <c r="AU6" i="10"/>
  <c r="AU71" i="1" l="1"/>
  <c r="AU72" i="1"/>
  <c r="CK13" i="65" l="1"/>
  <c r="AS44" i="10" l="1"/>
  <c r="AV7" i="65" l="1"/>
  <c r="BD6" i="65" l="1"/>
  <c r="J6" i="65"/>
  <c r="J74" i="65" s="1"/>
  <c r="J73" i="65" s="1"/>
  <c r="AW13" i="65"/>
  <c r="AX13" i="65"/>
  <c r="K6" i="65" l="1"/>
  <c r="K8" i="65" s="1"/>
  <c r="BD9" i="65"/>
  <c r="BD7" i="65"/>
  <c r="J75" i="65"/>
  <c r="J9" i="65"/>
  <c r="Q6" i="65"/>
  <c r="J8" i="65"/>
  <c r="BD12" i="65" l="1"/>
  <c r="K9" i="65"/>
  <c r="J12" i="65"/>
  <c r="L8" i="65"/>
  <c r="M8" i="65" s="1"/>
  <c r="N8" i="65" s="1"/>
  <c r="O8" i="65" s="1"/>
  <c r="P8" i="65" s="1"/>
  <c r="K74" i="65"/>
  <c r="K11" i="65" l="1"/>
  <c r="K10" i="65"/>
  <c r="BD13" i="65"/>
  <c r="K12" i="65"/>
  <c r="K73" i="65"/>
  <c r="K75" i="65"/>
  <c r="L6" i="65"/>
  <c r="L74" i="65" s="1"/>
  <c r="K14" i="65" l="1"/>
  <c r="K13" i="65"/>
  <c r="L73" i="65"/>
  <c r="L75" i="65"/>
  <c r="M6" i="65"/>
  <c r="N6" i="65" l="1"/>
  <c r="O6" i="65" l="1"/>
  <c r="P6" i="65" l="1"/>
  <c r="J11" i="65"/>
  <c r="J14" i="65"/>
  <c r="Q36" i="65"/>
  <c r="J10" i="65"/>
  <c r="Q29" i="65" l="1"/>
  <c r="J13" i="65"/>
  <c r="L10" i="65"/>
  <c r="L9" i="65" l="1"/>
  <c r="M10" i="65"/>
  <c r="N10" i="65" l="1"/>
  <c r="M9" i="65"/>
  <c r="L12" i="65"/>
  <c r="L11" i="65"/>
  <c r="N9" i="65" l="1"/>
  <c r="O10" i="65"/>
  <c r="L13" i="65"/>
  <c r="L14" i="65"/>
  <c r="M12" i="65"/>
  <c r="M11" i="65"/>
  <c r="M14" i="65" l="1"/>
  <c r="M13" i="65"/>
  <c r="O9" i="65"/>
  <c r="P10" i="65"/>
  <c r="P9" i="65" s="1"/>
  <c r="N36" i="65"/>
  <c r="N12" i="65"/>
  <c r="N11" i="65"/>
  <c r="O36" i="65" l="1"/>
  <c r="O11" i="65"/>
  <c r="O12" i="65"/>
  <c r="N14" i="65"/>
  <c r="N13" i="65"/>
  <c r="N29" i="65"/>
  <c r="N37" i="65"/>
  <c r="P12" i="65"/>
  <c r="P11" i="65"/>
  <c r="P36" i="65"/>
  <c r="N30" i="65" l="1"/>
  <c r="P14" i="65"/>
  <c r="P29" i="65"/>
  <c r="P13" i="65"/>
  <c r="O13" i="65"/>
  <c r="O14" i="65"/>
  <c r="O29" i="65"/>
  <c r="O37" i="65"/>
  <c r="P37" i="65"/>
  <c r="P30" i="65" l="1"/>
  <c r="O30" i="65"/>
  <c r="AW171" i="1" l="1"/>
  <c r="AT170" i="1"/>
  <c r="AR171" i="1"/>
  <c r="BD170" i="1" l="1"/>
  <c r="AY171" i="1"/>
  <c r="BD171" i="1"/>
  <c r="BE170" i="1"/>
  <c r="BF117" i="1"/>
  <c r="BG117" i="1" l="1"/>
  <c r="BH117" i="1" l="1"/>
  <c r="BI117" i="1" l="1"/>
  <c r="BJ117" i="1" l="1"/>
  <c r="AZ45" i="1" l="1"/>
  <c r="AY33" i="1"/>
  <c r="AY38" i="1"/>
  <c r="AZ38" i="1" s="1"/>
  <c r="AZ33" i="1" l="1"/>
  <c r="AT17" i="65" l="1"/>
  <c r="AT18" i="65"/>
  <c r="I16" i="65"/>
  <c r="I18" i="65" s="1"/>
  <c r="AT173" i="1"/>
  <c r="AT176" i="1" s="1"/>
  <c r="AT178" i="1" l="1"/>
  <c r="AT190" i="1"/>
  <c r="AU173" i="1"/>
  <c r="AT174" i="1"/>
  <c r="AT179" i="1"/>
  <c r="AU174" i="1" l="1"/>
  <c r="AT180" i="1" l="1"/>
  <c r="AT181" i="1"/>
  <c r="AT185" i="1"/>
  <c r="AU190" i="1"/>
  <c r="AT187" i="1"/>
  <c r="AT188" i="1" s="1"/>
  <c r="AU187" i="1" l="1"/>
  <c r="AU188" i="1" s="1"/>
  <c r="AU176" i="1"/>
  <c r="AU164" i="1" s="1"/>
  <c r="AU15" i="1" s="1"/>
  <c r="I61" i="65" l="1"/>
  <c r="I62" i="65" s="1"/>
  <c r="AU114" i="1"/>
  <c r="AU13" i="1"/>
  <c r="AU178" i="1"/>
  <c r="AU180" i="1"/>
  <c r="AU191" i="1"/>
  <c r="AU167" i="1"/>
  <c r="AU179" i="1"/>
  <c r="AU184" i="1"/>
  <c r="AU95" i="1" l="1"/>
  <c r="AU21" i="1"/>
  <c r="AU54" i="10"/>
  <c r="AU100" i="1"/>
  <c r="AU101" i="1"/>
  <c r="AU98" i="1"/>
  <c r="E24" i="12"/>
  <c r="L24" i="12" s="1"/>
  <c r="AU99" i="1"/>
  <c r="AU5" i="1"/>
  <c r="AU94" i="1" s="1"/>
  <c r="I65" i="65"/>
  <c r="AU112" i="1"/>
  <c r="BL111" i="1" s="1"/>
  <c r="AU24" i="1"/>
  <c r="AU96" i="1"/>
  <c r="K62" i="65"/>
  <c r="K61" i="65" s="1"/>
  <c r="K65" i="65" s="1"/>
  <c r="I63" i="65"/>
  <c r="K66" i="65" l="1"/>
  <c r="AU8" i="10"/>
  <c r="AT16" i="10"/>
  <c r="I66" i="65"/>
  <c r="I67" i="65" s="1"/>
  <c r="AU97" i="1"/>
  <c r="AU115" i="1"/>
  <c r="AU32" i="1"/>
  <c r="AT80" i="1" l="1"/>
  <c r="AT46" i="10"/>
  <c r="AU102" i="1"/>
  <c r="AU36" i="1"/>
  <c r="AU49" i="1"/>
  <c r="AU43" i="1"/>
  <c r="AU65" i="10"/>
  <c r="AU16" i="10"/>
  <c r="AU80" i="1" l="1"/>
  <c r="AU36" i="10"/>
  <c r="AU120" i="1"/>
  <c r="AU104" i="1"/>
  <c r="AU103" i="1"/>
  <c r="AT56" i="10"/>
  <c r="AU46" i="10"/>
  <c r="AT48" i="10"/>
  <c r="AU108" i="1"/>
  <c r="AU69" i="1"/>
  <c r="AU121" i="1" s="1"/>
  <c r="AT106" i="1"/>
  <c r="AT81" i="1"/>
  <c r="AT105" i="1"/>
  <c r="AT122" i="1"/>
  <c r="AT132" i="1"/>
  <c r="AU47" i="10" l="1"/>
  <c r="AU62" i="10"/>
  <c r="AU56" i="10"/>
  <c r="AU105" i="1"/>
  <c r="G24" i="12"/>
  <c r="M24" i="12" s="1"/>
  <c r="AU81" i="1"/>
  <c r="AU122" i="1"/>
  <c r="AU106" i="1"/>
  <c r="AT52" i="9"/>
  <c r="AT42" i="9"/>
  <c r="AT43" i="9" s="1"/>
  <c r="AT12" i="9"/>
  <c r="AT19" i="9" s="1"/>
  <c r="AU48" i="10"/>
  <c r="AT82" i="1"/>
  <c r="AT49" i="10"/>
  <c r="AU109" i="1"/>
  <c r="AT107" i="1" l="1"/>
  <c r="AT84" i="1"/>
  <c r="AT83" i="1"/>
  <c r="AU82" i="1"/>
  <c r="AU49" i="10"/>
  <c r="AU83" i="1" l="1"/>
  <c r="AU107" i="1"/>
  <c r="AU91" i="1"/>
  <c r="AU84" i="1"/>
  <c r="AU85" i="1" s="1"/>
  <c r="AT171" i="1" l="1"/>
  <c r="AU170" i="1"/>
  <c r="AU171" i="1" s="1"/>
  <c r="AU172" i="1" l="1"/>
  <c r="AZ170" i="1"/>
  <c r="AT172" i="1"/>
  <c r="AZ171" i="1" l="1"/>
  <c r="BE171" i="1"/>
  <c r="BF171" i="1" l="1"/>
  <c r="AV166" i="1"/>
  <c r="AV182" i="1"/>
  <c r="AV167" i="1"/>
  <c r="AV180" i="1"/>
  <c r="AV168" i="1"/>
  <c r="AV165" i="1"/>
  <c r="BG171" i="1" l="1"/>
  <c r="BH171" i="1" s="1"/>
  <c r="BI171" i="1" s="1"/>
  <c r="BJ171" i="1" s="1"/>
  <c r="BF170" i="1"/>
  <c r="BG170" i="1" s="1"/>
  <c r="BH170" i="1" s="1"/>
  <c r="AV187" i="1"/>
  <c r="AV114" i="1"/>
  <c r="AV158" i="1"/>
  <c r="AV261" i="1"/>
  <c r="AV262" i="1" s="1"/>
  <c r="AV159" i="1"/>
  <c r="AV111" i="1" l="1"/>
  <c r="AV275" i="1"/>
  <c r="BI170" i="1"/>
  <c r="BJ170" i="1" l="1"/>
  <c r="BF45" i="1" l="1"/>
  <c r="BG45" i="1" l="1"/>
  <c r="BF38" i="1"/>
  <c r="BF33" i="1"/>
  <c r="BG33" i="1" l="1"/>
  <c r="BG38" i="1"/>
  <c r="BH45" i="1"/>
  <c r="BI45" i="1" l="1"/>
  <c r="BH33" i="1"/>
  <c r="BH38" i="1"/>
  <c r="BI33" i="1" l="1"/>
  <c r="BI38" i="1"/>
  <c r="BJ45" i="1"/>
  <c r="BJ33" i="1" l="1"/>
  <c r="BJ38" i="1"/>
  <c r="AZ14" i="10" l="1"/>
  <c r="AT25" i="10" l="1"/>
  <c r="AT36" i="10" s="1"/>
  <c r="AT39" i="10" s="1"/>
  <c r="AU41" i="10"/>
  <c r="AU44" i="10"/>
  <c r="AU38" i="10" l="1"/>
  <c r="AU39" i="10" s="1"/>
  <c r="AV38" i="10"/>
  <c r="BF144" i="1" l="1"/>
  <c r="AV95" i="1"/>
  <c r="AV96" i="1"/>
  <c r="AV98" i="1"/>
  <c r="AV113" i="1"/>
  <c r="AV125" i="1"/>
  <c r="AV143" i="1"/>
  <c r="BA145" i="1" s="1"/>
  <c r="AV276" i="1"/>
  <c r="AV154" i="1" l="1"/>
  <c r="BA154" i="1" s="1"/>
  <c r="AV152" i="1"/>
  <c r="AW146" i="1"/>
  <c r="AV145" i="1"/>
  <c r="AV140" i="1"/>
  <c r="BA140" i="1" s="1"/>
  <c r="BG144" i="1"/>
  <c r="BF143" i="1"/>
  <c r="AV21" i="1"/>
  <c r="AV101" i="1"/>
  <c r="AV100" i="1"/>
  <c r="AV112" i="1"/>
  <c r="AV99" i="1"/>
  <c r="AV144" i="1"/>
  <c r="AV146" i="1" s="1"/>
  <c r="AV46" i="9"/>
  <c r="AV45" i="9"/>
  <c r="AV5" i="1"/>
  <c r="BB154" i="1" l="1"/>
  <c r="BA153" i="1"/>
  <c r="BA152" i="1"/>
  <c r="BA141" i="1"/>
  <c r="BA136" i="1"/>
  <c r="BF145" i="1"/>
  <c r="BF14" i="1"/>
  <c r="BH144" i="1"/>
  <c r="BG143" i="1"/>
  <c r="AV141" i="1"/>
  <c r="AV25" i="65"/>
  <c r="AV115" i="1"/>
  <c r="AV97" i="1"/>
  <c r="AV126" i="1"/>
  <c r="AV32" i="1"/>
  <c r="AV36" i="1" s="1"/>
  <c r="AV42" i="1"/>
  <c r="AV94" i="1"/>
  <c r="BC154" i="1" l="1"/>
  <c r="BD154" i="1" s="1"/>
  <c r="BD153" i="1" s="1"/>
  <c r="BD152" i="1" s="1"/>
  <c r="BB153" i="1"/>
  <c r="BB152" i="1" s="1"/>
  <c r="BA138" i="1"/>
  <c r="BA137" i="1"/>
  <c r="BA259" i="1"/>
  <c r="BA260" i="1" s="1"/>
  <c r="BB138" i="1"/>
  <c r="BF113" i="1"/>
  <c r="BG145" i="1"/>
  <c r="BG14" i="1"/>
  <c r="BH143" i="1"/>
  <c r="BI144" i="1"/>
  <c r="AV52" i="10"/>
  <c r="AV53" i="10" s="1"/>
  <c r="AV54" i="10" s="1"/>
  <c r="AV43" i="1"/>
  <c r="AV102" i="1"/>
  <c r="AV49" i="1"/>
  <c r="AV108" i="1" s="1"/>
  <c r="AV28" i="9"/>
  <c r="AV36" i="9" s="1"/>
  <c r="AV22" i="65"/>
  <c r="AV21" i="65"/>
  <c r="BH14" i="1" l="1"/>
  <c r="BH145" i="1"/>
  <c r="BG113" i="1"/>
  <c r="BJ144" i="1"/>
  <c r="BJ143" i="1" s="1"/>
  <c r="BI143" i="1"/>
  <c r="AV66" i="1"/>
  <c r="AV69" i="1" s="1"/>
  <c r="AV121" i="1" s="1"/>
  <c r="AV103" i="1"/>
  <c r="AV104" i="1"/>
  <c r="AV120" i="1"/>
  <c r="AV131" i="1"/>
  <c r="BJ145" i="1" l="1"/>
  <c r="BJ14" i="1"/>
  <c r="BI145" i="1"/>
  <c r="BI14" i="1"/>
  <c r="BH113" i="1"/>
  <c r="N40" i="65"/>
  <c r="N41" i="65" s="1"/>
  <c r="AV52" i="1"/>
  <c r="AV74" i="1" l="1"/>
  <c r="AV75" i="1"/>
  <c r="O40" i="65"/>
  <c r="O41" i="65" s="1"/>
  <c r="BI113" i="1"/>
  <c r="BJ113" i="1"/>
  <c r="P40" i="65"/>
  <c r="P41" i="65" s="1"/>
  <c r="AV39" i="1"/>
  <c r="AV72" i="1" l="1"/>
  <c r="AV71" i="1"/>
  <c r="AV16" i="10"/>
  <c r="AV80" i="1" l="1"/>
  <c r="AV36" i="10"/>
  <c r="AV46" i="10"/>
  <c r="AV39" i="10" l="1"/>
  <c r="AW38" i="10" s="1"/>
  <c r="AV56" i="10"/>
  <c r="AV48" i="10"/>
  <c r="AV105" i="1"/>
  <c r="AV106" i="1"/>
  <c r="AV81" i="1"/>
  <c r="AV122" i="1"/>
  <c r="AV132" i="1"/>
  <c r="AV42" i="9" l="1"/>
  <c r="AV43" i="9" s="1"/>
  <c r="AV52" i="9"/>
  <c r="AV19" i="9"/>
  <c r="AV39" i="9" s="1"/>
  <c r="AV49" i="10"/>
  <c r="AV82" i="1"/>
  <c r="AV84" i="1" l="1"/>
  <c r="AV107" i="1"/>
  <c r="AV83" i="1"/>
  <c r="AV17" i="65" l="1"/>
  <c r="AV18" i="65"/>
  <c r="AV188" i="1"/>
  <c r="AV179" i="1" l="1"/>
  <c r="AV174" i="1"/>
  <c r="AW4" i="1" l="1"/>
  <c r="AW165" i="1" l="1"/>
  <c r="AW166" i="1"/>
  <c r="AW167" i="1"/>
  <c r="AW168" i="1"/>
  <c r="AW13" i="1" l="1"/>
  <c r="AW114" i="1"/>
  <c r="AW158" i="1"/>
  <c r="AW261" i="1"/>
  <c r="AW262" i="1" s="1"/>
  <c r="AW159" i="1"/>
  <c r="AW23" i="1" l="1"/>
  <c r="AW46" i="9" s="1"/>
  <c r="AW21" i="1"/>
  <c r="AW96" i="1"/>
  <c r="AW45" i="9"/>
  <c r="AW24" i="65"/>
  <c r="AW20" i="65" s="1"/>
  <c r="AW98" i="1"/>
  <c r="AW112" i="1"/>
  <c r="AW95" i="1"/>
  <c r="AW99" i="1"/>
  <c r="AW125" i="1"/>
  <c r="AW276" i="1"/>
  <c r="AW100" i="1"/>
  <c r="AW101" i="1"/>
  <c r="AW5" i="1"/>
  <c r="AW42" i="1" s="1"/>
  <c r="AW275" i="1"/>
  <c r="AW111" i="1"/>
  <c r="AW32" i="1" l="1"/>
  <c r="AW115" i="1"/>
  <c r="AW126" i="1"/>
  <c r="AW97" i="1"/>
  <c r="AW94" i="1"/>
  <c r="AW25" i="65"/>
  <c r="AW36" i="1" l="1"/>
  <c r="AW49" i="1"/>
  <c r="AW108" i="1" s="1"/>
  <c r="AW43" i="1"/>
  <c r="AW52" i="10"/>
  <c r="AW53" i="10" s="1"/>
  <c r="AW54" i="10" s="1"/>
  <c r="AW102" i="1"/>
  <c r="AW28" i="9"/>
  <c r="AW36" i="9" s="1"/>
  <c r="AW21" i="65"/>
  <c r="AW22" i="65"/>
  <c r="AW131" i="1" l="1"/>
  <c r="AW103" i="1"/>
  <c r="AW104" i="1"/>
  <c r="AW120" i="1"/>
  <c r="AW66" i="1"/>
  <c r="AW69" i="1" s="1"/>
  <c r="AW121" i="1" s="1"/>
  <c r="AW52" i="1"/>
  <c r="AW74" i="1" l="1"/>
  <c r="AW75" i="1"/>
  <c r="AW39" i="1"/>
  <c r="AW71" i="1" l="1"/>
  <c r="AW72" i="1"/>
  <c r="AW16" i="10"/>
  <c r="AW25" i="10" l="1"/>
  <c r="AW36" i="10" s="1"/>
  <c r="AZ21" i="10"/>
  <c r="AW46" i="10"/>
  <c r="AW80" i="1"/>
  <c r="AW39" i="10" l="1"/>
  <c r="AX38" i="10" s="1"/>
  <c r="AW81" i="1"/>
  <c r="AW105" i="1"/>
  <c r="AW122" i="1"/>
  <c r="AW106" i="1"/>
  <c r="AW132" i="1"/>
  <c r="AW48" i="10"/>
  <c r="AW56" i="10"/>
  <c r="AW49" i="10" l="1"/>
  <c r="AW82" i="1"/>
  <c r="AW12" i="9"/>
  <c r="AW19" i="9" s="1"/>
  <c r="AW39" i="9" s="1"/>
  <c r="AW42" i="9"/>
  <c r="AW43" i="9" s="1"/>
  <c r="AW52" i="9"/>
  <c r="AW83" i="1" l="1"/>
  <c r="AW107" i="1"/>
  <c r="AW84" i="1"/>
  <c r="AW17" i="65" l="1"/>
  <c r="AW18" i="65"/>
  <c r="AW173" i="1"/>
  <c r="AW174" i="1" s="1"/>
  <c r="AW179" i="1" l="1"/>
  <c r="AW176" i="1"/>
  <c r="BB176" i="1" s="1"/>
  <c r="AW172" i="1"/>
  <c r="BB181" i="1" l="1"/>
  <c r="BB190" i="1"/>
  <c r="AW190" i="1"/>
  <c r="AW178" i="1"/>
  <c r="AW181" i="1"/>
  <c r="AW185" i="1"/>
  <c r="AW180" i="1"/>
  <c r="AW187" i="1" l="1"/>
  <c r="AW188" i="1" s="1"/>
  <c r="AX114" i="1" l="1"/>
  <c r="AZ41" i="10" l="1"/>
  <c r="AZ44" i="10"/>
  <c r="BF44" i="10" l="1"/>
  <c r="BG44" i="10" l="1"/>
  <c r="BF41" i="10"/>
  <c r="BF21" i="10" s="1"/>
  <c r="BF25" i="10" s="1"/>
  <c r="BG41" i="10" l="1"/>
  <c r="BG21" i="10" s="1"/>
  <c r="BG25" i="10" s="1"/>
  <c r="BH44" i="10"/>
  <c r="BH41" i="10" l="1"/>
  <c r="BH21" i="10" s="1"/>
  <c r="BH25" i="10" s="1"/>
  <c r="BI44" i="10"/>
  <c r="BI41" i="10" l="1"/>
  <c r="BI21" i="10" s="1"/>
  <c r="BI25" i="10" s="1"/>
  <c r="BJ44" i="10"/>
  <c r="BJ41" i="10" s="1"/>
  <c r="BJ21" i="10" s="1"/>
  <c r="BJ25" i="10" s="1"/>
  <c r="AX95" i="1" l="1"/>
  <c r="AX98" i="1"/>
  <c r="AX125" i="1"/>
  <c r="AX99" i="1"/>
  <c r="AX101" i="1"/>
  <c r="AX100" i="1"/>
  <c r="AX96" i="1"/>
  <c r="AX276" i="1"/>
  <c r="AX113" i="1"/>
  <c r="AX21" i="1"/>
  <c r="AX45" i="9"/>
  <c r="AX24" i="65" l="1"/>
  <c r="AX25" i="65" s="1"/>
  <c r="AX112" i="1"/>
  <c r="AX20" i="65" l="1"/>
  <c r="AX22" i="65" s="1"/>
  <c r="AX21" i="65" l="1"/>
  <c r="AX144" i="1"/>
  <c r="AX154" i="1"/>
  <c r="AX146" i="1"/>
  <c r="AX145" i="1"/>
  <c r="AX152" i="1"/>
  <c r="BC153" i="1" l="1"/>
  <c r="AX141" i="1"/>
  <c r="BC152" i="1" l="1"/>
  <c r="BE152" i="1" s="1"/>
  <c r="BE153" i="1"/>
  <c r="BE154" i="1" s="1"/>
  <c r="BF154" i="1" l="1"/>
  <c r="BG154" i="1" l="1"/>
  <c r="BF153" i="1"/>
  <c r="BF152" i="1" s="1"/>
  <c r="BG153" i="1" l="1"/>
  <c r="BG152" i="1" s="1"/>
  <c r="BH154" i="1"/>
  <c r="BI154" i="1" l="1"/>
  <c r="BH153" i="1"/>
  <c r="BH152" i="1" s="1"/>
  <c r="BJ154" i="1" l="1"/>
  <c r="BJ153" i="1" s="1"/>
  <c r="BJ152" i="1" s="1"/>
  <c r="BI153" i="1"/>
  <c r="BI152" i="1" s="1"/>
  <c r="AX184" i="1" l="1"/>
  <c r="BC184" i="1" s="1"/>
  <c r="AX4" i="1"/>
  <c r="AX111" i="1" l="1"/>
  <c r="AX275" i="1"/>
  <c r="AX5" i="1"/>
  <c r="AX159" i="1"/>
  <c r="AX261" i="1"/>
  <c r="AX262" i="1" s="1"/>
  <c r="AX158" i="1"/>
  <c r="AX42" i="1" l="1"/>
  <c r="AX94" i="1"/>
  <c r="AX52" i="10" l="1"/>
  <c r="AX53" i="10" s="1"/>
  <c r="AX54" i="10" s="1"/>
  <c r="AX182" i="1" l="1"/>
  <c r="AX46" i="9" l="1"/>
  <c r="AX28" i="9" s="1"/>
  <c r="AX36" i="9" s="1"/>
  <c r="AX126" i="1" l="1"/>
  <c r="AX97" i="1"/>
  <c r="AX115" i="1"/>
  <c r="AX32" i="1"/>
  <c r="AX49" i="1" s="1"/>
  <c r="AX52" i="1" s="1"/>
  <c r="AX102" i="1" l="1"/>
  <c r="AX43" i="1"/>
  <c r="AX36" i="1"/>
  <c r="AX120" i="1" l="1"/>
  <c r="AX104" i="1"/>
  <c r="AX103" i="1"/>
  <c r="AX131" i="1"/>
  <c r="AX17" i="65" l="1"/>
  <c r="AX18" i="65"/>
  <c r="AX173" i="1"/>
  <c r="AX172" i="1" s="1"/>
  <c r="AX179" i="1" l="1"/>
  <c r="AX174" i="1"/>
  <c r="AX176" i="1"/>
  <c r="BC176" i="1" s="1"/>
  <c r="BC181" i="1" l="1"/>
  <c r="BC190" i="1"/>
  <c r="AX181" i="1"/>
  <c r="AX185" i="1"/>
  <c r="AX178" i="1"/>
  <c r="AX180" i="1"/>
  <c r="AX190" i="1"/>
  <c r="AY182" i="1"/>
  <c r="AX187" i="1" l="1"/>
  <c r="AY114" i="1"/>
  <c r="AY261" i="1"/>
  <c r="AY262" i="1" s="1"/>
  <c r="AZ157" i="1"/>
  <c r="AY4" i="1"/>
  <c r="AZ182" i="1"/>
  <c r="AZ183" i="1" l="1"/>
  <c r="AY111" i="1"/>
  <c r="AY275" i="1"/>
  <c r="AZ158" i="1"/>
  <c r="AZ4" i="1"/>
  <c r="AX188" i="1"/>
  <c r="AZ111" i="1" l="1"/>
  <c r="C25" i="12"/>
  <c r="K25" i="12" s="1"/>
  <c r="AZ11" i="1"/>
  <c r="AX108" i="1" l="1"/>
  <c r="AX66" i="1" s="1"/>
  <c r="AX69" i="1" s="1"/>
  <c r="AX121" i="1" s="1"/>
  <c r="AX16" i="10"/>
  <c r="AX36" i="10" l="1"/>
  <c r="AX39" i="10" s="1"/>
  <c r="AY38" i="10" s="1"/>
  <c r="AX80" i="1"/>
  <c r="AX46" i="10"/>
  <c r="AX48" i="10" s="1"/>
  <c r="AX82" i="1" s="1"/>
  <c r="AX74" i="1"/>
  <c r="AX39" i="1"/>
  <c r="AX75" i="1"/>
  <c r="AX84" i="1" l="1"/>
  <c r="AX83" i="1"/>
  <c r="AX71" i="1"/>
  <c r="AX72" i="1"/>
  <c r="AX52" i="9"/>
  <c r="AX42" i="9"/>
  <c r="AX43" i="9" s="1"/>
  <c r="AX12" i="9"/>
  <c r="AX19" i="9" s="1"/>
  <c r="AX39" i="9" s="1"/>
  <c r="AX56" i="10"/>
  <c r="AX122" i="1"/>
  <c r="AX106" i="1"/>
  <c r="AX132" i="1"/>
  <c r="AX105" i="1"/>
  <c r="AX81" i="1"/>
  <c r="AV58" i="9" l="1"/>
  <c r="AX49" i="10"/>
  <c r="AX107" i="1" l="1"/>
  <c r="AZ46" i="1"/>
  <c r="AY98" i="1" l="1"/>
  <c r="AY21" i="1"/>
  <c r="AY101" i="1"/>
  <c r="AY96" i="1"/>
  <c r="AY276" i="1"/>
  <c r="AY99" i="1"/>
  <c r="AY125" i="1"/>
  <c r="AY100" i="1"/>
  <c r="BD113" i="1"/>
  <c r="AY95" i="1"/>
  <c r="AY45" i="9"/>
  <c r="AY113" i="1"/>
  <c r="AY112" i="1" l="1"/>
  <c r="AY5" i="1"/>
  <c r="AY52" i="10" l="1"/>
  <c r="AY53" i="10" s="1"/>
  <c r="AY54" i="10" s="1"/>
  <c r="AY94" i="1"/>
  <c r="AY42" i="1"/>
  <c r="AZ42" i="1" s="1"/>
  <c r="J20" i="65" l="1"/>
  <c r="J22" i="65" l="1"/>
  <c r="AY21" i="65"/>
  <c r="AY22" i="65"/>
  <c r="AY25" i="65"/>
  <c r="J24" i="65"/>
  <c r="J25" i="65" l="1"/>
  <c r="AY144" i="1"/>
  <c r="BA146" i="1"/>
  <c r="BD145" i="1"/>
  <c r="AZ153" i="1"/>
  <c r="AY146" i="1"/>
  <c r="AY145" i="1"/>
  <c r="AY152" i="1"/>
  <c r="AZ143" i="1"/>
  <c r="AY140" i="1"/>
  <c r="AZ154" i="1" l="1"/>
  <c r="AZ152" i="1"/>
  <c r="AZ140" i="1"/>
  <c r="AZ141" i="1" s="1"/>
  <c r="AY141" i="1"/>
  <c r="BD140" i="1"/>
  <c r="AZ145" i="1"/>
  <c r="J57" i="65"/>
  <c r="J58" i="65" s="1"/>
  <c r="J59" i="65" s="1"/>
  <c r="AZ144" i="1"/>
  <c r="BE145" i="1"/>
  <c r="AZ14" i="1"/>
  <c r="AZ23" i="1" l="1"/>
  <c r="AY46" i="9"/>
  <c r="AY28" i="9" s="1"/>
  <c r="AY36" i="9" s="1"/>
  <c r="BD141" i="1"/>
  <c r="BD136" i="1"/>
  <c r="BE140" i="1"/>
  <c r="AZ113" i="1"/>
  <c r="BE113" i="1"/>
  <c r="BD138" i="1" l="1"/>
  <c r="BD137" i="1"/>
  <c r="BD259" i="1"/>
  <c r="BD260" i="1" s="1"/>
  <c r="BE136" i="1"/>
  <c r="BE141" i="1"/>
  <c r="BF141" i="1" s="1"/>
  <c r="BG141" i="1" s="1"/>
  <c r="BH141" i="1" s="1"/>
  <c r="BI141" i="1" s="1"/>
  <c r="BJ141" i="1" s="1"/>
  <c r="AY115" i="1"/>
  <c r="AY126" i="1"/>
  <c r="AY97" i="1"/>
  <c r="AY32" i="1"/>
  <c r="AY49" i="1" s="1"/>
  <c r="AY108" i="1" l="1"/>
  <c r="AY52" i="1"/>
  <c r="BE137" i="1"/>
  <c r="AY102" i="1"/>
  <c r="AY36" i="1"/>
  <c r="AY43" i="1"/>
  <c r="BF140" i="1"/>
  <c r="BG140" i="1" l="1"/>
  <c r="BF136" i="1"/>
  <c r="AY66" i="1"/>
  <c r="AY69" i="1" s="1"/>
  <c r="AY121" i="1" s="1"/>
  <c r="AY131" i="1"/>
  <c r="AY104" i="1"/>
  <c r="AY103" i="1"/>
  <c r="AY120" i="1"/>
  <c r="AY39" i="1" l="1"/>
  <c r="AY74" i="1"/>
  <c r="AY75" i="1"/>
  <c r="AZ52" i="1"/>
  <c r="BF137" i="1"/>
  <c r="BG136" i="1"/>
  <c r="BH140" i="1"/>
  <c r="AZ74" i="1" l="1"/>
  <c r="AZ75" i="1"/>
  <c r="AZ39" i="1"/>
  <c r="BI140" i="1"/>
  <c r="BH136" i="1"/>
  <c r="BG137" i="1"/>
  <c r="AY71" i="1"/>
  <c r="AY72" i="1" s="1"/>
  <c r="AZ6" i="10"/>
  <c r="AY16" i="10"/>
  <c r="AY46" i="10" s="1"/>
  <c r="AZ71" i="1" l="1"/>
  <c r="AZ72" i="1"/>
  <c r="AY80" i="1"/>
  <c r="AY36" i="10"/>
  <c r="BH137" i="1"/>
  <c r="BJ140" i="1"/>
  <c r="BJ136" i="1" s="1"/>
  <c r="BI136" i="1"/>
  <c r="BI137" i="1" l="1"/>
  <c r="AY39" i="10"/>
  <c r="AY132" i="1"/>
  <c r="AY106" i="1"/>
  <c r="AY81" i="1"/>
  <c r="AY105" i="1"/>
  <c r="AY122" i="1"/>
  <c r="BJ137" i="1"/>
  <c r="AY56" i="10"/>
  <c r="AY48" i="10"/>
  <c r="AZ38" i="10" l="1"/>
  <c r="BA38" i="10"/>
  <c r="AY49" i="10"/>
  <c r="AY82" i="1"/>
  <c r="AY42" i="9"/>
  <c r="AY43" i="9" s="1"/>
  <c r="AY52" i="9"/>
  <c r="AY12" i="9"/>
  <c r="AY19" i="9" s="1"/>
  <c r="AY38" i="9" s="1"/>
  <c r="AY39" i="9" s="1"/>
  <c r="BA54" i="9"/>
  <c r="BA55" i="9" s="1"/>
  <c r="BA46" i="1" s="1"/>
  <c r="AY84" i="1" l="1"/>
  <c r="AY107" i="1"/>
  <c r="AY83" i="1"/>
  <c r="AY18" i="65" l="1"/>
  <c r="AY17" i="65"/>
  <c r="J16" i="65"/>
  <c r="J18" i="65" s="1"/>
  <c r="AY173" i="1"/>
  <c r="AY176" i="1" s="1"/>
  <c r="AY172" i="1" l="1"/>
  <c r="BA172" i="1" s="1"/>
  <c r="BA173" i="1" s="1"/>
  <c r="BA16" i="65" s="1"/>
  <c r="BA17" i="65" s="1"/>
  <c r="AY185" i="1"/>
  <c r="AY190" i="1"/>
  <c r="AY179" i="1"/>
  <c r="AY174" i="1"/>
  <c r="AZ173" i="1"/>
  <c r="BB172" i="1" l="1"/>
  <c r="AZ172" i="1"/>
  <c r="AZ174" i="1"/>
  <c r="AZ176" i="1"/>
  <c r="AY180" i="1"/>
  <c r="AY178" i="1"/>
  <c r="AY181" i="1"/>
  <c r="BD176" i="1"/>
  <c r="BA174" i="1"/>
  <c r="BA164" i="1"/>
  <c r="BC172" i="1"/>
  <c r="BB173" i="1"/>
  <c r="BA167" i="1" l="1"/>
  <c r="BA166" i="1"/>
  <c r="BA165" i="1"/>
  <c r="BA168" i="1"/>
  <c r="BA180" i="1"/>
  <c r="BA182" i="1"/>
  <c r="BA183" i="1" s="1"/>
  <c r="BA157" i="1"/>
  <c r="BA15" i="1"/>
  <c r="AY187" i="1"/>
  <c r="AZ190" i="1"/>
  <c r="AZ191" i="1" s="1"/>
  <c r="BA179" i="1"/>
  <c r="BB16" i="65"/>
  <c r="BB174" i="1"/>
  <c r="BB164" i="1"/>
  <c r="BA18" i="65"/>
  <c r="AZ178" i="1"/>
  <c r="AZ164" i="1"/>
  <c r="BD181" i="1"/>
  <c r="BD190" i="1"/>
  <c r="BE190" i="1" s="1"/>
  <c r="BE176" i="1"/>
  <c r="BC173" i="1"/>
  <c r="BD172" i="1"/>
  <c r="BD173" i="1" s="1"/>
  <c r="BA261" i="1" l="1"/>
  <c r="BA262" i="1" s="1"/>
  <c r="BA159" i="1"/>
  <c r="BA158" i="1"/>
  <c r="BA4" i="1"/>
  <c r="BA185" i="1"/>
  <c r="BA187" i="1"/>
  <c r="AZ167" i="1"/>
  <c r="AZ184" i="1"/>
  <c r="AZ15" i="1"/>
  <c r="AZ179" i="1"/>
  <c r="BA23" i="1"/>
  <c r="BD174" i="1"/>
  <c r="BD16" i="65"/>
  <c r="BD164" i="1"/>
  <c r="BD179" i="1" s="1"/>
  <c r="BB17" i="65"/>
  <c r="BB18" i="65"/>
  <c r="BC174" i="1"/>
  <c r="BC16" i="65"/>
  <c r="BC164" i="1"/>
  <c r="BE173" i="1"/>
  <c r="BE178" i="1"/>
  <c r="BF178" i="1" s="1"/>
  <c r="BG178" i="1" s="1"/>
  <c r="BH178" i="1" s="1"/>
  <c r="BI178" i="1" s="1"/>
  <c r="BJ178" i="1" s="1"/>
  <c r="BB165" i="1"/>
  <c r="BB167" i="1"/>
  <c r="BB166" i="1"/>
  <c r="BB180" i="1"/>
  <c r="BB168" i="1"/>
  <c r="BB157" i="1"/>
  <c r="BB182" i="1"/>
  <c r="BB23" i="1" s="1"/>
  <c r="BB46" i="9" s="1"/>
  <c r="BB22" i="9" s="1"/>
  <c r="BB15" i="1"/>
  <c r="BB179" i="1"/>
  <c r="AZ180" i="1"/>
  <c r="K16" i="65"/>
  <c r="K18" i="65" s="1"/>
  <c r="AY188" i="1"/>
  <c r="AZ187" i="1"/>
  <c r="AZ188" i="1" s="1"/>
  <c r="BE191" i="1"/>
  <c r="BF191" i="1" s="1"/>
  <c r="BA114" i="1"/>
  <c r="BA13" i="1"/>
  <c r="AZ65" i="10" s="1"/>
  <c r="BA96" i="1" l="1"/>
  <c r="BA20" i="1"/>
  <c r="BF176" i="1"/>
  <c r="BC165" i="1"/>
  <c r="BC180" i="1"/>
  <c r="BC168" i="1"/>
  <c r="BC166" i="1"/>
  <c r="BC167" i="1"/>
  <c r="BC182" i="1"/>
  <c r="BC183" i="1" s="1"/>
  <c r="BC157" i="1"/>
  <c r="BC15" i="1"/>
  <c r="BC18" i="65"/>
  <c r="BC17" i="65"/>
  <c r="BA275" i="1"/>
  <c r="BA111" i="1"/>
  <c r="BA5" i="1"/>
  <c r="BA188" i="1"/>
  <c r="BB114" i="1"/>
  <c r="BB13" i="1"/>
  <c r="BG191" i="1"/>
  <c r="BF190" i="1"/>
  <c r="BB158" i="1"/>
  <c r="BB261" i="1"/>
  <c r="BB262" i="1" s="1"/>
  <c r="BB159" i="1"/>
  <c r="BB4" i="1"/>
  <c r="AZ114" i="1"/>
  <c r="J61" i="65"/>
  <c r="J62" i="65" s="1"/>
  <c r="J63" i="65" s="1"/>
  <c r="AZ13" i="1"/>
  <c r="BA101" i="1"/>
  <c r="BA125" i="1"/>
  <c r="BA276" i="1"/>
  <c r="BA95" i="1"/>
  <c r="BA98" i="1"/>
  <c r="BA100" i="1"/>
  <c r="BA112" i="1"/>
  <c r="BA45" i="9"/>
  <c r="BA10" i="9" s="1"/>
  <c r="BA99" i="1"/>
  <c r="BA24" i="65"/>
  <c r="BA24" i="1"/>
  <c r="BA46" i="9"/>
  <c r="BA22" i="9" s="1"/>
  <c r="BC179" i="1"/>
  <c r="BG176" i="1"/>
  <c r="BD168" i="1"/>
  <c r="BD166" i="1"/>
  <c r="BD165" i="1"/>
  <c r="BD167" i="1"/>
  <c r="BD157" i="1"/>
  <c r="BD182" i="1"/>
  <c r="BD23" i="1" s="1"/>
  <c r="BD46" i="9" s="1"/>
  <c r="BD22" i="9" s="1"/>
  <c r="BD15" i="1"/>
  <c r="BD180" i="1"/>
  <c r="BB183" i="1"/>
  <c r="BE174" i="1"/>
  <c r="BE164" i="1"/>
  <c r="BE172" i="1"/>
  <c r="BF172" i="1" s="1"/>
  <c r="BD18" i="65"/>
  <c r="BD17" i="65"/>
  <c r="BC185" i="1" l="1"/>
  <c r="BC187" i="1"/>
  <c r="BC188" i="1" s="1"/>
  <c r="BE22" i="9"/>
  <c r="BF173" i="1"/>
  <c r="BG172" i="1"/>
  <c r="AZ99" i="1"/>
  <c r="AZ101" i="1"/>
  <c r="E25" i="12"/>
  <c r="L25" i="12" s="1"/>
  <c r="AZ100" i="1"/>
  <c r="AZ98" i="1"/>
  <c r="BL26" i="1" s="1"/>
  <c r="AZ5" i="1"/>
  <c r="AZ94" i="1" s="1"/>
  <c r="AZ95" i="1"/>
  <c r="AZ21" i="1"/>
  <c r="AZ24" i="1"/>
  <c r="J65" i="65"/>
  <c r="J66" i="65" s="1"/>
  <c r="AZ112" i="1"/>
  <c r="BA94" i="1"/>
  <c r="BA30" i="9"/>
  <c r="BA24" i="9"/>
  <c r="BA42" i="1"/>
  <c r="BE167" i="1"/>
  <c r="BE15" i="1"/>
  <c r="BE180" i="1"/>
  <c r="BH176" i="1"/>
  <c r="BC159" i="1"/>
  <c r="BC158" i="1"/>
  <c r="BC261" i="1"/>
  <c r="BC262" i="1" s="1"/>
  <c r="BC4" i="1"/>
  <c r="BE157" i="1"/>
  <c r="BC23" i="1"/>
  <c r="BE182" i="1"/>
  <c r="BD183" i="1"/>
  <c r="BE183" i="1" s="1"/>
  <c r="BE184" i="1" s="1"/>
  <c r="AZ96" i="1"/>
  <c r="BD158" i="1"/>
  <c r="BD261" i="1"/>
  <c r="BD262" i="1" s="1"/>
  <c r="BD159" i="1"/>
  <c r="BD4" i="1"/>
  <c r="BE179" i="1"/>
  <c r="BH191" i="1"/>
  <c r="BG190" i="1"/>
  <c r="BB185" i="1"/>
  <c r="BB187" i="1"/>
  <c r="BA115" i="1"/>
  <c r="BA97" i="1"/>
  <c r="BA126" i="1"/>
  <c r="BA32" i="1"/>
  <c r="BB125" i="1"/>
  <c r="BB112" i="1"/>
  <c r="BB24" i="65"/>
  <c r="BB99" i="1"/>
  <c r="BB101" i="1"/>
  <c r="BB276" i="1"/>
  <c r="BB100" i="1"/>
  <c r="BB45" i="9"/>
  <c r="BB10" i="9" s="1"/>
  <c r="BB98" i="1"/>
  <c r="BB95" i="1"/>
  <c r="BB24" i="1"/>
  <c r="BA25" i="65"/>
  <c r="BA20" i="65"/>
  <c r="BA21" i="65" s="1"/>
  <c r="BD114" i="1"/>
  <c r="BD13" i="1"/>
  <c r="BB111" i="1"/>
  <c r="BB275" i="1"/>
  <c r="BB5" i="1"/>
  <c r="BB96" i="1"/>
  <c r="BC114" i="1"/>
  <c r="BC13" i="1"/>
  <c r="BA28" i="9" l="1"/>
  <c r="AZ52" i="10"/>
  <c r="BA52" i="10"/>
  <c r="BB94" i="1"/>
  <c r="BB42" i="1"/>
  <c r="BB24" i="9"/>
  <c r="BB30" i="9"/>
  <c r="BB115" i="1"/>
  <c r="BB97" i="1"/>
  <c r="BB126" i="1"/>
  <c r="BB32" i="1"/>
  <c r="J67" i="65"/>
  <c r="K67" i="65"/>
  <c r="BE114" i="1"/>
  <c r="BE13" i="1"/>
  <c r="BF184" i="1"/>
  <c r="BG184" i="1" s="1"/>
  <c r="BH184" i="1" s="1"/>
  <c r="BI184" i="1" s="1"/>
  <c r="BJ184" i="1" s="1"/>
  <c r="BD100" i="1"/>
  <c r="BD101" i="1"/>
  <c r="BD276" i="1"/>
  <c r="BD112" i="1"/>
  <c r="BD95" i="1"/>
  <c r="BD125" i="1"/>
  <c r="BD98" i="1"/>
  <c r="BD99" i="1"/>
  <c r="BD24" i="65"/>
  <c r="BD45" i="9"/>
  <c r="BD10" i="9" s="1"/>
  <c r="BE10" i="9" s="1"/>
  <c r="BF10" i="9" s="1"/>
  <c r="BG10" i="9" s="1"/>
  <c r="BH10" i="9" s="1"/>
  <c r="BI10" i="9" s="1"/>
  <c r="BD24" i="1"/>
  <c r="BD97" i="1" s="1"/>
  <c r="BA36" i="9"/>
  <c r="BF22" i="9"/>
  <c r="BA22" i="65"/>
  <c r="BG173" i="1"/>
  <c r="BH172" i="1"/>
  <c r="BD5" i="1"/>
  <c r="BD111" i="1"/>
  <c r="BD275" i="1"/>
  <c r="AZ97" i="1"/>
  <c r="AZ32" i="1"/>
  <c r="AZ115" i="1"/>
  <c r="BD96" i="1"/>
  <c r="BA36" i="1"/>
  <c r="BA102" i="1"/>
  <c r="BA43" i="1"/>
  <c r="BA49" i="1"/>
  <c r="BD185" i="1"/>
  <c r="BD187" i="1"/>
  <c r="BD188" i="1" s="1"/>
  <c r="BI176" i="1"/>
  <c r="BC46" i="9"/>
  <c r="BC22" i="9" s="1"/>
  <c r="BE23" i="1"/>
  <c r="BE158" i="1"/>
  <c r="BE4" i="1"/>
  <c r="L16" i="65"/>
  <c r="L18" i="65" s="1"/>
  <c r="BF174" i="1"/>
  <c r="BF164" i="1"/>
  <c r="BC111" i="1"/>
  <c r="BC275" i="1"/>
  <c r="BC5" i="1"/>
  <c r="Q31" i="65"/>
  <c r="BB25" i="65"/>
  <c r="BB20" i="65"/>
  <c r="BB188" i="1"/>
  <c r="BC101" i="1"/>
  <c r="BC100" i="1"/>
  <c r="BC99" i="1"/>
  <c r="BC125" i="1"/>
  <c r="BC98" i="1"/>
  <c r="BC45" i="9"/>
  <c r="BC10" i="9" s="1"/>
  <c r="BC24" i="65"/>
  <c r="BC112" i="1"/>
  <c r="BC276" i="1"/>
  <c r="BC95" i="1"/>
  <c r="BC24" i="1"/>
  <c r="BI191" i="1"/>
  <c r="BH190" i="1"/>
  <c r="BC96" i="1"/>
  <c r="BA53" i="10" l="1"/>
  <c r="AZ53" i="10"/>
  <c r="K24" i="65"/>
  <c r="BE20" i="1"/>
  <c r="BE187" i="1"/>
  <c r="BE188" i="1" s="1"/>
  <c r="BC97" i="1"/>
  <c r="BC126" i="1"/>
  <c r="BC115" i="1"/>
  <c r="BC32" i="1"/>
  <c r="BL156" i="1"/>
  <c r="BB43" i="1"/>
  <c r="BB36" i="1"/>
  <c r="BB102" i="1"/>
  <c r="BE5" i="1"/>
  <c r="BE94" i="1" s="1"/>
  <c r="BE111" i="1"/>
  <c r="C26" i="12"/>
  <c r="K26" i="12" s="1"/>
  <c r="BA50" i="1"/>
  <c r="BA66" i="1"/>
  <c r="BA69" i="1" s="1"/>
  <c r="BA121" i="1" s="1"/>
  <c r="BG22" i="9"/>
  <c r="BA103" i="1"/>
  <c r="BA131" i="1"/>
  <c r="BA104" i="1"/>
  <c r="BA120" i="1"/>
  <c r="BE98" i="1"/>
  <c r="BE112" i="1"/>
  <c r="BE100" i="1"/>
  <c r="E26" i="12"/>
  <c r="L26" i="12" s="1"/>
  <c r="BE95" i="1"/>
  <c r="BE101" i="1"/>
  <c r="BF101" i="1" s="1"/>
  <c r="BG101" i="1" s="1"/>
  <c r="BH101" i="1" s="1"/>
  <c r="BI101" i="1" s="1"/>
  <c r="BJ101" i="1" s="1"/>
  <c r="BE65" i="10"/>
  <c r="BE99" i="1"/>
  <c r="BF99" i="1" s="1"/>
  <c r="BE24" i="1"/>
  <c r="BF167" i="1"/>
  <c r="BF166" i="1"/>
  <c r="BF182" i="1"/>
  <c r="BF23" i="1" s="1"/>
  <c r="BF157" i="1"/>
  <c r="BF15" i="1"/>
  <c r="BF180" i="1"/>
  <c r="BF179" i="1"/>
  <c r="BD94" i="1"/>
  <c r="BD42" i="1"/>
  <c r="BH173" i="1"/>
  <c r="BI172" i="1"/>
  <c r="BD126" i="1"/>
  <c r="BD115" i="1"/>
  <c r="BD32" i="1"/>
  <c r="BJ176" i="1"/>
  <c r="BG174" i="1"/>
  <c r="M16" i="65"/>
  <c r="M18" i="65" s="1"/>
  <c r="BG164" i="1"/>
  <c r="BE96" i="1"/>
  <c r="BD20" i="65"/>
  <c r="BD25" i="65"/>
  <c r="Q38" i="65"/>
  <c r="K25" i="65"/>
  <c r="BC25" i="65"/>
  <c r="BC20" i="65"/>
  <c r="BB52" i="10"/>
  <c r="BB53" i="10" s="1"/>
  <c r="BB54" i="10" s="1"/>
  <c r="BB28" i="9"/>
  <c r="BB36" i="9" s="1"/>
  <c r="BI190" i="1"/>
  <c r="BJ191" i="1"/>
  <c r="BB22" i="65"/>
  <c r="BB21" i="65"/>
  <c r="BC94" i="1"/>
  <c r="BC42" i="1"/>
  <c r="BC30" i="9"/>
  <c r="BD30" i="9" s="1"/>
  <c r="BC24" i="9"/>
  <c r="AZ36" i="1"/>
  <c r="AZ49" i="1"/>
  <c r="AZ102" i="1"/>
  <c r="AZ43" i="1"/>
  <c r="BA54" i="10" l="1"/>
  <c r="AZ54" i="10"/>
  <c r="BE42" i="1"/>
  <c r="BC52" i="10"/>
  <c r="BC53" i="10" s="1"/>
  <c r="BC54" i="10" s="1"/>
  <c r="BA52" i="1"/>
  <c r="BA39" i="1" s="1"/>
  <c r="BI173" i="1"/>
  <c r="BJ172" i="1"/>
  <c r="BJ173" i="1" s="1"/>
  <c r="BE115" i="1"/>
  <c r="BE97" i="1"/>
  <c r="BE32" i="1"/>
  <c r="BH174" i="1"/>
  <c r="N16" i="65"/>
  <c r="N18" i="65" s="1"/>
  <c r="BH164" i="1"/>
  <c r="BH179" i="1" s="1"/>
  <c r="BD22" i="65"/>
  <c r="BD21" i="65"/>
  <c r="BC28" i="9"/>
  <c r="BC36" i="9" s="1"/>
  <c r="BF114" i="1"/>
  <c r="BF13" i="1"/>
  <c r="BF96" i="1" s="1"/>
  <c r="BH22" i="9"/>
  <c r="BF158" i="1"/>
  <c r="BF4" i="1"/>
  <c r="BC36" i="1"/>
  <c r="BC43" i="1"/>
  <c r="BC102" i="1"/>
  <c r="AZ103" i="1"/>
  <c r="AZ120" i="1"/>
  <c r="AZ104" i="1"/>
  <c r="AZ108" i="1"/>
  <c r="AZ66" i="1" s="1"/>
  <c r="AZ69" i="1" s="1"/>
  <c r="AZ121" i="1" s="1"/>
  <c r="BG166" i="1"/>
  <c r="BG167" i="1"/>
  <c r="BG182" i="1"/>
  <c r="BG23" i="1" s="1"/>
  <c r="BG157" i="1"/>
  <c r="BG15" i="1"/>
  <c r="BG180" i="1"/>
  <c r="BD36" i="1"/>
  <c r="BD102" i="1"/>
  <c r="BD43" i="1"/>
  <c r="BD24" i="9"/>
  <c r="BE30" i="9"/>
  <c r="BF183" i="1"/>
  <c r="BF187" i="1" s="1"/>
  <c r="BF188" i="1" s="1"/>
  <c r="BG179" i="1"/>
  <c r="BC21" i="65"/>
  <c r="BC22" i="65"/>
  <c r="BJ190" i="1"/>
  <c r="BB103" i="1"/>
  <c r="BB131" i="1"/>
  <c r="BB120" i="1"/>
  <c r="BB104" i="1"/>
  <c r="K20" i="65"/>
  <c r="BA74" i="1" l="1"/>
  <c r="BA6" i="10"/>
  <c r="AZ16" i="10" s="1"/>
  <c r="AZ80" i="1" s="1"/>
  <c r="BA75" i="1"/>
  <c r="BF26" i="1"/>
  <c r="BG99" i="1"/>
  <c r="BH99" i="1" s="1"/>
  <c r="BI99" i="1" s="1"/>
  <c r="BJ99" i="1" s="1"/>
  <c r="BG183" i="1"/>
  <c r="BG187" i="1" s="1"/>
  <c r="BG188" i="1" s="1"/>
  <c r="BD131" i="1"/>
  <c r="BD104" i="1"/>
  <c r="BD103" i="1"/>
  <c r="BD120" i="1"/>
  <c r="BE102" i="1"/>
  <c r="BE36" i="1"/>
  <c r="BE43" i="1"/>
  <c r="BA16" i="10"/>
  <c r="K22" i="65"/>
  <c r="C27" i="12"/>
  <c r="K27" i="12" s="1"/>
  <c r="BF111" i="1"/>
  <c r="BF5" i="1"/>
  <c r="BJ174" i="1"/>
  <c r="P16" i="65"/>
  <c r="BJ164" i="1"/>
  <c r="BJ179" i="1" s="1"/>
  <c r="BI22" i="9"/>
  <c r="BA72" i="1"/>
  <c r="BA71" i="1"/>
  <c r="BG114" i="1"/>
  <c r="BG13" i="1"/>
  <c r="BC104" i="1"/>
  <c r="BC103" i="1"/>
  <c r="BC131" i="1"/>
  <c r="BC120" i="1"/>
  <c r="BG158" i="1"/>
  <c r="BG4" i="1"/>
  <c r="BH166" i="1"/>
  <c r="BH167" i="1"/>
  <c r="BH182" i="1"/>
  <c r="BH23" i="1" s="1"/>
  <c r="BH157" i="1"/>
  <c r="BH15" i="1"/>
  <c r="BH180" i="1"/>
  <c r="O16" i="65"/>
  <c r="O18" i="65" s="1"/>
  <c r="BI174" i="1"/>
  <c r="BI164" i="1"/>
  <c r="BF30" i="9"/>
  <c r="BD52" i="10"/>
  <c r="BD53" i="10" s="1"/>
  <c r="BD54" i="10" s="1"/>
  <c r="BE24" i="9"/>
  <c r="BD28" i="9"/>
  <c r="BD36" i="9" s="1"/>
  <c r="AZ109" i="1"/>
  <c r="BF112" i="1"/>
  <c r="BF95" i="1"/>
  <c r="E27" i="12"/>
  <c r="L27" i="12" s="1"/>
  <c r="BF65" i="10"/>
  <c r="L24" i="65"/>
  <c r="BF100" i="1"/>
  <c r="BF24" i="1"/>
  <c r="AZ46" i="10" l="1"/>
  <c r="AZ36" i="10"/>
  <c r="AZ122" i="1"/>
  <c r="G25" i="12"/>
  <c r="M25" i="12" s="1"/>
  <c r="AZ105" i="1"/>
  <c r="AZ81" i="1"/>
  <c r="AZ106" i="1"/>
  <c r="P18" i="65"/>
  <c r="BH183" i="1"/>
  <c r="BH187" i="1" s="1"/>
  <c r="BH188" i="1" s="1"/>
  <c r="BE120" i="1"/>
  <c r="BE104" i="1"/>
  <c r="BE103" i="1"/>
  <c r="M24" i="65"/>
  <c r="BG95" i="1"/>
  <c r="BG26" i="1"/>
  <c r="BG100" i="1"/>
  <c r="E28" i="12"/>
  <c r="L28" i="12" s="1"/>
  <c r="BG65" i="10"/>
  <c r="BG112" i="1"/>
  <c r="BG24" i="1"/>
  <c r="BG30" i="9"/>
  <c r="BH158" i="1"/>
  <c r="BH4" i="1"/>
  <c r="BF115" i="1"/>
  <c r="BF97" i="1"/>
  <c r="BA80" i="1"/>
  <c r="BA46" i="10"/>
  <c r="BA36" i="10"/>
  <c r="BF42" i="1"/>
  <c r="BF94" i="1"/>
  <c r="BH114" i="1"/>
  <c r="N33" i="65"/>
  <c r="BH13" i="1"/>
  <c r="BH96" i="1" s="1"/>
  <c r="BG96" i="1"/>
  <c r="L20" i="65"/>
  <c r="L25" i="65"/>
  <c r="BJ166" i="1"/>
  <c r="BJ182" i="1"/>
  <c r="BJ23" i="1" s="1"/>
  <c r="BJ167" i="1"/>
  <c r="BJ157" i="1"/>
  <c r="BJ15" i="1"/>
  <c r="BJ180" i="1"/>
  <c r="BI166" i="1"/>
  <c r="BI182" i="1"/>
  <c r="BI23" i="1" s="1"/>
  <c r="BI167" i="1"/>
  <c r="BI157" i="1"/>
  <c r="BI15" i="1"/>
  <c r="BI180" i="1"/>
  <c r="C28" i="12"/>
  <c r="K28" i="12" s="1"/>
  <c r="BG111" i="1"/>
  <c r="BG5" i="1"/>
  <c r="BF116" i="1"/>
  <c r="BF30" i="1"/>
  <c r="BF32" i="1" s="1"/>
  <c r="BI179" i="1"/>
  <c r="BE52" i="10"/>
  <c r="BE53" i="10" s="1"/>
  <c r="BE54" i="10" s="1"/>
  <c r="BF24" i="9"/>
  <c r="BF52" i="10"/>
  <c r="BF53" i="10" s="1"/>
  <c r="BF54" i="10" s="1"/>
  <c r="BE28" i="9"/>
  <c r="BE36" i="9" s="1"/>
  <c r="AZ48" i="10" l="1"/>
  <c r="AZ82" i="1" s="1"/>
  <c r="AZ47" i="10"/>
  <c r="AZ56" i="10"/>
  <c r="AZ62" i="10"/>
  <c r="BA6" i="9"/>
  <c r="AZ39" i="10"/>
  <c r="BJ183" i="1"/>
  <c r="BJ187" i="1" s="1"/>
  <c r="BJ188" i="1" s="1"/>
  <c r="BI183" i="1"/>
  <c r="BI187" i="1" s="1"/>
  <c r="BI188" i="1" s="1"/>
  <c r="BA106" i="1"/>
  <c r="BA122" i="1"/>
  <c r="BA81" i="1"/>
  <c r="BA132" i="1"/>
  <c r="BA105" i="1"/>
  <c r="BG115" i="1"/>
  <c r="BG97" i="1"/>
  <c r="M25" i="65"/>
  <c r="M20" i="65"/>
  <c r="BH65" i="10"/>
  <c r="E29" i="12"/>
  <c r="L29" i="12" s="1"/>
  <c r="BH100" i="1"/>
  <c r="N24" i="65"/>
  <c r="BH95" i="1"/>
  <c r="BH112" i="1"/>
  <c r="BH26" i="1"/>
  <c r="BH24" i="1"/>
  <c r="BG52" i="10"/>
  <c r="BG53" i="10" s="1"/>
  <c r="BG54" i="10" s="1"/>
  <c r="BG24" i="9"/>
  <c r="BF28" i="9"/>
  <c r="BF36" i="9" s="1"/>
  <c r="BF102" i="1"/>
  <c r="BF36" i="1"/>
  <c r="BF43" i="1"/>
  <c r="N34" i="65"/>
  <c r="N31" i="65"/>
  <c r="N32" i="65" s="1"/>
  <c r="BF98" i="1"/>
  <c r="L22" i="65"/>
  <c r="BE109" i="1"/>
  <c r="BG42" i="1"/>
  <c r="BG94" i="1"/>
  <c r="BJ114" i="1"/>
  <c r="P33" i="65"/>
  <c r="BJ13" i="1"/>
  <c r="BJ96" i="1" s="1"/>
  <c r="BA39" i="10"/>
  <c r="BB38" i="10" s="1"/>
  <c r="BH30" i="9"/>
  <c r="BI114" i="1"/>
  <c r="O33" i="65"/>
  <c r="BI13" i="1"/>
  <c r="BI96" i="1" s="1"/>
  <c r="BI158" i="1"/>
  <c r="BI4" i="1"/>
  <c r="C29" i="12"/>
  <c r="K29" i="12" s="1"/>
  <c r="BH5" i="1"/>
  <c r="BH111" i="1"/>
  <c r="BJ158" i="1"/>
  <c r="BJ4" i="1"/>
  <c r="BA48" i="10"/>
  <c r="AZ49" i="10" s="1"/>
  <c r="BA56" i="10"/>
  <c r="BG30" i="1"/>
  <c r="BG98" i="1" s="1"/>
  <c r="BG116" i="1"/>
  <c r="AZ83" i="1" l="1"/>
  <c r="AZ91" i="1"/>
  <c r="AZ84" i="1"/>
  <c r="AZ85" i="1" s="1"/>
  <c r="AZ107" i="1"/>
  <c r="BH94" i="1"/>
  <c r="BH42" i="1"/>
  <c r="BH97" i="1"/>
  <c r="BH115" i="1"/>
  <c r="P34" i="65"/>
  <c r="P31" i="65"/>
  <c r="M22" i="65"/>
  <c r="BI30" i="9"/>
  <c r="BA49" i="10"/>
  <c r="BA82" i="1"/>
  <c r="BJ5" i="1"/>
  <c r="C31" i="12"/>
  <c r="K31" i="12" s="1"/>
  <c r="BJ111" i="1"/>
  <c r="BH24" i="9"/>
  <c r="BH52" i="10"/>
  <c r="BH53" i="10" s="1"/>
  <c r="BH54" i="10" s="1"/>
  <c r="BG28" i="9"/>
  <c r="BG36" i="9" s="1"/>
  <c r="BI5" i="1"/>
  <c r="C30" i="12"/>
  <c r="K30" i="12" s="1"/>
  <c r="BI111" i="1"/>
  <c r="BF103" i="1"/>
  <c r="BF120" i="1"/>
  <c r="BF104" i="1"/>
  <c r="BG32" i="1"/>
  <c r="BI65" i="10"/>
  <c r="O24" i="65"/>
  <c r="BI26" i="1"/>
  <c r="BI112" i="1"/>
  <c r="E30" i="12"/>
  <c r="L30" i="12" s="1"/>
  <c r="BI100" i="1"/>
  <c r="BI95" i="1"/>
  <c r="BI24" i="1"/>
  <c r="BJ65" i="10"/>
  <c r="BJ112" i="1"/>
  <c r="E31" i="12"/>
  <c r="L31" i="12" s="1"/>
  <c r="BJ95" i="1"/>
  <c r="P24" i="65"/>
  <c r="BJ26" i="1"/>
  <c r="BJ100" i="1"/>
  <c r="BJ24" i="1"/>
  <c r="BA12" i="9"/>
  <c r="BA19" i="9" s="1"/>
  <c r="BA38" i="9" s="1"/>
  <c r="BA42" i="9"/>
  <c r="BA43" i="9" s="1"/>
  <c r="BA52" i="9"/>
  <c r="BB54" i="9"/>
  <c r="BB55" i="9" s="1"/>
  <c r="BB46" i="1" s="1"/>
  <c r="BH116" i="1"/>
  <c r="BH30" i="1"/>
  <c r="BH32" i="1" s="1"/>
  <c r="O34" i="65"/>
  <c r="O31" i="65"/>
  <c r="O32" i="65" s="1"/>
  <c r="N25" i="65"/>
  <c r="N20" i="65"/>
  <c r="BA39" i="9" l="1"/>
  <c r="P32" i="65"/>
  <c r="BH36" i="1"/>
  <c r="BH102" i="1"/>
  <c r="BH43" i="1"/>
  <c r="BI97" i="1"/>
  <c r="BI115" i="1"/>
  <c r="N38" i="65"/>
  <c r="N39" i="65" s="1"/>
  <c r="N22" i="65"/>
  <c r="BA107" i="1"/>
  <c r="BA83" i="1"/>
  <c r="BA84" i="1"/>
  <c r="P20" i="65"/>
  <c r="P25" i="65"/>
  <c r="BI42" i="1"/>
  <c r="BI94" i="1"/>
  <c r="BI52" i="10"/>
  <c r="BI53" i="10" s="1"/>
  <c r="BI54" i="10" s="1"/>
  <c r="BI24" i="9"/>
  <c r="BH28" i="9"/>
  <c r="BH36" i="9" s="1"/>
  <c r="BJ94" i="1"/>
  <c r="BJ42" i="1"/>
  <c r="BG102" i="1"/>
  <c r="BG36" i="1"/>
  <c r="BG43" i="1"/>
  <c r="BB49" i="1"/>
  <c r="BH98" i="1"/>
  <c r="BJ30" i="1"/>
  <c r="BJ98" i="1" s="1"/>
  <c r="BJ116" i="1"/>
  <c r="BI30" i="1"/>
  <c r="BI98" i="1" s="1"/>
  <c r="BI116" i="1"/>
  <c r="BJ97" i="1"/>
  <c r="BJ115" i="1"/>
  <c r="O20" i="65"/>
  <c r="O25" i="65"/>
  <c r="BJ32" i="1" l="1"/>
  <c r="BJ102" i="1" s="1"/>
  <c r="BB50" i="1"/>
  <c r="BB66" i="1"/>
  <c r="BB69" i="1" s="1"/>
  <c r="BB121" i="1" s="1"/>
  <c r="BJ52" i="10"/>
  <c r="BJ53" i="10" s="1"/>
  <c r="BJ54" i="10" s="1"/>
  <c r="BI28" i="9"/>
  <c r="BI36" i="9" s="1"/>
  <c r="P38" i="65"/>
  <c r="P22" i="65"/>
  <c r="BI32" i="1"/>
  <c r="BG103" i="1"/>
  <c r="BG120" i="1"/>
  <c r="BG104" i="1"/>
  <c r="O22" i="65"/>
  <c r="O38" i="65"/>
  <c r="O39" i="65" s="1"/>
  <c r="BJ36" i="1"/>
  <c r="BH103" i="1"/>
  <c r="BH120" i="1"/>
  <c r="BH104" i="1"/>
  <c r="BJ43" i="1" l="1"/>
  <c r="BJ104" i="1" s="1"/>
  <c r="P39" i="65"/>
  <c r="BI102" i="1"/>
  <c r="BI36" i="1"/>
  <c r="BI43" i="1"/>
  <c r="BB52" i="1"/>
  <c r="BJ103" i="1" l="1"/>
  <c r="BI120" i="1"/>
  <c r="BI104" i="1"/>
  <c r="BI103" i="1"/>
  <c r="BJ120" i="1"/>
  <c r="BB39" i="1"/>
  <c r="BB6" i="10"/>
  <c r="BB74" i="1"/>
  <c r="BB75" i="1"/>
  <c r="BB16" i="10" l="1"/>
  <c r="BB80" i="1" s="1"/>
  <c r="BB71" i="1"/>
  <c r="BB72" i="1"/>
  <c r="BB36" i="10" l="1"/>
  <c r="BB46" i="10"/>
  <c r="BB39" i="10" l="1"/>
  <c r="BB6" i="9"/>
  <c r="BB56" i="10"/>
  <c r="BB48" i="10"/>
  <c r="BC38" i="10"/>
  <c r="BB122" i="1"/>
  <c r="BB81" i="1"/>
  <c r="BB106" i="1"/>
  <c r="BB132" i="1"/>
  <c r="BB105" i="1"/>
  <c r="BB12" i="9" l="1"/>
  <c r="BB19" i="9" s="1"/>
  <c r="BB38" i="9" s="1"/>
  <c r="BB39" i="9" s="1"/>
  <c r="BB52" i="9"/>
  <c r="BB42" i="9"/>
  <c r="BB43" i="9" s="1"/>
  <c r="BC54" i="9"/>
  <c r="BC55" i="9" s="1"/>
  <c r="BC46" i="1" s="1"/>
  <c r="BB82" i="1"/>
  <c r="BB49" i="10"/>
  <c r="BC49" i="1" l="1"/>
  <c r="BB84" i="1"/>
  <c r="BB107" i="1"/>
  <c r="BB83" i="1"/>
  <c r="BC66" i="1" l="1"/>
  <c r="BC69" i="1" s="1"/>
  <c r="BC121" i="1" s="1"/>
  <c r="BC50" i="1"/>
  <c r="BC52" i="1" l="1"/>
  <c r="BC75" i="1" l="1"/>
  <c r="BC74" i="1"/>
  <c r="BC6" i="10"/>
  <c r="BC39" i="1"/>
  <c r="BC72" i="1" l="1"/>
  <c r="BC71" i="1"/>
  <c r="BC16" i="10"/>
  <c r="BC80" i="1" l="1"/>
  <c r="BC46" i="10"/>
  <c r="BC36" i="10"/>
  <c r="BC39" i="10" l="1"/>
  <c r="BD38" i="10" s="1"/>
  <c r="BC6" i="9"/>
  <c r="BC56" i="10"/>
  <c r="BC48" i="10"/>
  <c r="BC106" i="1"/>
  <c r="BC132" i="1"/>
  <c r="BC122" i="1"/>
  <c r="BC81" i="1"/>
  <c r="BC105" i="1"/>
  <c r="BC52" i="9" l="1"/>
  <c r="BC42" i="9"/>
  <c r="BC43" i="9" s="1"/>
  <c r="BD54" i="9"/>
  <c r="BD55" i="9" s="1"/>
  <c r="BD46" i="1" s="1"/>
  <c r="BC12" i="9"/>
  <c r="BC19" i="9" s="1"/>
  <c r="BC38" i="9" s="1"/>
  <c r="BC39" i="9" s="1"/>
  <c r="BC49" i="10"/>
  <c r="BC82" i="1"/>
  <c r="BC107" i="1" l="1"/>
  <c r="BC84" i="1"/>
  <c r="BC83" i="1"/>
  <c r="BD49" i="1"/>
  <c r="BE46" i="1"/>
  <c r="BE49" i="1" s="1"/>
  <c r="BD50" i="1" l="1"/>
  <c r="BD66" i="1"/>
  <c r="BD69" i="1" s="1"/>
  <c r="BD121" i="1" s="1"/>
  <c r="BE50" i="1" l="1"/>
  <c r="BE108" i="1" s="1"/>
  <c r="BE66" i="1" s="1"/>
  <c r="BE69" i="1" s="1"/>
  <c r="BE121" i="1" s="1"/>
  <c r="BD52" i="1"/>
  <c r="BD39" i="1" l="1"/>
  <c r="BD75" i="1"/>
  <c r="BD74" i="1"/>
  <c r="BD6" i="10"/>
  <c r="BE52" i="1"/>
  <c r="BE74" i="1" l="1"/>
  <c r="BE39" i="1"/>
  <c r="BE75" i="1"/>
  <c r="BD16" i="10"/>
  <c r="BE6" i="10"/>
  <c r="BE16" i="10" s="1"/>
  <c r="BD71" i="1"/>
  <c r="BD72" i="1"/>
  <c r="BE80" i="1" l="1"/>
  <c r="BE36" i="10"/>
  <c r="BE46" i="10"/>
  <c r="BD46" i="10"/>
  <c r="BD80" i="1"/>
  <c r="BD36" i="10"/>
  <c r="BE71" i="1"/>
  <c r="BE72" i="1"/>
  <c r="BD39" i="10" l="1"/>
  <c r="BE38" i="10" s="1"/>
  <c r="BE39" i="10" s="1"/>
  <c r="BF38" i="10" s="1"/>
  <c r="BD6" i="9"/>
  <c r="BD105" i="1"/>
  <c r="BD106" i="1"/>
  <c r="BD132" i="1"/>
  <c r="BD81" i="1"/>
  <c r="BD122" i="1"/>
  <c r="BD56" i="10"/>
  <c r="BD48" i="10"/>
  <c r="BE62" i="10"/>
  <c r="BE56" i="10"/>
  <c r="BE47" i="10"/>
  <c r="BE48" i="10"/>
  <c r="BE81" i="1"/>
  <c r="BE106" i="1"/>
  <c r="G26" i="12"/>
  <c r="M26" i="12" s="1"/>
  <c r="BE122" i="1"/>
  <c r="BE105" i="1"/>
  <c r="BD42" i="9" l="1"/>
  <c r="BD43" i="9" s="1"/>
  <c r="BD12" i="9"/>
  <c r="BD19" i="9" s="1"/>
  <c r="BD38" i="9" s="1"/>
  <c r="BD39" i="9" s="1"/>
  <c r="BD52" i="9"/>
  <c r="BE54" i="9"/>
  <c r="BE55" i="9" s="1"/>
  <c r="BF46" i="1" s="1"/>
  <c r="BF49" i="1" s="1"/>
  <c r="BE49" i="10"/>
  <c r="BE82" i="1"/>
  <c r="BD49" i="10"/>
  <c r="BD82" i="1"/>
  <c r="BD84" i="1" l="1"/>
  <c r="BD83" i="1"/>
  <c r="BD107" i="1"/>
  <c r="BE84" i="1"/>
  <c r="BE85" i="1" s="1"/>
  <c r="BE107" i="1"/>
  <c r="BE83" i="1"/>
  <c r="BF66" i="1"/>
  <c r="BF50" i="1"/>
  <c r="BF52" i="1" s="1"/>
  <c r="BF69" i="1"/>
  <c r="BF121" i="1" s="1"/>
  <c r="BF6" i="10" l="1"/>
  <c r="BF16" i="10" s="1"/>
  <c r="BF39" i="1"/>
  <c r="BF46" i="10" l="1"/>
  <c r="BF80" i="1"/>
  <c r="BF122" i="1" l="1"/>
  <c r="BF106" i="1"/>
  <c r="G27" i="12"/>
  <c r="M27" i="12" s="1"/>
  <c r="BF105" i="1"/>
  <c r="BF56" i="10"/>
  <c r="BF48" i="10"/>
  <c r="BF47" i="10"/>
  <c r="BF59" i="10" l="1"/>
  <c r="BF61" i="10" s="1"/>
  <c r="BF77" i="1" s="1"/>
  <c r="BF32" i="10"/>
  <c r="BF36" i="10" s="1"/>
  <c r="BF82" i="1"/>
  <c r="BF84" i="1" s="1"/>
  <c r="BF49" i="10"/>
  <c r="BF85" i="1" l="1"/>
  <c r="BF107" i="1"/>
  <c r="BF39" i="10"/>
  <c r="BG38" i="10" s="1"/>
  <c r="BE6" i="9"/>
  <c r="BF78" i="1"/>
  <c r="BF74" i="1"/>
  <c r="BF71" i="1"/>
  <c r="BE42" i="9" l="1"/>
  <c r="BE12" i="9"/>
  <c r="BE19" i="9" s="1"/>
  <c r="BE38" i="9" s="1"/>
  <c r="BE39" i="9" s="1"/>
  <c r="BF54" i="9"/>
  <c r="BF55" i="9" s="1"/>
  <c r="BG46" i="1" s="1"/>
  <c r="BG49" i="1" s="1"/>
  <c r="BE41" i="9"/>
  <c r="BF75" i="1"/>
  <c r="BF72" i="1"/>
  <c r="BF81" i="1"/>
  <c r="BF83" i="1"/>
  <c r="BE43" i="9" l="1"/>
  <c r="BG66" i="1"/>
  <c r="BG69" i="1" s="1"/>
  <c r="BG121" i="1" s="1"/>
  <c r="BG50" i="1"/>
  <c r="BG52" i="1" s="1"/>
  <c r="BG6" i="10" l="1"/>
  <c r="BG16" i="10" s="1"/>
  <c r="BG39" i="1"/>
  <c r="BG80" i="1" l="1"/>
  <c r="BG46" i="10"/>
  <c r="BG56" i="10" l="1"/>
  <c r="BG48" i="10"/>
  <c r="BG47" i="10"/>
  <c r="BG106" i="1"/>
  <c r="BG105" i="1"/>
  <c r="G28" i="12"/>
  <c r="M28" i="12" s="1"/>
  <c r="BG122" i="1"/>
  <c r="BG59" i="10" l="1"/>
  <c r="BG61" i="10" s="1"/>
  <c r="BG77" i="1" s="1"/>
  <c r="BG32" i="10"/>
  <c r="BG36" i="10" s="1"/>
  <c r="BG82" i="1"/>
  <c r="BG49" i="10"/>
  <c r="BG107" i="1" l="1"/>
  <c r="BG84" i="1"/>
  <c r="BG85" i="1" s="1"/>
  <c r="BG39" i="10"/>
  <c r="BH38" i="10" s="1"/>
  <c r="BF6" i="9"/>
  <c r="BG78" i="1"/>
  <c r="BG83" i="1" s="1"/>
  <c r="BG74" i="1"/>
  <c r="BG71" i="1"/>
  <c r="BG54" i="9" l="1"/>
  <c r="BG55" i="9" s="1"/>
  <c r="BH46" i="1" s="1"/>
  <c r="BH49" i="1" s="1"/>
  <c r="BF42" i="9"/>
  <c r="BF12" i="9"/>
  <c r="BF19" i="9" s="1"/>
  <c r="BF38" i="9" s="1"/>
  <c r="BF39" i="9" s="1"/>
  <c r="BF41" i="9"/>
  <c r="BG75" i="1"/>
  <c r="BG72" i="1"/>
  <c r="BG81" i="1"/>
  <c r="BF43" i="9" l="1"/>
  <c r="BH66" i="1"/>
  <c r="BH69" i="1" s="1"/>
  <c r="BH121" i="1" s="1"/>
  <c r="BH50" i="1"/>
  <c r="BH52" i="1" s="1"/>
  <c r="BH39" i="1" l="1"/>
  <c r="BH6" i="10"/>
  <c r="BH16" i="10" s="1"/>
  <c r="BH80" i="1" l="1"/>
  <c r="BH46" i="10"/>
  <c r="BH48" i="10" l="1"/>
  <c r="BH47" i="10"/>
  <c r="BH56" i="10"/>
  <c r="BH105" i="1"/>
  <c r="G29" i="12"/>
  <c r="M29" i="12" s="1"/>
  <c r="BH106" i="1"/>
  <c r="BH122" i="1"/>
  <c r="BH59" i="10" l="1"/>
  <c r="BH61" i="10" s="1"/>
  <c r="BH77" i="1" s="1"/>
  <c r="BH32" i="10"/>
  <c r="BH36" i="10" s="1"/>
  <c r="BH49" i="10"/>
  <c r="BH82" i="1"/>
  <c r="BH107" i="1" l="1"/>
  <c r="BH84" i="1"/>
  <c r="BH85" i="1" s="1"/>
  <c r="BH39" i="10"/>
  <c r="BI38" i="10" s="1"/>
  <c r="BG6" i="9"/>
  <c r="BH78" i="1"/>
  <c r="BH74" i="1"/>
  <c r="BH71" i="1"/>
  <c r="BG41" i="9" l="1"/>
  <c r="BH75" i="1"/>
  <c r="BH72" i="1"/>
  <c r="BH81" i="1"/>
  <c r="BG12" i="9"/>
  <c r="BG19" i="9" s="1"/>
  <c r="BG38" i="9" s="1"/>
  <c r="BG39" i="9" s="1"/>
  <c r="BH54" i="9"/>
  <c r="BH55" i="9" s="1"/>
  <c r="BI46" i="1" s="1"/>
  <c r="BI49" i="1" s="1"/>
  <c r="BG42" i="9"/>
  <c r="BH83" i="1"/>
  <c r="BG43" i="9" l="1"/>
  <c r="BI50" i="1"/>
  <c r="BI52" i="1" s="1"/>
  <c r="BI66" i="1"/>
  <c r="BI69" i="1" s="1"/>
  <c r="BI121" i="1" s="1"/>
  <c r="BI6" i="10" l="1"/>
  <c r="BI16" i="10" s="1"/>
  <c r="BI39" i="1"/>
  <c r="BI80" i="1" l="1"/>
  <c r="BI46" i="10"/>
  <c r="BI56" i="10" l="1"/>
  <c r="BI47" i="10"/>
  <c r="BI48" i="10"/>
  <c r="G30" i="12"/>
  <c r="M30" i="12" s="1"/>
  <c r="BI122" i="1"/>
  <c r="BI106" i="1"/>
  <c r="BI105" i="1"/>
  <c r="BI32" i="10" l="1"/>
  <c r="BI36" i="10" s="1"/>
  <c r="BI59" i="10"/>
  <c r="BI61" i="10" s="1"/>
  <c r="BI77" i="1" s="1"/>
  <c r="BI49" i="10"/>
  <c r="BI82" i="1"/>
  <c r="BI107" i="1" l="1"/>
  <c r="BI84" i="1"/>
  <c r="BI85" i="1" s="1"/>
  <c r="BI78" i="1"/>
  <c r="BI74" i="1"/>
  <c r="BI71" i="1"/>
  <c r="BI39" i="10"/>
  <c r="BJ38" i="10" s="1"/>
  <c r="BH6" i="9"/>
  <c r="BH41" i="9" l="1"/>
  <c r="BI75" i="1"/>
  <c r="BI72" i="1"/>
  <c r="BI81" i="1"/>
  <c r="BI54" i="9"/>
  <c r="BI55" i="9" s="1"/>
  <c r="BJ46" i="1" s="1"/>
  <c r="BJ49" i="1" s="1"/>
  <c r="BH42" i="9"/>
  <c r="BH12" i="9"/>
  <c r="BH19" i="9" s="1"/>
  <c r="BH38" i="9" s="1"/>
  <c r="BH39" i="9" s="1"/>
  <c r="BI83" i="1"/>
  <c r="BJ50" i="1" l="1"/>
  <c r="BJ52" i="1" s="1"/>
  <c r="BJ66" i="1"/>
  <c r="BJ69" i="1" s="1"/>
  <c r="BJ121" i="1" s="1"/>
  <c r="BH43" i="9"/>
  <c r="BJ6" i="10" l="1"/>
  <c r="BJ16" i="10" s="1"/>
  <c r="BJ39" i="1"/>
  <c r="BJ46" i="10" l="1"/>
  <c r="BJ80" i="1"/>
  <c r="BJ106" i="1" l="1"/>
  <c r="BJ122" i="1"/>
  <c r="G31" i="12"/>
  <c r="M31" i="12" s="1"/>
  <c r="BJ105" i="1"/>
  <c r="BJ47" i="10"/>
  <c r="BJ48" i="10"/>
  <c r="BJ56" i="10"/>
  <c r="BJ49" i="10" l="1"/>
  <c r="BJ82" i="1"/>
  <c r="BJ32" i="10"/>
  <c r="BJ36" i="10" s="1"/>
  <c r="BJ59" i="10"/>
  <c r="BJ61" i="10" s="1"/>
  <c r="BJ77" i="1" s="1"/>
  <c r="BJ39" i="10" l="1"/>
  <c r="BI6" i="9"/>
  <c r="BJ107" i="1"/>
  <c r="BJ84" i="1"/>
  <c r="BJ85" i="1" s="1"/>
  <c r="BJ78" i="1"/>
  <c r="BJ74" i="1"/>
  <c r="BJ71" i="1"/>
  <c r="BI12" i="9" l="1"/>
  <c r="BI19" i="9" s="1"/>
  <c r="BI38" i="9" s="1"/>
  <c r="BI39" i="9" s="1"/>
  <c r="BI42" i="9"/>
  <c r="BI41" i="9"/>
  <c r="BJ75" i="1"/>
  <c r="BJ72" i="1"/>
  <c r="BJ81" i="1"/>
  <c r="BJ83" i="1"/>
  <c r="BI43"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Crist, Stefanos</author>
  </authors>
  <commentList>
    <comment ref="A1" authorId="0" shapeId="0" xr:uid="{68B3BC45-1D35-4AEC-AFF9-530A80FEEF80}">
      <text>
        <r>
          <rPr>
            <b/>
            <sz val="9"/>
            <color indexed="81"/>
            <rFont val="Tahoma"/>
            <family val="2"/>
          </rPr>
          <t>&lt;?xml version="1.0" encoding="utf-8"?&gt;&lt;Schema xmlns:xsd="http://www.w3.org/2001/XMLSchema" xmlns:xsi="http://www.w3.org/2001/XMLSchema-instance" Version="2" Timestamp="1772649419"&gt;&lt;FQL&gt;&lt;Q&gt;WIX-US^FG_PRICE(NOW)&lt;/Q&gt;&lt;R&gt;1&lt;/R&gt;&lt;C&gt;1&lt;/C&gt;&lt;D xsi:type="xsd:double"&gt;204.46&lt;/D&gt;&lt;/FQL&gt;&lt;FQL&gt;&lt;Q&gt;JPYUSD^FG_PRICE(45650)&lt;/Q&gt;&lt;R&gt;1&lt;/R&gt;&lt;C&gt;1&lt;/C&gt;&lt;D xsi:type="xsd:double"&gt;0.007451287&lt;/D&gt;&lt;/FQL&gt;&lt;FQL&gt;&lt;Q&gt;JPYUSD^FG_PRICE(45642)&lt;/Q&gt;&lt;R&gt;1&lt;/R&gt;&lt;C&gt;1&lt;/C&gt;&lt;D xsi:type="xsd:double"&gt;0.007451287&lt;/D&gt;&lt;/FQL&gt;&lt;FQL&gt;&lt;Q&gt;JPYUSD^FG_PRICE(45634)&lt;/Q&gt;&lt;R&gt;1&lt;/R&gt;&lt;C&gt;1&lt;/C&gt;&lt;D xsi:type="xsd:double"&gt;0.007451287&lt;/D&gt;&lt;/FQL&gt;&lt;FQL&gt;&lt;Q&gt;JPYUSD^FG_PRICE(45626)&lt;/Q&gt;&lt;R&gt;1&lt;/R&gt;&lt;C&gt;1&lt;/C&gt;&lt;D xsi:type="xsd:double"&gt;0.007451287&lt;/D&gt;&lt;/FQL&gt;&lt;FQL&gt;&lt;Q&gt;JPYUSD^FG_PRICE(45618)&lt;/Q&gt;&lt;R&gt;1&lt;/R&gt;&lt;C&gt;1&lt;/C&gt;&lt;D xsi:type="xsd:double"&gt;0.007451287&lt;/D&gt;&lt;/FQL&gt;&lt;FQL&gt;&lt;Q&gt;JPYUSD^FG_PRICE(45610)&lt;/Q&gt;&lt;R&gt;1&lt;/R&gt;&lt;C&gt;1&lt;/C&gt;&lt;D xsi:type="xsd:double"&gt;0.007451287&lt;/D&gt;&lt;/FQL&gt;&lt;FQL&gt;&lt;Q&gt;JPYUSD^FG_PRICE(45602)&lt;/Q&gt;&lt;R&gt;1&lt;/R&gt;&lt;C&gt;1&lt;/C&gt;&lt;D xsi:type="xsd:double"&gt;0.007451287&lt;/D&gt;&lt;/FQL&gt;&lt;FQL&gt;&lt;Q&gt;JPYUSD^FG_PRICE(45594)&lt;/Q&gt;&lt;R&gt;1&lt;/R&gt;&lt;C&gt;1&lt;/C&gt;&lt;D xsi:type="xsd:double"&gt;0.007451287&lt;/D&gt;&lt;/FQL&gt;&lt;FQL&gt;&lt;Q&gt;JPYUSD^FG_PRICE(45586)&lt;/Q&gt;&lt;R&gt;1&lt;/R&gt;&lt;C&gt;1&lt;/C&gt;&lt;D xsi:type="xsd:double"&gt;0.007451287&lt;/D&gt;&lt;/FQL&gt;&lt;FQL&gt;&lt;Q&gt;JPYUSD^FG_PRICE(45578)&lt;/Q&gt;&lt;R&gt;1&lt;/R&gt;&lt;C&gt;1&lt;/C&gt;&lt;D xsi:type="xsd:double"&gt;0.007451287&lt;/D&gt;&lt;/FQL&gt;&lt;FQL&gt;&lt;Q&gt;JPYUSD^FG_PRICE(45570)&lt;/Q&gt;&lt;R&gt;1&lt;/R&gt;&lt;C&gt;1&lt;/C&gt;&lt;D xsi:type="xsd:double"&gt;0.007451287&lt;/D&gt;&lt;/FQL&gt;&lt;FQL&gt;&lt;Q&gt;JPYUSD^FG_PRICE(45562)&lt;/Q&gt;&lt;R&gt;1&lt;/R&gt;&lt;C&gt;1&lt;/C&gt;&lt;D xsi:type="xsd:double"&gt;0.007451287&lt;/D&gt;&lt;/FQL&gt;&lt;FQL&gt;&lt;Q&gt;JPYUSD^FG_PRICE(45554)&lt;/Q&gt;&lt;R&gt;1&lt;/R&gt;&lt;C&gt;1&lt;/C&gt;&lt;D xsi:type="xsd:double"&gt;0.007451287&lt;/D&gt;&lt;/FQL&gt;&lt;FQL&gt;&lt;Q&gt;JPYUSD^FG_PRICE(45546)&lt;/Q&gt;&lt;R&gt;1&lt;/R&gt;&lt;C&gt;1&lt;/C&gt;&lt;D xsi:type="xsd:double"&gt;0.007451287&lt;/D&gt;&lt;/FQL&gt;&lt;FQL&gt;&lt;Q&gt;JPYUSD^FG_PRICE(45538)&lt;/Q&gt;&lt;R&gt;1&lt;/R&gt;&lt;C&gt;1&lt;/C&gt;&lt;D xsi:type="xsd:double"&gt;0.007451287&lt;/D&gt;&lt;/FQL&gt;&lt;FQL&gt;&lt;Q&gt;JPYUSD^FG_PRICE(45530)&lt;/Q&gt;&lt;R&gt;1&lt;/R&gt;&lt;C&gt;1&lt;/C&gt;&lt;D xsi:type="xsd:double"&gt;0.007451287&lt;/D&gt;&lt;/FQL&gt;&lt;FQL&gt;&lt;Q&gt;JPYUSD^FG_PRICE(45522)&lt;/Q&gt;&lt;R&gt;1&lt;/R&gt;&lt;C&gt;1&lt;/C&gt;&lt;D xsi:type="xsd:double"&gt;0.007451287&lt;/D&gt;&lt;/FQL&gt;&lt;FQL&gt;&lt;Q&gt;JPYUSD^FG_PRICE(45514)&lt;/Q&gt;&lt;R&gt;1&lt;/R&gt;&lt;C&gt;1&lt;/C&gt;&lt;D xsi:type="xsd:double"&gt;0.007451287&lt;/D&gt;&lt;/FQL&gt;&lt;FQL&gt;&lt;Q&gt;JPYUSD^FG_PRICE(45506)&lt;/Q&gt;&lt;R&gt;1&lt;/R&gt;&lt;C&gt;1&lt;/C&gt;&lt;D xsi:type="xsd:double"&gt;0.007451287&lt;/D&gt;&lt;/FQL&gt;&lt;FQL&gt;&lt;Q&gt;JPYUSD^FG_PRICE(45498)&lt;/Q&gt;&lt;R&gt;1&lt;/R&gt;&lt;C&gt;1&lt;/C&gt;&lt;D xsi:type="xsd:double"&gt;0.007451287&lt;/D&gt;&lt;/FQL&gt;&lt;FQL&gt;&lt;Q&gt;JPYUSD^FG_PRICE(45490)&lt;/Q&gt;&lt;R&gt;1&lt;/R&gt;&lt;C&gt;1&lt;/C&gt;&lt;D xsi:type="xsd:double"&gt;0.007451287&lt;/D&gt;&lt;/FQL&gt;&lt;FQL&gt;&lt;Q&gt;JPYUSD^FG_PRICE(45482)&lt;/Q&gt;&lt;R&gt;1&lt;/R&gt;&lt;C&gt;1&lt;/C&gt;&lt;D xsi:type="xsd:double"&gt;0.007451287&lt;/D&gt;&lt;/FQL&gt;&lt;FQL&gt;&lt;Q&gt;JPYUSD^FG_PRICE(45474)&lt;/Q&gt;&lt;R&gt;1&lt;/R&gt;&lt;C&gt;1&lt;/C&gt;&lt;D xsi:type="xsd:double"&gt;0.007451287&lt;/D&gt;&lt;/FQL&gt;&lt;FQL&gt;&lt;Q&gt;JPYUSD^FG_PRICE(45466)&lt;/Q&gt;&lt;R&gt;1&lt;/R&gt;&lt;C&gt;1&lt;/C&gt;&lt;D xsi:type="xsd:double"&gt;0.007451287&lt;/D&gt;&lt;/FQL&gt;&lt;FQL&gt;&lt;Q&gt;JPYUSD^FG_PRICE(45458)&lt;/Q&gt;&lt;R&gt;1&lt;/R&gt;&lt;C&gt;1&lt;/C&gt;&lt;D xsi:type="xsd:double"&gt;0.007451287&lt;/D&gt;&lt;/FQL&gt;&lt;FQL&gt;&lt;Q&gt;JPYUSD^FG_PRICE(45450)&lt;/Q&gt;&lt;R&gt;1&lt;/R&gt;&lt;C&gt;1&lt;/C&gt;&lt;D xsi:type="xsd:double"&gt;0.007451287&lt;/D&gt;&lt;/FQL&gt;&lt;FQL&gt;&lt;Q&gt;JPYUSD^FG_PRICE(45442)&lt;/Q&gt;&lt;R&gt;1&lt;/R&gt;&lt;C&gt;1&lt;/C&gt;&lt;D xsi:type="xsd:double"&gt;0.007451287&lt;/D&gt;&lt;/FQL&gt;&lt;FQL&gt;&lt;Q&gt;JPYUSD^FG_PRICE(45434)&lt;/Q&gt;&lt;R&gt;1&lt;/R&gt;&lt;C&gt;1&lt;/C&gt;&lt;D xsi:type="xsd:double"&gt;0.007451287&lt;/D&gt;&lt;/FQL&gt;&lt;FQL&gt;&lt;Q&gt;JPYUSD^FG_PRICE(45426)&lt;/Q&gt;&lt;R&gt;1&lt;/R&gt;&lt;C&gt;1&lt;/C&gt;&lt;D xsi:type="xsd:double"&gt;0.007451287&lt;/D&gt;&lt;/FQL&gt;&lt;FQL&gt;&lt;Q&gt;JPYUSD^FG_PRICE(45418)&lt;/Q&gt;&lt;R&gt;1&lt;/R&gt;&lt;C&gt;1&lt;/C&gt;&lt;D xsi:type="xsd:double"&gt;0.007451287&lt;/D&gt;&lt;/FQL&gt;&lt;FQL&gt;&lt;Q&gt;JPYUSD^FG_PRICE(45410)&lt;/Q&gt;&lt;R&gt;1&lt;/R&gt;&lt;C&gt;1&lt;/C&gt;&lt;D xsi:type="xsd:double"&gt;0.007451287&lt;/D&gt;&lt;/FQL&gt;&lt;FQL&gt;&lt;Q&gt;JPYUSD^FG_PRICE(45402)&lt;/Q&gt;&lt;R&gt;1&lt;/R&gt;&lt;C&gt;1&lt;/C&gt;&lt;D xsi:type="xsd:double"&gt;0.007451287&lt;/D&gt;&lt;/FQL&gt;&lt;FQL&gt;&lt;Q&gt;JPYUSD^FG_PRICE(45394)&lt;/Q&gt;&lt;R&gt;1&lt;/R&gt;&lt;C&gt;1&lt;/C&gt;&lt;D xsi:type="xsd:double"&gt;0.007451287&lt;/D&gt;&lt;/FQL&gt;&lt;FQL&gt;&lt;Q&gt;JPYUSD^FG_PRICE(45386)&lt;/Q&gt;&lt;R&gt;1&lt;/R&gt;&lt;C&gt;1&lt;/C&gt;&lt;D xsi:type="xsd:double"&gt;0.007451287&lt;/D&gt;&lt;/FQL&gt;&lt;FQL&gt;&lt;Q&gt;JPYUSD^FG_PRICE(45378)&lt;/Q&gt;&lt;R&gt;1&lt;/R&gt;&lt;C&gt;1&lt;/C&gt;&lt;D xsi:type="xsd:double"&gt;0.007451287&lt;/D&gt;&lt;/FQL&gt;&lt;FQL&gt;&lt;Q&gt;JPYUSD^FG_PRICE(45370)&lt;/Q&gt;&lt;R&gt;1&lt;/R&gt;&lt;C&gt;1&lt;/C&gt;&lt;D xsi:type="xsd:double"&gt;0.007451287&lt;/D&gt;&lt;/FQL&gt;&lt;FQL&gt;&lt;Q&gt;JPYUSD^FG_PRICE(45362)&lt;/Q&gt;&lt;R&gt;1&lt;/R&gt;&lt;C&gt;1&lt;/C&gt;&lt;D xsi:type="xsd:double"&gt;0.007451287&lt;/D&gt;&lt;/FQL&gt;&lt;FQL&gt;&lt;Q&gt;JPYUSD^FG_PRICE(45354)&lt;/Q&gt;&lt;R&gt;1&lt;/R&gt;&lt;C&gt;1&lt;/C&gt;&lt;D xsi:type="xsd:double"&gt;0.007451287&lt;/D&gt;&lt;/FQL&gt;&lt;FQL&gt;&lt;Q&gt;JPYUSD^FG_PRICE(45346)&lt;/Q&gt;&lt;R&gt;1&lt;/R&gt;&lt;C&gt;1&lt;/C&gt;&lt;D xsi:type="xsd:double"&gt;0.007451287&lt;/D&gt;&lt;/FQL&gt;&lt;FQL&gt;&lt;Q&gt;JPYUSD^FG_PRICE(45338)&lt;/Q&gt;&lt;R&gt;1&lt;/R&gt;&lt;C&gt;1&lt;/C&gt;&lt;D xsi:type="xsd:double"&gt;0.007451287&lt;/D&gt;&lt;/FQL&gt;&lt;FQL&gt;&lt;Q&gt;JPYUSD^FG_PRICE(45330)&lt;/Q&gt;&lt;R&gt;1&lt;/R&gt;&lt;C&gt;1&lt;/C&gt;&lt;D xsi:type="xsd:double"&gt;0.007451287&lt;/D&gt;&lt;/FQL&gt;&lt;FQL&gt;&lt;Q&gt;JPYUSD^FG_PRICE(45322)&lt;/Q&gt;&lt;R&gt;1&lt;/R&gt;&lt;C&gt;1&lt;/C&gt;&lt;D xsi:type="xsd:double"&gt;0.007451287&lt;/D&gt;&lt;/FQL&gt;&lt;FQL&gt;&lt;Q&gt;JPYUSD^FG_PRICE(45314)&lt;/Q&gt;&lt;R&gt;1&lt;/R&gt;&lt;C&gt;1&lt;/C&gt;&lt;D xsi:type="xsd:double"&gt;0.007451287&lt;/D&gt;&lt;/FQL&gt;&lt;FQL&gt;&lt;Q&gt;JPYUSD^FG_PRICE(45306)&lt;/Q&gt;&lt;R&gt;1&lt;/R&gt;&lt;C&gt;1&lt;/C&gt;&lt;D xsi:type="xsd:double"&gt;0.007451287&lt;/D&gt;&lt;/FQL&gt;&lt;FQL&gt;&lt;Q&gt;JPYUSD^FG_PRICE(45298)&lt;/Q&gt;&lt;R&gt;1&lt;/R&gt;&lt;C&gt;1&lt;/C&gt;&lt;D xsi:type="xsd:double"&gt;0.007451287&lt;/D&gt;&lt;/FQL&gt;&lt;FQL&gt;&lt;Q&gt;JPYUSD^FG_PRICE(45290)&lt;/Q&gt;&lt;R&gt;1&lt;/R&gt;&lt;C&gt;1&lt;/C&gt;&lt;D xsi:type="xsd:double"&gt;0.007451287&lt;/D&gt;&lt;/FQL&gt;&lt;FQL&gt;&lt;Q&gt;JPYUSD^FG_PRICE(45282)&lt;/Q&gt;&lt;R&gt;1&lt;/R&gt;&lt;C&gt;1&lt;/C&gt;&lt;D xsi:type="xsd:double"&gt;0.007451287&lt;/D&gt;&lt;/FQL&gt;&lt;FQL&gt;&lt;Q&gt;JPYUSD^FG_PRICE(45274)&lt;/Q&gt;&lt;R&gt;1&lt;/R&gt;&lt;C&gt;1&lt;/C&gt;&lt;D xsi:type="xsd:double"&gt;0.007451287&lt;/D&gt;&lt;/FQL&gt;&lt;FQL&gt;&lt;Q&gt;JPYUSD^FG_PRICE(45266)&lt;/Q&gt;&lt;R&gt;1&lt;/R&gt;&lt;C&gt;1&lt;/C&gt;&lt;D xsi:type="xsd:double"&gt;0.007451287&lt;/D&gt;&lt;/FQL&gt;&lt;FQL&gt;&lt;Q&gt;JPYUSD^FG_PRICE(45258)&lt;/Q&gt;&lt;R&gt;1&lt;/R&gt;&lt;C&gt;1&lt;/C&gt;&lt;D xsi:type="xsd:double"&gt;0.007451287&lt;/D&gt;&lt;/FQL&gt;&lt;FQL&gt;&lt;Q&gt;JPYUSD^FG_PRICE(45250)&lt;/Q&gt;&lt;R&gt;1&lt;/R&gt;&lt;C&gt;1&lt;/C&gt;&lt;D xsi:type="xsd:double"&gt;0.007451287&lt;/D&gt;&lt;/FQL&gt;&lt;FQL&gt;&lt;Q&gt;JPYUSD^FG_PRICE(45242)&lt;/Q&gt;&lt;R&gt;1&lt;/R&gt;&lt;C&gt;1&lt;/C&gt;&lt;D xsi:type="xsd:double"&gt;0.007451287&lt;/D&gt;&lt;/FQL&gt;&lt;FQL&gt;&lt;Q&gt;JPYUSD^FG_PRICE(45234)&lt;/Q&gt;&lt;R&gt;1&lt;/R&gt;&lt;C&gt;1&lt;/C&gt;&lt;D xsi:type="xsd:double"&gt;0.007451287&lt;/D&gt;&lt;/FQL&gt;&lt;FQL&gt;&lt;Q&gt;JPYUSD^FG_PRICE(45226)&lt;/Q&gt;&lt;R&gt;1&lt;/R&gt;&lt;C&gt;1&lt;/C&gt;&lt;D xsi:type="xsd:double"&gt;0.007451287&lt;/D&gt;&lt;/FQL&gt;&lt;FQL&gt;&lt;Q&gt;JPYUSD^FG_PRICE(45218)&lt;/Q&gt;&lt;R&gt;1&lt;/R&gt;&lt;C&gt;1&lt;/C&gt;&lt;D xsi:type="xsd:double"&gt;0.007451287&lt;/D&gt;&lt;/FQL&gt;&lt;FQL&gt;&lt;Q&gt;JPYUSD^FG_PRICE(45210)&lt;/Q&gt;&lt;R&gt;1&lt;/R&gt;&lt;C&gt;1&lt;/C&gt;&lt;D xsi:type="xsd:double"&gt;0.007451287&lt;/D&gt;&lt;/FQL&gt;&lt;FQL&gt;&lt;Q&gt;JPYUSD^FG_PRICE(45202)&lt;/Q&gt;&lt;R&gt;1&lt;/R&gt;&lt;C&gt;1&lt;/C&gt;&lt;D xsi:type="xsd:double"&gt;0.007451287&lt;/D&gt;&lt;/FQL&gt;&lt;FQL&gt;&lt;Q&gt;JPYUSD^FG_PRICE(45194)&lt;/Q&gt;&lt;R&gt;1&lt;/R&gt;&lt;C&gt;1&lt;/C&gt;&lt;D xsi:type="xsd:double"&gt;0.007451287&lt;/D&gt;&lt;/FQL&gt;&lt;FQL&gt;&lt;Q&gt;JPYUSD^FG_PRICE(45186)&lt;/Q&gt;&lt;R&gt;1&lt;/R&gt;&lt;C&gt;1&lt;/C&gt;&lt;D xsi:type="xsd:double"&gt;0.007451287&lt;/D&gt;&lt;/FQL&gt;&lt;FQL&gt;&lt;Q&gt;JPYUSD^FG_PRICE(45178)&lt;/Q&gt;&lt;R&gt;1&lt;/R&gt;&lt;C&gt;1&lt;/C&gt;&lt;D xsi:type="xsd:double"&gt;0.007451287&lt;/D&gt;&lt;/FQL&gt;&lt;FQL&gt;&lt;Q&gt;JPYUSD^FG_PRICE(45170)&lt;/Q&gt;&lt;R&gt;1&lt;/R&gt;&lt;C&gt;1&lt;/C&gt;&lt;D xsi:type="xsd:double"&gt;0.007451287&lt;/D&gt;&lt;/FQL&gt;&lt;FQL&gt;&lt;Q&gt;JPYUSD^FG_PRICE(45162)&lt;/Q&gt;&lt;R&gt;1&lt;/R&gt;&lt;C&gt;1&lt;/C&gt;&lt;D xsi:type="xsd:double"&gt;0.007451287&lt;/D&gt;&lt;/FQL&gt;&lt;FQL&gt;&lt;Q&gt;JPYUSD^FG_PRICE(45154)&lt;/Q&gt;&lt;R&gt;1&lt;/R&gt;&lt;C&gt;1&lt;/C&gt;&lt;D xsi:type="xsd:double"&gt;0.007451287&lt;/D&gt;&lt;/FQL&gt;&lt;FQL&gt;&lt;Q&gt;JPYUSD^FG_PRICE(45146)&lt;/Q&gt;&lt;R&gt;1&lt;/R&gt;&lt;C&gt;1&lt;/C&gt;&lt;D xsi:type="xsd:double"&gt;0.007451287&lt;/D&gt;&lt;/FQL&gt;&lt;FQL&gt;&lt;Q&gt;JPYUSD^FG_PRICE(45138)&lt;/Q&gt;&lt;R&gt;1&lt;/R&gt;&lt;C&gt;1&lt;/C&gt;&lt;D xsi:type="xsd:double"&gt;0.007451287&lt;/D&gt;&lt;/FQL&gt;&lt;FQL&gt;&lt;Q&gt;JPYUSD^FG_PRICE(45130)&lt;/Q&gt;&lt;R&gt;1&lt;/R&gt;&lt;C&gt;1&lt;/C&gt;&lt;D xsi:type="xsd:double"&gt;0.007451287&lt;/D&gt;&lt;/FQL&gt;&lt;FQL&gt;&lt;Q&gt;JPYUSD^FG_PRICE(45122)&lt;/Q&gt;&lt;R&gt;1&lt;/R&gt;&lt;C&gt;1&lt;/C&gt;&lt;D xsi:type="xsd:double"&gt;0.007451287&lt;/D&gt;&lt;/FQL&gt;&lt;FQL&gt;&lt;Q&gt;JPYUSD^FG_PRICE(45114)&lt;/Q&gt;&lt;R&gt;1&lt;/R&gt;&lt;C&gt;1&lt;/C&gt;&lt;D xsi:type="xsd:double"&gt;0.007451287&lt;/D&gt;&lt;/FQL&gt;&lt;FQL&gt;&lt;Q&gt;JPYUSD^FG_PRICE(45106)&lt;/Q&gt;&lt;R&gt;1&lt;/R&gt;&lt;C&gt;1&lt;/C&gt;&lt;D xsi:type="xsd:double"&gt;0.007451287&lt;/D&gt;&lt;/FQL&gt;&lt;FQL&gt;&lt;Q&gt;JPYUSD^FG_PRICE(45098)&lt;/Q&gt;&lt;R&gt;1&lt;/R&gt;&lt;C&gt;1&lt;/C&gt;&lt;D xsi:type="xsd:double"&gt;0.007451287&lt;/D&gt;&lt;/FQL&gt;&lt;FQL&gt;&lt;Q&gt;JPYUSD^FG_PRICE(45090)&lt;/Q&gt;&lt;R&gt;1&lt;/R&gt;&lt;C&gt;1&lt;/C&gt;&lt;D xsi:type="xsd:double"&gt;0.007451287&lt;/D&gt;&lt;/FQL&gt;&lt;FQL&gt;&lt;Q&gt;JPYUSD^FG_PRICE(45082)&lt;/Q&gt;&lt;R&gt;1&lt;/R&gt;&lt;C&gt;1&lt;/C&gt;&lt;D xsi:type="xsd:double"&gt;0.007451287&lt;/D&gt;&lt;/FQL&gt;&lt;FQL&gt;&lt;Q&gt;JPYUSD^FG_PRICE(45074)&lt;/Q&gt;&lt;R&gt;1&lt;/R&gt;&lt;C&gt;1&lt;/C&gt;&lt;D xsi:type="xsd:double"&gt;0.007451287&lt;/D&gt;&lt;/FQL&gt;&lt;FQL&gt;&lt;Q&gt;JPYUSD^FG_PRICE(45066)&lt;/Q&gt;&lt;R&gt;1&lt;/R&gt;&lt;C&gt;1&lt;/C&gt;&lt;D xsi:type="xsd:double"&gt;0.007451287&lt;/D&gt;&lt;/FQL&gt;&lt;FQL&gt;&lt;Q&gt;JPYUSD^FG_PRICE(45058)&lt;/Q&gt;&lt;R&gt;1&lt;/R&gt;&lt;C&gt;1&lt;/C&gt;&lt;D xsi:type="xsd:double"&gt;0.007451287&lt;/D&gt;&lt;/FQL&gt;&lt;FQL&gt;&lt;Q&gt;JPYUSD^FG_PRICE(45050)&lt;/Q&gt;&lt;R&gt;1&lt;/R&gt;&lt;C&gt;1&lt;/C&gt;&lt;D xsi:type="xsd:double"&gt;0.007451287&lt;/D&gt;&lt;/FQL&gt;&lt;FQL&gt;&lt;Q&gt;JPYUSD^FG_PRICE(45042)&lt;/Q&gt;&lt;R&gt;1&lt;/R&gt;&lt;C&gt;1&lt;/C&gt;&lt;D xsi:type="xsd:double"&gt;0.007451287&lt;/D&gt;&lt;/FQL&gt;&lt;FQL&gt;&lt;Q&gt;JPYUSD^FG_PRICE(45034)&lt;/Q&gt;&lt;R&gt;1&lt;/R&gt;&lt;C&gt;1&lt;/C&gt;&lt;D xsi:type="xsd:double"&gt;0.007451287&lt;/D&gt;&lt;/FQL&gt;&lt;FQL&gt;&lt;Q&gt;JPYUSD^FG_PRICE(45026)&lt;/Q&gt;&lt;R&gt;1&lt;/R&gt;&lt;C&gt;1&lt;/C&gt;&lt;D xsi:type="xsd:double"&gt;0.007451287&lt;/D&gt;&lt;/FQL&gt;&lt;FQL&gt;&lt;Q&gt;JPYUSD^FG_PRICE(45018)&lt;/Q&gt;&lt;R&gt;1&lt;/R&gt;&lt;C&gt;1&lt;/C&gt;&lt;D xsi:type="xsd:double"&gt;0.007451287&lt;/D&gt;&lt;/FQL&gt;&lt;FQL&gt;&lt;Q&gt;JPYUSD^FG_PRICE(45010)&lt;/Q&gt;&lt;R&gt;1&lt;/R&gt;&lt;C&gt;1&lt;/C&gt;&lt;D xsi:type="xsd:double"&gt;0.007451287&lt;/D&gt;&lt;/FQL&gt;&lt;FQL&gt;&lt;Q&gt;JPYUSD^FG_PRICE(45002)&lt;/Q&gt;&lt;R&gt;1&lt;/R&gt;&lt;C&gt;1&lt;/C&gt;&lt;D xsi:type="xsd:double"&gt;0.007451287&lt;/D&gt;&lt;/FQL&gt;&lt;FQL&gt;&lt;Q&gt;JPYUSD^FG_PRICE(44994)&lt;/Q&gt;&lt;R&gt;1&lt;/R&gt;&lt;C&gt;1&lt;/C&gt;&lt;D xsi:type="xsd:double"&gt;0.007451287&lt;/D&gt;&lt;/FQL&gt;&lt;FQL&gt;&lt;Q&gt;JPYUSD^FG_PRICE(44986)&lt;/Q&gt;&lt;R&gt;1&lt;/R&gt;&lt;C&gt;1&lt;/C&gt;&lt;D xsi:type="xsd:double"&gt;0.007451287&lt;/D&gt;&lt;/FQL&gt;&lt;FQL&gt;&lt;Q&gt;JPYUSD^FG_PRICE(44978)&lt;/Q&gt;&lt;R&gt;1&lt;/R&gt;&lt;C&gt;1&lt;/C&gt;&lt;D xsi:type="xsd:double"&gt;0.007451287&lt;/D&gt;&lt;/FQL&gt;&lt;FQL&gt;&lt;Q&gt;JPYUSD^FG_PRICE(44970)&lt;/Q&gt;&lt;R&gt;1&lt;/R&gt;&lt;C&gt;1&lt;/C&gt;&lt;D xsi:type="xsd:double"&gt;0.00753012&lt;/D&gt;&lt;/FQL&gt;&lt;FQL&gt;&lt;Q&gt;JPYUSD^FG_PRICE(44962)&lt;/Q&gt;&lt;R&gt;1&lt;/R&gt;&lt;C&gt;1&lt;/C&gt;&lt;D xsi:type="xsd:double"&gt;0.007631258&lt;/D&gt;&lt;/FQL&gt;&lt;FQL&gt;&lt;Q&gt;JPYUSD^FG_PRICE(44954)&lt;/Q&gt;&lt;R&gt;1&lt;/R&gt;&lt;C&gt;1&lt;/C&gt;&lt;D xsi:type="xsd:double"&gt;0.007693787&lt;/D&gt;&lt;/FQL&gt;&lt;FQL&gt;&lt;Q&gt;JPYUSD^FG_PRICE(44946)&lt;/Q&gt;&lt;R&gt;1&lt;/R&gt;&lt;C&gt;1&lt;/C&gt;&lt;D xsi:type="xsd:double"&gt;0.007696748&lt;/D&gt;&lt;/FQL&gt;&lt;FQL&gt;&lt;Q&gt;JPYUSD^FG_PRICE(44938)&lt;/Q&gt;&lt;R&gt;1&lt;/R&gt;&lt;C&gt;1&lt;/C&gt;&lt;D xsi:type="xsd:double"&gt;0.0077029727&lt;/D&gt;&lt;/FQL&gt;&lt;FQL&gt;&lt;Q&gt;JPYUSD^FG_PRICE(44930)&lt;/Q&gt;&lt;R&gt;1&lt;/R&gt;&lt;C&gt;1&lt;/C&gt;&lt;D xsi:type="xsd:double"&gt;0.0075740363&lt;/D&gt;&lt;/FQL&gt;&lt;FQL&gt;&lt;Q&gt;JPYUSD^FG_PRICE(44922)&lt;/Q&gt;&lt;R&gt;1&lt;/R&gt;&lt;C&gt;1&lt;/C&gt;&lt;D xsi:type="xsd:double"&gt;0.0074990625&lt;/D&gt;&lt;/FQL&gt;&lt;FQL&gt;&lt;Q&gt;JPYUSD^FG_PRICE(44914)&lt;/Q&gt;&lt;R&gt;1&lt;/R&gt;&lt;C&gt;1&lt;/C&gt;&lt;D xsi:type="xsd:double"&gt;0.007299537&lt;/D&gt;&lt;/FQL&gt;&lt;FQL&gt;&lt;Q&gt;JPYUSD^FG_PRICE(44906)&lt;/Q&gt;&lt;R&gt;1&lt;/R&gt;&lt;C&gt;1&lt;/C&gt;&lt;D xsi:type="xsd:double"&gt;0.007320912&lt;/D&gt;&lt;/FQL&gt;&lt;FQL&gt;&lt;Q&gt;JPYUSD^FG_PRICE(44898)&lt;/Q&gt;&lt;R&gt;1&lt;/R&gt;&lt;C&gt;1&lt;/C&gt;&lt;D xsi:type="xsd:double"&gt;0.0073814355&lt;/D&gt;&lt;/FQL&gt;&lt;FQL&gt;&lt;Q&gt;JPYUSD^FG_PRICE(44890)&lt;/Q&gt;&lt;R&gt;1&lt;/R&gt;&lt;C&gt;1&lt;/C&gt;&lt;D xsi:type="xsd:double"&gt;0.0071813287&lt;/D&gt;&lt;/FQL&gt;&lt;FQL&gt;&lt;Q&gt;JPYUSD^FG_PRICE(44882)&lt;/Q&gt;&lt;R&gt;1&lt;/R&gt;&lt;C&gt;1&lt;/C&gt;&lt;D xsi:type="xsd:double"&gt;0.0071133873&lt;/D&gt;&lt;/FQL&gt;&lt;FQL&gt;&lt;Q&gt;JPYUSD^FG_PRICE(44874)&lt;/Q&gt;&lt;R&gt;1&lt;/R&gt;&lt;C&gt;1&lt;/C&gt;&lt;D xsi:type="xsd:double"&gt;0.0068359706&lt;/D&gt;&lt;/FQL&gt;&lt;FQL&gt;&lt;Q&gt;JPYUSD^FG_PRICE(44866)&lt;/Q&gt;&lt;R&gt;1&lt;/R&gt;&lt;C&gt;1&lt;/C&gt;&lt;D xsi:type="xsd:double"&gt;0.0067515103&lt;/D&gt;&lt;/FQL&gt;&lt;FQL&gt;&lt;Q&gt;JPYUSD^FG_PRICE(44858)&lt;/Q&gt;&lt;R&gt;1&lt;/R&gt;&lt;C&gt;1&lt;/C&gt;&lt;D xsi:type="xsd:double"&gt;0.006722011&lt;/D&gt;&lt;/FQL&gt;&lt;FQL&gt;&lt;Q&gt;JPYUSD^FG_PRICE(44850)&lt;/Q&gt;&lt;R&gt;1&lt;/R&gt;&lt;C&gt;1&lt;/C&gt;&lt;D xsi:type="xsd:double"&gt;0.0067401337&lt;/D&gt;&lt;/FQL&gt;&lt;FQL&gt;&lt;Q&gt;JPYUSD^FG_PRICE(44842)&lt;/Q&gt;&lt;R&gt;1&lt;/R&gt;&lt;C&gt;1&lt;/C&gt;&lt;D xsi:type="xsd:double"&gt;0.0068898993&lt;/D&gt;&lt;/FQL&gt;&lt;FQL&gt;&lt;Q&gt;JPYUSD^FG_PRICE(44834)&lt;/Q&gt;&lt;R&gt;1&lt;/R&gt;&lt;C&gt;1&lt;/C&gt;&lt;D xsi:type="xsd:double"&gt;0.0069087017&lt;/D&gt;&lt;/FQL&gt;&lt;FQL&gt;&lt;Q&gt;JPYUSD^FG_PRICE(44826)&lt;/Q&gt;&lt;R&gt;1&lt;/R&gt;&lt;C&gt;1&lt;/C&gt;&lt;D xsi:type="xsd:double"&gt;0.007037545&lt;/D&gt;&lt;/FQL&gt;&lt;FQL&gt;&lt;Q&gt;JPYUSD^FG_PRICE(44818)&lt;/Q&gt;&lt;R&gt;1&lt;/R&gt;&lt;C&gt;1&lt;/C&gt;&lt;D xsi:type="xsd:double"&gt;0.0070113936&lt;/D&gt;&lt;/FQL&gt;&lt;FQL&gt;&lt;Q&gt;JPYUSD^FG_PRICE(44810)&lt;/Q&gt;&lt;R&gt;1&lt;/R&gt;&lt;C&gt;1&lt;/C&gt;&lt;D xsi:type="xsd:double"&gt;0.007006972&lt;/D&gt;&lt;/FQL&gt;&lt;FQL&gt;&lt;Q&gt;JPYUSD^FG_PRICE(44802)&lt;/Q&gt;&lt;R&gt;1&lt;/R&gt;&lt;C&gt;1&lt;/C&gt;&lt;D xsi:type="xsd:double"&gt;0.0072079864&lt;/D&gt;&lt;/FQL&gt;&lt;FQL&gt;&lt;Q&gt;JPYUSD^FG_PRICE(44794)&lt;/Q&gt;&lt;R&gt;1&lt;/R&gt;&lt;C&gt;1&lt;/C&gt;&lt;D xsi:type="xsd:double"&gt;0.007293148&lt;/D&gt;&lt;/FQL&gt;&lt;FQL&gt;&lt;Q&gt;JPYUSD^FG_PRICE(44786)&lt;/Q&gt;&lt;R&gt;1&lt;/R&gt;&lt;C&gt;1&lt;/C&gt;&lt;D xsi:type="xsd:double"&gt;0.0074791517&lt;/D&gt;&lt;/FQL&gt;&lt;FQL&gt;&lt;Q&gt;JPYUSD^FG_PRICE(44778)&lt;/Q&gt;&lt;R&gt;1&lt;/R&gt;&lt;C&gt;1&lt;/C&gt;&lt;D xsi:type="xsd:double"&gt;0.0073885256&lt;/D&gt;&lt;/FQL&gt;&lt;FQL&gt;&lt;Q&gt;JPYUSD^FG_PRICE(44770)&lt;/Q&gt;&lt;R&gt;1&lt;/R&gt;&lt;C&gt;1&lt;/C&gt;&lt;D xsi:type="xsd:double"&gt;0.0074324575&lt;/D&gt;&lt;/FQL&gt;&lt;FQL&gt;&lt;Q&gt;JPYUSD^FG_PRICE(44762)&lt;/Q&gt;&lt;R&gt;1&lt;/R&gt;&lt;C&gt;1&lt;/C&gt;&lt;D xsi:type="xsd:double"&gt;0.007241916&lt;/D&gt;&lt;/FQL&gt;&lt;FQL&gt;&lt;Q&gt;JPYUSD^FG_PRICE(44754)&lt;/Q&gt;&lt;R&gt;1&lt;/R&gt;&lt;C&gt;1&lt;/C&gt;&lt;D xsi:type="xsd:double"&gt;0.0073171626&lt;/D&gt;&lt;/FQL&gt;&lt;FQL&gt;&lt;Q&gt;JPYUSD^FG_PRICE(44746)&lt;/Q&gt;&lt;R&gt;1&lt;/R&gt;&lt;C&gt;1&lt;/C&gt;&lt;D xsi:type="xsd:double"&gt;0.007366754&lt;/D&gt;&lt;/FQL&gt;&lt;FQL&gt;&lt;Q&gt;JPYUSD^FG_PRICE(44738)&lt;/Q&gt;&lt;R&gt;1&lt;/R&gt;&lt;C&gt;1&lt;/C&gt;&lt;D xsi:type="xsd:double"&gt;0.0073953555&lt;/D&gt;&lt;/FQL&gt;&lt;FQL&gt;&lt;Q&gt;JPYUSD^FG_PRICE(44730)&lt;/Q&gt;&lt;R&gt;1&lt;/R&gt;&lt;C&gt;1&lt;/C&gt;&lt;D xsi:type="xsd:double"&gt;0.0073912563&lt;/D&gt;&lt;/FQL&gt;&lt;FQL&gt;&lt;Q&gt;JPYUSD^FG_PRICE(44722)&lt;/Q&gt;&lt;R&gt;1&lt;/R&gt;&lt;C&gt;1&lt;/C&gt;&lt;D xsi:type="xsd:double"&gt;0.007449622&lt;/D&gt;&lt;/FQL&gt;&lt;FQL&gt;&lt;Q&gt;JPYUSD^FG_PRICE(44714)&lt;/Q&gt;&lt;R&gt;1&lt;/R&gt;&lt;C&gt;1&lt;/C&gt;&lt;D xsi:type="xsd:double"&gt;0.00770149&lt;/D&gt;&lt;/FQL&gt;&lt;FQL&gt;&lt;Q&gt;JPYUSD^FG_PRICE(44706)&lt;/Q&gt;&lt;R&gt;1&lt;/R&gt;&lt;C&gt;1&lt;/C&gt;&lt;D xsi:type="xsd:double"&gt;0.007852067&lt;/D&gt;&lt;/FQL&gt;&lt;FQL&gt;&lt;Q&gt;JPYUSD^FG_PRICE(44698)&lt;/Q&gt;&lt;R&gt;1&lt;/R&gt;&lt;C&gt;1&lt;/C&gt;&lt;D xsi:type="xsd:double"&gt;0.0077360463&lt;/D&gt;&lt;/FQL&gt;&lt;FQL&gt;&lt;Q&gt;JPYUSD^FG_PRICE(44690)&lt;/Q&gt;&lt;R&gt;1&lt;/R&gt;&lt;C&gt;1&lt;/C&gt;&lt;D xsi:type="xsd:double"&gt;0.0076622483&lt;/D&gt;&lt;/FQL&gt;&lt;FQL&gt;&lt;Q&gt;JPYUSD^FG_PRICE(44682)&lt;/Q&gt;&lt;R&gt;1&lt;/R&gt;&lt;C&gt;1&lt;/C&gt;&lt;D xsi:type="xsd:double"&gt;0.0077184318&lt;/D&gt;&lt;/FQL&gt;&lt;FQL&gt;&lt;Q&gt;JPYUSD^FG_PRICE(44674)&lt;/Q&gt;&lt;R&gt;1&lt;/R&gt;&lt;C&gt;1&lt;/C&gt;&lt;D xsi:type="xsd:double"&gt;0.007784222&lt;/D&gt;&lt;/FQL&gt;&lt;FQL&gt;&lt;Q&gt;JPYUSD^FG_PRICE(44666)&lt;/Q&gt;&lt;R&gt;1&lt;/R&gt;&lt;C&gt;1&lt;/C&gt;&lt;D xsi:type="xsd:double"&gt;0.007942497&lt;/D&gt;&lt;/FQL&gt;&lt;FQL&gt;&lt;Q&gt;JPYUSD^FG_PRICE(44658)&lt;/Q&gt;&lt;R&gt;1&lt;/R&gt;&lt;C&gt;1&lt;/C&gt;&lt;D xsi:type="xsd:double"&gt;0.008069397&lt;/D&gt;&lt;/FQL&gt;&lt;FQL&gt;&lt;Q&gt;JPYUSD^FG_PRICE(44650)&lt;/Q&gt;&lt;R&gt;1&lt;/R&gt;&lt;C&gt;1&lt;/C&gt;&lt;D xsi:type="xsd:double"&gt;0.008195714&lt;/D&gt;&lt;/FQL&gt;&lt;FQL&gt;&lt;Q&gt;JPYUSD^FG_PRICE(45657)&lt;/Q&gt;&lt;R&gt;1&lt;/R&gt;&lt;C&gt;1&lt;/C&gt;&lt;D xsi:type="xsd:double"&gt;0.007451287&lt;/D&gt;&lt;/FQL&gt;&lt;FQL&gt;&lt;Q&gt;JPYUSD^FG_PRICE(45649)&lt;/Q&gt;&lt;R&gt;1&lt;/R&gt;&lt;C&gt;1&lt;/C&gt;&lt;D xsi:type="xsd:double"&gt;0.007451287&lt;/D&gt;&lt;/FQL&gt;&lt;FQL&gt;&lt;Q&gt;JPYUSD^FG_PRICE(45641)&lt;/Q&gt;&lt;R&gt;1&lt;/R&gt;&lt;C&gt;1&lt;/C&gt;&lt;D xsi:type="xsd:double"&gt;0.007451287&lt;/D&gt;&lt;/FQL&gt;&lt;FQL&gt;&lt;Q&gt;JPYUSD^FG_PRICE(45633)&lt;/Q&gt;&lt;R&gt;1&lt;/R&gt;&lt;C&gt;1&lt;/C&gt;&lt;D xsi:type="xsd:double"&gt;0.007451287&lt;/D&gt;&lt;/FQL&gt;&lt;FQL&gt;&lt;Q&gt;JPYUSD^FG_PRICE(45625)&lt;/Q&gt;&lt;R&gt;1&lt;/R&gt;&lt;C&gt;1&lt;/C&gt;&lt;D xsi:type="xsd:double"&gt;0.007451287&lt;/D&gt;&lt;/FQL&gt;&lt;FQL&gt;&lt;Q&gt;JPYUSD^FG_PRICE(45617)&lt;/Q&gt;&lt;R&gt;1&lt;/R&gt;&lt;C&gt;1&lt;/C&gt;&lt;D xsi:type="xsd:double"&gt;0.007451287&lt;/D&gt;&lt;/FQL&gt;&lt;FQL&gt;&lt;Q&gt;JPYUSD^FG_PRICE(45609)&lt;/Q&gt;&lt;R&gt;1&lt;/R&gt;&lt;C&gt;1&lt;/C&gt;&lt;D xsi:type="xsd:double"&gt;0.007451287&lt;/D&gt;&lt;/FQL&gt;&lt;FQL&gt;&lt;Q&gt;JPYUSD^FG_PRICE(45601)&lt;/Q&gt;&lt;R&gt;1&lt;/R&gt;&lt;C&gt;1&lt;/C&gt;&lt;D xsi:type="xsd:double"&gt;0.007451287&lt;/D&gt;&lt;/FQL&gt;&lt;FQL&gt;&lt;Q&gt;JPYUSD^FG_PRICE(45593)&lt;/Q&gt;&lt;R&gt;1&lt;/R&gt;&lt;C&gt;1&lt;/C&gt;&lt;D xsi:type="xsd:double"&gt;0.007451287&lt;/D&gt;&lt;/FQL&gt;&lt;FQL&gt;&lt;Q&gt;JPYUSD^FG_PRICE(45585)&lt;/Q&gt;&lt;R&gt;1&lt;/R&gt;&lt;C&gt;1&lt;/C&gt;&lt;D xsi:type="xsd:double"&gt;0.007451287&lt;/D&gt;&lt;/FQL&gt;&lt;FQL&gt;&lt;Q&gt;JPYUSD^FG_PRICE(45577)&lt;/Q&gt;&lt;R&gt;1&lt;/R&gt;&lt;C&gt;1&lt;/C&gt;&lt;D xsi:type="xsd:double"&gt;0.007451287&lt;/D&gt;&lt;/FQL&gt;&lt;FQL&gt;&lt;Q&gt;JPYUSD^FG_PRICE(45569)&lt;/Q&gt;&lt;R&gt;1&lt;/R&gt;&lt;C&gt;1&lt;/C&gt;&lt;D xsi:type="xsd:double"&gt;0.007451287&lt;/D&gt;&lt;/FQL&gt;&lt;FQL&gt;&lt;Q&gt;JPYUSD^FG_PRICE(45561)&lt;/Q&gt;&lt;R&gt;1&lt;/R&gt;&lt;C&gt;1&lt;/C&gt;&lt;D xsi:type="xsd:double"&gt;0.007451287&lt;/D&gt;&lt;/FQL&gt;&lt;FQL&gt;&lt;Q&gt;JPYUSD^FG_PRICE(45553)&lt;/Q&gt;&lt;R&gt;1&lt;/R&gt;&lt;C&gt;1&lt;/C&gt;&lt;D xsi:type="xsd:double"&gt;0.007451287&lt;/D&gt;&lt;/FQL&gt;&lt;FQL&gt;&lt;Q&gt;JPYUSD^FG_PRICE(45545)&lt;/Q&gt;&lt;R&gt;1&lt;/R&gt;&lt;C&gt;1&lt;/C&gt;&lt;D xsi:type="xsd:double"&gt;0.007451287&lt;/D&gt;&lt;/FQL&gt;&lt;FQL&gt;&lt;Q&gt;JPYUSD^FG_PRICE(45537)&lt;/Q&gt;&lt;R&gt;1&lt;/R&gt;&lt;C&gt;1&lt;/C&gt;&lt;D xsi:type="xsd:double"&gt;0.007451287&lt;/D&gt;&lt;/FQL&gt;&lt;FQL&gt;&lt;Q&gt;JPYUSD^FG_PRICE(45529)&lt;/Q&gt;&lt;R&gt;1&lt;/R&gt;&lt;C&gt;1&lt;/C&gt;&lt;D xsi:type="xsd:double"&gt;0.007451287&lt;/D&gt;&lt;/FQL&gt;&lt;FQL&gt;&lt;Q&gt;JPYUSD^FG_PRICE(45521)&lt;/Q&gt;&lt;R&gt;1&lt;/R&gt;&lt;C&gt;1&lt;/C&gt;&lt;D xsi:type="xsd:double"&gt;0.007451287&lt;/D&gt;&lt;/FQL&gt;&lt;FQL&gt;&lt;Q&gt;JPYUSD^FG_PRICE(45513)&lt;/Q&gt;&lt;R&gt;1&lt;/R&gt;&lt;C&gt;1&lt;/C&gt;&lt;D xsi:type="xsd:double"&gt;0.007451287&lt;/D&gt;&lt;/FQL&gt;&lt;FQL&gt;&lt;Q&gt;JPYUSD^FG_PRICE(45505)&lt;/Q&gt;&lt;R&gt;1&lt;/R&gt;&lt;C&gt;1&lt;/C&gt;&lt;D xsi:type="xsd:double"&gt;0.007451287&lt;/D&gt;&lt;/FQL&gt;&lt;FQL&gt;&lt;Q&gt;JPYUSD^FG_PRICE(45497)&lt;/Q&gt;&lt;R&gt;1&lt;/R&gt;&lt;C&gt;1&lt;/C&gt;&lt;D xsi:type="xsd:double"&gt;0.007451287&lt;/D&gt;&lt;/FQL&gt;&lt;FQL&gt;&lt;Q&gt;JPYUSD^FG_PRICE(45489)&lt;/Q&gt;&lt;R&gt;1&lt;/R&gt;&lt;C&gt;1&lt;/C&gt;&lt;D xsi:type="xsd:double"&gt;0.007451287&lt;/D&gt;&lt;/FQL&gt;&lt;FQL&gt;&lt;Q&gt;JPYUSD^FG_PRICE(45481)&lt;/Q&gt;&lt;R&gt;1&lt;/R&gt;&lt;C&gt;1&lt;/C&gt;&lt;D xsi:type="xsd:double"&gt;0.007451287&lt;/D&gt;&lt;/FQL&gt;&lt;FQL&gt;&lt;Q&gt;JPYUSD^FG_PRICE(45473)&lt;/Q&gt;&lt;R&gt;1&lt;/R&gt;&lt;C&gt;1&lt;/C&gt;&lt;D xsi:type="xsd:double"&gt;0.007451287&lt;/D&gt;&lt;/FQL&gt;&lt;FQL&gt;&lt;Q&gt;JPYUSD^FG_PRICE(45465)&lt;/Q&gt;&lt;R&gt;1&lt;/R&gt;&lt;C&gt;1&lt;/C&gt;&lt;D xsi:type="xsd:double"&gt;0.007451287&lt;/D&gt;&lt;/FQL&gt;&lt;FQL&gt;&lt;Q&gt;JPYUSD^FG_PRICE(45457)&lt;/Q&gt;&lt;R&gt;1&lt;/R&gt;&lt;C&gt;1&lt;/C&gt;&lt;D xsi:type="xsd:double"&gt;0.007451287&lt;/D&gt;&lt;/FQL&gt;&lt;FQL&gt;&lt;Q&gt;JPYUSD^FG_PRICE(45449)&lt;/Q&gt;&lt;R&gt;1&lt;/R&gt;&lt;C&gt;1&lt;/C&gt;&lt;D xsi:type="xsd:double"&gt;0.007451287&lt;/D&gt;&lt;/FQL&gt;&lt;FQL&gt;&lt;Q&gt;JPYUSD^FG_PRICE(45441)&lt;/Q&gt;&lt;R&gt;1&lt;/R&gt;&lt;C&gt;1&lt;/C&gt;&lt;D xsi:type="xsd:double"&gt;0.007451287&lt;/D&gt;&lt;/FQL&gt;&lt;FQL&gt;&lt;Q&gt;JPYUSD^FG_PRICE(45433)&lt;/Q&gt;&lt;R&gt;1&lt;/R&gt;&lt;C&gt;1&lt;/C&gt;&lt;D xsi:type="xsd:double"&gt;0.007451287&lt;/D&gt;&lt;/FQL&gt;&lt;FQL&gt;&lt;Q&gt;JPYUSD^FG_PRICE(45425)&lt;/Q&gt;&lt;R&gt;1&lt;/R&gt;&lt;C&gt;1&lt;/C&gt;&lt;D xsi:type="xsd:double"&gt;0.007451287&lt;/D&gt;&lt;/FQL&gt;&lt;FQL&gt;&lt;Q&gt;JPYUSD^FG_PRICE(45417)&lt;/Q&gt;&lt;R&gt;1&lt;/R&gt;&lt;C&gt;1&lt;/C&gt;&lt;D xsi:type="xsd:double"&gt;0.007451287&lt;/D&gt;&lt;/FQL&gt;&lt;FQL&gt;&lt;Q&gt;JPYUSD^FG_PRICE(45409)&lt;/Q&gt;&lt;R&gt;1&lt;/R&gt;&lt;C&gt;1&lt;/C&gt;&lt;D xsi:type="xsd:double"&gt;0.007451287&lt;/D&gt;&lt;/FQL&gt;&lt;FQL&gt;&lt;Q&gt;JPYUSD^FG_PRICE(45401)&lt;/Q&gt;&lt;R&gt;1&lt;/R&gt;&lt;C&gt;1&lt;/C&gt;&lt;D xsi:type="xsd:double"&gt;0.007451287&lt;/D&gt;&lt;/FQL&gt;&lt;FQL&gt;&lt;Q&gt;JPYUSD^FG_PRICE(45393)&lt;/Q&gt;&lt;R&gt;1&lt;/R&gt;&lt;C&gt;1&lt;/C&gt;&lt;D xsi:type="xsd:double"&gt;0.007451287&lt;/D&gt;&lt;/FQL&gt;&lt;FQL&gt;&lt;Q&gt;JPYUSD^FG_PRICE(45385)&lt;/Q&gt;&lt;R&gt;1&lt;/R&gt;&lt;C&gt;1&lt;/C&gt;&lt;D xsi:type="xsd:double"&gt;0.007451287&lt;/D&gt;&lt;/FQL&gt;&lt;FQL&gt;&lt;Q&gt;JPYUSD^FG_PRICE(45377)&lt;/Q&gt;&lt;R&gt;1&lt;/R&gt;&lt;C&gt;1&lt;/C&gt;&lt;D xsi:type="xsd:double"&gt;0.007451287&lt;/D&gt;&lt;/FQL&gt;&lt;FQL&gt;&lt;Q&gt;JPYUSD^FG_PRICE(45369)&lt;/Q&gt;&lt;R&gt;1&lt;/R&gt;&lt;C&gt;1&lt;/C&gt;&lt;D xsi:type="xsd:double"&gt;0.007451287&lt;/D&gt;&lt;/FQL&gt;&lt;FQL&gt;&lt;Q&gt;JPYUSD^FG_PRICE(45361)&lt;/Q&gt;&lt;R&gt;1&lt;/R&gt;&lt;C&gt;1&lt;/C&gt;&lt;D xsi:type="xsd:double"&gt;0.007451287&lt;/D&gt;&lt;/FQL&gt;&lt;FQL&gt;&lt;Q&gt;JPYUSD^FG_PRICE(45353)&lt;/Q&gt;&lt;R&gt;1&lt;/R&gt;&lt;C&gt;1&lt;/C&gt;&lt;D xsi:type="xsd:double"&gt;0.007451287&lt;/D&gt;&lt;/FQL&gt;&lt;FQL&gt;&lt;Q&gt;JPYUSD^FG_PRICE(45345)&lt;/Q&gt;&lt;R&gt;1&lt;/R&gt;&lt;C&gt;1&lt;/C&gt;&lt;D xsi:type="xsd:double"&gt;0.007451287&lt;/D&gt;&lt;/FQL&gt;&lt;FQL&gt;&lt;Q&gt;JPYUSD^FG_PRICE(45337)&lt;/Q&gt;&lt;R&gt;1&lt;/R&gt;&lt;C&gt;1&lt;/C&gt;&lt;D xsi:type="xsd:double"&gt;0.007451287&lt;/D&gt;&lt;/FQL&gt;&lt;FQL&gt;&lt;Q&gt;JPYUSD^FG_PRICE(45329)&lt;/Q&gt;&lt;R&gt;1&lt;/R&gt;&lt;C&gt;1&lt;/C&gt;&lt;D xsi:type="xsd:double"&gt;0.007451287&lt;/D&gt;&lt;/FQL&gt;&lt;FQL&gt;&lt;Q&gt;JPYUSD^FG_PRICE(45321)&lt;/Q&gt;&lt;R&gt;1&lt;/R&gt;&lt;C&gt;1&lt;/C&gt;&lt;D xsi:type="xsd:double"&gt;0.007451287&lt;/D&gt;&lt;/FQL&gt;&lt;FQL&gt;&lt;Q&gt;JPYUSD^FG_PRICE(45313)&lt;/Q&gt;&lt;R&gt;1&lt;/R&gt;&lt;C&gt;1&lt;/C&gt;&lt;D xsi:type="xsd:double"&gt;0.007451287&lt;/D&gt;&lt;/FQL&gt;&lt;FQL&gt;&lt;Q&gt;JPYUSD^FG_PRICE(45305)&lt;/Q&gt;&lt;R&gt;1&lt;/R&gt;&lt;C&gt;1&lt;/C&gt;&lt;D xsi:type="xsd:double"&gt;0.007451287&lt;/D&gt;&lt;/FQL&gt;&lt;FQL&gt;&lt;Q&gt;JPYUSD^FG_PRICE(45297)&lt;/Q&gt;&lt;R&gt;1&lt;/R&gt;&lt;C&gt;1&lt;/C&gt;&lt;D xsi:type="xsd:double"&gt;0.007451287&lt;/D&gt;&lt;/FQL&gt;&lt;FQL&gt;&lt;Q&gt;JPYUSD^FG_PRICE(45289)&lt;/Q&gt;&lt;R&gt;1&lt;/R&gt;&lt;C&gt;1&lt;/C&gt;&lt;D xsi:type="xsd:double"&gt;0.007451287&lt;/D&gt;&lt;/FQL&gt;&lt;FQL&gt;&lt;Q&gt;JPYUSD^FG_PRICE(45281)&lt;/Q&gt;&lt;R&gt;1&lt;/R&gt;&lt;C&gt;1&lt;/C&gt;&lt;D xsi:type="xsd:double"&gt;0.007451287&lt;/D&gt;&lt;/FQL&gt;&lt;FQL&gt;&lt;Q&gt;JPYUSD^FG_PRICE(45273)&lt;/Q&gt;&lt;R&gt;1&lt;/R&gt;&lt;C&gt;1&lt;/C&gt;&lt;D xsi:type="xsd:double"&gt;0.007451287&lt;/D&gt;&lt;/FQL&gt;&lt;FQL&gt;&lt;Q&gt;JPYUSD^FG_PRICE(45265)&lt;/Q&gt;&lt;R&gt;1&lt;/R&gt;&lt;C&gt;1&lt;/C&gt;&lt;D xsi:type="xsd:double"&gt;0.007451287&lt;/D&gt;&lt;/FQL&gt;&lt;FQL&gt;&lt;Q&gt;JPYUSD^FG_PRICE(45257)&lt;/Q&gt;&lt;R&gt;1&lt;/R&gt;&lt;C&gt;1&lt;/C&gt;&lt;D xsi:type="xsd:double"&gt;0.007451287&lt;/D&gt;&lt;/FQL&gt;&lt;FQL&gt;&lt;Q&gt;JPYUSD^FG_PRICE(45249)&lt;/Q&gt;&lt;R&gt;1&lt;/R&gt;&lt;C&gt;1&lt;/C&gt;&lt;D xsi:type="xsd:double"&gt;0.007451287&lt;/D&gt;&lt;/FQL&gt;&lt;FQL&gt;&lt;Q&gt;JPYUSD^FG_PRICE(45241)&lt;/Q&gt;&lt;R&gt;1&lt;/R&gt;&lt;C&gt;1&lt;/C&gt;&lt;D xsi:type="xsd:double"&gt;0.007451287&lt;/D&gt;&lt;/FQL&gt;&lt;FQL&gt;&lt;Q&gt;JPYUSD^FG_PRICE(45233)&lt;/Q&gt;&lt;R&gt;1&lt;/R&gt;&lt;C&gt;1&lt;/C&gt;&lt;D xsi:type="xsd:double"&gt;0.007451287&lt;/D&gt;&lt;/FQL&gt;&lt;FQL&gt;&lt;Q&gt;JPYUSD^FG_PRICE(45225)&lt;/Q&gt;&lt;R&gt;1&lt;/R&gt;&lt;C&gt;1&lt;/C&gt;&lt;D xsi:type="xsd:double"&gt;0.007451287&lt;/D&gt;&lt;/FQL&gt;&lt;FQL&gt;&lt;Q&gt;JPYUSD^FG_PRICE(45217)&lt;/Q&gt;&lt;R&gt;1&lt;/R&gt;&lt;C&gt;1&lt;/C&gt;&lt;D xsi:type="xsd:double"&gt;0.007451287&lt;/D&gt;&lt;/FQL&gt;&lt;FQL&gt;&lt;Q&gt;JPYUSD^FG_PRICE(45209)&lt;/Q&gt;&lt;R&gt;1&lt;/R&gt;&lt;C&gt;1&lt;/C&gt;&lt;D xsi:type="xsd:double"&gt;0.007451287&lt;/D&gt;&lt;/FQL&gt;&lt;FQL&gt;&lt;Q&gt;JPYUSD^FG_PRICE(45201)&lt;/Q&gt;&lt;R&gt;1&lt;/R&gt;&lt;C&gt;1&lt;/C&gt;&lt;D xsi:type="xsd:double"&gt;0.007451287&lt;/D&gt;&lt;/FQL&gt;&lt;FQL&gt;&lt;Q&gt;JPYUSD^FG_PRICE(45193)&lt;/Q&gt;&lt;R&gt;1&lt;/R&gt;&lt;C&gt;1&lt;/C&gt;&lt;D xsi:type="xsd:double"&gt;0.007451287&lt;/D&gt;&lt;/FQL&gt;&lt;FQL&gt;&lt;Q&gt;JPYUSD^FG_PRICE(45185)&lt;/Q&gt;&lt;R&gt;1&lt;/R&gt;&lt;C&gt;1&lt;/C&gt;&lt;D xsi:type="xsd:double"&gt;0.007451287&lt;/D&gt;&lt;/FQL&gt;&lt;FQL&gt;&lt;Q&gt;JPYUSD^FG_PRICE(45177)&lt;/Q&gt;&lt;R&gt;1&lt;/R&gt;&lt;C&gt;1&lt;/C&gt;&lt;D xsi:type="xsd:double"&gt;0.007451287&lt;/D&gt;&lt;/FQL&gt;&lt;FQL&gt;&lt;Q&gt;JPYUSD^FG_PRICE(45169)&lt;/Q&gt;&lt;R&gt;1&lt;/R&gt;&lt;C&gt;1&lt;/C&gt;&lt;D xsi:type="xsd:double"&gt;0.007451287&lt;/D&gt;&lt;/FQL&gt;&lt;FQL&gt;&lt;Q&gt;JPYUSD^FG_PRICE(45161)&lt;/Q&gt;&lt;R&gt;1&lt;/R&gt;&lt;C&gt;1&lt;/C&gt;&lt;D xsi:type="xsd:double"&gt;0.007451287&lt;/D&gt;&lt;/FQL&gt;&lt;FQL&gt;&lt;Q&gt;JPYUSD^FG_PRICE(45153)&lt;/Q&gt;&lt;R&gt;1&lt;/R&gt;&lt;C&gt;1&lt;/C&gt;&lt;D xsi:type="xsd:double"&gt;0.007451287&lt;/D&gt;&lt;/FQL&gt;&lt;FQL&gt;&lt;Q&gt;JPYUSD^FG_PRICE(45145)&lt;/Q&gt;&lt;R&gt;1&lt;/R&gt;&lt;C&gt;1&lt;/C&gt;&lt;D xsi:type="xsd:double"&gt;0.007451287&lt;/D&gt;&lt;/FQL&gt;&lt;FQL&gt;&lt;Q&gt;JPYUSD^FG_PRICE(45137)&lt;/Q&gt;&lt;R&gt;1&lt;/R&gt;&lt;C&gt;1&lt;/C&gt;&lt;D xsi:type="xsd:double"&gt;0.007451287&lt;/D&gt;&lt;/FQL&gt;&lt;FQL&gt;&lt;Q&gt;JPYUSD^FG_PRICE(45129)&lt;/Q&gt;&lt;R&gt;1&lt;/R&gt;&lt;C&gt;1&lt;/C&gt;&lt;D xsi:type="xsd:double"&gt;0.007451287&lt;/D&gt;&lt;/FQL&gt;&lt;FQL&gt;&lt;Q&gt;JPYUSD^FG_PRICE(45121)&lt;/Q&gt;&lt;R&gt;1&lt;/R&gt;&lt;C&gt;1&lt;/C&gt;&lt;D xsi:type="xsd:double"&gt;0.007451287&lt;/D&gt;&lt;/FQL&gt;&lt;FQL&gt;&lt;Q&gt;JPYUSD^FG_PRICE(45113)&lt;/Q&gt;&lt;R&gt;1&lt;/R&gt;&lt;C&gt;1&lt;/C&gt;&lt;D xsi:type="xsd:double"&gt;0.007451287&lt;/D&gt;&lt;/FQL&gt;&lt;FQL&gt;&lt;Q&gt;JPYUSD^FG_PRICE(45105)&lt;/Q&gt;&lt;R&gt;1&lt;/R&gt;&lt;C&gt;1&lt;/C&gt;&lt;D xsi:type="xsd:double"&gt;0.007451287&lt;/D&gt;&lt;/FQL&gt;&lt;FQL&gt;&lt;Q&gt;JPYUSD^FG_PRICE(45097)&lt;/Q&gt;&lt;R&gt;1&lt;/R&gt;&lt;C&gt;1&lt;/C&gt;&lt;D xsi:type="xsd:double"&gt;0.007451287&lt;/D&gt;&lt;/FQL&gt;&lt;FQL&gt;&lt;Q&gt;JPYUSD^FG_PRICE(45089)&lt;/Q&gt;&lt;R&gt;1&lt;/R&gt;&lt;C&gt;1&lt;/C&gt;&lt;D xsi:type="xsd:double"&gt;0.007451287&lt;/D&gt;&lt;/FQL&gt;&lt;FQL&gt;&lt;Q&gt;JPYUSD^FG_PRICE(45081)&lt;/Q&gt;&lt;R&gt;1&lt;/R&gt;&lt;C&gt;1&lt;/C&gt;&lt;D xsi:type="xsd:double"&gt;0.007451287&lt;/D&gt;&lt;/FQL&gt;&lt;FQL&gt;&lt;Q&gt;JPYUSD^FG_PRICE(45073)&lt;/Q&gt;&lt;R&gt;1&lt;/R&gt;&lt;C&gt;1&lt;/C&gt;&lt;D xsi:type="xsd:double"&gt;0.007451287&lt;/D&gt;&lt;/FQL&gt;&lt;FQL&gt;&lt;Q&gt;JPYUSD^FG_PRICE(45065)&lt;/Q&gt;&lt;R&gt;1&lt;/R&gt;&lt;C&gt;1&lt;/C&gt;&lt;D xsi:type="xsd:double"&gt;0.007451287&lt;/D&gt;&lt;/FQL&gt;&lt;FQL&gt;&lt;Q&gt;JPYUSD^FG_PRICE(45057)&lt;/Q&gt;&lt;R&gt;1&lt;/R&gt;&lt;C&gt;1&lt;/C&gt;&lt;D xsi:type="xsd:double"&gt;0.007451287&lt;/D&gt;&lt;/FQL&gt;&lt;FQL&gt;&lt;Q&gt;JPYUSD^FG_PRICE(45049)&lt;/Q&gt;&lt;R&gt;1&lt;/R&gt;&lt;C&gt;1&lt;/C&gt;&lt;D xsi:type="xsd:double"&gt;0.007451287&lt;/D&gt;&lt;/FQL&gt;&lt;FQL&gt;&lt;Q&gt;JPYUSD^FG_PRICE(45041)&lt;/Q&gt;&lt;R&gt;1&lt;/R&gt;&lt;C&gt;1&lt;/C&gt;&lt;D xsi:type="xsd:double"&gt;0.007451287&lt;/D&gt;&lt;/FQL&gt;&lt;FQL&gt;&lt;Q&gt;JPYUSD^FG_PRICE(45033)&lt;/Q&gt;&lt;R&gt;1&lt;/R&gt;&lt;C&gt;1&lt;/C&gt;&lt;D xsi:type="xsd:double"&gt;0.007451287&lt;/D&gt;&lt;/FQL&gt;&lt;FQL&gt;&lt;Q&gt;JPYUSD^FG_PRICE(45025)&lt;/Q&gt;&lt;R&gt;1&lt;/R&gt;&lt;C&gt;1&lt;/C&gt;&lt;D xsi:type="xsd:double"&gt;0.007451287&lt;/D&gt;&lt;/FQL&gt;&lt;FQL&gt;&lt;Q&gt;JPYUSD^FG_PRICE(45017)&lt;/Q&gt;&lt;R&gt;1&lt;/R&gt;&lt;C&gt;1&lt;/C&gt;&lt;D xsi:type="xsd:double"&gt;0.007451287&lt;/D&gt;&lt;/FQL&gt;&lt;FQL&gt;&lt;Q&gt;JPYUSD^FG_PRICE(45009)&lt;/Q&gt;&lt;R&gt;1&lt;/R&gt;&lt;C&gt;1&lt;/C&gt;&lt;D xsi:type="xsd:double"&gt;0.007451287&lt;/D&gt;&lt;/FQL&gt;&lt;FQL&gt;&lt;Q&gt;JPYUSD^FG_PRICE(45001)&lt;/Q&gt;&lt;R&gt;1&lt;/R&gt;&lt;C&gt;1&lt;/C&gt;&lt;D xsi:type="xsd:double"&gt;0.007451287&lt;/D&gt;&lt;/FQL&gt;&lt;FQL&gt;&lt;Q&gt;JPYUSD^FG_PRICE(44993)&lt;/Q&gt;&lt;R&gt;1&lt;/R&gt;&lt;C&gt;1&lt;/C&gt;&lt;D xsi:type="xsd:double"&gt;0.007451287&lt;/D&gt;&lt;/FQL&gt;&lt;FQL&gt;&lt;Q&gt;JPYUSD^FG_PRICE(44985)&lt;/Q&gt;&lt;R&gt;1&lt;/R&gt;&lt;C&gt;1&lt;/C&gt;&lt;D xsi:type="xsd:double"&gt;0.007451287&lt;/D&gt;&lt;/FQL&gt;&lt;FQL&gt;&lt;Q&gt;JPYUSD^FG_PRICE(44977)&lt;/Q&gt;&lt;R&gt;1&lt;/R&gt;&lt;C&gt;1&lt;/C&gt;&lt;D xsi:type="xsd:double"&gt;0.007451287&lt;/D&gt;&lt;/FQL&gt;&lt;FQL&gt;&lt;Q&gt;JPYUSD^FG_PRICE(44969)&lt;/Q&gt;&lt;R&gt;1&lt;/R&gt;&lt;C&gt;1&lt;/C&gt;&lt;D xsi:type="xsd:double"&gt;0.0076155663&lt;/D&gt;&lt;/FQL&gt;&lt;FQL&gt;&lt;Q&gt;JPYUSD^FG_PRICE(44961)&lt;/Q&gt;&lt;R&gt;1&lt;/R&gt;&lt;C&gt;1&lt;/C&gt;&lt;D xsi:type="xsd:double"&gt;0.007631258&lt;/D&gt;&lt;/FQL&gt;&lt;FQL&gt;&lt;Q&gt;JPYUSD^FG_PRICE(44953)&lt;/Q&gt;&lt;R&gt;1&lt;/R&gt;&lt;C&gt;1&lt;/C&gt;&lt;D xsi:type="xsd:double"&gt;0.007693787&lt;/D&gt;&lt;/FQL&gt;&lt;FQL&gt;&lt;Q&gt;JPYUSD^FG_PRICE(44945)&lt;/Q&gt;&lt;R&gt;1&lt;/R&gt;&lt;C&gt;1&lt;/C&gt;&lt;D xsi:type="xsd:double"&gt;0.007784222&lt;/D&gt;&lt;/FQL&gt;&lt;FQL&gt;&lt;Q&gt;JPYUSD^FG_PRICE(44937)&lt;/Q&gt;&lt;R&gt;1&lt;/R&gt;&lt;C&gt;1&lt;/C&gt;&lt;D xsi:type="xsd:double"&gt;0.007542331&lt;/D&gt;&lt;/FQL&gt;&lt;FQL&gt;&lt;Q&gt;JPYUSD^FG_PRICE(44929)&lt;/Q&gt;&lt;R&gt;1&lt;/R&gt;&lt;C&gt;1&lt;/C&gt;&lt;D xsi:type="xsd:double"&gt;0.0076478906&lt;/D&gt;&lt;/FQL&gt;&lt;FQL&gt;&lt;Q&gt;JPYUSD^FG_PRICE(44921)&lt;/Q&gt;&lt;R&gt;1&lt;/R&gt;&lt;C&gt;1&lt;/C&gt;&lt;D xsi:type="xsd:double"&gt;0.007527286&lt;/D&gt;&lt;/FQL&gt;&lt;FQL&gt;&lt;Q&gt;JPYUSD^FG_PRICE(44913)&lt;/Q&gt;&lt;R&gt;1&lt;/R&gt;&lt;C&gt;1&lt;/C&gt;&lt;D xsi:type="xsd:double"&gt;0.0073171626&lt;/D&gt;&lt;/FQL&gt;&lt;FQL&gt;&lt;Q&gt;JPYUSD^FG_PRICE(44905)&lt;/Q&gt;&lt;R&gt;1&lt;/R&gt;&lt;C&gt;1&lt;/C&gt;&lt;D xsi:type="xsd:double"&gt;0.007320912&lt;/D&gt;&lt;/FQL&gt;&lt;FQL&gt;&lt;Q&gt;JPYUSD^FG_PRICE(44897)&lt;/Q&gt;&lt;R&gt;1&lt;/R&gt;&lt;C&gt;1&lt;/C&gt;&lt;D xsi:type="xsd:double"&gt;0.0073814355&lt;/D&gt;&lt;/FQL&gt;&lt;FQL&gt;&lt;Q&gt;JPYUSD^FG_PRICE(44889)&lt;/Q&gt;&lt;R&gt;1&lt;/R&gt;&lt;C&gt;1&lt;/C&gt;&lt;D xsi:type="xsd:double"&gt;0.007226739&lt;/D&gt;&lt;/FQL&gt;&lt;FQL&gt;&lt;Q&gt;JPYUSD^FG_PRICE(44881)&lt;/Q&gt;&lt;R&gt;1&lt;/R&gt;&lt;C&gt;1&lt;/C&gt;&lt;D xsi:type="xsd:double"&gt;0.0071764328&lt;/D&gt;&lt;/FQL&gt;&lt;FQL&gt;&lt;Q&gt;JPYUSD^FG_PRICE(44873)&lt;/Q&gt;&lt;R&gt;1&lt;/R&gt;&lt;C&gt;1&lt;/C&gt;&lt;D xsi:type="xsd:double"&gt;0.0068730884&lt;/D&gt;&lt;/FQL&gt;&lt;FQL&gt;&lt;Q&gt;JPYUSD^FG_PRICE(44865)&lt;/Q&gt;&lt;R&gt;1&lt;/R&gt;&lt;C&gt;1&lt;/C&gt;&lt;D xsi:type="xsd:double"&gt;0.0067278906&lt;/D&gt;&lt;/FQL&gt;&lt;FQL&gt;&lt;Q&gt;JPYUSD^FG_PRICE(44857)&lt;/Q&gt;&lt;R&gt;1&lt;/R&gt;&lt;C&gt;1&lt;/C&gt;&lt;D xsi:type="xsd:double"&gt;0.006667111&lt;/D&gt;&lt;/FQL&gt;&lt;FQL&gt;&lt;Q&gt;JPYUSD^FG_PRICE(44849)&lt;/Q&gt;&lt;R&gt;1&lt;/R&gt;&lt;C&gt;1&lt;/C&gt;&lt;D xsi:type="xsd:double"&gt;0.0067401337&lt;/D&gt;&lt;/FQL&gt;&lt;FQL&gt;&lt;Q&gt;JPYUSD^FG_PRICE(44841)&lt;/Q&gt;&lt;R&gt;1&lt;/R&gt;&lt;C&gt;1&lt;/C&gt;&lt;D xsi:type="xsd:double"&gt;0.0068898993&lt;/D&gt;&lt;/FQL&gt;&lt;FQL&gt;&lt;Q&gt;JPYUSD^FG_PRICE(44833)&lt;/Q&gt;&lt;R&gt;1&lt;/R&gt;&lt;C&gt;1&lt;/C&gt;&lt;D xsi:type="xsd:double"&gt;0.0069158683&lt;/D&gt;&lt;/FQL&gt;&lt;FQL&gt;&lt;Q&gt;JPYUSD^FG_PRICE(44825)&lt;/Q&gt;&lt;R&gt;1&lt;/R&gt;&lt;C&gt;1&lt;/C&gt;&lt;D xsi:type="xsd:double"&gt;0.0069384216&lt;/D&gt;&lt;/FQL&gt;&lt;FQL&gt;&lt;Q&gt;JPYUSD^FG_PRICE(44817)&lt;/Q&gt;&lt;R&gt;1&lt;/R&gt;&lt;C&gt;1&lt;/C&gt;&lt;D xsi:type="xsd:double"&gt;0.00693313&lt;/D&gt;&lt;/FQL&gt;&lt;FQL&gt;&lt;Q&gt;JPYUSD^FG_PRICE(44809)&lt;/Q&gt;&lt;R&gt;1&lt;/R&gt;&lt;C&gt;1&lt;/C&gt;&lt;D xsi:type="xsd:double"&gt;0.0071151587&lt;/D&gt;&lt;/FQL&gt;&lt;FQL&gt;&lt;Q&gt;JPYUSD^FG_PRICE(44801)&lt;/Q&gt;&lt;R&gt;1&lt;/R&gt;&lt;C&gt;1&lt;/C&gt;&lt;D xsi:type="xsd:double"&gt;0.0072849127&lt;/D&gt;&lt;/FQL&gt;&lt;FQL&gt;&lt;Q&gt;JPYUSD^FG_PRICE(44793)&lt;/Q&gt;&lt;R&gt;1&lt;/R&gt;&lt;C&gt;1&lt;/C&gt;&lt;D xsi:type="xsd:double"&gt;0.007293148&lt;/D&gt;&lt;/FQL&gt;&lt;FQL&gt;&lt;Q&gt;JPYUSD^FG_PRICE(44785)&lt;/Q&gt;&lt;R&gt;1&lt;/R&gt;&lt;C&gt;1&lt;/C&gt;&lt;D xsi:type="xsd:double"&gt;0.0074791517&lt;/D&gt;&lt;/FQL&gt;&lt;FQL&gt;&lt;Q&gt;JPYUSD^FG_PRICE(44777)&lt;/Q&gt;&lt;R&gt;1&lt;/R&gt;&lt;C&gt;1&lt;/C&gt;&lt;D xsi:type="xsd:double"&gt;0.0075111734&lt;/D&gt;&lt;/FQL&gt;&lt;FQL&gt;&lt;Q&gt;JPYUSD^FG_PRICE(44769)&lt;/Q&gt;&lt;R&gt;1&lt;/R&gt;&lt;C&gt;1&lt;/C&gt;&lt;D xsi:type="xsd:double"&gt;0.007284648&lt;/D&gt;&lt;/FQL&gt;&lt;FQL&gt;&lt;Q&gt;JPYUSD^FG_PRICE(44761)&lt;/Q&gt;&lt;R&gt;1&lt;/R&gt;&lt;C&gt;1&lt;/C&gt;&lt;D xsi:type="xsd:double"&gt;0.007253472&lt;/D&gt;&lt;/FQL&gt;&lt;FQL&gt;&lt;Q&gt;JPYUSD^FG_PRICE(44753)&lt;/Q&gt;&lt;R&gt;1&lt;/R&gt;&lt;C&gt;1&lt;/C&gt;&lt;D xsi:type="xsd:double"&gt;0.0072756372&lt;/D&gt;&lt;/FQL&gt;&lt;FQL&gt;&lt;Q&gt;JPYUSD^FG_PRICE(44745)&lt;/Q&gt;&lt;R&gt;1&lt;/R&gt;&lt;C&gt;1&lt;/C&gt;&lt;D xsi:type="xsd:double"&gt;0.0074011027&lt;/D&gt;&lt;/FQL&gt;&lt;FQL&gt;&lt;Q&gt;JPYUSD^FG_PRICE(44737)&lt;/Q&gt;&lt;R&gt;1&lt;/R&gt;&lt;C&gt;1&lt;/C&gt;&lt;D xsi:type="xsd:double"&gt;0.0073953555&lt;/D&gt;&lt;/FQL&gt;&lt;FQL&gt;&lt;Q&gt;JPYUSD^FG_PRICE(44729)&lt;/Q&gt;&lt;R&gt;1&lt;/R&gt;&lt;C&gt;1&lt;/C&gt;&lt;D xsi:type="xsd:double"&gt;0.0073912563&lt;/D&gt;&lt;/FQL&gt;&lt;FQL&gt;&lt;Q&gt;JPYUSD^FG_PRICE(44721)&lt;/Q&gt;&lt;R&gt;1&lt;/R&gt;&lt;C&gt;1&lt;/C&gt;&lt;D xsi:type="xsd:double"&gt;0.007446848&lt;/D&gt;&lt;/FQL&gt;&lt;FQL&gt;&lt;Q&gt;JPYUSD^FG_PRICE(44713)&lt;/Q&gt;&lt;R&gt;1&lt;/R&gt;&lt;C&gt;1&lt;/C&gt;&lt;D xsi:type="xsd:double"&gt;0.0076958593&lt;/D&gt;&lt;/FQL&gt;&lt;FQL&gt;&lt;Q&gt;JPYUSD^FG_PRICE(44705)&lt;/Q&gt;&lt;R&gt;1&lt;/R&gt;&lt;C&gt;1&lt;/C&gt;&lt;D xsi:type="xsd:double"&gt;0.007902327&lt;/D&gt;&lt;/FQL&gt;&lt;FQL&gt;&lt;Q&gt;JPYUSD^FG_PRICE(44697)&lt;/Q&gt;&lt;R&gt;1&lt;/R&gt;&lt;C&gt;1&lt;/C&gt;&lt;D xsi:type="xsd:double"&gt;0.007748034&lt;/D&gt;&lt;/FQL&gt;&lt;FQL&gt;&lt;Q&gt;JPYUSD^FG_PRICE(45656)&lt;/Q&gt;&lt;R&gt;1&lt;/R&gt;&lt;C&gt;1&lt;/C&gt;&lt;D xsi:type="xsd:double"&gt;0.007451287&lt;/D&gt;&lt;/FQL&gt;&lt;FQL&gt;&lt;Q&gt;JPYUSD^FG_PRICE(45648)&lt;/Q&gt;&lt;R&gt;1&lt;/R&gt;&lt;C&gt;1&lt;/C&gt;&lt;D xsi:type="xsd:double"&gt;0.007451287&lt;/D&gt;&lt;/FQL&gt;&lt;FQL&gt;&lt;Q&gt;JPYUSD^FG_PRICE(45640)&lt;/Q&gt;&lt;R&gt;1&lt;/R&gt;&lt;C&gt;1&lt;/C&gt;&lt;D xsi:type="xsd:double"&gt;0.007451287&lt;/D&gt;&lt;/FQL&gt;&lt;FQL&gt;&lt;Q&gt;JPYUSD^FG_PRICE(45632)&lt;/Q&gt;&lt;R&gt;1&lt;/R&gt;&lt;C&gt;1&lt;/C&gt;&lt;D xsi:type="xsd:double"&gt;0.007451287&lt;/D&gt;&lt;/FQL&gt;&lt;FQL&gt;&lt;Q&gt;JPYUSD^FG_PRICE(45624)&lt;/Q&gt;&lt;R&gt;1&lt;/R&gt;&lt;C&gt;1&lt;/C&gt;&lt;D xsi:type="xsd:double"&gt;0.007451287&lt;/D&gt;&lt;/FQL&gt;&lt;FQL&gt;&lt;Q&gt;JPYUSD^FG_PRICE(45616)&lt;/Q&gt;&lt;R&gt;1&lt;/R&gt;&lt;C&gt;1&lt;/C&gt;&lt;D xsi:type="xsd:double"&gt;0.007451287&lt;/D&gt;&lt;/FQL&gt;&lt;FQL&gt;&lt;Q&gt;JPYUSD^FG_PRICE(45608)&lt;/Q&gt;&lt;R&gt;1&lt;/R&gt;&lt;C&gt;1&lt;/C&gt;&lt;D xsi:type="xsd:double"&gt;0.007451287&lt;/D&gt;&lt;/FQL&gt;&lt;FQL&gt;&lt;Q&gt;JPYUSD^FG_PRICE(45600)&lt;/Q&gt;&lt;R&gt;1&lt;/R&gt;&lt;C&gt;1&lt;/C&gt;&lt;D xsi:type="xsd:double"&gt;0.007451287&lt;/D&gt;&lt;/FQL&gt;&lt;FQL&gt;&lt;Q&gt;JPYUSD^FG_PRICE(45592)&lt;/Q&gt;&lt;R&gt;1&lt;/R&gt;&lt;C&gt;1&lt;/C&gt;&lt;D xsi:type="xsd:double"&gt;0.007451287&lt;/D&gt;&lt;/FQL&gt;&lt;FQL&gt;&lt;Q&gt;JPYUSD^FG_PRICE(45584)&lt;/Q&gt;&lt;R&gt;1&lt;/R&gt;&lt;C&gt;1&lt;/C&gt;&lt;D xsi:type="xsd:double"&gt;0.007451287&lt;/D&gt;&lt;/FQL&gt;&lt;FQL&gt;&lt;Q&gt;JPYUSD^FG_PRICE(45576)&lt;/Q&gt;&lt;R&gt;1&lt;/R&gt;&lt;C&gt;1&lt;/C&gt;&lt;D xsi:type="xsd:double"&gt;0.007451287&lt;/D&gt;&lt;/FQL&gt;&lt;FQL&gt;&lt;Q&gt;JPYUSD^FG_PRICE(45568)&lt;/Q&gt;&lt;R&gt;1&lt;/R&gt;&lt;C&gt;1&lt;/C&gt;&lt;D xsi:type="xsd:double"&gt;0.007451287&lt;/D&gt;&lt;/FQL&gt;&lt;FQL&gt;&lt;Q&gt;JPYUSD^FG_PRICE(45560)&lt;/Q&gt;&lt;R&gt;1&lt;/R&gt;&lt;C&gt;1&lt;/C&gt;&lt;D xsi:type="xsd:double"&gt;0.007451287&lt;/D&gt;&lt;/FQL&gt;&lt;FQL&gt;&lt;Q&gt;JPYUSD^FG_PRICE(45552)&lt;/Q&gt;&lt;R&gt;1&lt;/R&gt;&lt;C&gt;1&lt;/C&gt;&lt;D xsi:type="xsd:double"&gt;0.007451287&lt;/D&gt;&lt;/FQL&gt;&lt;FQL&gt;&lt;Q&gt;JPYUSD^FG_PRICE(45544)&lt;/Q&gt;&lt;R&gt;1&lt;/R&gt;&lt;C&gt;1&lt;/C&gt;&lt;D xsi:type="xsd:double"&gt;0.007451287&lt;/D&gt;&lt;/FQL&gt;&lt;FQL&gt;&lt;Q&gt;JPYUSD^FG_PRICE(45536)&lt;/Q&gt;&lt;R&gt;1&lt;/R&gt;&lt;C&gt;1&lt;/C&gt;&lt;D xsi:type="xsd:double"&gt;0.007451287&lt;/D&gt;&lt;/FQL&gt;&lt;FQL&gt;&lt;Q&gt;JPYUSD^FG_PRICE(45528)&lt;/Q&gt;&lt;R&gt;1&lt;/R&gt;&lt;C&gt;1&lt;/C&gt;&lt;D xsi:type="xsd:double"&gt;0.007451287&lt;/D&gt;&lt;/FQL&gt;&lt;FQL&gt;&lt;Q&gt;JPYUSD^FG_PRICE(45520)&lt;/Q&gt;&lt;R&gt;1&lt;/R&gt;&lt;C&gt;1&lt;/C&gt;&lt;D xsi:type="xsd:double"&gt;0.007451287&lt;/D&gt;&lt;/FQL&gt;&lt;FQL&gt;&lt;Q&gt;JPYUSD^FG_PRICE(45512)&lt;/Q&gt;&lt;R&gt;1&lt;/R&gt;&lt;C&gt;1&lt;/C&gt;&lt;D xsi:type="xsd:double"&gt;0.007451287&lt;/D&gt;&lt;/FQL&gt;&lt;FQL&gt;&lt;Q&gt;JPYUSD^FG_PRICE(45504)&lt;/Q&gt;&lt;R&gt;1&lt;/R&gt;&lt;C&gt;1&lt;/C&gt;&lt;D xsi:type="xsd:double"&gt;0.007451287&lt;/D&gt;&lt;/FQL&gt;&lt;FQL&gt;&lt;Q&gt;JPYUSD^FG_PRICE(45496)&lt;/Q&gt;&lt;R&gt;1&lt;/R&gt;&lt;C&gt;1&lt;/C&gt;&lt;D xsi:type="xsd:double"&gt;0.007451287&lt;/D&gt;&lt;/FQL&gt;&lt;FQL&gt;&lt;Q&gt;JPYUSD^FG_PRICE(45488)&lt;/Q&gt;&lt;R&gt;1&lt;/R&gt;&lt;C&gt;1&lt;/C&gt;&lt;D xsi:type="xsd:double"&gt;0.007451287&lt;/D&gt;&lt;/FQL&gt;&lt;FQL&gt;&lt;Q&gt;JPYUSD^FG_PRICE(45480)&lt;/Q&gt;&lt;R&gt;1&lt;/R&gt;&lt;C&gt;1&lt;/C&gt;&lt;D xsi:type="xsd:double"&gt;0.007451287&lt;/D&gt;&lt;/FQL&gt;&lt;FQL&gt;&lt;Q&gt;JPYUSD^FG_PRICE(45472)&lt;/Q&gt;&lt;R&gt;1&lt;/R&gt;&lt;C&gt;1&lt;/C&gt;&lt;D xsi:type="xsd:double"&gt;0.007451287&lt;/D&gt;&lt;/FQL&gt;&lt;FQL&gt;&lt;Q&gt;JPYUSD^FG_PRICE(45464)&lt;/Q&gt;&lt;R&gt;1&lt;/R&gt;&lt;C&gt;1&lt;/C&gt;&lt;D xsi:type="xsd:double"&gt;0.007451287&lt;/D&gt;&lt;/FQL&gt;&lt;FQL&gt;&lt;Q&gt;JPYUSD^FG_PRICE(45456)&lt;/Q&gt;&lt;R&gt;1&lt;/R&gt;&lt;C&gt;1&lt;/C&gt;&lt;D xsi:type="xsd:double"&gt;0.007451287&lt;/D&gt;&lt;/FQL&gt;&lt;FQL&gt;&lt;Q&gt;JPYUSD^FG_PRICE(45448)&lt;/Q&gt;&lt;R&gt;1&lt;/R&gt;&lt;C&gt;1&lt;/C&gt;&lt;D xsi:type="xsd:double"&gt;0.007451287&lt;/D&gt;&lt;/FQL&gt;&lt;FQL&gt;&lt;Q&gt;JPYUSD^FG_PRICE(45440)&lt;/Q&gt;&lt;R&gt;1&lt;/R&gt;&lt;C&gt;1&lt;/C&gt;&lt;D xsi:type="xsd:double"&gt;0.007451287&lt;/D&gt;&lt;/FQL&gt;&lt;FQL&gt;&lt;Q&gt;JPYUSD^FG_PRICE(45432)&lt;/Q&gt;&lt;R&gt;1&lt;/R&gt;&lt;C&gt;1&lt;/C&gt;&lt;D xsi:type="xsd:double"&gt;0.007451287&lt;/D&gt;&lt;/FQL&gt;&lt;FQL&gt;&lt;Q&gt;JPYUSD^FG_PRICE(45424)&lt;/Q&gt;&lt;R&gt;1&lt;/R&gt;&lt;C&gt;1&lt;/C&gt;&lt;D xsi:type="xsd:double"&gt;0.007451287&lt;/D&gt;&lt;/FQL&gt;&lt;FQL&gt;&lt;Q&gt;JPYUSD^FG_PRICE(45416)&lt;/Q&gt;&lt;R&gt;1&lt;/R&gt;&lt;C&gt;1&lt;/C&gt;&lt;D xsi:type="xsd:double"&gt;0.007451287&lt;/D&gt;&lt;/FQL&gt;&lt;FQL&gt;&lt;Q&gt;JPYUSD^FG_PRICE(45408)&lt;/Q&gt;&lt;R&gt;1&lt;/R&gt;&lt;C&gt;1&lt;/C&gt;&lt;D xsi:type="xsd:double"&gt;0.007451287&lt;/D&gt;&lt;/FQL&gt;&lt;FQL&gt;&lt;Q&gt;JPYUSD^FG_PRICE(45400)&lt;/Q&gt;&lt;R&gt;1&lt;/R&gt;&lt;C&gt;1&lt;/C&gt;&lt;D xsi:type="xsd:double"&gt;0.007451287&lt;/D&gt;&lt;/FQL&gt;&lt;FQL&gt;&lt;Q&gt;JPYUSD^FG_PRICE(45392)&lt;/Q&gt;&lt;R&gt;1&lt;/R&gt;&lt;C&gt;1&lt;/C&gt;&lt;D xsi:type="xsd:double"&gt;0.007451287&lt;/D&gt;&lt;/FQL&gt;&lt;FQL&gt;&lt;Q&gt;JPYUSD^FG_PRICE(45384)&lt;/Q&gt;&lt;R&gt;1&lt;/R&gt;&lt;C&gt;1&lt;/C&gt;&lt;D xsi:type="xsd:double"&gt;0.007451287&lt;/D&gt;&lt;/FQL&gt;&lt;FQL&gt;&lt;Q&gt;JPYUSD^FG_PRICE(45376)&lt;/Q&gt;&lt;R&gt;1&lt;/R&gt;&lt;C&gt;1&lt;/C&gt;&lt;D xsi:type="xsd:double"&gt;0.007451287&lt;/D&gt;&lt;/FQL&gt;&lt;FQL&gt;&lt;Q&gt;JPYUSD^FG_PRICE(45368)&lt;/Q&gt;&lt;R&gt;1&lt;/R&gt;&lt;C&gt;1&lt;/C&gt;&lt;D xsi:type="xsd:double"&gt;0.007451287&lt;/D&gt;&lt;/FQL&gt;&lt;FQL&gt;&lt;Q&gt;JPYUSD^FG_PRICE(45360)&lt;/Q&gt;&lt;R&gt;1&lt;/R&gt;&lt;C&gt;1&lt;/C&gt;&lt;D xsi:type="xsd:double"&gt;0.007451287&lt;/D&gt;&lt;/FQL&gt;&lt;FQL&gt;&lt;Q&gt;JPYUSD^FG_PRICE(45352)&lt;/Q&gt;&lt;R&gt;1&lt;/R&gt;&lt;C&gt;1&lt;/C&gt;&lt;D xsi:type="xsd:double"&gt;0.007451287&lt;/D&gt;&lt;/FQL&gt;&lt;FQL&gt;&lt;Q&gt;JPYUSD^FG_PRICE(45344)&lt;/Q&gt;&lt;R&gt;1&lt;/R&gt;&lt;C&gt;1&lt;/C&gt;&lt;D xsi:type="xsd:double"&gt;0.007451287&lt;/D&gt;&lt;/FQL&gt;&lt;FQL&gt;&lt;Q&gt;JPYUSD^FG_PRICE(45336)&lt;/Q&gt;&lt;R&gt;1&lt;/R&gt;&lt;C&gt;1&lt;/C&gt;&lt;D xsi:type="xsd:double"&gt;0.007451287&lt;/D&gt;&lt;/FQL&gt;&lt;FQL&gt;&lt;Q&gt;JPYUSD^FG_PRICE(45328)&lt;/Q&gt;&lt;R&gt;1&lt;/R&gt;&lt;C&gt;1&lt;/C&gt;&lt;D xsi:type="xsd:double"&gt;0.007451287&lt;/D&gt;&lt;/FQL&gt;&lt;FQL&gt;&lt;Q&gt;JPYUSD^FG_PRICE(45320)&lt;/Q&gt;&lt;R&gt;1&lt;/R&gt;&lt;C&gt;1&lt;/C&gt;&lt;D xsi:type="xsd:double"&gt;0.007451287&lt;/D&gt;&lt;/FQL&gt;&lt;FQL&gt;&lt;Q&gt;JPYUSD^FG_PRICE(45312)&lt;/Q&gt;&lt;R&gt;1&lt;/R&gt;&lt;C&gt;1&lt;/C&gt;&lt;D xsi:type="xsd:double"&gt;0.007451287&lt;/D&gt;&lt;/FQL&gt;&lt;FQL&gt;&lt;Q&gt;JPYUSD^FG_PRICE(45304)&lt;/Q&gt;&lt;R&gt;1&lt;/R&gt;&lt;C&gt;1&lt;/C&gt;&lt;D xsi:type="xsd:double"&gt;0.007451287&lt;/D&gt;&lt;/FQL&gt;&lt;FQL&gt;&lt;Q&gt;JPYUSD^FG_PRICE(45296)&lt;/Q&gt;&lt;R&gt;1&lt;/R&gt;&lt;C&gt;1&lt;/C&gt;&lt;D xsi:type="xsd:double"&gt;0.007451287&lt;/D&gt;&lt;/FQL&gt;&lt;FQL&gt;&lt;Q&gt;JPYUSD^FG_PRICE(45288)&lt;/Q&gt;&lt;R&gt;1&lt;/R&gt;&lt;C&gt;1&lt;/C&gt;&lt;D xsi:type="xsd:double"&gt;0.007451287&lt;/D&gt;&lt;/FQL&gt;&lt;FQL&gt;&lt;Q&gt;JPYUSD^FG_PRICE(45280)&lt;/Q&gt;&lt;R&gt;1&lt;/R&gt;&lt;C&gt;1&lt;/C&gt;&lt;D xsi:type="xsd:double"&gt;0.007451287&lt;/D&gt;&lt;/FQL&gt;&lt;FQL&gt;&lt;Q&gt;JPYUSD^FG_PRICE(45272)&lt;/Q&gt;&lt;R&gt;1&lt;/R&gt;&lt;C&gt;1&lt;/C&gt;&lt;D xsi:type="xsd:double"&gt;0.007451287&lt;/D&gt;&lt;/FQL&gt;&lt;FQL&gt;&lt;Q&gt;JPYUSD^FG_PRICE(45264)&lt;/Q&gt;&lt;R&gt;1&lt;/R&gt;&lt;C&gt;1&lt;/C&gt;&lt;D xsi:type="xsd:double"&gt;0.007451287&lt;/D&gt;&lt;/FQL&gt;&lt;FQL&gt;&lt;Q&gt;JPYUSD^FG_PRICE(45256)&lt;/Q&gt;&lt;R&gt;1&lt;/R&gt;&lt;C&gt;1&lt;/C&gt;&lt;D xsi:type="xsd:double"&gt;0.007451287&lt;/D&gt;&lt;/FQL&gt;&lt;FQL&gt;&lt;Q&gt;JPYUSD^FG_PRICE(45248)&lt;/Q&gt;&lt;R&gt;1&lt;/R&gt;&lt;C&gt;1&lt;/C&gt;&lt;D xsi:type="xsd:double"&gt;0.007451287&lt;/D&gt;&lt;/FQL&gt;&lt;FQL&gt;&lt;Q&gt;JPYUSD^FG_PRICE(45240)&lt;/Q&gt;&lt;R&gt;1&lt;/R&gt;&lt;C&gt;1&lt;/C&gt;&lt;D xsi:type="xsd:double"&gt;0.007451287&lt;/D&gt;&lt;/FQL&gt;&lt;FQL&gt;&lt;Q&gt;JPYUSD^FG_PRICE(45232)&lt;/Q&gt;&lt;R&gt;1&lt;/R&gt;&lt;C&gt;1&lt;/C&gt;&lt;D xsi:type="xsd:double"&gt;0.007451287&lt;/D&gt;&lt;/FQL&gt;&lt;FQL&gt;&lt;Q&gt;JPYUSD^FG_PRICE(45224)&lt;/Q&gt;&lt;R&gt;1&lt;/R&gt;&lt;C&gt;1&lt;/C&gt;&lt;D xsi:type="xsd:double"&gt;0.007451287&lt;/D&gt;&lt;/FQL&gt;&lt;FQL&gt;&lt;Q&gt;JPYUSD^FG_PRICE(45216)&lt;/Q&gt;&lt;R&gt;1&lt;/R&gt;&lt;C&gt;1&lt;/C&gt;&lt;D xsi:type="xsd:double"&gt;0.007451287&lt;/D&gt;&lt;/FQL&gt;&lt;FQL&gt;&lt;Q&gt;JPYUSD^FG_PRICE(45208)&lt;/Q&gt;&lt;R&gt;1&lt;/R&gt;&lt;C&gt;1&lt;/C&gt;&lt;D xsi:type="xsd:double"&gt;0.007451287&lt;/D&gt;&lt;/FQL&gt;&lt;FQL&gt;&lt;Q&gt;JPYUSD^FG_PRICE(45200)&lt;/Q&gt;&lt;R&gt;1&lt;/R&gt;&lt;C&gt;1&lt;/C&gt;&lt;D xsi:type="xsd:double"&gt;0.007451287&lt;/D&gt;&lt;/FQL&gt;&lt;FQL&gt;&lt;Q&gt;JPYUSD^FG_PRICE(45192)&lt;/Q&gt;&lt;R&gt;1&lt;/R&gt;&lt;C&gt;1&lt;/C&gt;&lt;D xsi:type="xsd:double"&gt;0.007451287&lt;/D&gt;&lt;/FQL&gt;&lt;FQL&gt;&lt;Q&gt;JPYUSD^FG_PRICE(45184)&lt;/Q&gt;&lt;R&gt;1&lt;/R&gt;&lt;C&gt;1&lt;/C&gt;&lt;D xsi:type="xsd:double"&gt;0.007451287&lt;/D&gt;&lt;/FQL&gt;&lt;FQL&gt;&lt;Q&gt;JPYUSD^FG_PRICE(45176)&lt;/Q&gt;&lt;R&gt;1&lt;/R&gt;&lt;C&gt;1&lt;/C&gt;&lt;D xsi:type="xsd:double"&gt;0.007451287&lt;/D&gt;&lt;/FQL&gt;&lt;FQL&gt;&lt;Q&gt;JPYUSD^FG_PRICE(45168)&lt;/Q&gt;&lt;R&gt;1&lt;/R&gt;&lt;C&gt;1&lt;/C&gt;&lt;D xsi:type="xsd:double"&gt;0.007451287&lt;/D&gt;&lt;/FQL&gt;&lt;FQL&gt;&lt;Q&gt;JPYUSD^FG_PRICE(45160)&lt;/Q&gt;&lt;R&gt;1&lt;/R&gt;&lt;C&gt;1&lt;/C&gt;&lt;D xsi:type="xsd:double"&gt;0.007451287&lt;/D&gt;&lt;/FQL&gt;&lt;FQL&gt;&lt;Q&gt;JPYUSD^FG_PRICE(45152)&lt;/Q&gt;&lt;R&gt;1&lt;/R&gt;&lt;C&gt;1&lt;/C&gt;&lt;D xsi:type="xsd:double"&gt;0.007451287&lt;/D&gt;&lt;/FQL&gt;&lt;FQL&gt;&lt;Q&gt;JPYUSD^FG_PRICE(45144)&lt;/Q&gt;&lt;R&gt;1&lt;/R&gt;&lt;C&gt;1&lt;/C&gt;&lt;D xsi:type="xsd:double"&gt;0.007451287&lt;/D&gt;&lt;/FQL&gt;&lt;FQL&gt;&lt;Q&gt;JPYUSD^FG_PRICE(45136)&lt;/Q&gt;&lt;R&gt;1&lt;/R&gt;&lt;C&gt;1&lt;/C&gt;&lt;D xsi:type="xsd:double"&gt;0.007451287&lt;/D&gt;&lt;/FQL&gt;&lt;FQL&gt;&lt;Q&gt;JPYUSD^FG_PRICE(45128)&lt;/Q&gt;&lt;R&gt;1&lt;/R&gt;&lt;C&gt;1&lt;/C&gt;&lt;D xsi:type="xsd:double"&gt;0.007451287&lt;/D&gt;&lt;/FQL&gt;&lt;FQL&gt;&lt;Q&gt;JPYUSD^FG_PRICE(45120)&lt;/Q&gt;&lt;R&gt;1&lt;/R&gt;&lt;C&gt;1&lt;/C&gt;&lt;D xsi:type="xsd:double"&gt;0.007451287&lt;/D&gt;&lt;/FQL&gt;&lt;FQL&gt;&lt;Q&gt;JPYUSD^FG_PRICE(45112)&lt;/Q&gt;&lt;R&gt;1&lt;/R&gt;&lt;C&gt;1&lt;/C&gt;&lt;D xsi:type="xsd:double"&gt;0.007451287&lt;/D&gt;&lt;/FQL&gt;&lt;FQL&gt;&lt;Q&gt;JPYUSD^FG_PRICE(45104)&lt;/Q&gt;&lt;R&gt;1&lt;/R&gt;&lt;C&gt;1&lt;/C&gt;&lt;D xsi:type="xsd:double"&gt;0.007451287&lt;/D&gt;&lt;/FQL&gt;&lt;FQL&gt;&lt;Q&gt;JPYUSD^FG_PRICE(45096)&lt;/Q&gt;&lt;R&gt;1&lt;/R&gt;&lt;C&gt;1&lt;/C&gt;&lt;D xsi:type="xsd:double"&gt;0.007451287&lt;/D&gt;&lt;/FQL&gt;&lt;FQL&gt;&lt;Q&gt;JPYUSD^FG_PRICE(45088)&lt;/Q&gt;&lt;R&gt;1&lt;/R&gt;&lt;C&gt;1&lt;/C&gt;&lt;D xsi:type="xsd:double"&gt;0.007451287&lt;/D&gt;&lt;/FQL&gt;&lt;FQL&gt;&lt;Q&gt;JPYUSD^FG_PRICE(45080)&lt;/Q&gt;&lt;R&gt;1&lt;/R&gt;&lt;C&gt;1&lt;/C&gt;&lt;D xsi:type="xsd:double"&gt;0.007451287&lt;/D&gt;&lt;/FQL&gt;&lt;FQL&gt;&lt;Q&gt;JPYUSD^FG_PRICE(45072)&lt;/Q&gt;&lt;R&gt;1&lt;/R&gt;&lt;C&gt;1&lt;/C&gt;&lt;D xsi:type="xsd:double"&gt;0.007451287&lt;/D&gt;&lt;/FQL&gt;&lt;FQL&gt;&lt;Q&gt;JPYUSD^FG_PRICE(45064)&lt;/Q&gt;&lt;R&gt;1&lt;/R&gt;&lt;C&gt;1&lt;/C&gt;&lt;D xsi:type="xsd:double"&gt;0.007451287&lt;/D&gt;&lt;/FQL&gt;&lt;FQL&gt;&lt;Q&gt;JPYUSD^FG_PRICE(45056)&lt;/Q&gt;&lt;R&gt;1&lt;/R&gt;&lt;C&gt;1&lt;/C&gt;&lt;D xsi:type="xsd:double"&gt;0.007451287&lt;/D&gt;&lt;/FQL&gt;&lt;FQL&gt;&lt;Q&gt;JPYUSD^FG_PRICE(45048)&lt;/Q&gt;&lt;R&gt;1&lt;/R&gt;&lt;C&gt;1&lt;/C&gt;&lt;D xsi:type="xsd:double"&gt;0.007451287&lt;/D&gt;&lt;/FQL&gt;&lt;FQL&gt;&lt;Q&gt;JPYUSD^FG_PRICE(45040)&lt;/Q&gt;&lt;R&gt;1&lt;/R&gt;&lt;C&gt;1&lt;/C&gt;&lt;D xsi:type="xsd:double"&gt;0.007451287&lt;/D&gt;&lt;/FQL&gt;&lt;FQL&gt;&lt;Q&gt;JPYUSD^FG_PRICE(45032)&lt;/Q&gt;&lt;R&gt;1&lt;/R&gt;&lt;C&gt;1&lt;/C&gt;&lt;D xsi:type="xsd:double"&gt;0.007451287&lt;/D&gt;&lt;/FQL&gt;&lt;FQL&gt;&lt;Q&gt;JPYUSD^FG_PRICE(45024)&lt;/Q&gt;&lt;R&gt;1&lt;/R&gt;&lt;C&gt;1&lt;/C&gt;&lt;D xsi:type="xsd:double"&gt;0.007451287&lt;/D&gt;&lt;/FQL&gt;&lt;FQL&gt;&lt;Q&gt;JPYUSD^FG_PRICE(45016)&lt;/Q&gt;&lt;R&gt;1&lt;/R&gt;&lt;C&gt;1&lt;/C&gt;&lt;D xsi:type="xsd:double"&gt;0.007451287&lt;/D&gt;&lt;/FQL&gt;&lt;FQL&gt;&lt;Q&gt;JPYUSD^FG_PRICE(45008)&lt;/Q&gt;&lt;R&gt;1&lt;/R&gt;&lt;C&gt;1&lt;/C&gt;&lt;D xsi:type="xsd:double"&gt;0.007451287&lt;/D&gt;&lt;/FQL&gt;&lt;FQL&gt;&lt;Q&gt;JPYUSD^FG_PRICE(45000)&lt;/Q&gt;&lt;R&gt;1&lt;/R&gt;&lt;C&gt;1&lt;/C&gt;&lt;D xsi:type="xsd:double"&gt;0.007451287&lt;/D&gt;&lt;/FQL&gt;&lt;FQL&gt;&lt;Q&gt;JPYUSD^FG_PRICE(44992)&lt;/Q&gt;&lt;R&gt;1&lt;/R&gt;&lt;C&gt;1&lt;/C&gt;&lt;D xsi:type="xsd:double"&gt;0.007451287&lt;/D&gt;&lt;/FQL&gt;&lt;FQL&gt;&lt;Q&gt;JPYUSD^FG_PRICE(44984)&lt;/Q&gt;&lt;R&gt;1&lt;/R&gt;&lt;C&gt;1&lt;/C&gt;&lt;D xsi:type="xsd:double"&gt;0.007451287&lt;/D&gt;&lt;/FQL&gt;&lt;FQL&gt;&lt;Q&gt;JPYUSD^FG_PRICE(44976)&lt;/Q&gt;&lt;R&gt;1&lt;/R&gt;&lt;C&gt;1&lt;/C&gt;&lt;D xsi:type="xsd:double"&gt;0.007451287&lt;/D&gt;&lt;/FQL&gt;&lt;FQL&gt;&lt;Q&gt;JPYUSD^FG_PRICE(44968)&lt;/Q&gt;&lt;R&gt;1&lt;/R&gt;&lt;C&gt;1&lt;/C&gt;&lt;D xsi:type="xsd:double"&gt;0.0076155663&lt;/D&gt;&lt;/FQL&gt;&lt;FQL&gt;&lt;Q&gt;JPYUSD^FG_PRICE(44960)&lt;/Q&gt;&lt;R&gt;1&lt;/R&gt;&lt;C&gt;1&lt;/C&gt;&lt;D xsi:type="xsd:double"&gt;0.007631258&lt;/D&gt;&lt;/FQL&gt;&lt;FQL&gt;&lt;Q&gt;JPYUSD^FG_PRICE(44952)&lt;/Q&gt;&lt;R&gt;1&lt;/R&gt;&lt;C&gt;1&lt;/C&gt;&lt;D xsi:type="xsd:double"&gt;0.0076654786&lt;/D&gt;&lt;/FQL&gt;&lt;FQL&gt;&lt;Q&gt;JPYUSD^FG_PRICE(44944)&lt;/Q&gt;&lt;R&gt;1&lt;/R&gt;&lt;C&gt;1&lt;/C&gt;&lt;D xsi:type="xsd:double"&gt;0.0077887685&lt;/D&gt;&lt;/FQL&gt;&lt;FQL&gt;&lt;Q&gt;JPYUSD^FG_PRICE(44936)&lt;/Q&gt;&lt;R&gt;1&lt;/R&gt;&lt;C&gt;1&lt;/C&gt;&lt;D xsi:type="xsd:double"&gt;0.007565155&lt;/D&gt;&lt;/FQL&gt;&lt;FQL&gt;&lt;Q</t>
        </r>
      </text>
    </comment>
    <comment ref="A2" authorId="0" shapeId="0" xr:uid="{8AB94EC1-0F8F-4CA9-B497-98CDF2C3FC2C}">
      <text>
        <r>
          <rPr>
            <b/>
            <sz val="9"/>
            <color indexed="81"/>
            <rFont val="Tahoma"/>
            <family val="2"/>
          </rPr>
          <t>&gt;JPYUSD^FG_PRICE(45654)&lt;/Q&gt;&lt;R&gt;1&lt;/R&gt;&lt;C&gt;1&lt;/C&gt;&lt;D xsi:type="xsd:double"&gt;0.007451287&lt;/D&gt;&lt;/FQL&gt;&lt;FQL&gt;&lt;Q&gt;JPYUSD^FG_PRICE(45646)&lt;/Q&gt;&lt;R&gt;1&lt;/R&gt;&lt;C&gt;1&lt;/C&gt;&lt;D xsi:type="xsd:double"&gt;0.007451287&lt;/D&gt;&lt;/FQL&gt;&lt;FQL&gt;&lt;Q&gt;JPYUSD^FG_PRICE(45638)&lt;/Q&gt;&lt;R&gt;1&lt;/R&gt;&lt;C&gt;1&lt;/C&gt;&lt;D xsi:type="xsd:double"&gt;0.007451287&lt;/D&gt;&lt;/FQL&gt;&lt;FQL&gt;&lt;Q&gt;JPYUSD^FG_PRICE(45630)&lt;/Q&gt;&lt;R&gt;1&lt;/R&gt;&lt;C&gt;1&lt;/C&gt;&lt;D xsi:type="xsd:double"&gt;0.007451287&lt;/D&gt;&lt;/FQL&gt;&lt;FQL&gt;&lt;Q&gt;JPYUSD^FG_PRICE(45622)&lt;/Q&gt;&lt;R&gt;1&lt;/R&gt;&lt;C&gt;1&lt;/C&gt;&lt;D xsi:type="xsd:double"&gt;0.007451287&lt;/D&gt;&lt;/FQL&gt;&lt;FQL&gt;&lt;Q&gt;JPYUSD^FG_PRICE(45614)&lt;/Q&gt;&lt;R&gt;1&lt;/R&gt;&lt;C&gt;1&lt;/C&gt;&lt;D xsi:type="xsd:double"&gt;0.007451287&lt;/D&gt;&lt;/FQL&gt;&lt;FQL&gt;&lt;Q&gt;JPYUSD^FG_PRICE(45606)&lt;/Q&gt;&lt;R&gt;1&lt;/R&gt;&lt;C&gt;1&lt;/C&gt;&lt;D xsi:type="xsd:double"&gt;0.007451287&lt;/D&gt;&lt;/FQL&gt;&lt;FQL&gt;&lt;Q&gt;JPYUSD^FG_PRICE(45598)&lt;/Q&gt;&lt;R&gt;1&lt;/R&gt;&lt;C&gt;1&lt;/C&gt;&lt;D xsi:type="xsd:double"&gt;0.007451287&lt;/D&gt;&lt;/FQL&gt;&lt;FQL&gt;&lt;Q&gt;JPYUSD^FG_PRICE(45590)&lt;/Q&gt;&lt;R&gt;1&lt;/R&gt;&lt;C&gt;1&lt;/C&gt;&lt;D xsi:type="xsd:double"&gt;0.007451287&lt;/D&gt;&lt;/FQL&gt;&lt;FQL&gt;&lt;Q&gt;JPYUSD^FG_PRICE(45582)&lt;/Q&gt;&lt;R&gt;1&lt;/R&gt;&lt;C&gt;1&lt;/C&gt;&lt;D xsi:type="xsd:double"&gt;0.007451287&lt;/D&gt;&lt;/FQL&gt;&lt;FQL&gt;&lt;Q&gt;JPYUSD^FG_PRICE(45574)&lt;/Q&gt;&lt;R&gt;1&lt;/R&gt;&lt;C&gt;1&lt;/C&gt;&lt;D xsi:type="xsd:double"&gt;0.007451287&lt;/D&gt;&lt;/FQL&gt;&lt;FQL&gt;&lt;Q&gt;JPYUSD^FG_PRICE(45566)&lt;/Q&gt;&lt;R&gt;1&lt;/R&gt;&lt;C&gt;1&lt;/C&gt;&lt;D xsi:type="xsd:double"&gt;0.007451287&lt;/D&gt;&lt;/FQL&gt;&lt;FQL&gt;&lt;Q&gt;JPYUSD^FG_PRICE(45558)&lt;/Q&gt;&lt;R&gt;1&lt;/R&gt;&lt;C&gt;1&lt;/C&gt;&lt;D xsi:type="xsd:double"&gt;0.007451287&lt;/D&gt;&lt;/FQL&gt;&lt;FQL&gt;&lt;Q&gt;JPYUSD^FG_PRICE(45550)&lt;/Q&gt;&lt;R&gt;1&lt;/R&gt;&lt;C&gt;1&lt;/C&gt;&lt;D xsi:type="xsd:double"&gt;0.007451287&lt;/D&gt;&lt;/FQL&gt;&lt;FQL&gt;&lt;Q&gt;JPYUSD^FG_PRICE(45542)&lt;/Q&gt;&lt;R&gt;1&lt;/R&gt;&lt;C&gt;1&lt;/C&gt;&lt;D xsi:type="xsd:double"&gt;0.007451287&lt;/D&gt;&lt;/FQL&gt;&lt;FQL&gt;&lt;Q&gt;JPYUSD^FG_PRICE(45534)&lt;/Q&gt;&lt;R&gt;1&lt;/R&gt;&lt;C&gt;1&lt;/C&gt;&lt;D xsi:type="xsd:double"&gt;0.007451287&lt;/D&gt;&lt;/FQL&gt;&lt;FQL&gt;&lt;Q&gt;JPYUSD^FG_PRICE(45526)&lt;/Q&gt;&lt;R&gt;1&lt;/R&gt;&lt;C&gt;1&lt;/C&gt;&lt;D xsi:type="xsd:double"&gt;0.007451287&lt;/D&gt;&lt;/FQL&gt;&lt;FQL&gt;&lt;Q&gt;JPYUSD^FG_PRICE(45518)&lt;/Q&gt;&lt;R&gt;1&lt;/R&gt;&lt;C&gt;1&lt;/C&gt;&lt;D xsi:type="xsd:double"&gt;0.007451287&lt;/D&gt;&lt;/FQL&gt;&lt;FQL&gt;&lt;Q&gt;JPYUSD^FG_PRICE(45510)&lt;/Q&gt;&lt;R&gt;1&lt;/R&gt;&lt;C&gt;1&lt;/C&gt;&lt;D xsi:type="xsd:double"&gt;0.007451287&lt;/D&gt;&lt;/FQL&gt;&lt;FQL&gt;&lt;Q&gt;JPYUSD^FG_PRICE(45502)&lt;/Q&gt;&lt;R&gt;1&lt;/R&gt;&lt;C&gt;1&lt;/C&gt;&lt;D xsi:type="xsd:double"&gt;0.007451287&lt;/D&gt;&lt;/FQL&gt;&lt;FQL&gt;&lt;Q&gt;JPYUSD^FG_PRICE(45494)&lt;/Q&gt;&lt;R&gt;1&lt;/R&gt;&lt;C&gt;1&lt;/C&gt;&lt;D xsi:type="xsd:double"&gt;0.007451287&lt;/D&gt;&lt;/FQL&gt;&lt;FQL&gt;&lt;Q&gt;JPYUSD^FG_PRICE(45486)&lt;/Q&gt;&lt;R&gt;1&lt;/R&gt;&lt;C&gt;1&lt;/C&gt;&lt;D xsi:type="xsd:double"&gt;0.007451287&lt;/D&gt;&lt;/FQL&gt;&lt;FQL&gt;&lt;Q&gt;JPYUSD^FG_PRICE(45478)&lt;/Q&gt;&lt;R&gt;1&lt;/R&gt;&lt;C&gt;1&lt;/C&gt;&lt;D xsi:type="xsd:double"&gt;0.007451287&lt;/D&gt;&lt;/FQL&gt;&lt;FQL&gt;&lt;Q&gt;JPYUSD^FG_PRICE(45470)&lt;/Q&gt;&lt;R&gt;1&lt;/R&gt;&lt;C&gt;1&lt;/C&gt;&lt;D xsi:type="xsd:double"&gt;0.007451287&lt;/D&gt;&lt;/FQL&gt;&lt;FQL&gt;&lt;Q&gt;JPYUSD^FG_PRICE(45462)&lt;/Q&gt;&lt;R&gt;1&lt;/R&gt;&lt;C&gt;1&lt;/C&gt;&lt;D xsi:type="xsd:double"&gt;0.007451287&lt;/D&gt;&lt;/FQL&gt;&lt;FQL&gt;&lt;Q&gt;JPYUSD^FG_PRICE(45454)&lt;/Q&gt;&lt;R&gt;1&lt;/R&gt;&lt;C&gt;1&lt;/C&gt;&lt;D xsi:type="xsd:double"&gt;0.007451287&lt;/D&gt;&lt;/FQL&gt;&lt;FQL&gt;&lt;Q&gt;JPYUSD^FG_PRICE(45446)&lt;/Q&gt;&lt;R&gt;1&lt;/R&gt;&lt;C&gt;1&lt;/C&gt;&lt;D xsi:type="xsd:double"&gt;0.007451287&lt;/D&gt;&lt;/FQL&gt;&lt;FQL&gt;&lt;Q&gt;JPYUSD^FG_PRICE(45438)&lt;/Q&gt;&lt;R&gt;1&lt;/R&gt;&lt;C&gt;1&lt;/C&gt;&lt;D xsi:type="xsd:double"&gt;0.007451287&lt;/D&gt;&lt;/FQL&gt;&lt;FQL&gt;&lt;Q&gt;JPYUSD^FG_PRICE(45430)&lt;/Q&gt;&lt;R&gt;1&lt;/R&gt;&lt;C&gt;1&lt;/C&gt;&lt;D xsi:type="xsd:double"&gt;0.007451287&lt;/D&gt;&lt;/FQL&gt;&lt;FQL&gt;&lt;Q&gt;JPYUSD^FG_PRICE(45422)&lt;/Q&gt;&lt;R&gt;1&lt;/R&gt;&lt;C&gt;1&lt;/C&gt;&lt;D xsi:type="xsd:double"&gt;0.007451287&lt;/D&gt;&lt;/FQL&gt;&lt;FQL&gt;&lt;Q&gt;JPYUSD^FG_PRICE(45414)&lt;/Q&gt;&lt;R&gt;1&lt;/R&gt;&lt;C&gt;1&lt;/C&gt;&lt;D xsi:type="xsd:double"&gt;0.007451287&lt;/D&gt;&lt;/FQL&gt;&lt;FQL&gt;&lt;Q&gt;JPYUSD^FG_PRICE(45406)&lt;/Q&gt;&lt;R&gt;1&lt;/R&gt;&lt;C&gt;1&lt;/C&gt;&lt;D xsi:type="xsd:double"&gt;0.007451287&lt;/D&gt;&lt;/FQL&gt;&lt;FQL&gt;&lt;Q&gt;JPYUSD^FG_PRICE(45398)&lt;/Q&gt;&lt;R&gt;1&lt;/R&gt;&lt;C&gt;1&lt;/C&gt;&lt;D xsi:type="xsd:double"&gt;0.007451287&lt;/D&gt;&lt;/FQL&gt;&lt;FQL&gt;&lt;Q&gt;JPYUSD^FG_PRICE(45390)&lt;/Q&gt;&lt;R&gt;1&lt;/R&gt;&lt;C&gt;1&lt;/C&gt;&lt;D xsi:type="xsd:double"&gt;0.007451287&lt;/D&gt;&lt;/FQL&gt;&lt;FQL&gt;&lt;Q&gt;JPYUSD^FG_PRICE(45382)&lt;/Q&gt;&lt;R&gt;1&lt;/R&gt;&lt;C&gt;1&lt;/C&gt;&lt;D xsi:type="xsd:double"&gt;0.007451287&lt;/D&gt;&lt;/FQL&gt;&lt;FQL&gt;&lt;Q&gt;JPYUSD^FG_PRICE(45374)&lt;/Q&gt;&lt;R&gt;1&lt;/R&gt;&lt;C&gt;1&lt;/C&gt;&lt;D xsi:type="xsd:double"&gt;0.007451287&lt;/D&gt;&lt;/FQL&gt;&lt;FQL&gt;&lt;Q&gt;JPYUSD^FG_PRICE(45366)&lt;/Q&gt;&lt;R&gt;1&lt;/R&gt;&lt;C&gt;1&lt;/C&gt;&lt;D xsi:type="xsd:double"&gt;0.007451287&lt;/D&gt;&lt;/FQL&gt;&lt;FQL&gt;&lt;Q&gt;JPYUSD^FG_PRICE(45358)&lt;/Q&gt;&lt;R&gt;1&lt;/R&gt;&lt;C&gt;1&lt;/C&gt;&lt;D xsi:type="xsd:double"&gt;0.007451287&lt;/D&gt;&lt;/FQL&gt;&lt;FQL&gt;&lt;Q&gt;JPYUSD^FG_PRICE(45350)&lt;/Q&gt;&lt;R&gt;1&lt;/R&gt;&lt;C&gt;1&lt;/C&gt;&lt;D xsi:type="xsd:double"&gt;0.007451287&lt;/D&gt;&lt;/FQL&gt;&lt;FQL&gt;&lt;Q&gt;JPYUSD^FG_PRICE(45342)&lt;/Q&gt;&lt;R&gt;1&lt;/R&gt;&lt;C&gt;1&lt;/C&gt;&lt;D xsi:type="xsd:double"&gt;0.007451287&lt;/D&gt;&lt;/FQL&gt;&lt;FQL&gt;&lt;Q&gt;JPYUSD^FG_PRICE(45334)&lt;/Q&gt;&lt;R&gt;1&lt;/R&gt;&lt;C&gt;1&lt;/C&gt;&lt;D xsi:type="xsd:double"&gt;0.007451287&lt;/D&gt;&lt;/FQL&gt;&lt;FQL&gt;&lt;Q&gt;JPYUSD^FG_PRICE(45326)&lt;/Q&gt;&lt;R&gt;1&lt;/R&gt;&lt;C&gt;1&lt;/C&gt;&lt;D xsi:type="xsd:double"&gt;0.007451287&lt;/D&gt;&lt;/FQL&gt;&lt;FQL&gt;&lt;Q&gt;JPYUSD^FG_PRICE(45318)&lt;/Q&gt;&lt;R&gt;1&lt;/R&gt;&lt;C&gt;1&lt;/C&gt;&lt;D xsi:type="xsd:double"&gt;0.007451287&lt;/D&gt;&lt;/FQL&gt;&lt;FQL&gt;&lt;Q&gt;JPYUSD^FG_PRICE(45310)&lt;/Q&gt;&lt;R&gt;1&lt;/R&gt;&lt;C&gt;1&lt;/C&gt;&lt;D xsi:type="xsd:double"&gt;0.007451287&lt;/D&gt;&lt;/FQL&gt;&lt;FQL&gt;&lt;Q&gt;JPYUSD^FG_PRICE(45302)&lt;/Q&gt;&lt;R&gt;1&lt;/R&gt;&lt;C&gt;1&lt;/C&gt;&lt;D xsi:type="xsd:double"&gt;0.007451287&lt;/D&gt;&lt;/FQL&gt;&lt;FQL&gt;&lt;Q&gt;JPYUSD^FG_PRICE(45294)&lt;/Q&gt;&lt;R&gt;1&lt;/R&gt;&lt;C&gt;1&lt;/C&gt;&lt;D xsi:type="xsd:double"&gt;0.007451287&lt;/D&gt;&lt;/FQL&gt;&lt;FQL&gt;&lt;Q&gt;JPYUSD^FG_PRICE(45286)&lt;/Q&gt;&lt;R&gt;1&lt;/R&gt;&lt;C&gt;1&lt;/C&gt;&lt;D xsi:type="xsd:double"&gt;0.007451287&lt;/D&gt;&lt;/FQL&gt;&lt;FQL&gt;&lt;Q&gt;JPYUSD^FG_PRICE(45278)&lt;/Q&gt;&lt;R&gt;1&lt;/R&gt;&lt;C&gt;1&lt;/C&gt;&lt;D xsi:type="xsd:double"&gt;0.007451287&lt;/D&gt;&lt;/FQL&gt;&lt;FQL&gt;&lt;Q&gt;JPYUSD^FG_PRICE(45270)&lt;/Q&gt;&lt;R&gt;1&lt;/R&gt;&lt;C&gt;1&lt;/C&gt;&lt;D xsi:type="xsd:double"&gt;0.007451287&lt;/D&gt;&lt;/FQL&gt;&lt;FQL&gt;&lt;Q&gt;JPYUSD^FG_PRICE(45262)&lt;/Q&gt;&lt;R&gt;1&lt;/R&gt;&lt;C&gt;1&lt;/C&gt;&lt;D xsi:type="xsd:double"&gt;0.007451287&lt;/D&gt;&lt;/FQL&gt;&lt;FQL&gt;&lt;Q&gt;JPYUSD^FG_PRICE(45254)&lt;/Q&gt;&lt;R&gt;1&lt;/R&gt;&lt;C&gt;1&lt;/C&gt;&lt;D xsi:type="xsd:double"&gt;0.007451287&lt;/D&gt;&lt;/FQL&gt;&lt;FQL&gt;&lt;Q&gt;JPYUSD^FG_PRICE(45246)&lt;/Q&gt;&lt;R&gt;1&lt;/R&gt;&lt;C&gt;1&lt;/C&gt;&lt;D xsi:type="xsd:double"&gt;0.007451287&lt;/D&gt;&lt;/FQL&gt;&lt;FQL&gt;&lt;Q&gt;JPYUSD^FG_PRICE(45238)&lt;/Q&gt;&lt;R&gt;1&lt;/R&gt;&lt;C&gt;1&lt;/C&gt;&lt;D xsi:type="xsd:double"&gt;0.007451287&lt;/D&gt;&lt;/FQL&gt;&lt;FQL&gt;&lt;Q&gt;JPYUSD^FG_PRICE(45230)&lt;/Q&gt;&lt;R&gt;1&lt;/R&gt;&lt;C&gt;1&lt;/C&gt;&lt;D xsi:type="xsd:double"&gt;0.007451287&lt;/D&gt;&lt;/FQL&gt;&lt;FQL&gt;&lt;Q&gt;JPYUSD^FG_PRICE(45222)&lt;/Q&gt;&lt;R&gt;1&lt;/R&gt;&lt;C&gt;1&lt;/C&gt;&lt;D xsi:type="xsd:double"&gt;0.007451287&lt;/D&gt;&lt;/FQL&gt;&lt;FQL&gt;&lt;Q&gt;JPYUSD^FG_PRICE(45214)&lt;/Q&gt;&lt;R&gt;1&lt;/R&gt;&lt;C&gt;1&lt;/C&gt;&lt;D xsi:type="xsd:double"&gt;0.007451287&lt;/D&gt;&lt;/FQL&gt;&lt;FQL&gt;&lt;Q&gt;JPYUSD^FG_PRICE(45206)&lt;/Q&gt;&lt;R&gt;1&lt;/R&gt;&lt;C&gt;1&lt;/C&gt;&lt;D xsi:type="xsd:double"&gt;0.007451287&lt;/D&gt;&lt;/FQL&gt;&lt;FQL&gt;&lt;Q&gt;JPYUSD^FG_PRICE(45198)&lt;/Q&gt;&lt;R&gt;1&lt;/R&gt;&lt;C&gt;1&lt;/C&gt;&lt;D xsi:type="xsd:double"&gt;0.007451287&lt;/D&gt;&lt;/FQL&gt;&lt;FQL&gt;&lt;Q&gt;JPYUSD^FG_PRICE(45190)&lt;/Q&gt;&lt;R&gt;1&lt;/R&gt;&lt;C&gt;1&lt;/C&gt;&lt;D xsi:type="xsd:double"&gt;0.007451287&lt;/D&gt;&lt;/FQL&gt;&lt;FQL&gt;&lt;Q&gt;JPYUSD^FG_PRICE(45182)&lt;/Q&gt;&lt;R&gt;1&lt;/R&gt;&lt;C&gt;1&lt;/C&gt;&lt;D xsi:type="xsd:double"&gt;0.007451287&lt;/D&gt;&lt;/FQL&gt;&lt;FQL&gt;&lt;Q&gt;JPYUSD^FG_PRICE(45174)&lt;/Q&gt;&lt;R&gt;1&lt;/R&gt;&lt;C&gt;1&lt;/C&gt;&lt;D xsi:type="xsd:double"&gt;0.007451287&lt;/D&gt;&lt;/FQL&gt;&lt;FQL&gt;&lt;Q&gt;JPYUSD^FG_PRICE(45166)&lt;/Q&gt;&lt;R&gt;1&lt;/R&gt;&lt;C&gt;1&lt;/C&gt;&lt;D xsi:type="xsd:double"&gt;0.007451287&lt;/D&gt;&lt;/FQL&gt;&lt;FQL&gt;&lt;Q&gt;JPYUSD^FG_PRICE(45158)&lt;/Q&gt;&lt;R&gt;1&lt;/R&gt;&lt;C&gt;1&lt;/C&gt;&lt;D xsi:type="xsd:double"&gt;0.007451287&lt;/D&gt;&lt;/FQL&gt;&lt;FQL&gt;&lt;Q&gt;JPYUSD^FG_PRICE(45150)&lt;/Q&gt;&lt;R&gt;1&lt;/R&gt;&lt;C&gt;1&lt;/C&gt;&lt;D xsi:type="xsd:double"&gt;0.007451287&lt;/D&gt;&lt;/FQL&gt;&lt;FQL&gt;&lt;Q&gt;JPYUSD^FG_PRICE(45142)&lt;/Q&gt;&lt;R&gt;1&lt;/R&gt;&lt;C&gt;1&lt;/C&gt;&lt;D xsi:type="xsd:double"&gt;0.007451287&lt;/D&gt;&lt;/FQL&gt;&lt;FQL&gt;&lt;Q&gt;JPYUSD^FG_PRICE(45134)&lt;/Q&gt;&lt;R&gt;1&lt;/R&gt;&lt;C&gt;1&lt;/C&gt;&lt;D xsi:type="xsd:double"&gt;0.007451287&lt;/D&gt;&lt;/FQL&gt;&lt;FQL&gt;&lt;Q&gt;JPYUSD^FG_PRICE(45126)&lt;/Q&gt;&lt;R&gt;1&lt;/R&gt;&lt;C&gt;1&lt;/C&gt;&lt;D xsi:type="xsd:double"&gt;0.007451287&lt;/D&gt;&lt;/FQL&gt;&lt;FQL&gt;&lt;Q&gt;JPYUSD^FG_PRICE(45118)&lt;/Q&gt;&lt;R&gt;1&lt;/R&gt;&lt;C&gt;1&lt;/C&gt;&lt;D xsi:type="xsd:double"&gt;0.007451287&lt;/D&gt;&lt;/FQL&gt;&lt;FQL&gt;&lt;Q&gt;JPYUSD^FG_PRICE(45110)&lt;/Q&gt;&lt;R&gt;1&lt;/R&gt;&lt;C&gt;1&lt;/C&gt;&lt;D xsi:type="xsd:double"&gt;0.007451287&lt;/D&gt;&lt;/FQL&gt;&lt;FQL&gt;&lt;Q&gt;JPYUSD^FG_PRICE(45102)&lt;/Q&gt;&lt;R&gt;1&lt;/R&gt;&lt;C&gt;1&lt;/C&gt;&lt;D xsi:type="xsd:double"&gt;0.007451287&lt;/D&gt;&lt;/FQL&gt;&lt;FQL&gt;&lt;Q&gt;JPYUSD^FG_PRICE(45094)&lt;/Q&gt;&lt;R&gt;1&lt;/R&gt;&lt;C&gt;1&lt;/C&gt;&lt;D xsi:type="xsd:double"&gt;0.007451287&lt;/D&gt;&lt;/FQL&gt;&lt;FQL&gt;&lt;Q&gt;JPYUSD^FG_PRICE(45086)&lt;/Q&gt;&lt;R&gt;1&lt;/R&gt;&lt;C&gt;1&lt;/C&gt;&lt;D xsi:type="xsd:double"&gt;0.007451287&lt;/D&gt;&lt;/FQL&gt;&lt;FQL&gt;&lt;Q&gt;JPYUSD^FG_PRICE(45078)&lt;/Q&gt;&lt;R&gt;1&lt;/R&gt;&lt;C&gt;1&lt;/C&gt;&lt;D xsi:type="xsd:double"&gt;0.007451287&lt;/D&gt;&lt;/FQL&gt;&lt;FQL&gt;&lt;Q&gt;JPYUSD^FG_PRICE(45070)&lt;/Q&gt;&lt;R&gt;1&lt;/R&gt;&lt;C&gt;1&lt;/C&gt;&lt;D xsi:type="xsd:double"&gt;0.007451287&lt;/D&gt;&lt;/FQL&gt;&lt;FQL&gt;&lt;Q&gt;JPYUSD^FG_PRICE(45062)&lt;/Q&gt;&lt;R&gt;1&lt;/R&gt;&lt;C&gt;1&lt;/C&gt;&lt;D xsi:type="xsd:double"&gt;0.007451287&lt;/D&gt;&lt;/FQL&gt;&lt;FQL&gt;&lt;Q&gt;JPYUSD^FG_PRICE(45054)&lt;/Q&gt;&lt;R&gt;1&lt;/R&gt;&lt;C&gt;1&lt;/C&gt;&lt;D xsi:type="xsd:double"&gt;0.007451287&lt;/D&gt;&lt;/FQL&gt;&lt;FQL&gt;&lt;Q&gt;JPYUSD^FG_PRICE(45046)&lt;/Q&gt;&lt;R&gt;1&lt;/R&gt;&lt;C&gt;1&lt;/C&gt;&lt;D xsi:type="xsd:double"&gt;0.007451287&lt;/D&gt;&lt;/FQL&gt;&lt;FQL&gt;&lt;Q&gt;JPYUSD^FG_PRICE(45038)&lt;/Q&gt;&lt;R&gt;1&lt;/R&gt;&lt;C&gt;1&lt;/C&gt;&lt;D xsi:type="xsd:double"&gt;0.007451287&lt;/D&gt;&lt;/FQL&gt;&lt;FQL&gt;&lt;Q&gt;JPYUSD^FG_PRICE(45030)&lt;/Q&gt;&lt;R&gt;1&lt;/R&gt;&lt;C&gt;1&lt;/C&gt;&lt;D xsi:type="xsd:double"&gt;0.007451287&lt;/D&gt;&lt;/FQL&gt;&lt;FQL&gt;&lt;Q&gt;JPYUSD^FG_PRICE(45022)&lt;/Q&gt;&lt;R&gt;1&lt;/R&gt;&lt;C&gt;1&lt;/C&gt;&lt;D xsi:type="xsd:double"&gt;0.007451287&lt;/D&gt;&lt;/FQL&gt;&lt;FQL&gt;&lt;Q&gt;JPYUSD^FG_PRICE(45014)&lt;/Q&gt;&lt;R&gt;1&lt;/R&gt;&lt;C&gt;1&lt;/C&gt;&lt;D xsi:type="xsd:double"&gt;0.007451287&lt;/D&gt;&lt;/FQL&gt;&lt;FQL&gt;&lt;Q&gt;JPYUSD^FG_PRICE(45006)&lt;/Q&gt;&lt;R&gt;1&lt;/R&gt;&lt;C&gt;1&lt;/C&gt;&lt;D xsi:type="xsd:double"&gt;0.007451287&lt;/D&gt;&lt;/FQL&gt;&lt;FQL&gt;&lt;Q&gt;JPYUSD^FG_PRICE(44998)&lt;/Q&gt;&lt;R&gt;1&lt;/R&gt;&lt;C&gt;1&lt;/C&gt;&lt;D xsi:type="xsd:double"&gt;0.007451287&lt;/D&gt;&lt;/FQL&gt;&lt;FQL&gt;&lt;Q&gt;JPYUSD^FG_PRICE(44990)&lt;/Q&gt;&lt;R&gt;1&lt;/R&gt;&lt;C&gt;1&lt;/C&gt;&lt;D xsi:type="xsd:double"&gt;0.007451287&lt;/D&gt;&lt;/FQL&gt;&lt;FQL&gt;&lt;Q&gt;JPYUSD^FG_PRICE(44982)&lt;/Q&gt;&lt;R&gt;1&lt;/R&gt;&lt;C&gt;1&lt;/C&gt;&lt;D xsi:type="xsd:double"&gt;0.007451287&lt;/D&gt;&lt;/FQL&gt;&lt;FQL&gt;&lt;Q&gt;JPYUSD^FG_PRICE(44974)&lt;/Q&gt;&lt;R&gt;1&lt;/R&gt;&lt;C&gt;1&lt;/C&gt;&lt;D xsi:type="xsd:double"&gt;0.007451287&lt;/D&gt;&lt;/FQL&gt;&lt;FQL&gt;&lt;Q&gt;JPYUSD^FG_PRICE(44966)&lt;/Q&gt;&lt;R&gt;1&lt;/R&gt;&lt;C&gt;1&lt;/C&gt;&lt;D xsi:type="xsd:double"&gt;0.0076376693&lt;/D&gt;&lt;/FQL&gt;&lt;FQL&gt;&lt;Q&gt;JPYUSD^FG_PRICE(44958)&lt;/Q&gt;&lt;R&gt;1&lt;/R&gt;&lt;C&gt;1&lt;/C&gt;&lt;D xsi:type="xsd:double"&gt;0.0077366442&lt;/D&gt;&lt;/FQL&gt;&lt;FQL&gt;&lt;Q&gt;JPYUSD^FG_PRICE(44950)&lt;/Q&gt;&lt;R&gt;1&lt;/R&gt;&lt;C&gt;1&lt;/C&gt;&lt;D xsi:type="xsd:double"&gt;0.0076863947&lt;/D&gt;&lt;/FQL&gt;&lt;FQL&gt;&lt;Q&gt;JPYUSD^FG_PRICE(44942)&lt;/Q&gt;&lt;R&gt;1&lt;/R&gt;&lt;C&gt;1&lt;/C&gt;&lt;D xsi:type="xsd:double"&gt;0.0077802846&lt;/D&gt;&lt;/FQL&gt;&lt;FQL&gt;&lt;Q&gt;JPYUSD^FG_PRICE(44934)&lt;/Q&gt;&lt;R&gt;1&lt;/R&gt;&lt;C&gt;1&lt;/C&gt;&lt;D xsi:type="xsd:double"&gt;0.0075517297&lt;/D&gt;&lt;/FQL&gt;&lt;FQL&gt;&lt;Q&gt;JPYUSD^FG_PRICE(44926)&lt;/Q&gt;&lt;R&gt;1&lt;/R&gt;&lt;C&gt;1&lt;/C&gt;&lt;D xsi:type="xsd:double"&gt;0.007578915&lt;/D&gt;&lt;/FQL&gt;&lt;FQL&gt;&lt;Q&gt;JPYUSD^FG_PRICE(44918)&lt;/Q&gt;&lt;R&gt;1&lt;/R&gt;&lt;C&gt;1&lt;/C&gt;&lt;D xsi:type="xsd:double"&gt;0.007527286&lt;/D&gt;&lt;/FQL&gt;&lt;FQL&gt;&lt;Q&gt;JPYUSD^FG_PRICE(44910)&lt;/Q&gt;&lt;R&gt;1&lt;/R&gt;&lt;C&gt;1&lt;/C&gt;&lt;D xsi:type="xsd:double"&gt;0.0072706128&lt;/D&gt;&lt;/FQL&gt;&lt;FQL&gt;&lt;Q&gt;JPYUSD^FG_PRICE(44902)&lt;/Q&gt;&lt;R&gt;1&lt;/R&gt;&lt;C&gt;1&lt;/C&gt;&lt;D xsi:type="xsd:double"&gt;0.0073150215&lt;/D&gt;&lt;/FQL&gt;&lt;FQL&gt;&lt;Q&gt;JPYUSD^FG_PRICE(44894)&lt;/Q&gt;&lt;R&gt;1&lt;/R&gt;&lt;C&gt;1&lt;/C&gt;&lt;D xsi:type="xsd:double"&gt;0.0072293514&lt;/D&gt;&lt;/FQL&gt;&lt;FQL&gt;&lt;Q&gt;JPYUSD^FG_PRICE(44886)&lt;/Q&gt;&lt;R&gt;1&lt;/R&gt;&lt;C&gt;1&lt;/C&gt;&lt;D xsi:type="xsd:double"&gt;0.0070454786&lt;/D&gt;&lt;/FQL&gt;&lt;FQL&gt;&lt;Q&gt;JPYUSD^FG_PRICE(44878)&lt;/Q&gt;&lt;R&gt;1&lt;/R&gt;&lt;C&gt;1&lt;/C&gt;&lt;D xsi:type="xsd:double"&gt;0.0071908818&lt;/D&gt;&lt;/FQL&gt;&lt;FQL&gt;&lt;Q&gt;JPYUSD^FG_PRICE(44870)&lt;/Q&gt;&lt;R&gt;1&lt;/R&gt;&lt;C&gt;1&lt;/C&gt;&lt;D xsi:type="xsd:double"&gt;0.006791402&lt;/D&gt;&lt;/FQL&gt;&lt;FQL&gt;&lt;Q&gt;JPYUSD^FG_PRICE(44862)&lt;/Q&gt;&lt;R&gt;1&lt;/R&gt;&lt;C&gt;1&lt;/C&gt;&lt;D xsi:type="xsd:double"&gt;0.006779202&lt;/D&gt;&lt;/FQL&gt;&lt;FQL&gt;&lt;Q&gt;JPYUSD^FG_PRICE(44854)&lt;/Q&gt;&lt;R&gt;1&lt;/R&gt;&lt;C&gt;1&lt;/C&gt;&lt;D xsi:type="xsd:double"&gt;0.006685162&lt;/D&gt;&lt;/FQL&gt;&lt;FQL&gt;&lt;Q&gt;JPYUSD^FG_PRICE(44846)&lt;/Q&gt;&lt;R&gt;1&lt;/R&gt;&lt;C&gt;1&lt;/C&gt;&lt;D xsi:type="xsd:double"&gt;0.006809438&lt;/D&gt;&lt;/FQL&gt;&lt;FQL&gt;&lt;Q&gt;JPYUSD^FG_PRICE(44838)&lt;/Q&gt;&lt;R&gt;1&lt;/R&gt;&lt;C&gt;1&lt;/C&gt;&lt;D xsi:type="xsd:double"&gt;0.006922571&lt;/D&gt;&lt;/FQL&gt;&lt;FQL&gt;&lt;Q&gt;JPYUSD^FG_PRICE(44830)&lt;/Q&gt;&lt;R&gt;1&lt;/R&gt;&lt;C&gt;1&lt;/C&gt;&lt;D xsi:type="xsd:double"&gt;0.006927367&lt;/D&gt;&lt;/FQL&gt;&lt;FQL&gt;&lt;Q&gt;JPYUSD^FG_PRICE(44822)&lt;/Q&gt;&lt;R&gt;1&lt;/R&gt;&lt;C&gt;1&lt;/C&gt;&lt;D xsi:type="xsd:double"&gt;0.0069959424&lt;/D&gt;&lt;/FQL&gt;&lt;FQL&gt;&lt;Q&gt;JPYUSD^FG_PRICE(44814)&lt;/Q&gt;&lt;R&gt;1&lt;/R&gt;&lt;C&gt;1&lt;/C&gt;&lt;D xsi:type="xsd:double"&gt;0.0070200074&lt;/D&gt;&lt;/FQL&gt;&lt;FQL&gt;&lt;Q&gt;JPYUSD^FG_PRICE(44806)&lt;/Q&gt;&lt;R&gt;1&lt;/R&gt;&lt;C&gt;1&lt;/C&gt;&lt;D xsi:type="xsd:double"&gt;0.007141072&lt;/D&gt;&lt;/FQL&gt;&lt;FQL&gt;&lt;Q&gt;JPYUSD^FG_PRICE(44798)&lt;/Q&gt;&lt;R&gt;1&lt;/R&gt;&lt;C&gt;1&lt;/C&gt;&lt;D xsi:type="xsd:double"&gt;0.007315556&lt;/D&gt;&lt;/FQL&gt;&lt;FQL&gt;&lt;Q&gt;JPYUSD^FG_PRICE(44790)&lt;/Q&gt;&lt;R&gt;1&lt;/R&gt;&lt;C&gt;1&lt;/C&gt;&lt;D xsi:type="xsd:double"&gt;0.007381981&lt;/D&gt;&lt;/FQL&gt;&lt;FQL&gt;&lt;Q&gt;JPYUSD^FG_PRICE(44782)&lt;/Q&gt;&lt;R&gt;1&lt;/R&gt;&lt;C&gt;1&lt;/C&gt;&lt;D xsi:type="xsd:double"&gt;0.007410152&lt;/D&gt;&lt;/FQL&gt;&lt;FQL&gt;&lt;Q&gt;JPYUSD^FG_PRICE(44774)&lt;/Q&gt;&lt;R&gt;1&lt;/R&gt;&lt;C&gt;1&lt;/C&gt;&lt;D xsi:type="xsd:double"&gt;0.007585527&lt;/D&gt;&lt;/FQL&gt;&lt;FQL&gt;&lt;Q&gt;JPYUSD^FG_PRICE(44766)&lt;/Q&gt;&lt;R&gt;1&lt;/R&gt;&lt;C&gt;1&lt;/C&gt;&lt;D xsi:type="xsd:double"&gt;0.007350509&lt;/D&gt;&lt;/FQL&gt;&lt;FQL&gt;&lt;Q&gt;JPYUSD^FG_PRICE(44758)&lt;/Q&gt;&lt;R&gt;1&lt;/R&gt;&lt;C&gt;1&lt;/C&gt;&lt;D xsi:type="xsd:double"&gt;0.0072157877&lt;/D&gt;&lt;/FQL&gt;&lt;FQL&gt;&lt;Q&gt;JPYUSD^FG_PRICE(44750)&lt;/Q&gt;&lt;R&gt;1&lt;/R&gt;&lt;C&gt;1&lt;/C&gt;&lt;D xsi:type="xsd:double"&gt;0.0073494283&lt;/D&gt;&lt;/FQL&gt;&lt;FQL&gt;&lt;Q&gt;JPYUSD^FG_PRICE(44742)&lt;/Q&gt;&lt;R&gt;1&lt;/R&gt;&lt;C&gt;1&lt;/C&gt;&lt;D xsi:type="xsd:double"&gt;0.0073607895&lt;/D&gt;&lt;/FQL&gt;&lt;FQL&gt;&lt;Q&gt;JPYUSD^FG_PRICE(44734)&lt;/Q&gt;&lt;R&gt;1&lt;/R&gt;&lt;C&gt;1&lt;/C&gt;&lt;D xsi:type="xsd:double"&gt;0.0073610595&lt;/D&gt;&lt;/FQL&gt;&lt;FQL&gt;&lt;Q&gt;JPYUSD^FG_PRICE(44726)&lt;/Q&gt;&lt;R&gt;1&lt;/R&gt;&lt;C&gt;1&lt;/C&gt;&lt;D xsi:type="xsd:double"&gt;0.0074280407&lt;/D&gt;&lt;/FQL&gt;&lt;FQL&gt;&lt;Q&gt;JPYUSD^FG_PRICE(44718)&lt;/Q&gt;&lt;R&gt;1&lt;/R&gt;&lt;C&gt;1&lt;/C&gt;&lt;D xsi:type="xsd:double"&gt;0.007614116&lt;/D&gt;&lt;/FQL&gt;&lt;FQL&gt;&lt;Q&gt;JPYUSD^FG_PRICE(44710)&lt;/Q&gt;&lt;R&gt;1&lt;/R&gt;&lt;C&gt;1&lt;/C&gt;&lt;D xsi:type="xsd:double"&gt;0.007866274&lt;/D&gt;&lt;/FQL&gt;&lt;FQL&gt;&lt;Q&gt;JPYUSD^FG_PRICE(44702)&lt;/Q&gt;&lt;R&gt;1&lt;/R&gt;&lt;C&gt;1&lt;/C&gt;&lt;D xsi:type="xsd:double"&gt;0.0078115845&lt;/D&gt;&lt;/FQL&gt;&lt;FQL&gt;&lt;Q&gt;JPYUSD^FG_PRICE(44694)&lt;/Q&gt;&lt;R&gt;1&lt;/R&gt;&lt;C&gt;1&lt;/C&gt;&lt;D xsi:type="xsd:double"&gt;0.0077294684&lt;/D&gt;&lt;/FQL&gt;&lt;FQL&gt;&lt;Q&gt;JPYUSD^FG_PRICE(44686)&lt;/Q&gt;&lt;R&gt;1&lt;/R&gt;&lt;C&gt;1&lt;/C&gt;&lt;D xsi:type="xsd:double"&gt;0.007677838&lt;/D&gt;&lt;/FQL&gt;&lt;FQL&gt;&lt;Q&gt;JPYUSD^FG_PRICE(44678)&lt;/Q&gt;&lt;R&gt;1&lt;/R&gt;&lt;C&gt;1&lt;/C&gt;&lt;D xsi:type="xsd:double"&gt;0.007792714&lt;/D&gt;&lt;/FQL&gt;&lt;FQL&gt;&lt;Q&gt;JPYUSD^FG_PRICE(44670)&lt;/Q&gt;&lt;R&gt;1&lt;/R&gt;&lt;C&gt;1&lt;/C&gt;&lt;D xsi:type="xsd:double"&gt;0.0077618654&lt;/D&gt;&lt;/FQL&gt;&lt;FQL&gt;&lt;Q&gt;JPYUSD^FG_PRICE(44662)&lt;/Q&gt;&lt;R&gt;1&lt;/R&gt;&lt;C&gt;1&lt;/C&gt;&lt;D xsi:type="xsd:double"&gt;0.007966541&lt;/D&gt;&lt;/FQL&gt;&lt;FQL&gt;&lt;Q&gt;JPYUSD^FG_PRICE(44654)&lt;/Q&gt;&lt;R&gt;1&lt;/R&gt;&lt;C&gt;1&lt;/C&gt;&lt;D xsi:type="xsd:double"&gt;0.008139676&lt;/D&gt;&lt;/FQL&gt;&lt;FQL&gt;&lt;Q&gt;JPYUSD^FG_PRICE(44646)&lt;/Q&gt;&lt;R&gt;1&lt;/R&gt;&lt;C&gt;1&lt;/C&gt;&lt;D xsi:type="xsd:double"&gt;0.0081977295&lt;/D&gt;&lt;/FQL&gt;&lt;FQL&gt;&lt;Q&gt;JPYUSD^FG_PRICE(45653)&lt;/Q&gt;&lt;R&gt;1&lt;/R&gt;&lt;C&gt;1&lt;/C&gt;&lt;D xsi:type="xsd:double"&gt;0.007451287&lt;/D&gt;&lt;/FQL&gt;&lt;FQL&gt;&lt;Q&gt;JPYUSD^FG_PRICE(45645)&lt;/Q&gt;&lt;R&gt;1&lt;/R&gt;&lt;C&gt;1&lt;/C&gt;&lt;D xsi:type="xsd:double"&gt;0.007451287&lt;/D&gt;&lt;/FQL&gt;&lt;FQL&gt;&lt;Q&gt;JPYUSD^FG_PRICE(45637)&lt;/Q&gt;&lt;R&gt;1&lt;/R&gt;&lt;C&gt;1&lt;/C&gt;&lt;D xsi:type="xsd:double"&gt;0.007451287&lt;/D&gt;&lt;/FQL&gt;&lt;FQL&gt;&lt;Q&gt;JPYUSD^FG_PRICE(45629)&lt;/Q&gt;&lt;R&gt;1&lt;/R&gt;&lt;C&gt;1&lt;/C&gt;&lt;D xsi:type="xsd:double"&gt;0.007451287&lt;/D&gt;&lt;/FQL&gt;&lt;FQL&gt;&lt;Q&gt;JPYUSD^FG_PRICE(45621)&lt;/Q&gt;&lt;R&gt;1&lt;/R&gt;&lt;C&gt;1&lt;/C&gt;&lt;D xsi:type="xsd:double"&gt;0.007451287&lt;/D&gt;&lt;/FQL&gt;&lt;FQL&gt;&lt;Q&gt;JPYUSD^FG_PRICE(45613)&lt;/Q&gt;&lt;R&gt;1&lt;/R&gt;&lt;C&gt;1&lt;/C&gt;&lt;D xsi:type="xsd:double"&gt;0.007451287&lt;/D&gt;&lt;/FQL&gt;&lt;FQL&gt;&lt;Q&gt;JPYUSD^FG_PRICE(45605)&lt;/Q&gt;&lt;R&gt;1&lt;/R&gt;&lt;C&gt;1&lt;/C&gt;&lt;D xsi:type="xsd:double"&gt;0.007451287&lt;/D&gt;&lt;/FQL&gt;&lt;FQL&gt;&lt;Q&gt;JPYUSD^FG_PRICE(45597)&lt;/Q&gt;&lt;R&gt;1&lt;/R&gt;&lt;C&gt;1&lt;/C&gt;&lt;D xsi:type="xsd:double"&gt;0.007451287&lt;/D&gt;&lt;/FQL&gt;&lt;FQL&gt;&lt;Q&gt;JPYUSD^FG_PRICE(45589)&lt;/Q&gt;&lt;R&gt;1&lt;/R&gt;&lt;C&gt;1&lt;/C&gt;&lt;D xsi:type="xsd:double"&gt;0.007451287&lt;/D&gt;&lt;/FQL&gt;&lt;FQL&gt;&lt;Q&gt;JPYUSD^FG_PRICE(45581)&lt;/Q&gt;&lt;R&gt;1&lt;/R&gt;&lt;C&gt;1&lt;/C&gt;&lt;D xsi:type="xsd:double"&gt;0.007451287&lt;/D&gt;&lt;/FQL&gt;&lt;FQL&gt;&lt;Q&gt;JPYUSD^FG_PRICE(45573)&lt;/Q&gt;&lt;R&gt;1&lt;/R&gt;&lt;C&gt;1&lt;/C&gt;&lt;D xsi:type="xsd:double"&gt;0.007451287&lt;/D&gt;&lt;/FQL&gt;&lt;FQL&gt;&lt;Q&gt;JPYUSD^FG_PRICE(45565)&lt;/Q&gt;&lt;R&gt;1&lt;/R&gt;&lt;C&gt;1&lt;/C&gt;&lt;D xsi:type="xsd:double"&gt;0.007451287&lt;/D&gt;&lt;/FQL&gt;&lt;FQL&gt;&lt;Q&gt;JPYUSD^FG_PRICE(45557)&lt;/Q&gt;&lt;R&gt;1&lt;/R&gt;&lt;C&gt;1&lt;/C&gt;&lt;D xsi:type="xsd:double"&gt;0.007451287&lt;/D&gt;&lt;/FQL&gt;&lt;FQL&gt;&lt;Q&gt;JPYUSD^FG_PRICE(45549)&lt;/Q&gt;&lt;R&gt;1&lt;/R&gt;&lt;C&gt;1&lt;/C&gt;&lt;D xsi:type="xsd:double"&gt;0.007451287&lt;/D&gt;&lt;/FQL&gt;&lt;FQL&gt;&lt;Q&gt;JPYUSD^FG_PRICE(45541)&lt;/Q&gt;&lt;R&gt;1&lt;/R&gt;&lt;C&gt;1&lt;/C&gt;&lt;D xsi:type="xsd:double"&gt;0.007451287&lt;/D&gt;&lt;/FQL&gt;&lt;FQL&gt;&lt;Q&gt;JPYUSD^FG_PRICE(45533)&lt;/Q&gt;&lt;R&gt;1&lt;/R&gt;&lt;C&gt;1&lt;/C&gt;&lt;D xsi:type="xsd:double"&gt;0.007451287&lt;/D&gt;&lt;/FQL&gt;&lt;FQL&gt;&lt;Q&gt;JPYUSD^FG_PRICE(45525)&lt;/Q&gt;&lt;R&gt;1&lt;/R&gt;&lt;C&gt;1&lt;/C&gt;&lt;D xsi:type="xsd:double"&gt;0.007451287&lt;/D&gt;&lt;/FQL&gt;&lt;FQL&gt;&lt;Q&gt;JPYUSD^FG_PRICE(45517)&lt;/Q&gt;&lt;R&gt;1&lt;/R&gt;&lt;C&gt;1&lt;/C&gt;&lt;D xsi:type="xsd:double"&gt;0.007451287&lt;/D&gt;&lt;/FQL&gt;&lt;FQL&gt;&lt;Q&gt;JPYUSD^FG_PRICE(45509)&lt;/Q&gt;&lt;R&gt;1&lt;/R&gt;&lt;C&gt;1&lt;/C&gt;&lt;D xsi:type="xsd:double"&gt;0.007451287&lt;/D&gt;&lt;/FQL&gt;&lt;FQL&gt;&lt;Q&gt;JPYUSD^FG_PRICE(45501)&lt;/Q&gt;&lt;R&gt;1&lt;/R&gt;&lt;C&gt;1&lt;/C&gt;&lt;D xsi:type="xsd:double"&gt;0.007451287&lt;/D&gt;&lt;/FQL&gt;&lt;FQL&gt;&lt;Q&gt;JPYUSD^FG_PRICE(45493)&lt;/Q&gt;&lt;R&gt;1&lt;/R&gt;&lt;C&gt;1&lt;/C&gt;&lt;D xsi:type="xsd:double"&gt;0.007451287&lt;/D&gt;&lt;/FQL&gt;&lt;FQL&gt;&lt;Q&gt;JPYUSD^FG_PRICE(45485)&lt;/Q&gt;&lt;R&gt;1&lt;/R&gt;&lt;C&gt;1&lt;/C&gt;&lt;D xsi:type="xsd:double"&gt;0.007451287&lt;/D&gt;&lt;/FQL&gt;&lt;FQL&gt;&lt;Q&gt;JPYUSD^FG_PRICE(45477)&lt;/Q&gt;&lt;R&gt;1&lt;/R&gt;&lt;C&gt;1&lt;/C&gt;&lt;D xsi:type="xsd:double"&gt;0.007451287&lt;/D&gt;&lt;/FQL&gt;&lt;FQL&gt;&lt;Q&gt;JPYUSD^FG_PRICE(45469)&lt;/Q&gt;&lt;R&gt;1&lt;/R&gt;&lt;C&gt;1&lt;/C&gt;&lt;D xsi:type="xsd:double"&gt;0.007451287&lt;/D&gt;&lt;/FQL&gt;&lt;FQL&gt;&lt;Q&gt;JPYUSD^FG_PRICE(45461)&lt;/Q&gt;&lt;R&gt;1&lt;/R&gt;&lt;C&gt;1&lt;/C&gt;&lt;D xsi:type="xsd:double"&gt;0.007451287&lt;/D&gt;&lt;/FQL&gt;&lt;FQL&gt;&lt;Q&gt;JPYUSD^FG_PRICE(45453)&lt;/Q&gt;&lt;R&gt;1&lt;/R&gt;&lt;C&gt;1&lt;/C&gt;&lt;D xsi:type="xsd:double"&gt;0.007451287&lt;/D&gt;&lt;/FQL&gt;&lt;FQL&gt;&lt;Q&gt;JPYUSD^FG_PRICE(45445)&lt;/Q&gt;&lt;R&gt;1&lt;/R&gt;&lt;C&gt;1&lt;/C&gt;&lt;D xsi:type="xsd:double"&gt;0.007451287&lt;/D&gt;&lt;/FQL&gt;&lt;FQL&gt;&lt;Q&gt;JPYUSD^FG_PRICE(45437)&lt;/Q&gt;&lt;R&gt;1&lt;/R&gt;&lt;C&gt;1&lt;/C&gt;&lt;D xsi:type="xsd:double"&gt;0.007451287&lt;/D&gt;&lt;/FQL&gt;&lt;FQL&gt;&lt;Q&gt;JPYUSD^FG_PRICE(45429)&lt;/Q&gt;&lt;R&gt;1&lt;/R&gt;&lt;C&gt;1&lt;/C&gt;&lt;D xsi:type="xsd:double"&gt;0.007451287&lt;/D&gt;&lt;/FQL&gt;&lt;FQL&gt;&lt;Q&gt;JPYUSD^FG_PRICE(45421)&lt;/Q&gt;&lt;R&gt;1&lt;/R&gt;&lt;C&gt;1&lt;/C&gt;&lt;D xsi:type="xsd:double"&gt;0.007451287&lt;/D&gt;&lt;/FQL&gt;&lt;FQL&gt;&lt;Q&gt;JPYUSD^FG_PRICE(45413)&lt;/Q&gt;&lt;R&gt;1&lt;/R&gt;&lt;C&gt;1&lt;/C&gt;&lt;D xsi:type="xsd:double"&gt;0.007451287&lt;/D&gt;&lt;/FQL&gt;&lt;FQL&gt;&lt;Q&gt;JPYUSD^FG_PRICE(45405)&lt;/Q&gt;&lt;R&gt;1&lt;/R&gt;&lt;C&gt;1&lt;/C&gt;&lt;D xsi:type="xsd:double"&gt;0.007451287&lt;/D&gt;&lt;/FQL&gt;&lt;FQL&gt;&lt;Q&gt;JPYUSD^FG_PRICE(45397)&lt;/Q&gt;&lt;R&gt;1&lt;/R&gt;&lt;C&gt;1&lt;/C&gt;&lt;D xsi:type="xsd:double"&gt;0.007451287&lt;/D&gt;&lt;/FQL&gt;&lt;FQL&gt;&lt;Q&gt;JPYUSD^FG_PRICE(45389)&lt;/Q&gt;&lt;R&gt;1&lt;/R&gt;&lt;C&gt;1&lt;/C&gt;&lt;D xsi:type="xsd:double"&gt;0.007451287&lt;/D&gt;&lt;/FQL&gt;&lt;FQL&gt;&lt;Q&gt;JPYUSD^FG_PRICE(45381)&lt;/Q&gt;&lt;R&gt;1&lt;/R&gt;&lt;C&gt;1&lt;/C&gt;&lt;D xsi:type="xsd:double"&gt;0.007451287&lt;/D&gt;&lt;/FQL&gt;&lt;FQL&gt;&lt;Q&gt;JPYUSD^FG_PRICE(45373)&lt;/Q&gt;&lt;R&gt;1&lt;/R&gt;&lt;C&gt;1&lt;/C&gt;&lt;D xsi:type="xsd:double"&gt;0.007451287&lt;/D&gt;&lt;/FQL&gt;&lt;FQL&gt;&lt;Q&gt;JPYUSD^FG_PRICE(45365)&lt;/Q&gt;&lt;R&gt;1&lt;/R&gt;&lt;C&gt;1&lt;/C&gt;&lt;D xsi:type="xsd:double"&gt;0.007451287&lt;/D&gt;&lt;/FQL&gt;&lt;FQL&gt;&lt;Q&gt;JPYUSD^FG_PRICE(45357)&lt;/Q&gt;&lt;R&gt;1&lt;/R&gt;&lt;C&gt;1&lt;/C&gt;&lt;D xsi:type="xsd:double"&gt;0.007451287&lt;/D&gt;&lt;/FQL&gt;&lt;FQL&gt;&lt;Q&gt;JPYUSD^FG_PRICE(45349)&lt;/Q&gt;&lt;R&gt;1&lt;/R&gt;&lt;C&gt;1&lt;/C&gt;&lt;D xsi:type="xsd:double"&gt;0.007451287&lt;/D&gt;&lt;/FQL&gt;&lt;FQL&gt;&lt;Q&gt;JPYUSD^FG_PRICE(45341)&lt;/Q&gt;&lt;R&gt;1&lt;/R&gt;&lt;C&gt;1&lt;/C&gt;&lt;D xsi:type="xsd:double"&gt;0.007451287&lt;/D&gt;&lt;/FQL&gt;&lt;FQL&gt;&lt;Q&gt;JPYUSD^FG_PRICE(45333)&lt;/Q&gt;&lt;R&gt;1&lt;/R&gt;&lt;C&gt;1&lt;/C&gt;&lt;D xsi:type="xsd:double"&gt;0.007451287&lt;/D&gt;&lt;/FQL&gt;&lt;FQL&gt;&lt;Q&gt;JPYUSD^FG_PRICE(45325)&lt;/Q&gt;&lt;R&gt;1&lt;/R&gt;&lt;C&gt;1&lt;/C&gt;&lt;D xsi:type="xsd:double"&gt;0.007451287&lt;/D&gt;&lt;/FQL&gt;&lt;FQL&gt;&lt;Q&gt;JPYUSD^FG_PRICE(45317)&lt;/Q&gt;&lt;R&gt;1&lt;/R&gt;&lt;C&gt;1&lt;/C&gt;&lt;D xsi:type="xsd:double"&gt;0.007451287&lt;/D&gt;&lt;/FQL&gt;&lt;FQL&gt;&lt;Q&gt;JPYUSD^FG_PRICE(45309)&lt;/Q&gt;&lt;R&gt;1&lt;/R&gt;&lt;C&gt;1&lt;/C&gt;&lt;D xsi:type="xsd:double"&gt;0.007451287&lt;/D&gt;&lt;/FQL&gt;&lt;FQL&gt;&lt;Q&gt;JPYUSD^FG_PRICE(45301)&lt;/Q&gt;&lt;R&gt;1&lt;/R&gt;&lt;C&gt;1&lt;/C&gt;&lt;D xsi:type="xsd:double"&gt;0.007451287&lt;/D&gt;&lt;/FQL&gt;&lt;FQL&gt;&lt;Q&gt;JPYUSD^FG_PRICE(45293)&lt;/Q&gt;&lt;R&gt;1&lt;/R&gt;&lt;C&gt;1&lt;/C&gt;&lt;D xsi:type="xsd:double"&gt;0.007451287&lt;/D&gt;&lt;/FQL&gt;&lt;FQL&gt;&lt;Q&gt;JPYUSD^FG_PRICE(45285)&lt;/Q&gt;&lt;R&gt;1&lt;/R&gt;&lt;C&gt;1&lt;/C&gt;&lt;D xsi:type="xsd:double"&gt;0.007451287&lt;/D&gt;&lt;/FQL&gt;&lt;FQL&gt;&lt;Q&gt;JPYUSD^FG_PRICE(45277)&lt;/Q&gt;&lt;R&gt;1&lt;/R&gt;&lt;C&gt;1&lt;/C&gt;&lt;D xsi:type="xsd:double"&gt;0.007451287&lt;/D&gt;&lt;/FQL&gt;&lt;FQL&gt;&lt;Q&gt;JPYUSD^FG_PRICE(45269)&lt;/Q&gt;&lt;R&gt;1&lt;/R&gt;&lt;C&gt;1&lt;/C&gt;&lt;D xsi:type="xsd:double"&gt;0.007451287&lt;/D&gt;&lt;/FQL&gt;&lt;FQL&gt;&lt;Q&gt;JPYUSD^FG_PRICE(45261)&lt;/Q&gt;&lt;R&gt;1&lt;/R&gt;&lt;C&gt;1&lt;/C&gt;&lt;D xsi:type="xsd:double"&gt;0.007451287&lt;/D&gt;&lt;/FQL&gt;&lt;FQL&gt;&lt;Q&gt;JPYUSD^FG_PRICE(45253)&lt;/Q&gt;&lt;R&gt;1&lt;/R&gt;&lt;C&gt;1&lt;/C&gt;&lt;D xsi:type="xsd:double"&gt;0.007451287&lt;/D&gt;&lt;/FQL&gt;&lt;FQL&gt;&lt;Q&gt;JPYUSD^FG_PRICE(45245)&lt;/Q&gt;&lt;R&gt;1&lt;/R&gt;&lt;C&gt;1&lt;/C&gt;&lt;D xsi:type="xsd:double"&gt;0.007451287&lt;/D&gt;&lt;/FQL&gt;&lt;FQL&gt;&lt;Q&gt;JPYUSD^FG_PRICE(45237)&lt;/Q&gt;&lt;R&gt;1&lt;/R&gt;&lt;C&gt;1&lt;/C&gt;&lt;D xsi:type="xsd:double"&gt;0.007451287&lt;/D&gt;&lt;/FQL&gt;&lt;FQL&gt;&lt;Q&gt;JPYUSD^FG_PRICE(45229)&lt;/Q&gt;&lt;R&gt;1&lt;/R&gt;&lt;C&gt;1&lt;/C&gt;&lt;D xsi:type="xsd:double"&gt;0.007451287&lt;/D&gt;&lt;/FQL&gt;&lt;FQL&gt;&lt;Q&gt;JPYUSD^FG_PRICE(45221)&lt;/Q&gt;&lt;R&gt;1&lt;/R&gt;&lt;C&gt;1&lt;/C&gt;&lt;D xsi:type="xsd:double"&gt;0.007451287&lt;/D&gt;&lt;/FQL&gt;&lt;FQL&gt;&lt;Q&gt;JPYUSD^FG_PRICE(45213)&lt;/Q&gt;&lt;R&gt;1&lt;/R&gt;&lt;C&gt;1&lt;/C&gt;&lt;D xsi:type="xsd:double"&gt;0.007451287&lt;/D&gt;&lt;/FQL&gt;&lt;FQL&gt;&lt;Q&gt;JPYUSD^FG_PRICE(45205)&lt;/Q&gt;&lt;R&gt;1&lt;/R&gt;&lt;C&gt;1&lt;/C&gt;&lt;D xsi:type="xsd:double"&gt;0.007451287&lt;/D&gt;&lt;/FQL&gt;&lt;FQL&gt;&lt;Q&gt;JPYUSD^FG_PRICE(45197)&lt;/Q&gt;&lt;R&gt;1&lt;/R&gt;&lt;C&gt;1&lt;/C&gt;&lt;D xsi:type="xsd:double"&gt;0.007451287&lt;/D&gt;&lt;/FQL&gt;&lt;FQL&gt;&lt;Q&gt;JPYUSD^FG_PRICE(45189)&lt;/Q&gt;&lt;R&gt;1&lt;/R&gt;&lt;C&gt;1&lt;/C&gt;&lt;D xsi:type="xsd:double"&gt;0.007451287&lt;/D&gt;&lt;/FQL&gt;&lt;FQL&gt;&lt;Q&gt;JPYUSD^FG_PRICE(45181)&lt;/Q&gt;&lt;R&gt;1&lt;/R&gt;&lt;C&gt;1&lt;/C&gt;&lt;D xsi:type="xsd:double"&gt;0.007451287&lt;/D&gt;&lt;/FQL&gt;&lt;FQL&gt;&lt;Q&gt;JPYUSD^FG_PRICE(45173)&lt;/Q&gt;&lt;R&gt;1&lt;/R&gt;&lt;C&gt;1&lt;/C&gt;&lt;D xsi:type="xsd:double"&gt;0.007451287&lt;/D&gt;&lt;/FQL&gt;&lt;FQL&gt;&lt;Q&gt;JPYUSD^FG_PRICE(45165)&lt;/Q&gt;&lt;R&gt;1&lt;/R&gt;&lt;C&gt;1&lt;/C&gt;&lt;D xsi:type="xsd:double"&gt;0.007451287&lt;/D&gt;&lt;/FQL&gt;&lt;FQL&gt;&lt;Q&gt;JPYUSD^FG_PRICE(45157)&lt;/Q&gt;&lt;R&gt;1&lt;/R&gt;&lt;C&gt;1&lt;/C&gt;&lt;D xsi:type="xsd:double"&gt;0.007451287&lt;/D&gt;&lt;/FQL&gt;&lt;FQL&gt;&lt;Q&gt;JPYUSD^FG_PRICE(45149)&lt;/Q&gt;&lt;R&gt;1&lt;/R&gt;&lt;C&gt;1&lt;/C&gt;&lt;D xsi:type="xsd:double"&gt;0.007451287&lt;/D&gt;&lt;/FQL&gt;&lt;FQL&gt;&lt;Q&gt;JPYUSD^FG_PRICE(45141)&lt;/Q&gt;&lt;R&gt;1&lt;/R&gt;&lt;C&gt;1&lt;/C&gt;&lt;D xsi:type="xsd:double"&gt;0.007451287&lt;/D&gt;&lt;/FQL&gt;&lt;FQL&gt;&lt;Q&gt;JPYUSD^FG_PRICE(45133)&lt;/Q&gt;&lt;R&gt;1&lt;/R&gt;&lt;C&gt;1&lt;/C&gt;&lt;D xsi:type="xsd:double"&gt;0.007451287&lt;/D&gt;&lt;/FQL&gt;&lt;FQL&gt;&lt;Q&gt;JPYUSD^FG_PRICE(45125)&lt;/Q&gt;&lt;R&gt;1&lt;/R&gt;&lt;C&gt;1&lt;/C&gt;&lt;D xsi:type="xsd:double"&gt;0.007451287&lt;/D&gt;&lt;/FQL&gt;&lt;FQL&gt;&lt;Q&gt;JPYUSD^FG_PRICE(45117)&lt;/Q&gt;&lt;R&gt;1&lt;/R&gt;&lt;C&gt;1&lt;/C&gt;&lt;D xsi:type="xsd:double"&gt;0.007451287&lt;/D&gt;&lt;/FQL&gt;&lt;FQL&gt;&lt;Q&gt;JPYUSD^FG_PRICE(45109)&lt;/Q&gt;&lt;R&gt;1&lt;/R&gt;&lt;C&gt;1&lt;/C&gt;&lt;D xsi:type="xsd:double"&gt;0.007451287&lt;/D&gt;&lt;/FQL&gt;&lt;FQL&gt;&lt;Q&gt;JPYUSD^FG_PRICE(45101)&lt;/Q&gt;&lt;R&gt;1&lt;/R&gt;&lt;C&gt;1&lt;/C&gt;&lt;D xsi:type="xsd:double"&gt;0.007451287&lt;/D&gt;&lt;/FQL&gt;&lt;FQL&gt;&lt;Q&gt;JPYUSD^FG_PRICE(45093)&lt;/Q&gt;&lt;R&gt;1&lt;/R&gt;&lt;C&gt;1&lt;/C&gt;&lt;D xsi:type="xsd:double"&gt;0.007451287&lt;/D&gt;&lt;/FQL&gt;&lt;FQL&gt;&lt;Q&gt;JPYUSD^FG_PRICE(45085)&lt;/Q&gt;&lt;R&gt;1&lt;/R&gt;&lt;C&gt;1&lt;/C&gt;&lt;D xsi:type="xsd:double"&gt;0.007451287&lt;/D&gt;&lt;/FQL&gt;&lt;FQL&gt;&lt;Q&gt;JPYUSD^FG_PRICE(45077)&lt;/Q&gt;&lt;R&gt;1&lt;/R&gt;&lt;C&gt;1&lt;/C&gt;&lt;D xsi:type="xsd:double"&gt;0.007451287&lt;/D&gt;&lt;/FQL&gt;&lt;FQL&gt;&lt;Q&gt;JPYUSD^FG_PRICE(45069)&lt;/Q&gt;&lt;R&gt;1&lt;/R&gt;&lt;C&gt;1&lt;/C&gt;&lt;D xsi:type="xsd:double"&gt;0.007451287&lt;/D&gt;&lt;/FQL&gt;&lt;FQL&gt;&lt;Q&gt;JPYUSD^FG_PRICE(45061)&lt;/Q&gt;&lt;R&gt;1&lt;/R&gt;&lt;C&gt;1&lt;/C&gt;&lt;D xsi:type="xsd:double"&gt;0.007451287&lt;/D&gt;&lt;/FQL&gt;&lt;FQL&gt;&lt;Q&gt;JPYUSD^FG_PRICE(45053)&lt;/Q&gt;&lt;R&gt;1&lt;/R&gt;&lt;C&gt;1&lt;/C&gt;&lt;D xsi:type="xsd:double"&gt;0.007451287&lt;/D&gt;&lt;/FQL&gt;&lt;FQL&gt;&lt;Q&gt;JPYUSD^FG_PRICE(45045)&lt;/Q&gt;&lt;R&gt;1&lt;/R&gt;&lt;C&gt;1&lt;/C&gt;&lt;D xsi:type="xsd:double"&gt;0.007451287&lt;/D&gt;&lt;/FQL&gt;&lt;FQL&gt;&lt;Q&gt;JPYUSD^FG_PRICE(45037)&lt;/Q&gt;&lt;R&gt;1&lt;/R&gt;&lt;C&gt;1&lt;/C&gt;&lt;D xsi:type="xsd:double"&gt;0.007451287&lt;/D&gt;&lt;/FQL&gt;&lt;FQL&gt;&lt;Q&gt;JPYUSD^FG_PRICE(45029)&lt;/Q&gt;&lt;R&gt;1&lt;/R&gt;&lt;C&gt;1&lt;/C&gt;&lt;D xsi:type="xsd:double"&gt;0.007451287&lt;/D&gt;&lt;/FQL&gt;&lt;FQL&gt;&lt;Q&gt;JPYUSD^FG_PRICE(45021)&lt;/Q&gt;&lt;R&gt;1&lt;/R&gt;&lt;C&gt;1&lt;/C&gt;&lt;D xsi:type="xsd:double"&gt;0.007451287&lt;/D&gt;&lt;/FQL&gt;&lt;FQL&gt;&lt;Q&gt;JPYUSD^FG_PRICE(45013)&lt;/Q&gt;&lt;R&gt;1&lt;/R&gt;&lt;C&gt;1&lt;/C&gt;&lt;D xsi:type="xsd:double"&gt;0.007451287&lt;/D&gt;&lt;/FQL&gt;&lt;FQL&gt;&lt;Q&gt;JPYUSD^FG_PRICE(45005)&lt;/Q&gt;&lt;R&gt;1&lt;/R&gt;&lt;C&gt;1&lt;/C&gt;&lt;D xsi:type="xsd:double"&gt;0.007451287&lt;/D&gt;&lt;/FQL&gt;&lt;FQL&gt;&lt;Q&gt;JPYUSD^FG_PRICE(44997)&lt;/Q&gt;&lt;R&gt;1&lt;/R&gt;&lt;C&gt;1&lt;/C&gt;&lt;D xsi:type="xsd:double"&gt;0.007451287&lt;/D&gt;&lt;/FQL&gt;&lt;FQL&gt;&lt;Q&gt;JPYUSD^FG_PRICE(44989)&lt;/Q&gt;&lt;R&gt;1&lt;/R&gt;&lt;C&gt;1&lt;/C&gt;&lt;D xsi:type="xsd:double"&gt;0.007451287&lt;/D&gt;&lt;/FQL&gt;&lt;FQL&gt;&lt;Q&gt;JPYUSD^FG_PRICE(44981)&lt;/Q&gt;&lt;R&gt;1&lt;/R&gt;&lt;C&gt;1&lt;/C&gt;&lt;D xsi:type="xsd:double"&gt;0.007451287&lt;/D&gt;&lt;/FQL&gt;&lt;FQL&gt;&lt;Q&gt;JPYUSD^FG_PRICE(44973)&lt;/Q&gt;&lt;R&gt;1&lt;/R&gt;&lt;C&gt;1&lt;/C&gt;&lt;D xsi:type="xsd:double"&gt;0.007451287&lt;/D&gt;&lt;/FQL&gt;&lt;FQL&gt;&lt;Q&gt;JPYUSD^FG_PRICE(44965)&lt;/Q&gt;&lt;R&gt;1&lt;/R&gt;&lt;C&gt;1&lt;/C&gt;&lt;D xsi:type="xsd:double"&gt;0.0076071657&lt;/D&gt;&lt;/FQL&gt;&lt;FQL&gt;&lt;Q&gt;JPYUSD^FG_PRICE(44957)&lt;/Q&gt;&lt;R&gt;1&lt;/R&gt;&lt;C&gt;1&lt;/C&gt;&lt;D xsi:type="xsd:double"&gt;0.007689646&lt;/D&gt;&lt;/FQL&gt;&lt;FQL&gt;&lt;Q&gt;JPYUSD^FG_PRICE(44949)&lt;/Q&gt;&lt;R&gt;1&lt;/R&gt;&lt;C&gt;1&lt;/C&gt;&lt;D xsi:type="xsd:double"&gt;0.0076555023&lt;/D&gt;&lt;/FQL&gt;&lt;FQL&gt;&lt;Q&gt;JPYUSD^FG_PRICE(44941)&lt;/Q&gt;&lt;R&gt;1&lt;/R&gt;&lt;C&gt;1&lt;/C&gt;&lt;D xsi:type="xsd:double"&gt;0.007842215&lt;/D&gt;&lt;/FQL&gt;&lt;FQL&gt;&lt;Q&gt;JPYUSD^FG_PRICE(44933)&lt;/Q&gt;&lt;R&gt;1&lt;/R&gt;&lt;C&gt;1&lt;/C&gt;&lt;D xsi:type="xsd:double"&gt;0.0075517297&lt;/D&gt;&lt;/FQL&gt;&lt;FQL&gt;&lt;Q&gt;JPYUSD^FG_PRICE(45655)&lt;/Q&gt;&lt;R&gt;1&lt;/R&gt;&lt;C&gt;1&lt;/C&gt;&lt;D xsi:type="xsd:double"&gt;0.007451287&lt;/D&gt;&lt;/FQL&gt;&lt;FQL&gt;&lt;Q&gt;JPYUSD^FG_PRICE(45635)&lt;/Q&gt;&lt;R&gt;1&lt;/R&gt;&lt;C&gt;1&lt;/C&gt;&lt;D xsi:type="xsd:double"&gt;0.007451287&lt;/D&gt;&lt;/FQL&gt;&lt;FQL&gt;&lt;Q&gt;JPYUSD^FG_PRICE(45612)&lt;/Q&gt;&lt;R&gt;1&lt;/R&gt;&lt;C&gt;1&lt;/C&gt;&lt;D xsi:type="xsd:double"&gt;0.007451287&lt;/D&gt;&lt;/FQL&gt;&lt;FQL&gt;&lt;Q&gt;JPYUSD^FG_PRICE(45591)&lt;/Q&gt;&lt;R&gt;1&lt;/R&gt;&lt;C&gt;1&lt;/C&gt;&lt;D xsi:type="xsd:double"&gt;0.007451287&lt;/D&gt;&lt;/FQL&gt;&lt;FQL&gt;&lt;Q&gt;JPYUSD^FG_PRICE(45571)&lt;/Q&gt;&lt;R&gt;1&lt;/R&gt;&lt;C&gt;1&lt;/C&gt;&lt;D xsi:type="xsd:double"&gt;0.007451287&lt;/D&gt;&lt;/FQL&gt;&lt;FQL&gt;&lt;Q&gt;JPYUSD^FG_PRICE(45548)&lt;/Q&gt;&lt;R&gt;1&lt;/R&gt;&lt;C&gt;1&lt;/C&gt;&lt;D xsi:type="xsd:double"&gt;0.007451287&lt;/D&gt;&lt;/FQL&gt;&lt;FQL&gt;&lt;Q&gt;JPYUSD^FG_PRICE(45527)&lt;/Q&gt;&lt;R&gt;1&lt;/R&gt;&lt;C&gt;1&lt;/C&gt;&lt;D xsi:type="xsd:double"&gt;0.007451287&lt;/D&gt;&lt;/FQL&gt;&lt;FQL&gt;&lt;Q&gt;JPYUSD^FG_PRICE(45507)&lt;/Q&gt;&lt;R&gt;1&lt;/R&gt;&lt;C&gt;1&lt;/C&gt;&lt;D xsi:type="xsd:double"&gt;0.007451287&lt;/D&gt;&lt;/FQL&gt;&lt;FQL&gt;&lt;Q&gt;JPYUSD^FG_PRICE(45484)&lt;/Q&gt;&lt;R&gt;1&lt;/R&gt;&lt;C&gt;1&lt;/C&gt;&lt;D xsi:type="xsd:double"&gt;0.007451287&lt;/D&gt;&lt;/FQL&gt;&lt;FQL&gt;&lt;Q&gt;JPYUSD^FG_PRICE(45463)&lt;/Q&gt;&lt;R&gt;1&lt;/R&gt;&lt;C&gt;1&lt;/C&gt;&lt;D xsi:type="xsd:double"&gt;0.007451287&lt;/D&gt;&lt;/FQL&gt;&lt;FQL&gt;&lt;Q&gt;JPYUSD^FG_PRICE(45443)&lt;/Q&gt;&lt;R&gt;1&lt;/R&gt;&lt;C&gt;1&lt;/C&gt;&lt;D xsi:type="xsd:double"&gt;0.007451287&lt;/D&gt;&lt;/FQL&gt;&lt;FQL&gt;&lt;Q&gt;JPYUSD^FG_PRICE(45420)&lt;/Q&gt;&lt;R&gt;1&lt;/R&gt;&lt;C&gt;1&lt;/C&gt;&lt;D xsi:type="xsd:double"&gt;0.007451287&lt;/D&gt;&lt;/FQL&gt;&lt;FQL&gt;&lt;Q&gt;JPYUSD^FG_PRICE(45399)&lt;/Q&gt;&lt;R&gt;1&lt;/R&gt;&lt;C&gt;1&lt;/C&gt;&lt;D xsi:type="xsd:double"&gt;0.007451287&lt;/D&gt;&lt;/FQL&gt;&lt;FQL&gt;&lt;Q&gt;JPYUSD^FG_PRICE(45379)&lt;/Q&gt;&lt;R&gt;1&lt;/R&gt;&lt;C&gt;1&lt;/C&gt;&lt;D xsi:type="xsd:double"&gt;0.007451287&lt;/D&gt;&lt;/FQL&gt;&lt;FQL&gt;&lt;Q&gt;JPYUSD^FG_PRICE(45356)&lt;/Q&gt;&lt;R&gt;1&lt;/R&gt;&lt;C&gt;1&lt;/C&gt;&lt;D xsi:type="xsd:double"&gt;0.007451287&lt;/D&gt;&lt;/FQL&gt;&lt;FQL&gt;&lt;Q&gt;JPYUSD^FG_PRICE(45335)&lt;/Q&gt;&lt;R&gt;1&lt;/R&gt;&lt;C&gt;1&lt;/C&gt;&lt;D xsi:type="xsd:double"&gt;0.007451287&lt;/D&gt;&lt;/FQL&gt;&lt;FQL&gt;&lt;Q&gt;JPYUSD^FG_PRICE(45315)&lt;/Q&gt;&lt;R&gt;1&lt;/R&gt;&lt;C&gt;1&lt;/C&gt;&lt;D xsi:type="xsd:double"&gt;0.007451287&lt;/D&gt;&lt;/FQL&gt;&lt;FQL&gt;&lt;Q&gt;JPYUSD^FG_PRICE(45292)&lt;/Q&gt;&lt;R&gt;1&lt;/R&gt;&lt;C&gt;1&lt;/C&gt;&lt;D xsi:type="xsd:double"&gt;0.007451287&lt;/D&gt;&lt;/FQL&gt;&lt;FQL&gt;&lt;Q&gt;JPYUSD^FG_PRICE(45271)&lt;/Q&gt;&lt;R&gt;1&lt;/R&gt;&lt;C&gt;1&lt;/C&gt;&lt;D xsi:type="xsd:double"&gt;0.007451287&lt;/D&gt;&lt;/FQL&gt;&lt;FQL&gt;&lt;Q&gt;JPYUSD^FG_PRICE(45251)&lt;/Q&gt;&lt;R&gt;1&lt;/R&gt;&lt;C&gt;1&lt;/C&gt;&lt;D xsi:type="xsd:double"&gt;0.007451287&lt;/D&gt;&lt;/FQL&gt;&lt;FQL&gt;&lt;Q&gt;JPYUSD^FG_PRICE(45228)&lt;/Q&gt;&lt;R&gt;1&lt;/R&gt;&lt;C&gt;1&lt;/C&gt;&lt;D xsi:type="xsd:double"&gt;0.007451287&lt;/D&gt;&lt;/FQL&gt;&lt;FQL&gt;&lt;Q&gt;JPYUSD^FG_PRICE(45207)&lt;/Q&gt;&lt;R&gt;1&lt;/R&gt;&lt;C&gt;1&lt;/C&gt;&lt;D xsi:type="xsd:double"&gt;0.007451287&lt;/D&gt;&lt;/FQL&gt;&lt;FQL&gt;&lt;Q&gt;JPYUSD^FG_PRICE(45187)&lt;/Q&gt;&lt;R&gt;1&lt;/R&gt;&lt;C&gt;1&lt;/C&gt;&lt;D xsi:type="xsd:double"&gt;0.007451287&lt;/D&gt;&lt;/FQL&gt;&lt;FQL&gt;&lt;Q&gt;JPYUSD^FG_PRICE(45164)&lt;/Q&gt;&lt;R&gt;1&lt;/R&gt;&lt;C&gt;1&lt;/C&gt;&lt;D xsi:type="xsd:double"&gt;0.007451287&lt;/D&gt;&lt;/FQL&gt;&lt;FQL&gt;&lt;Q&gt;JPYUSD^FG_PRICE(45143)&lt;/Q&gt;&lt;R&gt;1&lt;/R&gt;&lt;C&gt;1&lt;/C&gt;&lt;D xsi:type="xsd:double"&gt;0.007451287&lt;/D&gt;&lt;/FQL&gt;&lt;FQL&gt;&lt;Q&gt;JPYUSD^FG_PRICE(45123)&lt;/Q&gt;&lt;R&gt;1&lt;/R&gt;&lt;C&gt;1&lt;/C&gt;&lt;D xsi:type="xsd:double"&gt;0.007451287&lt;/D&gt;&lt;/FQL&gt;&lt;FQL&gt;&lt;Q&gt;JPYUSD^FG_PRICE(45100)&lt;/Q&gt;&lt;R&gt;1&lt;/R&gt;&lt;C&gt;1&lt;/C&gt;&lt;D xsi:type="xsd:double"&gt;0.007451287&lt;/D&gt;&lt;/FQL&gt;&lt;FQL&gt;&lt;Q&gt;JPYUSD^FG_PRICE(45079)&lt;/Q&gt;&lt;R&gt;1&lt;/R&gt;&lt;C&gt;1&lt;/C&gt;&lt;D xsi:type="xsd:double"&gt;0.007451287&lt;/D&gt;&lt;/FQL&gt;&lt;FQL&gt;&lt;Q&gt;JPYUSD^FG_PRICE(45059)&lt;/Q&gt;&lt;R&gt;1&lt;/R&gt;&lt;C&gt;1&lt;/C&gt;&lt;D xsi:type="xsd:double"&gt;0.007451287&lt;/D&gt;&lt;/FQL&gt;&lt;FQL&gt;&lt;Q&gt;JPYUSD^FG_PRICE(45036)&lt;/Q&gt;&lt;R&gt;1&lt;/R&gt;&lt;C&gt;1&lt;/C&gt;&lt;D xsi:type="xsd:double"&gt;0.007451287&lt;/D&gt;&lt;/FQL&gt;&lt;FQL&gt;&lt;Q&gt;JPYUSD^FG_PRICE(45015)&lt;/Q&gt;&lt;R&gt;1&lt;/R&gt;&lt;C&gt;1&lt;/C&gt;&lt;D xsi:type="xsd:double"&gt;0.007451287&lt;/D&gt;&lt;/FQL&gt;&lt;FQL&gt;&lt;Q&gt;JPYUSD^FG_PRICE(44995)&lt;/Q&gt;&lt;R&gt;1&lt;/R&gt;&lt;C&gt;1&lt;/C&gt;&lt;D xsi:type="xsd:double"&gt;0.007451287&lt;/D&gt;&lt;/FQL&gt;&lt;FQL&gt;&lt;Q&gt;JPYUSD^FG_PRICE(44972)&lt;/Q&gt;&lt;R&gt;1&lt;/R&gt;&lt;C&gt;1&lt;/C&gt;&lt;D xsi:type="xsd:double"&gt;0.0074462937&lt;/D&gt;&lt;/FQL&gt;&lt;FQL&gt;&lt;Q&gt;JPYUSD^FG_PRICE(44951)&lt;/Q&gt;&lt;R&gt;1&lt;/R&gt;&lt;C&gt;1&lt;/C&gt;&lt;D xsi:type="xsd:double"&gt;0.007715454&lt;/D&gt;&lt;/FQL&gt;&lt;FQL&gt;&lt;Q&gt;JPYUSD^FG_PRICE(44931)&lt;/Q&gt;&lt;R&gt;1&lt;/R&gt;&lt;C&gt;1&lt;/C&gt;&lt;D xsi:type="xsd:double"&gt;0.0074696545&lt;/D&gt;&lt;/FQL&gt;&lt;FQL&gt;&lt;Q&gt;JPYUSD^FG_PRICE(44917)&lt;/Q&gt;&lt;R&gt;1&lt;/R&gt;&lt;C&gt;1&lt;/C&gt;&lt;D xsi:type="xsd:double"&gt;0.0075611505&lt;/D&gt;&lt;/FQL&gt;&lt;FQL&gt;&lt;Q&gt;JPYUSD^FG_PRICE(44904)&lt;/Q&gt;&lt;R&gt;1&lt;/R&gt;&lt;C&gt;1&lt;/C&gt;&lt;D xsi:type="xsd:double"&gt;0.007320912&lt;/D&gt;&lt;/FQL&gt;&lt;FQL&gt;&lt;Q&gt;JPYUSD^FG_PRICE(44892)&lt;/Q&gt;&lt;R&gt;1&lt;/R&gt;&lt;C&gt;1&lt;/C&gt;&lt;D xsi:type="xsd:double"&gt;0.0071813287&lt;/D&gt;&lt;/FQL&gt;&lt;FQL&gt;&lt;Q&gt;JPYUSD^FG_PRICE(44879)&lt;/Q&gt;&lt;R&gt;1&lt;/R&gt;&lt;C&gt;1&lt;/C&gt;&lt;D xsi:type="xsd:double"&gt;0.0071217464&lt;/D&gt;&lt;/FQL&gt;&lt;FQL&gt;&lt;Q&gt;JPYUSD^FG_PRICE(44867)&lt;/Q&gt;&lt;R&gt;1&lt;/R&gt;&lt;C&gt;1&lt;/C&gt;&lt;D xsi:type="xsd:double"&gt;0.0067962487&lt;/D&gt;&lt;/FQL&gt;&lt;FQL&gt;&lt;Q&gt;JPYUSD^FG_PRICE(44853)&lt;/Q&gt;&lt;R&gt;1&lt;/R&gt;&lt;C&gt;1&lt;/C&gt;&lt;D xsi:type="xsd:double"&gt;0.006678911&lt;/D&gt;&lt;/FQL&gt;&lt;FQL&gt;&lt;Q&gt;JPYUSD^FG_PRICE(44840)&lt;/Q&gt;&lt;R&gt;1&lt;/R&gt;&lt;C&gt;1&lt;/C&gt;&lt;D xsi:type="xsd:double"&gt;0.006902026&lt;/D&gt;&lt;/FQL&gt;&lt;FQL&gt;&lt;Q&gt;JPYUSD^FG_PRICE(44828)&lt;/Q&gt;&lt;R&gt;1&lt;/R&gt;&lt;C&gt;1&lt;/C&gt;&lt;D xsi:type="xsd:double"&gt;0.0069790976&lt;/D&gt;&lt;/FQL&gt;&lt;FQL&gt;&lt;Q&gt;JPYUSD^FG_PRICE(44815)&lt;/Q&gt;&lt;R&gt;1&lt;/R&gt;&lt;C&gt;1&lt;/C&gt;&lt;D xsi:type="xsd:double"&gt;0.0070200074&lt;/D&gt;&lt;/FQL&gt;&lt;FQL&gt;&lt;Q&gt;JPYUSD^FG_PRICE(44803)&lt;/Q&gt;&lt;R&gt;1&lt;/R&gt;&lt;C&gt;1&lt;/C&gt;&lt;D xsi:type="xsd:double"&gt;0.0071976106&lt;/D&gt;&lt;/FQL&gt;&lt;FQL&gt;&lt;Q&gt;JPYUSD^FG_PRICE(44789)&lt;/Q&gt;&lt;R&gt;1&lt;/R&gt;&lt;C&gt;1&lt;/C&gt;&lt;D xsi:type="xsd:double"&gt;0.007441307&lt;/D&gt;&lt;/FQL&gt;&lt;FQL&gt;&lt;Q&gt;JPYUSD^FG_PRICE(44776)&lt;/Q&gt;&lt;R&gt;1&lt;/R&gt;&lt;C&gt;1&lt;/C&gt;&lt;D xsi:type="xsd:double"&gt;0.007441307&lt;/D&gt;&lt;/FQL&gt;&lt;FQL&gt;&lt;Q&gt;JPYUSD^FG_PRICE(44764)&lt;/Q&gt;&lt;R&gt;1&lt;/R&gt;&lt;C&gt;1&lt;/C&gt;&lt;D xsi:type="xsd:double"&gt;0.007350509&lt;/D&gt;&lt;/FQL&gt;&lt;FQL&gt;&lt;Q&gt;JPYUSD^FG_PRICE(44751)&lt;/Q&gt;&lt;R&gt;1&lt;/R&gt;&lt;C&gt;1&lt;/C&gt;&lt;D xsi:type="xsd:double"&gt;0.0073494283&lt;/D&gt;&lt;/FQL&gt;&lt;FQL&gt;&lt;Q&gt;JPYUSD^FG_PRICE(44739)&lt;/Q&gt;&lt;R&gt;1&lt;/R&gt;&lt;C&gt;1&lt;/C&gt;&lt;D xsi:type="xsd:double"&gt;0.0073967227&lt;/D&gt;&lt;/FQL&gt;&lt;FQL&gt;&lt;Q&gt;JPYUSD^FG_PRICE(44725)&lt;/Q&gt;&lt;R&gt;1&lt;/R&gt;&lt;C&gt;1&lt;/C&gt;&lt;D xsi:type="xsd:double"&gt;0.007469375&lt;/D&gt;&lt;/FQL&gt;&lt;FQL&gt;&lt;Q&gt;JPYUSD^FG_PRICE(44712)&lt;/Q&gt;&lt;R&gt;1&lt;/R&gt;&lt;C&gt;1&lt;/C&gt;&lt;D xsi:type="xsd:double"&gt;0.0077733295&lt;/D&gt;&lt;/FQL&gt;&lt;FQL&gt;&lt;Q&gt;JPYUSD^FG_PRICE(44700)&lt;/Q&gt;&lt;R&gt;1&lt;/R&gt;&lt;C&gt;1&lt;/C&gt;&lt;D xsi:type="xsd:double"&gt;0.007849602&lt;/D&gt;&lt;/FQL&gt;&lt;FQL&gt;&lt;Q&gt;JPYUSD^FG_PRICE(44688)&lt;/Q&gt;&lt;R&gt;1&lt;/R&gt;&lt;C&gt;1&lt;/C&gt;&lt;D xsi:type="xsd:double"&gt;0.007668418&lt;/D&gt;&lt;/FQL&gt;&lt;FQL&gt;&lt;Q&gt;JPYUSD^FG_PRICE(44677)&lt;/Q&gt;&lt;R&gt;1&lt;/R&gt;&lt;C&gt;1&lt;/C&gt;&lt;D xsi:type="xsd:double"&gt;0.00786349&lt;/D&gt;&lt;/FQL&gt;&lt;FQL&gt;&lt;Q&gt;JPYUSD^FG_PRICE(44667)&lt;/Q&gt;&lt;R&gt;1&lt;/R&gt;&lt;C&gt;1&lt;/C&gt;&lt;D xsi:type="xsd:double"&gt;0.007942497&lt;/D&gt;&lt;/FQL&gt;&lt;FQL&gt;&lt;Q&gt;JPYUSD^FG_PRICE(44656)&lt;/Q&gt;&lt;R&gt;1&lt;/R&gt;&lt;C&gt;1&lt;/C&gt;&lt;D xsi:type="xsd:double"&gt;0.008110629&lt;/D&gt;&lt;/FQL&gt;&lt;FQL&gt;&lt;Q&gt;JPYUSD^FG_PRICE(44645)&lt;/Q&gt;&lt;R&gt;1&lt;/R&gt;&lt;C&gt;1&lt;/C&gt;&lt;D xsi:type="xsd:double"&gt;0.0081977295&lt;/D&gt;&lt;/FQL&gt;&lt;FQL&gt;&lt;Q&gt;JPYUSD^FG_PRICE(44637)&lt;/Q&gt;&lt;R&gt;1&lt;/R&gt;&lt;C&gt;1&lt;/C&gt;&lt;D xsi:type="xsd:double"&gt;0.008443093&lt;/D&gt;&lt;/FQL&gt;&lt;FQL&gt;&lt;Q&gt;JPYUSD^FG_PRICE(44629)&lt;/Q&gt;&lt;R&gt;1&lt;/R&gt;&lt;C&gt;1&lt;/C&gt;&lt;D xsi:type="xsd:double"&gt;0.00863446&lt;/D&gt;&lt;/FQL&gt;&lt;FQL&gt;&lt;Q&gt;JPYUSD^FG_PRICE(44621)&lt;/Q&gt;&lt;R&gt;1&lt;/R&gt;&lt;C&gt;1&lt;/C&gt;&lt;D xsi:type="xsd:double"&gt;0.008710422&lt;/D&gt;&lt;/FQL&gt;&lt;FQL&gt;&lt;Q&gt;JPYUSD^FG_PRICE(44613)&lt;/Q&gt;&lt;R&gt;1&lt;/R&gt;&lt;C&gt;1&lt;/C&gt;&lt;D xsi:type="xsd:double"&gt;0.008708146&lt;/D&gt;&lt;/FQL&gt;&lt;FQL&gt;&lt;Q&gt;JPYUSD^FG_PRICE(44605)&lt;/Q&gt;&lt;R&gt;1&lt;/R&gt;&lt;C&gt;1&lt;/C&gt;&lt;D xsi:type="xsd:double"&gt;0.008629617&lt;/D&gt;&lt;/FQL&gt;&lt;FQL&gt;&lt;Q&gt;JPYUSD^FG_PRICE(44597)&lt;/Q&gt;&lt;R&gt;1&lt;/R&gt;&lt;C&gt;1&lt;/C&gt;&lt;D xsi:type="xsd:double"&gt;0.008675661&lt;/D&gt;&lt;/FQL&gt;&lt;FQL&gt;&lt;Q&gt;JPYUSD^FG_PRICE(44589)&lt;/Q&gt;&lt;R&gt;1&lt;/R&gt;&lt;C&gt;1&lt;/C&gt;&lt;D xsi:type="xsd:double"&gt;0.008682063&lt;/D&gt;&lt;/FQL&gt;&lt;FQL&gt;&lt;Q&gt;JPYUSD^FG_PRICE(44581)&lt;/Q&gt;&lt;R&gt;1&lt;/R&gt;&lt;C&gt;1&lt;/C&gt;&lt;D xsi:type="xsd:double"&gt;0.0087723145&lt;/D&gt;&lt;/FQL&gt;&lt;FQL&gt;&lt;Q&gt;JPYUSD^FG_PRICE(44573)&lt;/Q&gt;&lt;R&gt;1&lt;/R&gt;&lt;C&gt;1&lt;/C&gt;&lt;D xsi:type="xsd:double"&gt;0.008707009&lt;/D&gt;&lt;/FQL&gt;&lt;FQL&gt;&lt;Q&gt;JPYUSD^FG_PRICE(44565)&lt;/Q&gt;&lt;R&gt;1&lt;/R&gt;&lt;C&gt;1&lt;/C&gt;&lt;D xsi:type="xsd:double"&gt;0.008611781&lt;/D&gt;&lt;/FQL&gt;&lt;FQL&gt;&lt;Q&gt;JPYUSD^FG_PRICE(44557)&lt;/Q&gt;&lt;R&gt;1&lt;/R&gt;&lt;C&gt;1&lt;/C&gt;&lt;D xsi:type="xsd:double"&gt;0.008704356&lt;/D&gt;&lt;/FQL&gt;&lt;FQL&gt;&lt;Q&gt;JPYUSD^FG_PRICE(44549)&lt;/Q&gt;&lt;R&gt;1&lt;/R&gt;&lt;C&gt;1&lt;/C&gt;&lt;D xsi:type="xsd:double"&gt;0.008800105&lt;/D&gt;&lt;/FQL&gt;&lt;FQL&gt;&lt;Q&gt;JPYUSD^FG_PRICE(44541)&lt;/Q&gt;&lt;R&gt;1&lt;/R&gt;&lt;C&gt;1&lt;/C&gt;&lt;D xsi:type="xsd:double"&gt;0.008816399&lt;/D&gt;&lt;/FQL&gt;&lt;FQL&gt;&lt;Q&gt;JPYUSD^FG_PRICE(44533)&lt;/Q&gt;&lt;R&gt;1&lt;/R&gt;&lt;C&gt;1&lt;/C&gt;&lt;D xsi:type="xsd:double"&gt;0.008831972&lt;/D&gt;&lt;/FQL&gt;&lt;FQL&gt;&lt;Q&gt;JPYUSD^FG_PRICE(44525)&lt;/Q&gt;&lt;R&gt;1&lt;/R&gt;&lt;C&gt;1&lt;/C&gt;&lt;D xsi:type="xsd:double"&gt;0.0086681405&lt;/D&gt;&lt;/FQL&gt;&lt;FQL&gt;&lt;Q&gt;JPYUSD^FG_PRICE(44517)&lt;/Q&gt;&lt;R&gt;1&lt;/R&gt;&lt;C&gt;1&lt;/C&gt;&lt;D xsi:type="xsd:double"&gt;0.008730194&lt;/D&gt;&lt;/FQL&gt;&lt;FQL&gt;&lt;Q&gt;JPYUSD^FG_PRICE(44509)&lt;/Q&gt;&lt;R&gt;1&lt;/R&gt;&lt;C&gt;1&lt;/C&gt;&lt;D xsi:type="xsd:double"&gt;0.008854651&lt;/D&gt;&lt;/FQL&gt;&lt;FQL&gt;&lt;Q&gt;JPYUSD^FG_PRICE(44501)&lt;/Q&gt;&lt;R&gt;1&lt;/R&gt;&lt;C&gt;1&lt;/C&gt;&lt;D xsi:type="xsd:double"&gt;0.0087569505&lt;/D&gt;&lt;/FQL&gt;&lt;FQL&gt;&lt;Q&gt;JPYUSD^FG_PRICE(44493)&lt;/Q&gt;&lt;R&gt;1&lt;/R&gt;&lt;C&gt;1&lt;/C&gt;&lt;D xsi:type="xsd:double"&gt;0.008803205&lt;/D&gt;&lt;/FQL&gt;&lt;FQL&gt;&lt;Q&gt;JPYUSD^FG_PRICE(44485)&lt;/Q&gt;&lt;R&gt;1&lt;/R&gt;&lt;C&gt;1&lt;/C&gt;&lt;D xsi:type="xsd:double"&gt;0.008766931&lt;/D&gt;&lt;/FQL&gt;&lt;FQL&gt;&lt;Q&gt;JPYUSD^FG_PRICE(44477)&lt;/Q&gt;&lt;R&gt;1&lt;/R&gt;&lt;C&gt;1&lt;/C&gt;&lt;D xsi:type="xsd:double"&gt;0.008925384&lt;/D&gt;&lt;/FQL&gt;&lt;FQL&gt;&lt;Q&gt;JPYUSD^FG_PRICE(44469)&lt;/Q&gt;&lt;R&gt;1&lt;/R&gt;&lt;C&gt;1&lt;/C&gt;&lt;D xsi:type="xsd:double"&gt;0.008962582&lt;/D&gt;&lt;/FQL&gt;&lt;FQL&gt;&lt;Q&gt;JPYUSD^FG_PRICE(44461)&lt;/Q&gt;&lt;R&gt;1&lt;/R&gt;&lt;C&gt;1&lt;/C&gt;&lt;D xsi:type="xsd:double"&gt;0.009121591&lt;/D&gt;&lt;/FQL&gt;&lt;FQL&gt;&lt;Q&gt;JPYUSD^FG_PRICE(44453)&lt;/Q&gt;&lt;R&gt;1&lt;/R&gt;&lt;C&gt;1&lt;/C&gt;&lt;D xsi:type="xsd:double"&gt;0.009119095&lt;/D&gt;&lt;/FQL&gt;&lt;FQL&gt;&lt;Q&gt;JPYUSD^FG_PRICE(44445)&lt;/Q&gt;&lt;R&gt;1&lt;/R&gt;&lt;C&gt;1&lt;/C&gt;&lt;D xsi:type="xsd:double"&gt;0.009102908&lt;/D&gt;&lt;/FQL&gt;&lt;FQL&gt;&lt;Q&gt;JPYUSD^FG_PRICE(44437)&lt;/Q&gt;&lt;R&gt;1&lt;/R&gt;&lt;C&gt;1&lt;/C&gt;&lt;D xsi:type="xsd:double"&gt;0.009092975&lt;/D&gt;&lt;/FQL&gt;&lt;FQL&gt;&lt;Q&gt;JPYUSD^FG_PRICE(44429)&lt;/Q&gt;&lt;R&gt;1&lt;/R&gt;&lt;C&gt;1&lt;/C&gt;&lt;D xsi:type="xsd:double"&gt;0.009107053&lt;/D&gt;&lt;/FQL&gt;&lt;FQL&gt;&lt;Q&gt;JPYUSD^FG_PRICE(44421)&lt;/Q&gt;&lt;R&gt;1&lt;/R&gt;&lt;C&gt;1&lt;/C&gt;&lt;D xsi:type="xsd:double"&gt;0.00910208&lt;/D&gt;&lt;/FQL&gt;&lt;FQL&gt;&lt;Q&gt;JPYUSD^FG_PRICE(44413)&lt;/Q&gt;&lt;R&gt;1&lt;/R&gt;&lt;C&gt;1&lt;/C&gt;&lt;D xsi:type="xsd:double"&gt;0.00911577&lt;/D&gt;&lt;/FQL&gt;&lt;FQL&gt;&lt;Q&gt;JPYUSD^FG_PRICE(44405)&lt;/Q&gt;&lt;R&gt;1&lt;/R&gt;&lt;C&gt;1&lt;/C&gt;&lt;D xsi:type="xsd:double"&gt;0.0090818275&lt;/D&gt;&lt;/FQL&gt;&lt;FQL&gt;&lt;Q&gt;JPYUSD^FG_PRICE(44397)&lt;/Q&gt;&lt;R&gt;1&lt;/R&gt;&lt;C&gt;1&lt;/C&gt;&lt;D xsi:type="xsd:double"&gt;0.009096284&lt;/D&gt;&lt;/FQL&gt;&lt;FQL&gt;&lt;Q&gt;JPYUSD^FG_PRICE(44389)&lt;/Q&gt;&lt;R&gt;1&lt;/R&gt;&lt;C&gt;1&lt;/C&gt;&lt;D xsi:type="xsd:double"&gt;0.009068239&lt;/D&gt;&lt;/FQL&gt;&lt;FQL&gt;&lt;Q&gt;JPYUSD^FG_PRICE(44381)&lt;/Q&gt;&lt;R&gt;1&lt;/R&gt;&lt;C&gt;1&lt;/C&gt;&lt;D xsi:type="xsd:double"&gt;0.008983515&lt;/D&gt;&lt;/FQL&gt;&lt;FQL&gt;&lt;Q&gt;JPYUSD^FG_PRICE(44373)&lt;/Q&gt;&lt;R&gt;1&lt;/R&gt;&lt;C&gt;1&lt;/C&gt;&lt;D xsi:type="xsd:double"&gt;0.009027308&lt;/D&gt;&lt;/FQL&gt;&lt;FQL&gt;&lt;Q&gt;JPYUSD^FG_PRICE(44365)&lt;/Q&gt;&lt;R&gt;1&lt;/R&gt;&lt;C&gt;1&lt;/C&gt;&lt;D xsi:type="xsd:double"&gt;0.009071118&lt;/D&gt;&lt;/FQL&gt;&lt;FQL&gt;&lt;Q&gt;JPYUSD^FG_PRICE(44357)&lt;/Q&gt;&lt;R&gt;1&lt;/R&gt;&lt;C&gt;1&lt;/C&gt;&lt;D xsi:type="xsd:double"&gt;0.009123671&lt;/D&gt;&lt;/FQL&gt;&lt;FQL&gt;&lt;Q&gt;JPYUSD^FG_PRICE(44349)&lt;/Q&gt;&lt;R&gt;1&lt;/R&gt;&lt;C&gt;1&lt;/C&gt;&lt;D xsi:type="xsd:double"&gt;0.009122839&lt;/D&gt;&lt;/FQL&gt;&lt;FQL&gt;&lt;Q&gt;JPYUSD^FG_PRICE(44341)&lt;/Q&gt;&lt;R&gt;1&lt;/R&gt;&lt;C&gt;1&lt;/C&gt;&lt;D xsi:type="xsd:double"&gt;0.009180629&lt;/D&gt;&lt;/FQL&gt;&lt;FQL&gt;&lt;Q&gt;JPYUSD^FG_PRICE(44333)&lt;/Q&gt;&lt;R&gt;1&lt;/R&gt;&lt;C&gt;1&lt;/C&gt;&lt;D xsi:type="xsd:double"&gt;0.009158768&lt;/D&gt;&lt;/FQL&gt;&lt;FQL&gt;&lt;Q&gt;JPYUSD^FG_PRICE(44325)&lt;/Q&gt;&lt;R&gt;1&lt;/R&gt;&lt;C&gt;1&lt;/C&gt;&lt;D xsi:type="xsd:double"&gt;0.009211072&lt;/D&gt;&lt;/FQL&gt;&lt;FQL&gt;&lt;Q&gt;JPYUSD^FG_PRICE(44317)&lt;/Q&gt;&lt;R&gt;1&lt;/R&gt;&lt;C&gt;1&lt;/C&gt;&lt;D xsi:type="xsd:double"&gt;0.009148712&lt;/D&gt;&lt;/FQL&gt;&lt;FQL&gt;&lt;Q&gt;JPYUSD^FG_PRICE(44309)&lt;/Q&gt;&lt;R&gt;1&lt;/R&gt;&lt;C&gt;1&lt;/C&gt;&lt;D xsi:type="xsd:double"&gt;0.009251977&lt;/D&gt;&lt;/FQL&gt;&lt;FQL&gt;&lt;Q&gt;JPYUSD^FG_PRICE(44301)&lt;/Q&gt;&lt;R&gt;1&lt;/R&gt;&lt;C&gt;1&lt;/C&gt;&lt;D xsi:type="xsd:double"&gt;0.009197094&lt;/D&gt;&lt;/FQL&gt;&lt;FQL&gt;&lt;Q&gt;JPYUSD^FG_PRICE(44293)&lt;/Q&gt;&lt;R&gt;1&lt;/R&gt;&lt;C&gt;1&lt;/C&gt;&lt;D xsi:type="xsd:double"&gt;0.009122007&lt;/D&gt;&lt;/FQL&gt;&lt;FQL&gt;&lt;Q&gt;JPYUSD^FG_PRICE(44285)&lt;/Q&gt;&lt;R&gt;1&lt;/R&gt;&lt;C&gt;1&lt;/C&gt;&lt;D xsi:type="xsd:double"&gt;0.009065772&lt;/D&gt;&lt;/FQL&gt;&lt;FQL&gt;&lt;Q&gt;JPYUSD^FG_PRICE(44277)&lt;/Q&gt;&lt;R&gt;1&lt;/R&gt;&lt;C&gt;1&lt;/C&gt;&lt;D xsi:type="xsd:double"&gt;0.009201325&lt;/D&gt;&lt;/FQL&gt;&lt;FQL&gt;&lt;Q&gt;JPYUSD^FG_PRICE(44269)&lt;/Q&gt;&lt;R&gt;1&lt;/R&gt;&lt;C&gt;1&lt;/C&gt;&lt;D xsi:type="xsd:double"&gt;0.009175574&lt;/D&gt;&lt;/FQL&gt;&lt;FQL&gt;&lt;Q&gt;JPYUSD^FG_PRICE(44261)&lt;/Q&gt;&lt;R&gt;1&lt;/R&gt;&lt;C&gt;1&lt;/C&gt;&lt;D xsi:type="xsd:double"&gt;0.009237449&lt;/D&gt;&lt;/FQL&gt;&lt;FQL&gt;&lt;Q&gt;JPYUSD^FG_PRICE(44253)&lt;/Q&gt;&lt;R&gt;1&lt;/R&gt;&lt;C&gt;1&lt;/C&gt;&lt;D xsi:type="xsd:double"&gt;0.0093861455&lt;/D&gt;&lt;/FQL&gt;&lt;FQL&gt;&lt;Q&gt;JPYUSD^FG_PRICE(44245)&lt;/Q&gt;&lt;R&gt;1&lt;/R&gt;&lt;C&gt;1&lt;/C&gt;&lt;D xsi:type="xsd:double"&gt;0.009453136&lt;/D&gt;&lt;/FQL&gt;&lt;FQL&gt;&lt;Q&gt;JPYUSD^FG_PRICE(44237)&lt;/Q&gt;&lt;R&gt;1&lt;/R&gt;&lt;C&gt;1&lt;/C&gt;&lt;D xsi:type="xsd:double"&gt;0.009554292&lt;/D&gt;&lt;/FQL&gt;&lt;FQL&gt;&lt;Q&gt;JPYUSD^FG_PRICE(44229)&lt;/Q&gt;&lt;R&gt;1&lt;/R&gt;&lt;C&gt;1&lt;/C&gt;&lt;D xsi:type="xsd:double"&gt;0.009514748&lt;/D&gt;&lt;/FQL&gt;&lt;FQL&gt;&lt;Q&gt;JPYUSD^FG_PRICE(44221)&lt;/Q&gt;&lt;R&gt;1&lt;/R&gt;&lt;C&gt;1&lt;/C&gt;&lt;D xsi:type="xsd:double"&gt;0.009635768&lt;/D&gt;&lt;/FQL&gt;&lt;FQL&gt;&lt;Q&gt;JPYUSD^FG_PRICE(44213)&lt;/Q&gt;&lt;R&gt;1&lt;/R&gt;&lt;C&gt;1&lt;/C&gt;&lt;D xsi:type="xsd:double"&gt;0.009626956&lt;/D&gt;&lt;/FQL&gt;&lt;FQL&gt;&lt;Q&gt;JPYUSD^FG_PRICE(44205)&lt;/Q&gt;&lt;R&gt;1&lt;/R&gt;&lt;C&gt;1&lt;/C&gt;&lt;D xsi:type="xsd:double"&gt;0.009634376&lt;/D&gt;&lt;/FQL&gt;&lt;FQL&gt;&lt;Q&gt;JPYUSD^FG_PRICE(44197)&lt;/Q&gt;&lt;R&gt;1&lt;/R&gt;&lt;C&gt;1&lt;/C&gt;&lt;D xsi:type="xsd:double"&gt;0.0096857&lt;/D&gt;&lt;/FQL&gt;&lt;FQL&gt;&lt;Q&gt;JPYUSD^FG_PRICE(44189)&lt;/Q&gt;&lt;R&gt;1&lt;/R&gt;&lt;C&gt;1&lt;/C&gt;&lt;D xsi:type="xsd:double"&gt;0.009649715&lt;/D&gt;&lt;/FQL&gt;&lt;FQL&gt;&lt;Q&gt;JPYUSD^FG_PRICE(44181)&lt;/Q&gt;&lt;R&gt;1&lt;/R&gt;&lt;C&gt;1&lt;/C&gt;&lt;D xsi:type="xsd:double"&gt;0.009660436&lt;/D&gt;&lt;/FQL&gt;&lt;FQL&gt;&lt;Q&gt;JPYUSD^FG_PRICE(44173)&lt;/Q&gt;&lt;R&gt;1&lt;/R&gt;&lt;C&gt;1&lt;/C&gt;&lt;D xsi:type="xsd:double"&gt;0.009603841&lt;/D&gt;&lt;/FQL&gt;&lt;FQL&gt;&lt;Q&gt;JPYUSD^FG_PRICE(44165)&lt;/Q&gt;&lt;R&gt;1&lt;/R&gt;&lt;C&gt;1&lt;/C&gt;&lt;D xsi:type="xsd:double"&gt;0.009590026&lt;/D&gt;&lt;/FQL&gt;&lt;FQL&gt;&lt;Q&gt;JPYUSD^FG_PRICE(44157)&lt;/Q&gt;&lt;R&gt;1&lt;/R&gt;&lt;C&gt;1&lt;/C&gt;&lt;D xsi:type="xsd:double"&gt;0.009632519&lt;/D&gt;&lt;/FQL&gt;&lt;FQL&gt;&lt;Q&gt;JPYUSD^FG_PRICE(44149)&lt;/Q&gt;&lt;R&gt;1&lt;/R&gt;&lt;C&gt;1&lt;/C&gt;&lt;D xsi:type="xsd:double"&gt;0.009556575&lt;/D&gt;&lt;/FQL&gt;&lt;FQL&gt;&lt;Q&gt;JPYUSD^FG_PRICE(44141)&lt;/Q&gt;&lt;R&gt;1&lt;/R&gt;&lt;C&gt;1&lt;/C&gt;&lt;D xsi:type="xsd:double"&gt;0.009680074&lt;/D&gt;&lt;/FQL&gt;&lt;FQL&gt;&lt;Q&gt;JPYUSD^FG_PRICE(44133)&lt;/Q&gt;&lt;R&gt;1&lt;/R&gt;&lt;C&gt;1&lt;/C&gt;&lt;D xsi:type="xsd:double"&gt;0.009551555&lt;/D&gt;&lt;/FQL&gt;&lt;FQL&gt;&lt;Q&gt;JPYUSD^FG_PRICE(44125)&lt;/Q&gt;&lt;R&gt;1&lt;/R&gt;&lt;C&gt;1&lt;/C&gt;&lt;D xsi:type="xsd:double"&gt;0.00957671&lt;/D&gt;&lt;/FQL&gt;&lt;F</t>
        </r>
      </text>
    </comment>
    <comment ref="A3" authorId="0" shapeId="0" xr:uid="{AA089D6C-ECBC-436B-BA73-1C8612D3CB9F}">
      <text>
        <r>
          <rPr>
            <b/>
            <sz val="9"/>
            <color indexed="81"/>
            <rFont val="Tahoma"/>
            <family val="2"/>
          </rPr>
          <t>QL&gt;&lt;Q&gt;JPYUSD^FG_PRICE(44117)&lt;/Q&gt;&lt;R&gt;1&lt;/R&gt;&lt;C&gt;1&lt;/C&gt;&lt;D xsi:type="xsd:double"&gt;0.009475529&lt;/D&gt;&lt;/FQL&gt;&lt;FQL&gt;&lt;Q&gt;JPYUSD^FG_PRICE(45652)&lt;/Q&gt;&lt;R&gt;1&lt;/R&gt;&lt;C&gt;1&lt;/C&gt;&lt;D xsi:type="xsd:double"&gt;0.007451287&lt;/D&gt;&lt;/FQL&gt;&lt;FQL&gt;&lt;Q&gt;JPYUSD^FG_PRICE(45631)&lt;/Q&gt;&lt;R&gt;1&lt;/R&gt;&lt;C&gt;1&lt;/C&gt;&lt;D xsi:type="xsd:double"&gt;0.007451287&lt;/D&gt;&lt;/FQL&gt;&lt;FQL&gt;&lt;Q&gt;JPYUSD^FG_PRICE(45611)&lt;/Q&gt;&lt;R&gt;1&lt;/R&gt;&lt;C&gt;1&lt;/C&gt;&lt;D xsi:type="xsd:double"&gt;0.007451287&lt;/D&gt;&lt;/FQL&gt;&lt;FQL&gt;&lt;Q&gt;JPYUSD^FG_PRICE(45588)&lt;/Q&gt;&lt;R&gt;1&lt;/R&gt;&lt;C&gt;1&lt;/C&gt;&lt;D xsi:type="xsd:double"&gt;0.007451287&lt;/D&gt;&lt;/FQL&gt;&lt;FQL&gt;&lt;Q&gt;JPYUSD^FG_PRICE(45567)&lt;/Q&gt;&lt;R&gt;1&lt;/R&gt;&lt;C&gt;1&lt;/C&gt;&lt;D xsi:type="xsd:double"&gt;0.007451287&lt;/D&gt;&lt;/FQL&gt;&lt;FQL&gt;&lt;Q&gt;JPYUSD^FG_PRICE(45547)&lt;/Q&gt;&lt;R&gt;1&lt;/R&gt;&lt;C&gt;1&lt;/C&gt;&lt;D xsi:type="xsd:double"&gt;0.007451287&lt;/D&gt;&lt;/FQL&gt;&lt;FQL&gt;&lt;Q&gt;JPYUSD^FG_PRICE(45524)&lt;/Q&gt;&lt;R&gt;1&lt;/R&gt;&lt;C&gt;1&lt;/C&gt;&lt;D xsi:type="xsd:double"&gt;0.007451287&lt;/D&gt;&lt;/FQL&gt;&lt;FQL&gt;&lt;Q&gt;JPYUSD^FG_PRICE(45503)&lt;/Q&gt;&lt;R&gt;1&lt;/R&gt;&lt;C&gt;1&lt;/C&gt;&lt;D xsi:type="xsd:double"&gt;0.007451287&lt;/D&gt;&lt;/FQL&gt;&lt;FQL&gt;&lt;Q&gt;JPYUSD^FG_PRICE(45483)&lt;/Q&gt;&lt;R&gt;1&lt;/R&gt;&lt;C&gt;1&lt;/C&gt;&lt;D xsi:type="xsd:double"&gt;0.007451287&lt;/D&gt;&lt;/FQL&gt;&lt;FQL&gt;&lt;Q&gt;JPYUSD^FG_PRICE(45460)&lt;/Q&gt;&lt;R&gt;1&lt;/R&gt;&lt;C&gt;1&lt;/C&gt;&lt;D xsi:type="xsd:double"&gt;0.007451287&lt;/D&gt;&lt;/FQL&gt;&lt;FQL&gt;&lt;Q&gt;JPYUSD^FG_PRICE(45439)&lt;/Q&gt;&lt;R&gt;1&lt;/R&gt;&lt;C&gt;1&lt;/C&gt;&lt;D xsi:type="xsd:double"&gt;0.007451287&lt;/D&gt;&lt;/FQL&gt;&lt;FQL&gt;&lt;Q&gt;JPYUSD^FG_PRICE(45419)&lt;/Q&gt;&lt;R&gt;1&lt;/R&gt;&lt;C&gt;1&lt;/C&gt;&lt;D xsi:type="xsd:double"&gt;0.007451287&lt;/D&gt;&lt;/FQL&gt;&lt;FQL&gt;&lt;Q&gt;JPYUSD^FG_PRICE(45396)&lt;/Q&gt;&lt;R&gt;1&lt;/R&gt;&lt;C&gt;1&lt;/C&gt;&lt;D xsi:type="xsd:double"&gt;0.007451287&lt;/D&gt;&lt;/FQL&gt;&lt;FQL&gt;&lt;Q&gt;JPYUSD^FG_PRICE(45375)&lt;/Q&gt;&lt;R&gt;1&lt;/R&gt;&lt;C&gt;1&lt;/C&gt;&lt;D xsi:type="xsd:double"&gt;0.007451287&lt;/D&gt;&lt;/FQL&gt;&lt;FQL&gt;&lt;Q&gt;JPYUSD^FG_PRICE(45355)&lt;/Q&gt;&lt;R&gt;1&lt;/R&gt;&lt;C&gt;1&lt;/C&gt;&lt;D xsi:type="xsd:double"&gt;0.007451287&lt;/D&gt;&lt;/FQL&gt;&lt;FQL&gt;&lt;Q&gt;JPYUSD^FG_PRICE(45332)&lt;/Q&gt;&lt;R&gt;1&lt;/R&gt;&lt;C&gt;1&lt;/C&gt;&lt;D xsi:type="xsd:double"&gt;0.007451287&lt;/D&gt;&lt;/FQL&gt;&lt;FQL&gt;&lt;Q&gt;JPYUSD^FG_PRICE(45311)&lt;/Q&gt;&lt;R&gt;1&lt;/R&gt;&lt;C&gt;1&lt;/C&gt;&lt;D xsi:type="xsd:double"&gt;0.007451287&lt;/D&gt;&lt;/FQL&gt;&lt;FQL&gt;&lt;Q&gt;JPYUSD^FG_PRICE(45291)&lt;/Q&gt;&lt;R&gt;1&lt;/R&gt;&lt;C&gt;1&lt;/C&gt;&lt;D xsi:type="xsd:double"&gt;0.007451287&lt;/D&gt;&lt;/FQL&gt;&lt;FQL&gt;&lt;Q&gt;JPYUSD^FG_PRICE(45268)&lt;/Q&gt;&lt;R&gt;1&lt;/R&gt;&lt;C&gt;1&lt;/C&gt;&lt;D xsi:type="xsd:double"&gt;0.007451287&lt;/D&gt;&lt;/FQL&gt;&lt;FQL&gt;&lt;Q&gt;JPYUSD^FG_PRICE(45247)&lt;/Q&gt;&lt;R&gt;1&lt;/R&gt;&lt;C&gt;1&lt;/C&gt;&lt;D xsi:type="xsd:double"&gt;0.007451287&lt;/D&gt;&lt;/FQL&gt;&lt;FQL&gt;&lt;Q&gt;JPYUSD^FG_PRICE(45227)&lt;/Q&gt;&lt;R&gt;1&lt;/R&gt;&lt;C&gt;1&lt;/C&gt;&lt;D xsi:type="xsd:double"&gt;0.007451287&lt;/D&gt;&lt;/FQL&gt;&lt;FQL&gt;&lt;Q&gt;JPYUSD^FG_PRICE(45204)&lt;/Q&gt;&lt;R&gt;1&lt;/R&gt;&lt;C&gt;1&lt;/C&gt;&lt;D xsi:type="xsd:double"&gt;0.007451287&lt;/D&gt;&lt;/FQL&gt;&lt;FQL&gt;&lt;Q&gt;JPYUSD^FG_PRICE(45183)&lt;/Q&gt;&lt;R&gt;1&lt;/R&gt;&lt;C&gt;1&lt;/C&gt;&lt;D xsi:type="xsd:double"&gt;0.007451287&lt;/D&gt;&lt;/FQL&gt;&lt;FQL&gt;&lt;Q&gt;JPYUSD^FG_PRICE(45163)&lt;/Q&gt;&lt;R&gt;1&lt;/R&gt;&lt;C&gt;1&lt;/C&gt;&lt;D xsi:type="xsd:double"&gt;0.007451287&lt;/D&gt;&lt;/FQL&gt;&lt;FQL&gt;&lt;Q&gt;JPYUSD^FG_PRICE(45140)&lt;/Q&gt;&lt;R&gt;1&lt;/R&gt;&lt;C&gt;1&lt;/C&gt;&lt;D xsi:type="xsd:double"&gt;0.007451287&lt;/D&gt;&lt;/FQL&gt;&lt;FQL&gt;&lt;Q&gt;JPYUSD^FG_PRICE(45119)&lt;/Q&gt;&lt;R&gt;1&lt;/R&gt;&lt;C&gt;1&lt;/C&gt;&lt;D xsi:type="xsd:double"&gt;0.007451287&lt;/D&gt;&lt;/FQL&gt;&lt;FQL&gt;&lt;Q&gt;JPYUSD^FG_PRICE(45099)&lt;/Q&gt;&lt;R&gt;1&lt;/R&gt;&lt;C&gt;1&lt;/C&gt;&lt;D xsi:type="xsd:double"&gt;0.007451287&lt;/D&gt;&lt;/FQL&gt;&lt;FQL&gt;&lt;Q&gt;JPYUSD^FG_PRICE(45076)&lt;/Q&gt;&lt;R&gt;1&lt;/R&gt;&lt;C&gt;1&lt;/C&gt;&lt;D xsi:type="xsd:double"&gt;0.007451287&lt;/D&gt;&lt;/FQL&gt;&lt;FQL&gt;&lt;Q&gt;JPYUSD^FG_PRICE(45055)&lt;/Q&gt;&lt;R&gt;1&lt;/R&gt;&lt;C&gt;1&lt;/C&gt;&lt;D xsi:type="xsd:double"&gt;0.007451287&lt;/D&gt;&lt;/FQL&gt;&lt;FQL&gt;&lt;Q&gt;JPYUSD^FG_PRICE(45035)&lt;/Q&gt;&lt;R&gt;1&lt;/R&gt;&lt;C&gt;1&lt;/C&gt;&lt;D xsi:type="xsd:double"&gt;0.007451287&lt;/D&gt;&lt;/FQL&gt;&lt;FQL&gt;&lt;Q&gt;JPYUSD^FG_PRICE(45012)&lt;/Q&gt;&lt;R&gt;1&lt;/R&gt;&lt;C&gt;1&lt;/C&gt;&lt;D xsi:type="xsd:double"&gt;0.007451287&lt;/D&gt;&lt;/FQL&gt;&lt;FQL&gt;&lt;Q&gt;JPYUSD^FG_PRICE(44991)&lt;/Q&gt;&lt;R&gt;1&lt;/R&gt;&lt;C&gt;1&lt;/C&gt;&lt;D xsi:type="xsd:double"&gt;0.007451287&lt;/D&gt;&lt;/FQL&gt;&lt;FQL&gt;&lt;Q&gt;JPYUSD^FG_PRICE(44971)&lt;/Q&gt;&lt;R&gt;1&lt;/R&gt;&lt;C&gt;1&lt;/C&gt;&lt;D xsi:type="xsd:double"&gt;0.00752927&lt;/D&gt;&lt;/FQL&gt;&lt;FQL&gt;&lt;Q&gt;JPYUSD^FG_PRICE(44948)&lt;/Q&gt;&lt;R&gt;1&lt;/R&gt;&lt;C&gt;1&lt;/C&gt;&lt;D xsi:type="xsd:double"&gt;0.007696748&lt;/D&gt;&lt;/FQL&gt;&lt;FQL&gt;&lt;Q&gt;JPYUSD^FG_PRICE(44928)&lt;/Q&gt;&lt;R&gt;1&lt;/R&gt;&lt;C&gt;1&lt;/C&gt;&lt;D xsi:type="xsd:double"&gt;0.007578916&lt;/D&gt;&lt;/FQL&gt;&lt;FQL&gt;&lt;Q&gt;JPYUSD^FG_PRICE(44916)&lt;/Q&gt;&lt;R&gt;1&lt;/R&gt;&lt;C&gt;1&lt;/C&gt;&lt;D xsi:type="xsd:double"&gt;0.0075760446&lt;/D&gt;&lt;/FQL&gt;&lt;FQL&gt;&lt;Q&gt;JPYUSD^FG_PRICE(44903)&lt;/Q&gt;&lt;R&gt;1&lt;/R&gt;&lt;C&gt;1&lt;/C&gt;&lt;D xsi:type="xsd:double"&gt;0.007326276&lt;/D&gt;&lt;/FQL&gt;&lt;FQL&gt;&lt;Q&gt;JPYUSD^FG_PRICE(44891)&lt;/Q&gt;&lt;R&gt;1&lt;/R&gt;&lt;C&gt;1&lt;/C&gt;&lt;D xsi:type="xsd:double"&gt;0.0071813287&lt;/D&gt;&lt;/FQL&gt;&lt;FQL&gt;&lt;Q&gt;JPYUSD^FG_PRICE(44877)&lt;/Q&gt;&lt;R&gt;1&lt;/R&gt;&lt;C&gt;1&lt;/C&gt;&lt;D xsi:type="xsd:double"&gt;0.0071908818&lt;/D&gt;&lt;/FQL&gt;&lt;FQL&gt;&lt;Q&gt;JPYUSD^FG_PRICE(44864)&lt;/Q&gt;&lt;R&gt;1&lt;/R&gt;&lt;C&gt;1&lt;/C&gt;&lt;D xsi:type="xsd:double"&gt;0.006779202&lt;/D&gt;&lt;/FQL&gt;&lt;FQL&gt;&lt;Q&gt;JPYUSD^FG_PRICE(44852)&lt;/Q&gt;&lt;R&gt;1&lt;/R&gt;&lt;C&gt;1&lt;/C&gt;&lt;D xsi:type="xsd:double"&gt;0.006707133&lt;/D&gt;&lt;/FQL&gt;&lt;FQL&gt;&lt;Q&gt;JPYUSD^FG_PRICE(44839)&lt;/Q&gt;&lt;R&gt;1&lt;/R&gt;&lt;C&gt;1&lt;/C&gt;&lt;D xsi:type="xsd:double"&gt;0.006907747&lt;/D&gt;&lt;/FQL&gt;&lt;FQL&gt;&lt;Q&gt;JPYUSD^FG_PRICE(44827)&lt;/Q&gt;&lt;R&gt;1&lt;/R&gt;&lt;C&gt;1&lt;/C&gt;&lt;D xsi:type="xsd:double"&gt;0.0069790976&lt;/D&gt;&lt;/FQL&gt;&lt;FQL&gt;&lt;Q&gt;JPYUSD^FG_PRICE(44813)&lt;/Q&gt;&lt;R&gt;1&lt;/R&gt;&lt;C&gt;1&lt;/C&gt;&lt;D xsi:type="xsd:double"&gt;0.0070200074&lt;/D&gt;&lt;/FQL&gt;&lt;FQL&gt;&lt;Q&gt;JPYUSD^FG_PRICE(44800)&lt;/Q&gt;&lt;R&gt;1&lt;/R&gt;&lt;C&gt;1&lt;/C&gt;&lt;D xsi:type="xsd:double"&gt;0.0072849127&lt;/D&gt;&lt;/FQL&gt;&lt;FQL&gt;&lt;Q&gt;JPYUSD^FG_PRICE(44788)&lt;/Q&gt;&lt;R&gt;1&lt;/R&gt;&lt;C&gt;1&lt;/C&gt;&lt;D xsi:type="xsd:double"&gt;0.007519645&lt;/D&gt;&lt;/FQL&gt;&lt;FQL&gt;&lt;Q&gt;JPYUSD^FG_PRICE(44775)&lt;/Q&gt;&lt;R&gt;1&lt;/R&gt;&lt;C&gt;1&lt;/C&gt;&lt;D xsi:type="xsd:double"&gt;0.0075898445&lt;/D&gt;&lt;/FQL&gt;&lt;FQL&gt;&lt;Q&gt;JPYUSD^FG_PRICE(44763)&lt;/Q&gt;&lt;R&gt;1&lt;/R&gt;&lt;C&gt;1&lt;/C&gt;&lt;D xsi:type="xsd:double"&gt;0.007255051&lt;/D&gt;&lt;/FQL&gt;&lt;FQL&gt;&lt;Q&gt;JPYUSD^FG_PRICE(44749)&lt;/Q&gt;&lt;R&gt;1&lt;/R&gt;&lt;C&gt;1&lt;/C&gt;&lt;D xsi:type="xsd:double"&gt;0.0073559154&lt;/D&gt;&lt;/FQL&gt;&lt;FQL&gt;&lt;Q&gt;JPYUSD^FG_PRICE(44736)&lt;/Q&gt;&lt;R&gt;1&lt;/R&gt;&lt;C&gt;1&lt;/C&gt;&lt;D xsi:type="xsd:double"&gt;0.0073953555&lt;/D&gt;&lt;/FQL&gt;&lt;FQL&gt;&lt;Q&gt;JPYUSD^FG_PRICE(44724)&lt;/Q&gt;&lt;R&gt;1&lt;/R&gt;&lt;C&gt;1&lt;/C&gt;&lt;D xsi:type="xsd:double"&gt;0.007449622&lt;/D&gt;&lt;/FQL&gt;&lt;FQL&gt;&lt;Q&gt;JPYUSD^FG_PRICE(44711)&lt;/Q&gt;&lt;R&gt;1&lt;/R&gt;&lt;C&gt;1&lt;/C&gt;&lt;D xsi:type="xsd:double"&gt;0.0078348415&lt;/D&gt;&lt;/FQL&gt;&lt;FQL&gt;&lt;Q&gt;JPYUSD^FG_PRICE(44699)&lt;/Q&gt;&lt;R&gt;1&lt;/R&gt;&lt;C&gt;1&lt;/C&gt;&lt;D xsi:type="xsd:double"&gt;0.007783615&lt;/D&gt;&lt;/FQL&gt;&lt;FQL&gt;&lt;Q&gt;JPYUSD^FG_PRICE(44687)&lt;/Q&gt;&lt;R&gt;1&lt;/R&gt;&lt;C&gt;1&lt;/C&gt;&lt;D xsi:type="xsd:double"&gt;0.007668418&lt;/D&gt;&lt;/FQL&gt;&lt;FQL&gt;&lt;Q&gt;JPYUSD^FG_PRICE(44676)&lt;/Q&gt;&lt;R&gt;1&lt;/R&gt;&lt;C&gt;1&lt;/C&gt;&lt;D xsi:type="xsd:double"&gt;0.007819525&lt;/D&gt;&lt;/FQL&gt;&lt;FQL&gt;&lt;Q&gt;JPYUSD^FG_PRICE(44665)&lt;/Q&gt;&lt;R&gt;1&lt;/R&gt;&lt;C&gt;1&lt;/C&gt;&lt;D xsi:type="xsd:double"&gt;0.007942497&lt;/D&gt;&lt;/FQL&gt;&lt;FQL&gt;&lt;Q&gt;JPYUSD^FG_PRICE(44655)&lt;/Q&gt;&lt;R&gt;1&lt;/R&gt;&lt;C&gt;1&lt;/C&gt;&lt;D xsi:type="xsd:double"&gt;0.0081482995&lt;/D&gt;&lt;/FQL&gt;&lt;FQL&gt;&lt;Q&gt;JPYUSD^FG_PRICE(44644)&lt;/Q&gt;&lt;R&gt;1&lt;/R&gt;&lt;C&gt;1&lt;/C&gt;&lt;D xsi:type="xsd:double"&gt;0.008192692&lt;/D&gt;&lt;/FQL&gt;&lt;FQL&gt;&lt;Q&gt;JPYUSD^FG_PRICE(44636)&lt;/Q&gt;&lt;R&gt;1&lt;/R&gt;&lt;C&gt;1&lt;/C&gt;&lt;D xsi:type="xsd:double"&gt;0.008439175&lt;/D&gt;&lt;/FQL&gt;&lt;FQL&gt;&lt;Q&gt;JPYUSD^FG_PRICE(44628)&lt;/Q&gt;&lt;R&gt;1&lt;/R&gt;&lt;C&gt;1&lt;/C&gt;&lt;D xsi:type="xsd:double"&gt;0.008650519&lt;/D&gt;&lt;/FQL&gt;&lt;FQL&gt;&lt;Q&gt;JPYUSD^FG_PRICE(44620)&lt;/Q&gt;&lt;R&gt;1&lt;/R&gt;&lt;C&gt;1&lt;/C&gt;&lt;D xsi:type="xsd:double"&gt;0.008682439&lt;/D&gt;&lt;/FQL&gt;&lt;FQL&gt;&lt;Q&gt;JPYUSD^FG_PRICE(44612)&lt;/Q&gt;&lt;R&gt;1&lt;/R&gt;&lt;C&gt;1&lt;/C&gt;&lt;D xsi:type="xsd:double"&gt;0.008684702&lt;/D&gt;&lt;/FQL&gt;&lt;FQL&gt;&lt;Q&gt;JPYUSD^FG_PRICE(44604)&lt;/Q&gt;&lt;R&gt;1&lt;/R&gt;&lt;C&gt;1&lt;/C&gt;&lt;D xsi:type="xsd:double"&gt;0.008629617&lt;/D&gt;&lt;/FQL&gt;&lt;FQL&gt;&lt;Q&gt;JPYUSD^FG_PRICE(44596)&lt;/Q&gt;&lt;R&gt;1&lt;/R&gt;&lt;C&gt;1&lt;/C&gt;&lt;D xsi:type="xsd:double"&gt;0.008675661&lt;/D&gt;&lt;/FQL&gt;&lt;FQL&gt;&lt;Q&gt;JPYUSD^FG_PRICE(44588)&lt;/Q&gt;&lt;R&gt;1&lt;/R&gt;&lt;C&gt;1&lt;/C&gt;&lt;D xsi:type="xsd:double"&gt;0.0086621335&lt;/D&gt;&lt;/FQL&gt;&lt;FQL&gt;&lt;Q&gt;JPYUSD^FG_PRICE(44580)&lt;/Q&gt;&lt;R&gt;1&lt;/R&gt;&lt;C&gt;1&lt;/C&gt;&lt;D xsi:type="xsd:double"&gt;0.008745846&lt;/D&gt;&lt;/FQL&gt;&lt;FQL&gt;&lt;Q&gt;JPYUSD^FG_PRICE(44572)&lt;/Q&gt;&lt;R&gt;1&lt;/R&gt;&lt;C&gt;1&lt;/C&gt;&lt;D xsi:type="xsd:double"&gt;0.008659883&lt;/D&gt;&lt;/FQL&gt;&lt;FQL&gt;&lt;Q&gt;JPYUSD^FG_PRICE(44564)&lt;/Q&gt;&lt;R&gt;1&lt;/R&gt;&lt;C&gt;1&lt;/C&gt;&lt;D xsi:type="xsd:double"&gt;0.008673026&lt;/D&gt;&lt;/FQL&gt;&lt;FQL&gt;&lt;Q&gt;JPYUSD^FG_PRICE(44556)&lt;/Q&gt;&lt;R&gt;1&lt;/R&gt;&lt;C&gt;1&lt;/C&gt;&lt;D xsi:type="xsd:double"&gt;0.008742405&lt;/D&gt;&lt;/FQL&gt;&lt;FQL&gt;&lt;Q&gt;JPYUSD^FG_PRICE(44548)&lt;/Q&gt;&lt;R&gt;1&lt;/R&gt;&lt;C&gt;1&lt;/C&gt;&lt;D xsi:type="xsd:double"&gt;0.008800105&lt;/D&gt;&lt;/FQL&gt;&lt;FQL&gt;&lt;Q&gt;JPYUSD^FG_PRICE(44540)&lt;/Q&gt;&lt;R&gt;1&lt;/R&gt;&lt;C&gt;1&lt;/C&gt;&lt;D xsi:type="xsd:double"&gt;0.008816399&lt;/D&gt;&lt;/FQL&gt;&lt;FQL&gt;&lt;Q&gt;JPYUSD^FG_PRICE(44532)&lt;/Q&gt;&lt;R&gt;1&lt;/R&gt;&lt;C&gt;1&lt;/C&gt;&lt;D xsi:type="xsd:double"&gt;0.008852299&lt;/D&gt;&lt;/FQL&gt;&lt;FQL&gt;&lt;Q&gt;JPYUSD^FG_PRICE(44524)&lt;/Q&gt;&lt;R&gt;1&lt;/R&gt;&lt;C&gt;1&lt;/C&gt;&lt;D xsi:type="xsd:double"&gt;0.0086621335&lt;/D&gt;&lt;/FQL&gt;&lt;FQL&gt;&lt;Q&gt;JPYUSD^FG_PRICE(44516)&lt;/Q&gt;&lt;R&gt;1&lt;/R&gt;&lt;C&gt;1&lt;/C&gt;&lt;D xsi:type="xsd:double"&gt;0.008727908&lt;/D&gt;&lt;/FQL&gt;&lt;FQL&gt;&lt;Q&gt;JPYUSD^FG_PRICE(44508)&lt;/Q&gt;&lt;R&gt;1&lt;/R&gt;&lt;C&gt;1&lt;/C&gt;&lt;D xsi:type="xsd:double"&gt;0.008834313&lt;/D&gt;&lt;/FQL&gt;&lt;FQL&gt;&lt;Q&gt;JPYUSD^FG_PRICE(44500)&lt;/Q&gt;&lt;R&gt;1&lt;/R&gt;&lt;C&gt;1&lt;/C&gt;&lt;D xsi:type="xsd:double"&gt;0.008770007&lt;/D&gt;&lt;/FQL&gt;&lt;FQL&gt;&lt;Q&gt;JPYUSD^FG_PRICE(44492)&lt;/Q&gt;&lt;R&gt;1&lt;/R&gt;&lt;C&gt;1&lt;/C&gt;&lt;D xsi:type="xsd:double"&gt;0.008803205&lt;/D&gt;&lt;/FQL&gt;&lt;FQL&gt;&lt;Q&gt;JPYUSD^FG_PRICE(44484)&lt;/Q&gt;&lt;R&gt;1&lt;/R&gt;&lt;C&gt;1&lt;/C&gt;&lt;D xsi:type="xsd:double"&gt;0.008766931&lt;/D&gt;&lt;/FQL&gt;&lt;FQL&gt;&lt;Q&gt;JPYUSD^FG_PRICE(44476)&lt;/Q&gt;&lt;R&gt;1&lt;/R&gt;&lt;C&gt;1&lt;/C&gt;&lt;D xsi:type="xsd:double"&gt;0.0089666&lt;/D&gt;&lt;/FQL&gt;&lt;FQL&gt;&lt;Q&gt;JPYUSD^FG_PRICE(44468)&lt;/Q&gt;&lt;R&gt;1&lt;/R&gt;&lt;C&gt;1&lt;/C&gt;&lt;D xsi:type="xsd:double"&gt;0.008935751&lt;/D&gt;&lt;/FQL&gt;&lt;FQL&gt;&lt;Q&gt;JPYUSD^FG_PRICE(44460)&lt;/Q&gt;&lt;R&gt;1&lt;/R&gt;&lt;C&gt;1&lt;/C&gt;&lt;D xsi:type="xsd:double"&gt;0.00915751&lt;/D&gt;&lt;/FQL&gt;&lt;FQL&gt;&lt;Q&gt;JPYUSD^FG_PRICE(44452)&lt;/Q&gt;&lt;R&gt;1&lt;/R&gt;&lt;C&gt;1&lt;/C&gt;&lt;D xsi:type="xsd:double"&gt;0.009097111&lt;/D&gt;&lt;/FQL&gt;&lt;FQL&gt;&lt;Q&gt;JPYUSD^FG_PRICE(44444)&lt;/Q&gt;&lt;R&gt;1&lt;/R&gt;&lt;C&gt;1&lt;/C&gt;&lt;D xsi:type="xsd:double"&gt;0.00911868&lt;/D&gt;&lt;/FQL&gt;&lt;FQL&gt;&lt;Q&gt;JPYUSD^FG_PRICE(44436)&lt;/Q&gt;&lt;R&gt;1&lt;/R&gt;&lt;C&gt;1&lt;/C&gt;&lt;D xsi:type="xsd:double"&gt;0.009092975&lt;/D&gt;&lt;/FQL&gt;&lt;FQL&gt;&lt;Q&gt;JPYUSD^FG_PRICE(44428)&lt;/Q&gt;&lt;R&gt;1&lt;/R&gt;&lt;C&gt;1&lt;/C&gt;&lt;D xsi:type="xsd:double"&gt;0.009107053&lt;/D&gt;&lt;/FQL&gt;&lt;FQL&gt;&lt;Q&gt;JPYUSD^FG_PRICE(44420)&lt;/Q&gt;&lt;R&gt;1&lt;/R&gt;&lt;C&gt;1&lt;/C&gt;&lt;D xsi:type="xsd:double"&gt;0.009061664&lt;/D&gt;&lt;/FQL&gt;&lt;FQL&gt;&lt;Q&gt;JPYUSD^FG_PRICE(44412)&lt;/Q&gt;&lt;R&gt;1&lt;/R&gt;&lt;C&gt;1&lt;/C&gt;&lt;D xsi:type="xsd:double"&gt;0.009127836&lt;/D&gt;&lt;/FQL&gt;&lt;FQL&gt;&lt;Q&gt;JPYUSD^FG_PRICE(44404)&lt;/Q&gt;&lt;R&gt;1&lt;/R&gt;&lt;C&gt;1&lt;/C&gt;&lt;D xsi:type="xsd:double"&gt;0.009107053&lt;/D&gt;&lt;/FQL&gt;&lt;FQL&gt;&lt;Q&gt;JPYUSD^FG_PRICE(44396)&lt;/Q&gt;&lt;R&gt;1&lt;/R&gt;&lt;C&gt;1&lt;/C&gt;&lt;D xsi:type="xsd:double"&gt;0.009142857&lt;/D&gt;&lt;/FQL&gt;&lt;FQL&gt;&lt;Q&gt;JPYUSD^FG_PRICE(44388)&lt;/Q&gt;&lt;R&gt;1&lt;/R&gt;&lt;C&gt;1&lt;/C&gt;&lt;D xsi:type="xsd:double"&gt;0.009079354&lt;/D&gt;&lt;/FQL&gt;&lt;FQL&gt;&lt;Q&gt;JPYUSD^FG_PRICE(44380)&lt;/Q&gt;&lt;R&gt;1&lt;/R&gt;&lt;C&gt;1&lt;/C&gt;&lt;D xsi:type="xsd:double"&gt;0.008983515&lt;/D&gt;&lt;/FQL&gt;&lt;FQL&gt;&lt;Q&gt;JPYUSD^FG_PRICE(44372)&lt;/Q&gt;&lt;R&gt;1&lt;/R&gt;&lt;C&gt;1&lt;/C&gt;&lt;D xsi:type="xsd:double"&gt;0.009027308&lt;/D&gt;&lt;/FQL&gt;&lt;FQL&gt;&lt;Q&gt;JPYUSD^FG_PRICE(44364)&lt;/Q&gt;&lt;R&gt;1&lt;/R&gt;&lt;C&gt;1&lt;/C&gt;&lt;D xsi:type="xsd:double"&gt;0.009072352&lt;/D&gt;&lt;/FQL&gt;&lt;FQL&gt;&lt;Q&gt;JPYUSD^FG_PRICE(44356)&lt;/Q&gt;&lt;R&gt;1&lt;/R&gt;&lt;C&gt;1&lt;/C&gt;&lt;D xsi:type="xsd:double"&gt;0.009124088&lt;/D&gt;&lt;/FQL&gt;&lt;FQL&gt;&lt;Q&gt;JPYUSD^FG_PRICE(44348)&lt;/Q&gt;&lt;R&gt;1&lt;/R&gt;&lt;C&gt;1&lt;/C&gt;&lt;D xsi:type="xsd:double"&gt;0.009140768&lt;/D&gt;&lt;/FQL&gt;&lt;FQL&gt;&lt;Q&gt;JPYUSD^FG_PRICE(44340)&lt;/Q&gt;&lt;R&gt;1&lt;/R&gt;&lt;C&gt;1&lt;/C&gt;&lt;D xsi:type="xsd:double"&gt;0.009195825&lt;/D&gt;&lt;/FQL&gt;&lt;FQL&gt;&lt;Q&gt;JPYUSD^FG_PRICE(44332)&lt;/Q&gt;&lt;R&gt;1&lt;/R&gt;&lt;C&gt;1&lt;/C&gt;&lt;D xsi:type="xsd:double"&gt;0.009137845&lt;/D&gt;&lt;/FQL&gt;&lt;FQL&gt;&lt;Q&gt;JPYUSD^FG_PRICE(44324)&lt;/Q&gt;&lt;R&gt;1&lt;/R&gt;&lt;C&gt;1&lt;/C&gt;&lt;D xsi:type="xsd:double"&gt;0.009211072&lt;/D&gt;&lt;/FQL&gt;&lt;FQL&gt;&lt;Q&gt;JPYUSD^FG_PRICE(44316)&lt;/Q&gt;&lt;R&gt;1&lt;/R&gt;&lt;C&gt;1&lt;/C&gt;&lt;D xsi:type="xsd:double"&gt;0.009148712&lt;/D&gt;&lt;/FQL&gt;&lt;FQL&gt;&lt;Q&gt;JPYUSD^FG_PRICE(44308)&lt;/Q&gt;&lt;R&gt;1&lt;/R&gt;&lt;C&gt;1&lt;/C&gt;&lt;D xsi:type="xsd:double"&gt;0.009259259&lt;/D&gt;&lt;/FQL&gt;&lt;FQL&gt;&lt;Q&gt;JPYUSD^FG_PRICE(44300)&lt;/Q&gt;&lt;R&gt;1&lt;/R&gt;&lt;C&gt;1&lt;/C&gt;&lt;D xsi:type="xsd:double"&gt;0.00917305&lt;/D&gt;&lt;/FQL&gt;&lt;FQL&gt;&lt;Q&gt;JPYUSD^FG_PRICE(44292)&lt;/Q&gt;&lt;R&gt;1&lt;/R&gt;&lt;C&gt;1&lt;/C&gt;&lt;D xsi:type="xsd:double"&gt;0.009111618&lt;/D&gt;&lt;/FQL&gt;&lt;FQL&gt;&lt;Q&gt;JPYUSD^FG_PRICE(44284)&lt;/Q&gt;&lt;R&gt;1&lt;/R&gt;&lt;C&gt;1&lt;/C&gt;&lt;D xsi:type="xsd:double"&gt;0.009109957&lt;/D&gt;&lt;/FQL&gt;&lt;FQL&gt;&lt;Q&gt;JPYUSD^FG_PRICE(44276)&lt;/Q&gt;&lt;R&gt;1&lt;/R&gt;&lt;C&gt;1&lt;/C&gt;&lt;D xsi:type="xsd:double"&gt;0.009186532&lt;/D&gt;&lt;/FQL&gt;&lt;FQL&gt;&lt;Q&gt;JPYUSD^FG_PRICE(44268)&lt;/Q&gt;&lt;R&gt;1&lt;/R&gt;&lt;C&gt;1&lt;/C&gt;&lt;D xsi:type="xsd:double"&gt;0.009175574&lt;/D&gt;&lt;/FQL&gt;&lt;FQL&gt;&lt;Q&gt;JPYUSD^FG_PRICE(44260)&lt;/Q&gt;&lt;R&gt;1&lt;/R&gt;&lt;C&gt;1&lt;/C&gt;&lt;D xsi:type="xsd:double"&gt;0.009237449&lt;/D&gt;&lt;/FQL&gt;&lt;FQL&gt;&lt;Q&gt;JPYUSD^FG_PRICE(44252)&lt;/Q&gt;&lt;R&gt;1&lt;/R&gt;&lt;C&gt;1&lt;/C&gt;&lt;D xsi:type="xsd:double"&gt;0.009410436&lt;/D&gt;&lt;/FQL&gt;&lt;FQL&gt;&lt;Q&gt;JPYUSD^FG_PRICE(44244)&lt;/Q&gt;&lt;R&gt;1&lt;/R&gt;&lt;C&gt;1&lt;/C&gt;&lt;D xsi:type="xsd:double"&gt;0.009440642&lt;/D&gt;&lt;/FQL&gt;&lt;FQL&gt;&lt;Q&gt;JPYUSD^FG_PRICE(44236)&lt;/Q&gt;&lt;R&gt;1&lt;/R&gt;&lt;C&gt;1&lt;/C&gt;&lt;D xsi:type="xsd:double"&gt;0.009561601&lt;/D&gt;&lt;/FQL&gt;&lt;FQL&gt;&lt;Q&gt;JPYUSD^FG_PRICE(44228)&lt;/Q&gt;&lt;R&gt;1&lt;/R&gt;&lt;C&gt;1&lt;/C&gt;&lt;D xsi:type="xsd:double"&gt;0.009526986&lt;/D&gt;&lt;/FQL&gt;&lt;FQL&gt;&lt;Q&gt;JPYUSD^FG_PRICE(44220)&lt;/Q&gt;&lt;R&gt;1&lt;/R&gt;&lt;C&gt;1&lt;/C&gt;&lt;D xsi:type="xsd:double"&gt;0.009633911&lt;/D&gt;&lt;/FQL&gt;&lt;FQL&gt;&lt;Q&gt;JPYUSD^FG_PRICE(44212)&lt;/Q&gt;&lt;R&gt;1&lt;/R&gt;&lt;C&gt;1&lt;/C&gt;&lt;D xsi:type="xsd:double"&gt;0.009626956&lt;/D&gt;&lt;/FQL&gt;&lt;FQL&gt;&lt;Q&gt;JPYUSD^FG_PRICE(44204)&lt;/Q&gt;&lt;R&gt;1&lt;/R&gt;&lt;C&gt;1&lt;/C&gt;&lt;D xsi:type="xsd:double"&gt;0.009634376&lt;/D&gt;&lt;/FQL&gt;&lt;FQL&gt;&lt;Q&gt;JPYUSD^FG_PRICE(44196)&lt;/Q&gt;&lt;R&gt;1&lt;/R&gt;&lt;C&gt;1&lt;/C&gt;&lt;D xsi:type="xsd:double"&gt;0.009685699&lt;/D&gt;&lt;/FQL&gt;&lt;FQL&gt;&lt;Q&gt;JPYUSD^FG_PRICE(44188)&lt;/Q&gt;&lt;R&gt;1&lt;/R&gt;&lt;C&gt;1&lt;/C&gt;&lt;D xsi:type="xsd:double"&gt;0.009652509&lt;/D&gt;&lt;/FQL&gt;&lt;FQL&gt;&lt;Q&gt;JPYUSD^FG_PRICE(44180)&lt;/Q&gt;&lt;R&gt;1&lt;/R&gt;&lt;C&gt;1&lt;/C&gt;&lt;D xsi:type="xsd:double"&gt;0.009639948&lt;/D&gt;&lt;/FQL&gt;&lt;FQL&gt;&lt;Q&gt;JPYUSD^FG_PRICE(44172)&lt;/Q&gt;&lt;R&gt;1&lt;/R&gt;&lt;C&gt;1&lt;/C&gt;&lt;D xsi:type="xsd:double"&gt;0.009611688&lt;/D&gt;&lt;/FQL&gt;&lt;FQL&gt;&lt;Q&gt;JPYUSD^FG_PRICE(44164)&lt;/Q&gt;&lt;R&gt;1&lt;/R&gt;&lt;C&gt;1&lt;/C&gt;&lt;D xsi:type="xsd:double"&gt;0.009614923&lt;/D&gt;&lt;/FQL&gt;&lt;FQL&gt;&lt;Q&gt;JPYUSD^FG_PRICE(44156)&lt;/Q&gt;&lt;R&gt;1&lt;/R&gt;&lt;C&gt;1&lt;/C&gt;&lt;D xsi:type="xsd:double"&gt;0.009632519&lt;/D&gt;&lt;/FQL&gt;&lt;FQL&gt;&lt;Q&gt;JPYUSD^FG_PRICE(44148)&lt;/Q&gt;&lt;R&gt;1&lt;/R&gt;&lt;C&gt;1&lt;/C&gt;&lt;D xsi:type="xsd:double"&gt;0.009556575&lt;/D&gt;&lt;/FQL&gt;&lt;FQL&gt;&lt;Q&gt;JPYUSD^FG_PRICE(44140)&lt;/Q&gt;&lt;R&gt;1&lt;/R&gt;&lt;C&gt;1&lt;/C&gt;&lt;D xsi:type="xsd:double"&gt;0.009647388&lt;/D&gt;&lt;/FQL&gt;&lt;FQL&gt;&lt;Q&gt;JPYUSD^FG_PRICE(44132)&lt;/Q&gt;&lt;R&gt;1&lt;/R&gt;&lt;C&gt;1&lt;/C&gt;&lt;D xsi:type="xsd:double"&gt;0.009584512&lt;/D&gt;&lt;/FQL&gt;&lt;FQL&gt;&lt;Q&gt;JPYUSD^FG_PRICE(44124)&lt;/Q&gt;&lt;R&gt;1&lt;/R&gt;&lt;C&gt;1&lt;/C&gt;&lt;D xsi:type="xsd:double"&gt;0.009473286&lt;/D&gt;&lt;/FQL&gt;&lt;FQL&gt;&lt;Q&gt;JPYUSD^FG_PRICE(45651)&lt;/Q&gt;&lt;R&gt;1&lt;/R&gt;&lt;C&gt;1&lt;/C&gt;&lt;D xsi:type="xsd:double"&gt;0.007451287&lt;/D&gt;&lt;/FQL&gt;&lt;FQL&gt;&lt;Q&gt;JPYUSD^FG_PRICE(45628)&lt;/Q&gt;&lt;R&gt;1&lt;/R&gt;&lt;C&gt;1&lt;/C&gt;&lt;D xsi:type="xsd:double"&gt;0.007451287&lt;/D&gt;&lt;/FQL&gt;&lt;FQL&gt;&lt;Q&gt;JPYUSD^FG_PRICE(45607)&lt;/Q&gt;&lt;R&gt;1&lt;/R&gt;&lt;C&gt;1&lt;/C&gt;&lt;D xsi:type="xsd:double"&gt;0.007451287&lt;/D&gt;&lt;/FQL&gt;&lt;FQL&gt;&lt;Q&gt;JPYUSD^FG_PRICE(45587)&lt;/Q&gt;&lt;R&gt;1&lt;/R&gt;&lt;C&gt;1&lt;/C&gt;&lt;D xsi:type="xsd:double"&gt;0.007451287&lt;/D&gt;&lt;/FQL&gt;&lt;FQL&gt;&lt;Q&gt;JPYUSD^FG_PRICE(45564)&lt;/Q&gt;&lt;R&gt;1&lt;/R&gt;&lt;C&gt;1&lt;/C&gt;&lt;D xsi:type="xsd:double"&gt;0.007451287&lt;/D&gt;&lt;/FQL&gt;&lt;FQL&gt;&lt;Q&gt;JPYUSD^FG_PRICE(45543)&lt;/Q&gt;&lt;R&gt;1&lt;/R&gt;&lt;C&gt;1&lt;/C&gt;&lt;D xsi:type="xsd:double"&gt;0.007451287&lt;/D&gt;&lt;/FQL&gt;&lt;FQL&gt;&lt;Q&gt;JPYUSD^FG_PRICE(45523)&lt;/Q&gt;&lt;R&gt;1&lt;/R&gt;&lt;C&gt;1&lt;/C&gt;&lt;D xsi:type="xsd:double"&gt;0.007451287&lt;/D&gt;&lt;/FQL&gt;&lt;FQL&gt;&lt;Q&gt;JPYUSD^FG_PRICE(45500)&lt;/Q&gt;&lt;R&gt;1&lt;/R&gt;&lt;C&gt;1&lt;/C&gt;&lt;D xsi:type="xsd:double"&gt;0.007451287&lt;/D&gt;&lt;/FQL&gt;&lt;FQL&gt;&lt;Q&gt;JPYUSD^FG_PRICE(45479)&lt;/Q&gt;&lt;R&gt;1&lt;/R&gt;&lt;C&gt;1&lt;/C&gt;&lt;D xsi:type="xsd:double"&gt;0.007451287&lt;/D&gt;&lt;/FQL&gt;&lt;FQL&gt;&lt;Q&gt;JPYUSD^FG_PRICE(45459)&lt;/Q&gt;&lt;R&gt;1&lt;/R&gt;&lt;C&gt;1&lt;/C&gt;&lt;D xsi:type="xsd:double"&gt;0.007451287&lt;/D&gt;&lt;/FQL&gt;&lt;FQL&gt;&lt;Q&gt;JPYUSD^FG_PRICE(45436)&lt;/Q&gt;&lt;R&gt;1&lt;/R&gt;&lt;C&gt;1&lt;/C&gt;&lt;D xsi:type="xsd:double"&gt;0.007451287&lt;/D&gt;&lt;/FQL&gt;&lt;FQL&gt;&lt;Q&gt;JPYUSD^FG_PRICE(45415)&lt;/Q&gt;&lt;R&gt;1&lt;/R&gt;&lt;C&gt;1&lt;/C&gt;&lt;D xsi:type="xsd:double"&gt;0.007451287&lt;/D&gt;&lt;/FQL&gt;&lt;FQL&gt;&lt;Q&gt;JPYUSD^FG_PRICE(45395)&lt;/Q&gt;&lt;R&gt;1&lt;/R&gt;&lt;C&gt;1&lt;/C&gt;&lt;D xsi:type="xsd:double"&gt;0.007451287&lt;/D&gt;&lt;/FQL&gt;&lt;FQL&gt;&lt;Q&gt;JPYUSD^FG_PRICE(45372)&lt;/Q&gt;&lt;R&gt;1&lt;/R&gt;&lt;C&gt;1&lt;/C&gt;&lt;D xsi:type="xsd:double"&gt;0.007451287&lt;/D&gt;&lt;/FQL&gt;&lt;FQL&gt;&lt;Q&gt;JPYUSD^FG_PRICE(45351)&lt;/Q&gt;&lt;R&gt;1&lt;/R&gt;&lt;C&gt;1&lt;/C&gt;&lt;D xsi:type="xsd:double"&gt;0.007451287&lt;/D&gt;&lt;/FQL&gt;&lt;FQL&gt;&lt;Q&gt;JPYUSD^FG_PRICE(45331)&lt;/Q&gt;&lt;R&gt;1&lt;/R&gt;&lt;C&gt;1&lt;/C&gt;&lt;D xsi:type="xsd:double"&gt;0.007451287&lt;/D&gt;&lt;/FQL&gt;&lt;FQL&gt;&lt;Q&gt;JPYUSD^FG_PRICE(45308)&lt;/Q&gt;&lt;R&gt;1&lt;/R&gt;&lt;C&gt;1&lt;/C&gt;&lt;D xsi:type="xsd:double"&gt;0.007451287&lt;/D&gt;&lt;/FQL&gt;&lt;FQL&gt;&lt;Q&gt;JPYUSD^FG_PRICE(45287)&lt;/Q&gt;&lt;R&gt;1&lt;/R&gt;&lt;C&gt;1&lt;/C&gt;&lt;D xsi:type="xsd:double"&gt;0.007451287&lt;/D&gt;&lt;/FQL&gt;&lt;FQL&gt;&lt;Q&gt;JPYUSD^FG_PRICE(45267)&lt;/Q&gt;&lt;R&gt;1&lt;/R&gt;&lt;C&gt;1&lt;/C&gt;&lt;D xsi:type="xsd:double"&gt;0.007451287&lt;/D&gt;&lt;/FQL&gt;&lt;FQL&gt;&lt;Q&gt;JPYUSD^FG_PRICE(45244)&lt;/Q&gt;&lt;R&gt;1&lt;/R&gt;&lt;C&gt;1&lt;/C&gt;&lt;D xsi:type="xsd:double"&gt;0.007451287&lt;/D&gt;&lt;/FQL&gt;&lt;FQL&gt;&lt;Q&gt;JPYUSD^FG_PRICE(45223)&lt;/Q&gt;&lt;R&gt;1&lt;/R&gt;&lt;C&gt;1&lt;/C&gt;&lt;D xsi:type="xsd:double"&gt;0.007451287&lt;/D&gt;&lt;/FQL&gt;&lt;FQL&gt;&lt;Q&gt;JPYUSD^FG_PRICE(45203)&lt;/Q&gt;&lt;R&gt;1&lt;/R&gt;&lt;C&gt;1&lt;/C&gt;&lt;D xsi:type="xsd:double"&gt;0.007451287&lt;/D&gt;&lt;/FQL&gt;&lt;FQL&gt;&lt;Q&gt;JPYUSD^FG_PRICE(45180)&lt;/Q&gt;&lt;R&gt;1&lt;/R&gt;&lt;C&gt;1&lt;/C&gt;&lt;D xsi:type="xsd:double"&gt;0.007451287&lt;/D&gt;&lt;/FQL&gt;&lt;FQL&gt;&lt;Q&gt;JPYUSD^FG_PRICE(45159)&lt;/Q&gt;&lt;R&gt;1&lt;/R&gt;&lt;C&gt;1&lt;/C&gt;&lt;D xsi:type="xsd:double"&gt;0.007451287&lt;/D&gt;&lt;/FQL&gt;&lt;FQL&gt;&lt;Q&gt;JPYUSD^FG_PRICE(45139)&lt;/Q&gt;&lt;R&gt;1&lt;/R&gt;&lt;C&gt;1&lt;/C&gt;&lt;D xsi:type="xsd:double"&gt;0.007451287&lt;/D&gt;&lt;/FQL&gt;&lt;FQL&gt;&lt;Q&gt;JPYUSD^FG_PRICE(45116)&lt;/Q&gt;&lt;R&gt;1&lt;/R&gt;&lt;C&gt;1&lt;/C&gt;&lt;D xsi:type="xsd:double"&gt;0.007451287&lt;/D&gt;&lt;/FQL&gt;&lt;FQL&gt;&lt;Q&gt;JPYUSD^FG_PRICE(45095)&lt;/Q&gt;&lt;R&gt;1&lt;/R&gt;&lt;C&gt;1&lt;/C&gt;&lt;D xsi:type="xsd:double"&gt;0.007451287&lt;/D&gt;&lt;/FQL&gt;&lt;FQL&gt;&lt;Q&gt;JPYUSD^FG_PRICE(45075)&lt;/Q&gt;&lt;R&gt;1&lt;/R&gt;&lt;C&gt;1&lt;/C&gt;&lt;D xsi:type="xsd:double"&gt;0.007451287&lt;/D&gt;&lt;/FQL&gt;&lt;FQL&gt;&lt;Q&gt;JPYUSD^FG_PRICE(45052)&lt;/Q&gt;&lt;R&gt;1&lt;/R&gt;&lt;C&gt;1&lt;/C&gt;&lt;D xsi:type="xsd:double"&gt;0.007451287&lt;/D&gt;&lt;/FQL&gt;&lt;FQL&gt;&lt;Q&gt;JPYUSD^FG_PRICE(45031)&lt;/Q&gt;&lt;R&gt;1&lt;/R&gt;&lt;C&gt;1&lt;/C&gt;&lt;D xsi:type="xsd:double"&gt;0.007451287&lt;/D&gt;&lt;/FQL&gt;&lt;FQL&gt;&lt;Q&gt;JPYUSD^FG_PRICE(45011)&lt;/Q&gt;&lt;R&gt;1&lt;/R&gt;&lt;C&gt;1&lt;/C&gt;&lt;D xsi:type="xsd:double"&gt;0.007451287&lt;/D&gt;&lt;/FQL&gt;&lt;FQL&gt;&lt;Q&gt;JPYUSD^FG_PRICE(44988)&lt;/Q&gt;&lt;R&gt;1&lt;/R&gt;&lt;C&gt;1&lt;/C&gt;&lt;D xsi:type="xsd:double"&gt;0.007451287&lt;/D&gt;&lt;/FQL&gt;&lt;FQL&gt;&lt;Q&gt;JPYUSD^FG_PRICE(44967)&lt;/Q&gt;&lt;R&gt;1&lt;/R&gt;&lt;C&gt;1&lt;/C&gt;&lt;D xsi:type="xsd:double"&gt;0.0076155663&lt;/D&gt;&lt;/FQL&gt;&lt;FQL&gt;&lt;Q&gt;JPYUSD^FG_PRICE(44947)&lt;/Q&gt;&lt;R&gt;1&lt;/R&gt;&lt;C&gt;1&lt;/C&gt;&lt;D xsi:type="xsd:double"&gt;0.007696748&lt;/D&gt;&lt;/FQL&gt;&lt;FQL&gt;&lt;Q&gt;JPYUSD^FG_PRICE(44927)&lt;/Q&gt;&lt;R&gt;1&lt;/R&gt;&lt;C&gt;1&lt;/C&gt;&lt;D xsi:type="xsd:double"&gt;0.007578915&lt;/D&gt;&lt;/FQL&gt;&lt;FQL&gt;&lt;Q&gt;JPYUSD^FG_PRICE(44915)&lt;/Q&gt;&lt;R&gt;1&lt;/R&gt;&lt;C&gt;1&lt;/C&gt;&lt;D xsi:type="xsd:double"&gt;0.007609482&lt;/D&gt;&lt;/FQL&gt;&lt;FQL&gt;&lt;Q&gt;JPYUSD^FG_PRICE(44901)&lt;/Q&gt;&lt;R&gt;1&lt;/R&gt;&lt;C&gt;1&lt;/C&gt;&lt;D xsi:type="xsd:double"&gt;0.007317698&lt;/D&gt;&lt;/FQL&gt;&lt;FQL&gt;&lt;Q&gt;JPYUSD^FG_PRICE(44888)&lt;/Q&gt;&lt;R&gt;1&lt;/R&gt;&lt;C&gt;1&lt;/C&gt;&lt;D xsi:type="xsd:double"&gt;0.0071561467&lt;/D&gt;&lt;/FQL&gt;&lt;FQL&gt;&lt;Q&gt;JPYUSD^FG_PRICE(44876)&lt;/Q&gt;&lt;R&gt;1&lt;/R&gt;&lt;C&gt;1&lt;/C&gt;&lt;D xsi:type="xsd:double"&gt;0.0071908818&lt;/D&gt;&lt;/FQL&gt;&lt;FQL&gt;&lt;Q&gt;JPYUSD^FG_PRICE(44863)&lt;/Q&gt;&lt;R&gt;1&lt;/R&gt;&lt;C&gt;1&lt;/C&gt;&lt;D xsi:type="xsd:double"&gt;0.006779202&lt;/D&gt;&lt;/FQL&gt;&lt;FQL&gt;&lt;Q&gt;JPYUSD^FG_PRICE(44851)&lt;/Q&gt;&lt;R&gt;1&lt;/R&gt;&lt;C&gt;1&lt;/C&gt;&lt;D xsi:type="xsd:double"&gt;0.006723141&lt;/D&gt;&lt;/FQL&gt;&lt;FQL&gt;&lt;Q&gt;JPYUSD^FG_PRICE(44837)&lt;/Q&gt;&lt;R&gt;1&lt;/R&gt;&lt;C&gt;1&lt;/C&gt;&lt;D xsi:type="xsd:double"&gt;0.006922092&lt;/D&gt;&lt;/FQL&gt;&lt;FQL&gt;&lt;Q&gt;JPYUSD^FG_PRICE(44824)&lt;/Q&gt;&lt;R&gt;1&lt;/R&gt;&lt;C&gt;1&lt;/C&gt;&lt;D xsi:type="xsd:double"&gt;0.006957248&lt;/D&gt;&lt;/FQL&gt;&lt;FQL&gt;&lt;Q&gt;JPYUSD^FG_PRICE(44812)&lt;/Q&gt;&lt;R&gt;1&lt;/R&gt;&lt;C&gt;1&lt;/C&gt;&lt;D xsi:type="xsd:double"&gt;0.00694565&lt;/D&gt;&lt;/FQL&gt;&lt;FQL&gt;&lt;Q&gt;JPYUSD^FG_PRICE(44799)&lt;/Q&gt;&lt;R&gt;1&lt;/R&gt;&lt;C&gt;1&lt;/C&gt;&lt;D xsi:type="xsd:double"&gt;0.0072849127&lt;/D&gt;&lt;/FQL&gt;&lt;FQL&gt;&lt;Q&gt;JPYUSD^FG_PRICE(44787)&lt;/Q&gt;&lt;R&gt;1&lt;/R&gt;&lt;C&gt;1&lt;/C&gt;&lt;D xsi:type="xsd:double"&gt;0.0074791517&lt;/D&gt;&lt;/FQL&gt;&lt;FQL&gt;&lt;Q&gt;JPYUSD^FG_PRICE(44773)&lt;/Q&gt;&lt;R&gt;1&lt;/R&gt;&lt;C&gt;1&lt;/C&gt;&lt;D xsi:type="xsd:double"&gt;0.00748223&lt;/D&gt;&lt;/FQL&gt;&lt;FQL&gt;&lt;Q&gt;JPYUSD^FG_PRICE(44760)&lt;/Q&gt;&lt;R&gt;1&lt;/R&gt;&lt;C&gt;1&lt;/C&gt;&lt;D xsi:type="xsd:double"&gt;0.0072450647&lt;/D&gt;&lt;/FQL&gt;&lt;FQL&gt;&lt;Q&gt;JPYUSD^FG_PRICE(44748)&lt;/Q&gt;&lt;R&gt;1&lt;/R&gt;&lt;C&gt;1&lt;/C&gt;&lt;D xsi:type="xsd:double"&gt;0.0073710983&lt;/D&gt;&lt;/FQL&gt;&lt;FQL&gt;&lt;Q&gt;JPYUSD^FG_PRICE(44735)&lt;/Q&gt;&lt;R&gt;1&lt;/R&gt;&lt;C&gt;1&lt;/C&gt;&lt;D xsi:type="xsd:double"&gt;0.00743688&lt;/D&gt;&lt;/FQL&gt;&lt;FQL&gt;&lt;Q&gt;JPYUSD^FG_PRICE(44723)&lt;/Q&gt;&lt;R&gt;1&lt;/R&gt;&lt;C&gt;1&lt;/C&gt;&lt;D xsi:type="xsd:double"&gt;0.007449622&lt;/D&gt;&lt;/FQL&gt;&lt;FQL&gt;&lt;Q&gt;JPYUSD^FG_PRICE(44709)&lt;/Q&gt;&lt;R&gt;1&lt;/R&gt;&lt;C&gt;1&lt;/C&gt;&lt;D xsi:type="xsd:double"&gt;0.007866274&lt;/D&gt;&lt;/FQL&gt;&lt;FQL&gt;&lt;Q&gt;JPYUSD^FG_PRICE(44696)&lt;/Q&gt;&lt;R&gt;1&lt;/R&gt;&lt;C&gt;1&lt;/C&gt;&lt;D xsi:type="xsd:double"&gt;0.0077294684&lt;/D&gt;&lt;/FQL&gt;&lt;FQL&gt;&lt;Q&gt;JPYUSD^FG_PRICE(44685)&lt;/Q&gt;&lt;R&gt;1&lt;/R&gt;&lt;C&gt;1&lt;/C&gt;&lt;D xsi:type="xsd:double"&gt;0.0076934914&lt;/D&gt;&lt;/FQL&gt;&lt;FQL&gt;&lt;Q&gt;JPYUSD^FG_PRICE(44675)&lt;/Q&gt;&lt;R&gt;1&lt;/R&gt;&lt;C&gt;1&lt;/C&gt;&lt;D xsi:type="xsd:double"&gt;0.007784222&lt;/D&gt;&lt;/FQL&gt;&lt;FQL&gt;&lt;Q&gt;JPYUSD^FG_PRICE(44664)&lt;/Q&gt;&lt;R&gt;1&lt;/R&gt;&lt;C&gt;1&lt;/C&gt;&lt;D xsi:type="xsd:double"&gt;0.007953867&lt;/D&gt;&lt;/FQL&gt;&lt;FQL&gt;&lt;Q&gt;JPYUSD^FG_PRICE(44653)&lt;/Q&gt;&lt;R&gt;1&lt;/R&gt;&lt;C&gt;1&lt;/C&gt;&lt;D xsi:type="xsd:double"&gt;0.008139676&lt;/D&gt;&lt;/FQL&gt;&lt;FQL&gt;&lt;Q&gt;JPYUSD^FG_PRICE(44643)&lt;/Q&gt;&lt;R&gt;1&lt;/R&gt;&lt;C&gt;1&lt;/C&gt;&lt;D xsi:type="xsd:double"&gt;0.008261732&lt;/D&gt;&lt;/FQL&gt;&lt;FQL&gt;&lt;Q&gt;JPYUSD^FG_PRICE(44635)&lt;/Q&gt;&lt;R&gt;1&lt;/R&gt;&lt;C&gt;1&lt;/C&gt;&lt;D xsi:type="xsd:double"&gt;0.0084613105&lt;/D&gt;&lt;/FQL&gt;&lt;FQL&gt;&lt;Q&gt;JPYUSD^FG_PRICE(44627)&lt;/Q&gt;&lt;R&gt;1&lt;/R&gt;&lt;C&gt;1&lt;/C&gt;&lt;D xsi:type="xsd:double"&gt;0.008666637&lt;/D&gt;&lt;/FQL&gt;&lt;FQL&gt;&lt;Q&gt;JPYUSD^FG_PRICE(44619)&lt;/Q&gt;&lt;R&gt;1&lt;/R&gt;&lt;C&gt;1&lt;/C&gt;&lt;D xsi:type="xsd:double"&gt;0.008652016&lt;/D&gt;&lt;/FQL&gt;&lt;FQL&gt;&lt;Q&gt;JPYUSD^FG_PRICE(44611)&lt;/Q&gt;&lt;R&gt;1&lt;/R&gt;&lt;C&gt;1&lt;/C&gt;&lt;D xsi:type="xsd:double"&gt;0.008684702&lt;/D&gt;&lt;/FQL&gt;&lt;FQL&gt;&lt;Q&gt;JPYUSD^FG_PRICE(44603)&lt;/Q&gt;&lt;R&gt;1&lt;/R&gt;&lt;C&gt;1&lt;/C&gt;&lt;D xsi:type="xsd:double"&gt;0.008629617&lt;/D&gt;&lt;/FQL&gt;&lt;FQL&gt;&lt;Q&gt;JPYUSD^FG_PRICE(44595)&lt;/Q&gt;&lt;R&gt;1&lt;/R&gt;&lt;C&gt;1&lt;/C&gt;&lt;D xsi:type="xsd:double"&gt;0.008703599&lt;/D&gt;&lt;/FQL&gt;&lt;FQL&gt;&lt;Q&gt;JPYUSD^FG_PRICE(44587)&lt;/Q&gt;&lt;R&gt;1&lt;/R&gt;&lt;C&gt;1&lt;/C&gt;&lt;D xsi:type="xsd:double"&gt;0.008746994&lt;/D&gt;&lt;/FQL&gt;&lt;FQL&gt;&lt;Q&gt;JPYUSD^FG_PRICE(44579)&lt;/Q&gt;&lt;R&gt;1&lt;/R&gt;&lt;C&gt;1&lt;/C&gt;&lt;D xsi:type="xsd:double"&gt;0.008730194&lt;/D&gt;&lt;/FQL&gt;&lt;FQL&gt;&lt;Q&gt;JPYUSD^FG_PRICE(44571)&lt;/Q&gt;&lt;R&gt;1&lt;/R&gt;&lt;C&gt;1&lt;/C&gt;&lt;D xsi:type="xsd:double"&gt;0.008688852&lt;/D&gt;&lt;/FQL&gt;&lt;FQL&gt;&lt;Q&gt;JPYUSD^FG_PRICE(44563)&lt;/Q&gt;&lt;R&gt;1&lt;/R&gt;&lt;C&gt;1&lt;/C&gt;&lt;D xsi:type="xsd:double"&gt;0.008683948&lt;/D&gt;&lt;/FQL&gt;&lt;FQL&gt;&lt;Q&gt;JPYUSD^FG_PRICE(44555)&lt;/Q&gt;&lt;R&gt;1&lt;/R&gt;&lt;C&gt;1&lt;/C&gt;&lt;D xsi:type="xsd:double"&gt;0.008742405&lt;/D&gt;&lt;/FQL&gt;&lt;FQL&gt;&lt;Q&gt;JPYUSD^FG_PRICE(44547)&lt;/Q&gt;&lt;R&gt;1&lt;/R&gt;&lt;C&gt;1&lt;/C&gt;&lt;D xsi:type="xsd:double"&gt;0.008800105&lt;/D&gt;&lt;/FQL&gt;&lt;FQL&gt;&lt;Q&gt;JPYUSD^FG_PRICE(44539)&lt;/Q&gt;&lt;R&gt;1&lt;/R&gt;&lt;C&gt;1&lt;/C&gt;&lt;D xsi:type="xsd:double"&gt;0.008814844&lt;/D&gt;&lt;/FQL&gt;&lt;FQL&gt;&lt;Q&gt;JPYUSD^FG_PRICE(44531)&lt;/Q&gt;&lt;R&gt;1&lt;/R&gt;&lt;C&gt;1&lt;/C&gt;&lt;D xsi:type="xsd:double"&gt;0.008851907&lt;/D&gt;&lt;/FQL&gt;&lt;FQL&gt;&lt;Q&gt;JPYUSD^FG_PRICE(44523)&lt;/Q&gt;&lt;R&gt;1&lt;/R&gt;&lt;C&gt;1&lt;/C&gt;&lt;D xsi:type="xsd:double"&gt;0.00869603&lt;/D&gt;&lt;/FQL&gt;&lt;FQL&gt;&lt;Q&gt;JPYUSD^FG_PRICE(44515)&lt;/Q&gt;&lt;R&gt;1&lt;/R&gt;&lt;C&gt;1&lt;/C&gt;&lt;D xsi:type="xsd:double"&gt;0.008773854&lt;/D&gt;&lt;/FQL&gt;&lt;FQL&gt;&lt;Q&gt;JPYUSD^FG_PRICE(44507)&lt;/Q&gt;&lt;R&gt;1&lt;/R&gt;&lt;C&gt;1&lt;/C&gt;&lt;D xsi:type="xsd:double"&gt;0.008813679&lt;/D&gt;&lt;/FQL&gt;&lt;FQL&gt;&lt;Q&gt;JPYUSD^FG_PRICE(44499)&lt;/Q&gt;&lt;R&gt;1&lt;/R&gt;&lt;C&gt;1&lt;/C&gt;&lt;D xsi:type="xsd:double"&gt;0.008770007&lt;/D&gt;&lt;/FQL&gt;&lt;FQL&gt;&lt;Q&gt;JPYUSD^FG_PRICE(44491)&lt;/Q&gt;&lt;R&gt;1&lt;/R&gt;&lt;C&gt;1&lt;/C&gt;&lt;D xsi:type="xsd:double"&gt;0.008803205&lt;/D&gt;&lt;/FQL&gt;&lt;FQL&gt;&lt;Q&gt;JPYUSD^FG_PRICE(44483)&lt;/Q&gt;&lt;R&gt;1&lt;/R&gt;&lt;C&gt;1&lt;/C&gt;&lt;D xsi:type="xsd:double"&gt;0.008794688&lt;/D&gt;&lt;/FQL&gt;&lt;FQL&gt;&lt;Q&gt;JPYUSD^FG_PRICE(44475)&lt;/Q&gt;&lt;R&gt;1&lt;/R&gt;&lt;C&gt;1&lt;/C&gt;&lt;D xsi:type="xsd:double"&gt;0.0089895725&lt;/D&gt;&lt;/FQL&gt;&lt;FQL&gt;&lt;Q&gt;JPYUSD^FG_PRICE(44467)&lt;/Q&gt;&lt;R&gt;1&lt;/R&gt;&lt;C&gt;1&lt;/C&gt;&lt;D xsi:type="xsd:double"&gt;0.008973842&lt;/D&gt;&lt;/FQL&gt;&lt;FQL&gt;&lt;Q&gt;JPYUSD^FG_PRICE(44459)&lt;/Q&gt;&lt;R&gt;1&lt;/R&gt;&lt;C&gt;1&lt;/C&gt;&lt;D xsi:type="xsd:double"&gt;0.009131169&lt;/D&gt;&lt;/FQL&gt;&lt;FQL&gt;&lt;Q&gt;JPYUSD^FG_PRICE(44451)&lt;/Q&gt;&lt;R&gt;1&lt;/R&gt;&lt;C&gt;1&lt;/C&gt;&lt;D xsi:type="xsd:double"&gt;0.009104152&lt;/D&gt;&lt;/FQL&gt;&lt;FQL&gt;&lt;Q&gt;JPYUSD^FG_PRICE(44443)&lt;/Q&gt;&lt;R&gt;1&lt;/R&gt;&lt;C&gt;1&lt;/C&gt;&lt;D xsi:type="xsd:double"&gt;0.00911868&lt;/D&gt;&lt;/FQL&gt;&lt;FQL&gt;&lt;Q&gt;JPYUSD^FG_PRICE(44435)&lt;/Q&gt;&lt;R&gt;1&lt;/R&gt;&lt;C&gt;1&lt;/C&gt;&lt;D xsi:type="xsd:double"&gt;0.009092975&lt;/D&gt;&lt;/FQL&gt;&lt;FQL&gt;&lt;Q&gt;JPYUSD^FG_PRICE(44427)&lt;/Q&gt;&lt;R&gt;1&lt;/R&gt;&lt;C&gt;1&lt;/C&gt;&lt;D xsi:type="xsd:double"&gt;0.009113694&lt;/D&gt;&lt;/FQL&gt;&lt;FQL&gt;&lt;Q&gt;JPYUSD^FG_PRICE(44419)&lt;/Q&gt;&lt;R&gt;1&lt;/R&gt;&lt;C&gt;1&lt;/C&gt;&lt;D xsi:type="xsd:double"&gt;0.009052231&lt;/D&gt;&lt;/FQL&gt;&lt;FQL&gt;&lt;Q&gt;JPYUSD^FG_PRICE(44411)&lt;/Q&gt;&lt;R&gt;1&lt;/R&gt;&lt;C&gt;1&lt;/C&gt;&lt;D xsi:type="xsd:double"&gt;0.009178944&lt;/D&gt;&lt;/FQL&gt;&lt;FQL&gt;&lt;Q&gt;JPYUSD^FG_PRICE(44403)&lt;/Q&gt;&lt;R&gt;1&lt;/R&gt;&lt;C&gt;1&lt;/C&gt;&lt;D xsi:type="xsd:double"&gt;0.009065772&lt;/D&gt;&lt;/FQL&gt;&lt;FQL&gt;&lt;Q&gt;JPYUSD^FG_PRICE(44395)&lt;/Q&gt;&lt;R&gt;1&lt;/R&gt;&lt;C&gt;1&lt;/C&gt;&lt;D xsi:type="xsd:double"&gt;0.009082239&lt;/D&gt;&lt;/FQL&gt;&lt;FQL&gt;&lt;Q&gt;JPYUSD^FG_PRICE(44387)&lt;/Q&gt;&lt;R&gt;1&lt;/R&gt;&lt;C&gt;1&lt;/C&gt;&lt;D xsi:type="xsd:double"&gt;0.009079354&lt;/D&gt;&lt;/FQL&gt;&lt;FQL&gt;&lt;Q&gt;JPYUSD^FG_PRICE(44379)&lt;/Q&gt;&lt;R&gt;1&lt;/R&gt;&lt;C&gt;1&lt;/C&gt;&lt;D xsi:type="xsd:double"&gt;0.008983515&lt;/D&gt;&lt;/FQL&gt;&lt;FQL&gt;&lt;Q&gt;JPYUSD^FG_PRICE(44371)&lt;/Q&gt;&lt;R&gt;1&lt;/R&gt;&lt;C&gt;1&lt;/C&gt;&lt;D xsi:type="xsd:double"&gt;0.0090212&lt;/D&gt;&lt;/FQL&gt;&lt;FQL&gt;&lt;Q&gt;JPYUSD^FG_PRICE(44363)&lt;/Q&gt;&lt;R&gt;1&lt;/R&gt;&lt;C&gt;1&lt;/C&gt;&lt;D xsi:type="xsd:double"&gt;0.009095456&lt;/D&gt;&lt;/FQL&gt;&lt;FQL&gt;&lt;Q&gt;JPYUSD^FG_PRICE(44355)&lt;/Q&gt;&lt;R&gt;1&lt;/R&gt;&lt;C&gt;1&lt;/C&gt;&lt;D xsi:type="xsd:double"&gt;0.009137845&lt;/D&gt;&lt;/FQL&gt;&lt;FQL&gt;&lt;Q&gt;JPYUSD^FG_PRICE(44347)&lt;/Q&gt;&lt;R&gt;1&lt;/R&gt;&lt;C&gt;1&lt;/C&gt;&lt;D xsi:type="xsd:double"&gt;0.009141186&lt;/D&gt;&lt;/FQL&gt;&lt;FQL&gt;&lt;Q&gt;JPYUSD^FG_PRICE(44339)&lt;/Q&gt;&lt;R&gt;1&lt;/R&gt;&lt;C&gt;1&lt;/C&gt;&lt;D xsi:type="xsd:double"&gt;0.009177259&lt;/D&gt;&lt;/FQL&gt;&lt;FQL&gt;&lt;Q&gt;JPYUSD^FG_PRICE(44331)&lt;/Q&gt;&lt;R&gt;1&lt;/R&gt;&lt;C&gt;1&lt;/C&gt;&lt;D xsi:type="xsd:double"&gt;0.009137845&lt;/D&gt;&lt;/FQL&gt;&lt;FQL&gt;&lt;Q&gt;JPYUSD^FG_PRICE(44323)&lt;/Q&gt;&lt;R&gt;1&lt;/R&gt;&lt;C&gt;1&lt;/C&gt;&lt;D xsi:type="xsd:double"&gt;0.009211072&lt;/D&gt;&lt;/FQL&gt;&lt;FQL&gt;&lt;Q&gt;JPYUSD^FG_PRICE(44315)&lt;/Q&gt;&lt;R&gt;1&lt;/R&gt;&lt;C&gt;1&lt;/C&gt;&lt;D xsi:type="xsd:double"&gt;0.009178944&lt;/D&gt;&lt;/FQL&gt;&lt;FQL&gt;&lt;Q&gt;JPYUSD^FG_PRICE(44307)&lt;/Q&gt;&lt;R&gt;1&lt;/R&gt;&lt;C&gt;1&lt;/C&gt;&lt;D xsi:type="xsd:double"&gt;0.009245135&lt;/D&gt;&lt;/FQL&gt;&lt;FQL&gt;&lt;Q&gt;JPYUSD^FG_PRICE(44299)&lt;/Q&gt;&lt;R&gt;1&lt;/R&gt;&lt;C&gt;1&lt;/C&gt;&lt;D xsi:type="xsd:double"&gt;0.0091570895&lt;/D&gt;&lt;/FQL&gt;&lt;FQL&gt;&lt;Q&gt;JPYUSD^FG_PRICE(44291)&lt;/Q&gt;&lt;R&gt;1&lt;/R&gt;&lt;C&gt;1&lt;/C&gt;&lt;D xsi:type="xsd:double"&gt;0.0090797655&lt;/D&gt;&lt;/FQL&gt;&lt;FQL&gt;&lt;Q&gt;JPYUSD^FG_PRICE(44283)&lt;/Q&gt;&lt;R&gt;1&lt;/R&gt;&lt;C&gt;1&lt;/C&gt;&lt;D xsi:type="xsd:double"&gt;0.009127836&lt;/D&gt;&lt;/FQL&gt;&lt;FQL&gt;&lt;Q&gt;JPYUSD^FG_PRICE(44275)&lt;/Q&gt;&lt;R&gt;1&lt;/R&gt;&lt;C&gt;1&lt;/C&gt;&lt;D xsi:type="xsd:double"&gt;0.009186532&lt;/D&gt;&lt;/FQL&gt;&lt;FQL&gt;&lt;Q&gt;JPYUSD^FG_PRICE(44267)&lt;/Q&gt;&lt;R&gt;1&lt;/R&gt;&lt;C&gt;1&lt;/C&gt;&lt;D xsi:type="xsd:double"&gt;0.009175574&lt;/D&gt;&lt;/FQL&gt;&lt;FQL&gt;&lt;Q&gt;JPYUSD^FG_PRICE(44259)&lt;/Q&gt;&lt;R&gt;1&lt;/R&gt;&lt;C&gt;1&lt;/C&gt;&lt;D xsi:type="xsd:double"&gt;0.00929368&lt;/D&gt;&lt;/FQL&gt;&lt;FQL&gt;&lt;Q&gt;JPYUSD^FG_PRICE(44251)&lt;/Q&gt;&lt;R&gt;1&lt;/R&gt;&lt;C&gt;1&lt;/C&gt;&lt;D xsi:type="xsd:double"&gt;0.009439751&lt;/D&gt;&lt;/FQL&gt;&lt;FQL&gt;&lt;Q&gt;JPYUSD^FG_PRICE(44243)&lt;/Q&gt;&lt;R&gt;1&lt;/R&gt;&lt;C&gt;1&lt;/C&gt;&lt;D xsi:type="xsd:double"&gt;0.009459396&lt;/D&gt;&lt;/FQL&gt;&lt;FQL&gt;&lt;Q&gt;JPYUSD^FG_PRICE(44235)&lt;/Q&gt;&lt;R&gt;1&lt;/R&gt;&lt;C&gt;1&lt;/C&gt;&lt;D xsi:type="xsd:double"&gt;0.009506155&lt;/D&gt;&lt;/FQL&gt;&lt;FQL&gt;&lt;Q&gt;JPYUSD^FG_PRICE(44227)&lt;/Q&gt;&lt;R&gt;1&lt;/R&gt;&lt;C&gt;1&lt;/C&gt;&lt;D xsi:type="xsd:double"&gt;0.009551555&lt;/D&gt;&lt;/FQL&gt;&lt;FQL&gt;&lt;Q&gt;JPYUSD^FG_PRICE(44219)&lt;/Q&gt;&lt;R&gt;1&lt;/R&gt;&lt;C&gt;1&lt;/C&gt;&lt;D xsi:type="xsd:double"&gt;0.009633911&lt;/D&gt;&lt;/FQL&gt;&lt;FQL&gt;&lt;Q&gt;JPYUSD^FG_PRICE(44211)&lt;/Q&gt;&lt;R&gt;1&lt;/R&gt;&lt;C&gt;1&lt;/C&gt;&lt;D xsi:type="xsd:double"&gt;0.009626956&lt;/D&gt;&lt;/FQL&gt;&lt;FQL&gt;&lt;Q&gt;JPYUSD^FG_PRICE(44203)&lt;/Q&gt;&lt;R&gt;1&lt;/R&gt;&lt;C&gt;1&lt;/C&gt;&lt;D xsi:type="xsd:double"&gt;0.0096213985&lt;/D&gt;&lt;/FQL&gt;&lt;FQL&gt;&lt;Q&gt;JPYUSD^FG_PRICE(44195)&lt;/Q&gt;&lt;R&gt;1&lt;/R&gt;&lt;C&gt;1&lt;/C&gt;&lt;D xsi:type="xsd:double"&gt;0.009685699&lt;/D&gt;&lt;/FQL&gt;&lt;FQL&gt;&lt;Q&gt;JPYUSD^FG_PRICE(44187)&lt;/Q&gt;&lt;R&gt;1&lt;/R&gt;&lt;C&gt;1&lt;/C&gt;&lt;D xsi:type="xsd:double"&gt;0.009642736&lt;/D&gt;&lt;/FQL&gt;&lt;FQL&gt;&lt;Q&gt;JPYUSD^FG_PRICE(44179)&lt;/Q&gt;&lt;R&gt;1&lt;/R&gt;&lt;C&gt;1&lt;/C&gt;&lt;D xsi:type="xsd:double"&gt;0.009607994&lt;/D&gt;&lt;/FQL&gt;&lt;FQL&gt;&lt;Q&gt;JPYUSD^FG_PRICE(44171)&lt;/Q&gt;&lt;R&gt;1&lt;/R&gt;&lt;C&gt;1&lt;/C&gt;&lt;D xsi:type="xsd:double"&gt;0.00959739&lt;/D&gt;&lt;/FQL&gt;&lt;FQL&gt;&lt;Q&gt;JPYUSD^FG_PRICE(44163)&lt;/Q&gt;&lt;R&gt;1&lt;/R&gt;&lt;C&gt;1&lt;/C&gt;&lt;D xsi:type="xsd:double"&gt;0.009614923&lt;/D&gt;&lt;/FQL&gt;&lt;FQL&gt;&lt;Q&gt;JPYUSD^FG_PRICE(44155)&lt;/Q&gt;&lt;R&gt;1&lt;/R&gt;&lt;C&gt;1&lt;/C&gt;&lt;D xsi:type="xsd:double"&gt;0.009632519&lt;/D&gt;&lt;/FQL&gt;&lt;FQL&gt;&lt;Q&gt;JPYUSD^FG_PRICE(44147)&lt;/Q&gt;&lt;R&gt;1&lt;/R&gt;&lt;C&gt;1&lt;/C&gt;&lt;D xsi:type="xsd:double"&gt;0.009512033&lt;/D&gt;&lt;/FQL&gt;&lt;FQL&gt;&lt;Q&gt;JPYUSD^FG_PRICE(44139)&lt;/Q&gt;&lt;R&gt;1&lt;/R&gt;&lt;C&gt;1&lt;/C&gt;&lt;D xsi:type="xsd:double"&gt;0.009570751&lt;/D&gt;&lt;/FQL&gt;&lt;FQL&gt;&lt;Q&gt;JPYUSD^FG_PRICE(44131)&lt;/Q&gt;&lt;R&gt;1&lt;/R&gt;&lt;C&gt;1&lt;/C&gt;&lt;D xsi:type="xsd:double"&gt;0.009572584&lt;/D&gt;&lt;/FQL&gt;&lt;FQL&gt;&lt;Q&gt;JPYUSD^FG_PRICE(44123)&lt;/Q&gt;&lt;R&gt;1&lt;/R&gt;&lt;C&gt;1&lt;/C&gt;&lt;D xsi:type="xsd:double"&gt;0.009481369&lt;/D&gt;&lt;/FQL&gt;&lt;FQL&gt;&lt;Q&gt;JPYUSD^FG_PRICE(44115)&lt;/Q&gt;&lt;R&gt;1&lt;/R&gt;&lt;C&gt;1&lt;/C&gt;&lt;D xsi:type="xsd:double"&gt;0.009464768&lt;/D&gt;&lt;/FQL&gt;&lt;FQL&gt;&lt;Q&gt;JPYUSD^FG_PRICE(44107)&lt;/Q&gt;&lt;R&gt;1&lt;/R&gt;&lt;C&gt;1&lt;/C&gt;&lt;D xsi:type="xsd:double"&gt;0.009491718&lt;/D&gt;&lt;/FQL&gt;&lt;FQL&gt;&lt;Q&gt;JPYUSD^FG_PRICE(44099)&lt;/Q&gt;&lt;R&gt;1&lt;/R&gt;&lt;C&gt;1&lt;/C&gt;&lt;D xsi:type="xsd:double"&gt;0.009466112&lt;/D&gt;&lt;/FQL&gt;&lt;FQL&gt;&lt;Q&gt;JPYUSD^FG_PRICE(44091)&lt;/Q&gt;&lt;R&gt;1&lt;/R&gt;&lt;C&gt;1&lt;/C&gt;&lt;D xsi:type="xsd:double"&gt;0.00954973&lt;/D&gt;&lt;/FQL&gt;&lt;FQL&gt;&lt;Q&gt;JPYUSD^FG_PRICE(45647)&lt;/Q&gt;&lt;R&gt;1&lt;/R&gt;&lt;C&gt;1&lt;/C&gt;&lt;D xsi:type="xsd:double"&gt;0.007451287&lt;/D&gt;&lt;/FQL&gt;&lt;FQL&gt;&lt;Q&gt;JPYUSD^FG_PRICE(45627)&lt;/Q&gt;&lt;R&gt;1&lt;/R&gt;&lt;C&gt;1&lt;/C&gt;&lt;D xsi:type="xsd:double"&gt;0.007451287&lt;/D&gt;&lt;/FQL&gt;&lt;FQL&gt;&lt;Q&gt;JPYUSD^FG_PRICE(45604)&lt;/Q&gt;&lt;R&gt;1&lt;/R&gt;&lt;C&gt;1&lt;/C&gt;&lt;D xsi:type="xsd:double"&gt;0.007451287&lt;/D&gt;&lt;/FQL&gt;&lt;FQL&gt;&lt;Q&gt;JPYUSD^FG_PRICE(45583)&lt;/Q&gt;&lt;R&gt;1&lt;/R&gt;&lt;C&gt;1&lt;/C&gt;&lt;D xsi:type="xsd:double"&gt;0.007451287&lt;/D&gt;&lt;/FQL&gt;&lt;FQL&gt;&lt;Q&gt;JPYUSD^FG_PRICE(45563)&lt;/Q&gt;&lt;R&gt;1&lt;/R&gt;&lt;C&gt;1&lt;/C&gt;&lt;D xsi:type="xsd:double"&gt;0.007451287&lt;/D&gt;&lt;/FQL&gt;&lt;FQL&gt;&lt;Q&gt;JPYUSD^FG_PRICE(45540)&lt;/Q&gt;&lt;R&gt;1&lt;/R&gt;&lt;C&gt;1&lt;/C&gt;&lt;D xsi:type="xsd:double"&gt;0.007451287&lt;/D&gt;&lt;/FQL&gt;&lt;FQL&gt;&lt;Q&gt;JPYUSD^FG_PRICE(45519)&lt;/Q&gt;&lt;R&gt;1&lt;/R&gt;&lt;C&gt;1&lt;/C&gt;&lt;D xsi:type="xsd:double"&gt;0.007451287&lt;/D&gt;&lt;/FQL&gt;&lt;FQL&gt;&lt;Q&gt;JPYUSD^FG_PRICE(45499)&lt;/Q&gt;&lt;R&gt;1&lt;/R&gt;&lt;C&gt;1&lt;/C&gt;&lt;D xsi:type="xsd:double"&gt;0.007451287&lt;/D&gt;&lt;/FQL&gt;&lt;FQL&gt;&lt;Q&gt;JPYUSD^FG_PRICE(45476)&lt;/Q&gt;&lt;R&gt;1&lt;/R&gt;&lt;C&gt;1&lt;/C&gt;&lt;D xsi:type="xsd:double"&gt;0.007451287&lt;/D&gt;&lt;/FQL&gt;&lt;FQL&gt;&lt;Q&gt;JPYUSD^FG_PRICE(45455)&lt;/Q&gt;&lt;R&gt;1&lt;/R&gt;&lt;C&gt;1&lt;/C&gt;&lt;D xsi:type="xsd:double"&gt;0.007451287&lt;/D&gt;&lt;/FQL&gt;&lt;FQL&gt;&lt;Q&gt;JPYUSD^FG_PRICE(45435)&lt;/Q&gt;&lt;R&gt;1&lt;/R&gt;&lt;C&gt;1&lt;/C&gt;&lt;D xsi:type="xsd:double"&gt;0.007451287&lt;/D&gt;&lt;/FQL&gt;&lt;FQL&gt;&lt;Q&gt;JPYUSD^FG_PRICE(45412)&lt;/Q&gt;&lt;R&gt;1&lt;/R&gt;&lt;C&gt;1&lt;/C&gt;&lt;D xsi:type="xsd:double"&gt;0.007451287&lt;/D&gt;&lt;/FQL&gt;&lt;FQL&gt;&lt;Q&gt;JPYUSD^FG_PRICE(45391)&lt;/Q&gt;&lt;R&gt;1&lt;/R&gt;&lt;C&gt;1&lt;/C&gt;&lt;D xsi:type="xsd:double"&gt;0.007451287&lt;/D&gt;&lt;/FQL&gt;&lt;FQL&gt;&lt;Q&gt;JPYUSD^FG_PRICE(45371)&lt;/Q&gt;&lt;R&gt;1&lt;/R&gt;&lt;C&gt;1&lt;/C&gt;&lt;D xsi:type="xsd:double"&gt;0.007451287&lt;/D&gt;&lt;/FQL&gt;&lt;FQL&gt;&lt;Q&gt;JPYUSD^FG_PRICE(45348)&lt;/Q&gt;&lt;R&gt;1&lt;/R&gt;&lt;C&gt;1&lt;/C&gt;&lt;D xsi:type="xsd:double"&gt;0.007451287&lt;/D&gt;&lt;/FQL&gt;&lt;FQL&gt;&lt;Q&gt;JPYUSD^FG_PRICE(45327)&lt;/Q&gt;&lt;R&gt;1&lt;/R&gt;&lt;C&gt;1&lt;/C&gt;&lt;D xsi:type="xsd:double"&gt;0.007451287&lt;/D&gt;&lt;/FQL&gt;&lt;FQL&gt;&lt;Q&gt;JPYUSD^FG_PRICE(45307)&lt;/Q&gt;&lt;R&gt;1&lt;/R&gt;&lt;C&gt;1&lt;/C&gt;&lt;D xsi:type="xsd:double"&gt;0.007451287&lt;/D&gt;&lt;/FQL&gt;&lt;FQL&gt;&lt;Q&gt;JPYUSD^FG_PRICE(45284)&lt;/Q&gt;&lt;R&gt;1&lt;/R&gt;&lt;C&gt;1&lt;/C&gt;&lt;D xsi:type="xsd:double"&gt;0.007451287&lt;/D&gt;&lt;/FQL&gt;&lt;FQL&gt;&lt;Q&gt;JPYUSD^FG_PRICE(45263)&lt;/Q&gt;&lt;R&gt;1&lt;/R&gt;&lt;C&gt;1&lt;/C&gt;&lt;D xsi:type="xsd:double"&gt;0.007451287&lt;/D&gt;&lt;/FQL&gt;&lt;FQL&gt;&lt;Q&gt;JPYUSD^FG_PRICE(45243)&lt;/Q&gt;&lt;R&gt;1&lt;/R&gt;&lt;C&gt;1&lt;/C&gt;&lt;D xsi:type="xsd:double"&gt;0.007451287&lt;/D&gt;&lt;/FQL&gt;&lt;FQL&gt;&lt;Q&gt;JPYUSD^FG_PRICE(45220)&lt;/Q&gt;&lt;R&gt;1&lt;/R&gt;&lt;C&gt;1&lt;/C&gt;&lt;D xsi:type="xsd:double"&gt;0.007451287&lt;/D&gt;&lt;/FQL&gt;&lt;FQL&gt;&lt;Q&gt;JPYUSD^FG_PRICE(45199)&lt;/Q&gt;&lt;R&gt;1&lt;/R&gt;&lt;C&gt;1&lt;/C&gt;&lt;D xsi:type="xsd:double"&gt;0.007451287&lt;/D&gt;&lt;/FQL&gt;&lt;FQL&gt;&lt;Q&gt;JPYUSD^FG_PRICE(45179)&lt;/Q&gt;&lt;R&gt;1&lt;/R&gt;&lt;C&gt;1&lt;/C&gt;&lt;D xsi:type="xsd:double"&gt;0.007451287&lt;/D&gt;&lt;/FQL&gt;&lt;FQL&gt;&lt;Q&gt;JPYUSD^FG_PRICE(45156)&lt;/Q&gt;&lt;R&gt;1&lt;/R&gt;&lt;C&gt;1&lt;/C&gt;&lt;D xsi:type="xsd:double"&gt;0.007451287&lt;/D&gt;&lt;/FQL&gt;&lt;FQL&gt;&lt;Q&gt;JPYUSD^FG_PRICE(45135)&lt;/Q&gt;&lt;R&gt;1&lt;/R&gt;&lt;C&gt;1&lt;/C&gt;&lt;D xsi:type="xsd:double"&gt;0.007451287&lt;/D&gt;&lt;/FQL&gt;&lt;FQL&gt;&lt;Q&gt;JPYUSD^FG_PRICE(45115)&lt;/Q&gt;&lt;R&gt;1&lt;/R&gt;&lt;C&gt;1&lt;/C&gt;&lt;D xsi:type="xsd:double"&gt;0.007451287&lt;/D&gt;&lt;/FQL&gt;&lt;FQL&gt;&lt;Q&gt;JPYUSD^FG_PRICE(45092)&lt;/Q&gt;&lt;R&gt;1&lt;/R&gt;&lt;C&gt;1&lt;/C&gt;&lt;D xsi:type="xsd:double"&gt;0.007451287&lt;/D&gt;&lt;/FQL&gt;&lt;FQL&gt;&lt;Q&gt;JPYUSD^FG_PRICE(45071)&lt;/Q&gt;&lt;R&gt;1&lt;/R&gt;&lt;C&gt;1&lt;/C&gt;&lt;D xsi:type="xsd:double"&gt;0.007451287&lt;/D&gt;&lt;/FQL&gt;&lt;FQL&gt;&lt;Q&gt;JPYUSD^FG_PRICE(45051)&lt;/Q&gt;&lt;R&gt;1&lt;/R&gt;&lt;C&gt;1&lt;/C&gt;&lt;D xsi:type="xsd:double"&gt;0.007451287&lt;/D&gt;&lt;/FQL&gt;&lt;FQL&gt;&lt;Q&gt;JPYUSD^FG_PRICE(45028)&lt;/Q&gt;&lt;R&gt;1&lt;/R&gt;&lt;C&gt;1&lt;/C&gt;&lt;D xsi:type="xsd:double"&gt;0.007451287&lt;/D&gt;&lt;/FQL&gt;&lt;FQL&gt;&lt;Q&gt;JPYUSD^FG_PRICE(45007)&lt;/Q&gt;&lt;R&gt;1&lt;/R&gt;&lt;C&gt;1&lt;/C&gt;&lt;D xsi:type="xsd:double"&gt;0.007451287&lt;/D&gt;&lt;/FQL&gt;&lt;FQL&gt;&lt;Q&gt;JPYUSD^FG_PRICE(44987)&lt;/Q&gt;&lt;R&gt;1&lt;/R&gt;&lt;C&gt;1&lt;/C&gt;&lt;D xsi:type="xsd:double"&gt;0.007451287&lt;/D&gt;&lt;/FQL&gt;&lt;FQL&gt;&lt;Q&gt;JPYUSD^FG_PRICE(44964)&lt;/Q&gt;&lt;R&gt;1&lt;/R&gt;&lt;C&gt;1&lt;/C&gt;&lt;D xsi:type="xsd:double"&gt;0.007619338&lt;/D&gt;&lt;/FQL&gt;&lt;FQL&gt;&lt;Q&gt;JPYUSD^FG_PRICE(44943)&lt;/Q&gt;&lt;R&gt;1&lt;/R&gt;&lt;C&gt;1&lt;/C&gt;&lt;D xsi:type="xsd:double"&gt;0.0078030513&lt;/D&gt;&lt;/FQL&gt;&lt;FQL&gt;&lt;Q&gt;JPYUSD^FG_PRICE(44925)&lt;/Q&gt;&lt;R&gt;1&lt;/R&gt;&lt;C&gt;1&lt;/C&gt;&lt;D xsi:type="xsd:double"&gt;0.007578915&lt;/D&gt;&lt;/FQL&gt;&lt;FQL&gt;&lt;Q&gt;JPYUSD^FG_PRICE(44912)&lt;/Q&gt;&lt;R&gt;1&lt;/R&gt;&lt;C&gt;1&lt;/C&gt;&lt;D xsi:type="xsd:double"&gt;0.0073171626&lt;/D&gt;&lt;/FQL&gt;&lt;FQL&gt;&lt;Q&gt;JPYUSD^FG_PRICE(44900)&lt;/Q&gt;&lt;R&gt;1&lt;/R&gt;&lt;C&gt;1&lt;/C&gt;&lt;D xsi:type="xsd:double"&gt;0.007337296&lt;/D&gt;&lt;/FQL&gt;&lt;FQL&gt;&lt;Q&gt;JPYUSD^FG_PRICE(44887)&lt;/Q&gt;&lt;R&gt;1&lt;/R&gt;&lt;C&gt;1&lt;/C&gt;&lt;D xsi:type="xsd:double"&gt;0.0070741368&lt;/D&gt;&lt;/FQL&gt;&lt;FQL&gt;&lt;Q&gt;JPYUSD^FG_PRICE(44875)&lt;/Q&gt;&lt;R&gt;1&lt;/R&gt;&lt;C&gt;1&lt;/C&gt;&lt;D xsi:type="xsd:double"&gt;0.0070628948&lt;/D&gt;&lt;/FQL&gt;&lt;FQL&gt;&lt;Q&gt;JPYUSD^FG_PRICE(44861)&lt;/Q&gt;&lt;R&gt;1&lt;/R&gt;&lt;C&gt;1&lt;/C&gt;&lt;D xsi:type="xsd:double"&gt;0.0068486114&lt;/D&gt;&lt;/FQL&gt;&lt;FQL&gt;&lt;Q&gt;JPYUSD^FG_PRICE(44848)&lt;/Q&gt;&lt;R&gt;1&lt;/R&gt;&lt;C&gt;1&lt;/C&gt;&lt;D xsi:type="xsd:double"&gt;0.0067401337&lt;/D&gt;&lt;/FQL&gt;&lt;FQL&gt;&lt;Q&gt;JPYUSD^FG_PRICE(44836)&lt;/Q&gt;&lt;R&gt;1&lt;/R&gt;&lt;C&gt;1&lt;/C&gt;&lt;D xsi:type="xsd:double"&gt;0.0069087017&lt;/D&gt;&lt;/FQL&gt;&lt;FQL&gt;&lt;Q&gt;JPYUSD^FG_PRICE(44823)&lt;/Q&gt;&lt;R&gt;1&lt;/R&gt;&lt;C&gt;1&lt;/C&gt;&lt;D xsi:type="xsd:double"&gt;0.0069790976&lt;/D&gt;&lt;/FQL&gt;&lt;FQL&gt;&lt;Q&gt;JPYUSD^FG_PRICE(44811)&lt;/Q&gt;&lt;R&gt;1&lt;/R&gt;&lt;C&gt;1&lt;/C&gt;&lt;D xsi:type="xsd:double"&gt;0.006920655&lt;/D&gt;&lt;/FQL&gt;&lt;FQL&gt;&lt;Q&gt;JPYUSD^FG_PRICE(44797)&lt;/Q&gt;&lt;R&gt;1&lt;/R&gt;&lt;C&gt;1&lt;/C&gt;&lt;D xsi:type="xsd:double"&gt;0.007311812&lt;/D&gt;&lt;/FQL&gt;&lt;FQL&gt;&lt;Q&gt;JPYUSD^FG_PRICE(44784)&lt;/Q&gt;&lt;R&gt;1&lt;/R&gt;&lt;C&gt;1&lt;/C&gt;&lt;D xsi:type="xsd:double"&gt;0.007542331&lt;/D&gt;&lt;/FQL&gt;&lt;FQL&gt;&lt;Q&gt;JPYUSD^FG_PRICE(44772)&lt;/Q&gt;&lt;R&gt;1&lt;/R&gt;&lt;C&gt;1&lt;/C&gt;&lt;D xsi:type="xsd:double"&gt;0.00748223&lt;/D&gt;&lt;/FQL&gt;&lt;FQL&gt;&lt;Q&gt;JPYUSD^FG_PRICE(44759)&lt;/Q&gt;&lt;R&gt;1&lt;/R&gt;&lt;C&gt;1&lt;/C&gt;&lt;D xsi:type="xsd:double"&gt;0.0072157877&lt;/D&gt;&lt;/FQL&gt;&lt;FQL&gt;&lt;Q&gt;JPYUSD^FG_PRICE(44747)&lt;/Q&gt;&lt;R&gt;1&lt;/R&gt;&lt;C&gt;1&lt;/C&gt;&lt;D xsi:type="xsd:double"&gt;0.0073526707&lt;/D&gt;&lt;/FQL&gt;&lt;FQL&gt;&lt;Q&gt;JPYUSD^FG_PRICE(44733)&lt;/Q&gt;&lt;R&gt;1&lt;/R&gt;&lt;C&gt;1&lt;/C&gt;&lt;D xsi:type="xsd:double"&gt;0.00734565&lt;/D&gt;&lt;/FQL&gt;&lt;FQL&gt;&lt;Q&gt;JPYUSD^FG_PRICE(44720)&lt;/Q&gt;&lt;R&gt;1&lt;/R&gt;&lt;C&gt;1&lt;/C&gt;&lt;D xsi:type="xsd:double"&gt;0.0074718865&lt;/D&gt;&lt;/FQL&gt;&lt;FQL&gt;&lt;Q&gt;JPYUSD^FG_PRICE(44708)&lt;/Q&gt;&lt;R&gt;1&lt;/R&gt;&lt;C&gt;1&lt;/C&gt;&lt;D xsi:type="xsd:double"&gt;0.007866274&lt;/D&gt;&lt;/FQL&gt;&lt;FQL&gt;&lt;Q&gt;JPYUSD^FG_PRICE(44695)&lt;/Q&gt;&lt;R&gt;1&lt;/R&gt;&lt;C&gt;1&lt;/C&gt;&lt;D xsi:type="xsd:double"&gt;0.0077294684&lt;/D&gt;&lt;/FQL&gt;&lt;FQL&gt;&lt;Q&gt;JPYUSD^FG_PRICE(44684)&lt;/Q&gt;&lt;R&gt;1&lt;/R&gt;&lt;C&gt;1&lt;/C&gt;&lt;D xsi:type="xsd:double"&gt;0.007697341&lt;/D&gt;&lt;/FQL&gt;&lt;FQL&gt;&lt;Q&gt;JPYUSD^FG_PRICE(44673)&lt;/Q&gt;&lt;R&gt;1&lt;/R&gt;&lt;C&gt;1&lt;/C&gt;&lt;D xsi:type="xsd:double"&gt;0.007784222&lt;/D&gt;&lt;/FQL&gt;&lt;FQL&gt;&lt;Q&gt;JPYUSD^FG_PRICE(44663)&lt;/Q&gt;&lt;R&gt;1&lt;/R&gt;&lt;C&gt;1&lt;/C&gt;&lt;D xsi:type="xsd:double"&gt;0.007988815&lt;/D&gt;&lt;/FQL&gt;&lt;FQL&gt;&lt;Q&gt;JPYUSD^FG_PRICE(44652)&lt;/Q&gt;&lt;R&gt;1&lt;/R&gt;&lt;C&gt;1&lt;/C&gt;&lt;D xsi:type="xsd:double"&gt;0.008139676&lt;/D&gt;&lt;/FQL&gt;&lt;FQL&gt;&lt;Q&gt;JPYUSD^FG_PRICE(44642)&lt;/Q&gt;&lt;R&gt;1&lt;/R&gt;&lt;C&gt;1&lt;/C&gt;&lt;D xsi:type="xsd:double"&gt;0.008287407&lt;/D&gt;&lt;/FQL&gt;&lt;FQL&gt;&lt;Q&gt;JPYUSD^FG_PRICE(44634)&lt;/Q&gt;&lt;R&gt;1&lt;/R&gt;&lt;C&gt;1&lt;/C&gt;&lt;D xsi:type="xsd:double"&gt;0.008473499&lt;/D&gt;&lt;/FQL&gt;&lt;FQL&gt;&lt;Q&gt;JPYUSD^FG_PRICE(44626)&lt;/Q&gt;&lt;R&gt;1&lt;/R&gt;&lt;C&gt;1&lt;/C&gt;&lt;D xsi:type="xsd:double"&gt;0.0087096635&lt;/D&gt;&lt;/FQL&gt;&lt;FQL&gt;&lt;Q&gt;JPYUSD^FG_PRICE(44618)&lt;/Q&gt;&lt;R&gt;1&lt;/R&gt;&lt;C&gt;1&lt;/C&gt;&lt;D xsi:type="xsd:double"&gt;0.008652016&lt;/D&gt;&lt;/FQL&gt;&lt;FQL&gt;&lt;Q&gt;JPYUSD^FG_PRICE(44610)&lt;/Q&gt;&lt;R&gt;1&lt;/R&gt;&lt;C&gt;1&lt;/C&gt;&lt;D xsi:type="xsd:double"&gt;0.008684702&lt;/D&gt;&lt;/FQL&gt;&lt;FQL&gt;&lt;Q&gt;JPYUSD^FG_PRICE(44602)&lt;/Q&gt;&lt;R&gt;1&lt;/R&gt;&lt;C&gt;1&lt;/C&gt;&lt;D xsi:type="xsd:double"&gt;0.008624035&lt;/D&gt;&lt;/FQL&gt;&lt;FQL&gt;&lt;Q&gt;JPYUSD^FG_PRICE(44594)&lt;/Q&gt;&lt;R&gt;1&lt;/R&gt;&lt;C&gt;1&lt;/C&gt;&lt;D xsi:type="xsd:double"&gt;0.008741641&lt;/D&gt;&lt;/FQL&gt;&lt;FQL&gt;&lt;Q&gt;JPYUSD^FG_PRICE(44586)&lt;/Q&gt;&lt;R&gt;1&lt;/R&gt;&lt;C&gt;1&lt;/C&gt;&lt;D xsi:type="xsd:double"&gt;0.008776164&lt;/D&gt;&lt;/FQL&gt;&lt;FQL&gt;&lt;Q&gt;JPYUSD^FG_PRICE(44578)&lt;/Q&gt;&lt;R&gt;1&lt;/R&gt;&lt;C&gt;1&lt;/C&gt;&lt;D xsi:type="xsd:double"&gt;0.0087241&lt;/D&gt;&lt;/FQL&gt;&lt;FQL&gt;&lt;Q&gt;JPYUSD^FG_PRICE(44570)&lt;/Q&gt;&lt;R&gt;1&lt;/R&gt;&lt;C&gt;1&lt;/C&gt;&lt;D xsi:type="xsd:double"&gt;0.0086482745&lt;/D&gt;&lt;/FQL&gt;&lt;FQL&gt;&lt;Q&gt;JPYUSD^FG_PRICE(44562)&lt;/Q&gt;&lt;R&gt;1&lt;/R&gt;&lt;C&gt;1&lt;/C&gt;&lt;D xsi:type="xsd:double"&gt;0.008683948&lt;/D&gt;&lt;/FQL&gt;&lt;FQL&gt;&lt;Q&gt;JPYUSD^FG_PRICE(44554)&lt;/Q&gt;&lt;R&gt;1&lt;/R&gt;&lt;C&gt;1&lt;/C&gt;&lt;D xsi:type="xsd:double"&gt;0.008742405&lt;/D&gt;&lt;/FQL&gt;&lt;FQL&gt;&lt;Q&gt;JPYUSD^FG_PRICE(44546)&lt;/Q&gt;&lt;R&gt;1&lt;/R&gt;&lt;C&gt;1&lt;/C&gt;&lt;D xsi:type="xsd:double"&gt;0.008791595&lt;/D&gt;&lt;/FQL&gt;&lt;FQL&gt;&lt;Q&gt;JPYUSD^FG_PRICE(44538)&lt;/Q&gt;&lt;R&gt;1&lt;/R&gt;&lt;C&gt;1&lt;/C&gt;&lt;D xsi:type="xsd:double"&gt;0.008779246&lt;/D&gt;&lt;/FQL&gt;&lt;FQL&gt;&lt;Q&gt;JPYUSD^FG_PRICE(44530)&lt;/Q&gt;&lt;R&gt;1&lt;/R&gt;&lt;C&gt;1&lt;/C&gt;&lt;D xsi:type="xsd:double"&gt;0.008807081&lt;/D&gt;&lt;/FQL&gt;&lt;FQL&gt;&lt;Q&gt;JPYUSD^FG_PRICE(44522)&lt;/Q&gt;&lt;R&gt;1&lt;/R&gt;&lt;C&gt;1&lt;/C&gt;&lt;D xsi:type="xsd:double"&gt;0.008714977&lt;/D&gt;&lt;/FQL&gt;&lt;FQL&gt;&lt;Q&gt;JPYUSD^FG_PRICE(44514)&lt;/Q&gt;&lt;R&gt;1&lt;/R&gt;&lt;C&gt;1&lt;/C&gt;&lt;D xsi:type="xsd:double"&gt;0.0087753935&lt;/D&gt;&lt;/FQL&gt;&lt;FQL&gt;&lt;Q&gt;JPYUSD^FG_PRICE(44506)&lt;/Q&gt;&lt;R&gt;1&lt;/R&gt;&lt;C&gt;1&lt;/C&gt;&lt;D xsi:type="xsd:double"&gt;0.008813679&lt;/D&gt;&lt;/FQL&gt;&lt;FQL&gt;&lt;Q&gt;JPYUSD^FG_PRICE(44498)&lt;/Q&gt;&lt;R&gt;1&lt;/R&gt;&lt;C&gt;1&lt;/C&gt;&lt;D xsi:type="xsd:double"&gt;0.008770007&lt;/D&gt;&lt;/FQL&gt;&lt;FQL&gt;&lt;Q&gt;JPYUSD^FG_PRICE(44490)&lt;/Q&gt;&lt;R&gt;1&lt;/R&gt;&lt;C&gt;1&lt;/C&gt;&lt;D xsi:type="xsd:double"&gt;0.008781559&lt;/D&gt;&lt;/FQL&gt;&lt;FQL&gt;&lt;Q&gt;JPYUSD^FG_PRICE(44482)&lt;/Q&gt;&lt;R&gt;1&lt;/R&gt;&lt;C&gt;1&lt;/C&gt;&lt;D xsi:type="xsd:double"&gt;0.008821065&lt;/D&gt;&lt;/FQL&gt;&lt;FQL&gt;&lt;Q&gt;JPYUSD^FG_PRICE(44474)&lt;/Q&gt;&lt;R&gt;1&lt;/R&gt;&lt;C&gt;1&lt;/C&gt;&lt;D xsi:type="xsd:double"&gt;0.0089653935&lt;/D&gt;&lt;/FQL&gt;&lt;FQL&gt;&lt;Q&gt;JPYUSD^FG_PRICE(44466)&lt;/Q&gt;&lt;R&gt;1&lt;/R&gt;&lt;C&gt;1&lt;/C&gt;&lt;D xsi:type="xsd:double"&gt;0.0090102265&lt;/D&gt;&lt;/FQL&gt;&lt;FQL&gt;&lt;Q&gt;JPYUSD^FG_PRICE(44458)&lt;/Q&gt;&lt;R&gt;1&lt;/R&gt;&lt;C&gt;1&lt;/C&gt;&lt;D xsi:type="xsd:double"&gt;0.009093389&lt;/D&gt;&lt;/FQL&gt;&lt;FQL&gt;&lt;Q&gt;JPYUSD^FG_PRICE(44450)&lt;/Q&gt;&lt;R&gt;1&lt;/R&gt;&lt;C&gt;1&lt;/C&gt;&lt;D xsi:type="xsd:double"&gt;0.009104152&lt;/D&gt;&lt;/FQL&gt;&lt;FQL&gt;&lt;Q&gt;JPYUSD^FG_PRICE(44442)&lt;/Q&gt;&lt;R&gt;1&lt;/R&gt;&lt;C&gt;1&lt;/C&gt;&lt;D xsi:type="xsd:double"&gt;0.00911868&lt;/D&gt;&lt;/FQL&gt;&lt;FQL&gt;&lt;Q&gt;JPYUSD^FG_PRICE(44434)&lt;/Q&gt;&lt;R&gt;1&lt;/R&gt;&lt;C&gt;1&lt;/C&gt;&lt;D xsi:type="xsd:double"&gt;0.009086778&lt;/D&gt;&lt;/FQL&gt;&lt;FQL&gt;&lt;Q&gt;JPYUSD^FG_PRICE(44426)&lt;/Q&gt;&lt;R&gt;1&lt;/R&gt;&lt;C&gt;1&lt;/C&gt;&lt;D xsi:type="xsd:double"&gt;0.009099595&lt;/D&gt;&lt;/FQL&gt;&lt;FQL&gt;&lt;Q&gt;JPYUSD^FG_PRICE(44418)&lt;/Q&gt;&lt;R&gt;1&lt;/R&gt;&lt;C&gt;1&lt;/C&gt;&lt;D xsi:type="xsd:double"&gt;0.00904568&lt;/D&gt;&lt;/FQL&gt;&lt;FQL&gt;&lt;Q&gt;JPYUSD^FG_PRICE(44410)&lt;/Q&gt;&lt;R&gt;1&lt;/R&gt;&lt;C&gt;1&lt;/C&gt;&lt;D xsi:type="xsd:double"&gt;0.009152061&lt;/D&gt;&lt;/FQL&gt;&lt;FQL&gt;&lt;Q&gt;JPYUSD^FG_PRICE(44402)&lt;/Q&gt;&lt;R&gt;1&lt;/R&gt;&lt;C&gt;1&lt;/C&gt;&lt;D xsi:type="xsd:double"&gt;0.009044045&lt;/D&gt;&lt;/FQL&gt;&lt;FQL&gt;&lt;Q&gt;JPYUSD^FG_PRICE(44394)&lt;/Q&gt;&lt;R&gt;1&lt;/R&gt;&lt;C&gt;1&lt;/C&gt;&lt;D xsi:type="xsd:double"&gt;0.009082239&lt;/D&gt;&lt;/FQL&gt;&lt;FQL&gt;&lt;Q&gt;JPYUSD^FG_PRICE(44386)&lt;/Q&gt;&lt;R&gt;1&lt;/R&gt;&lt;C&gt;1&lt;/C&gt;&lt;D xsi:type="xsd:double"&gt;0.009079354&lt;/D&gt;&lt;/FQL&gt;&lt;FQL&gt;&lt;Q&gt;JP</t>
        </r>
      </text>
    </comment>
    <comment ref="A4" authorId="0" shapeId="0" xr:uid="{D261564B-76A4-48FC-A782-4B4BA77DFF3B}">
      <text>
        <r>
          <rPr>
            <b/>
            <sz val="9"/>
            <color indexed="81"/>
            <rFont val="Tahoma"/>
            <family val="2"/>
          </rPr>
          <t>YUSD^FG_PRICE(44378)&lt;/Q&gt;&lt;R&gt;1&lt;/R&gt;&lt;C&gt;1&lt;/C&gt;&lt;D xsi:type="xsd:double"&gt;0.0089653935&lt;/D&gt;&lt;/FQL&gt;&lt;FQL&gt;&lt;Q&gt;JPYUSD^FG_PRICE(44370)&lt;/Q&gt;&lt;R&gt;1&lt;/R&gt;&lt;C&gt;1&lt;/C&gt;&lt;D xsi:type="xsd:double"&gt;0.00902527&lt;/D&gt;&lt;/FQL&gt;&lt;FQL&gt;&lt;Q&gt;JPYUSD^FG_PRICE(44362)&lt;/Q&gt;&lt;R&gt;1&lt;/R&gt;&lt;C&gt;1&lt;/C&gt;&lt;D xsi:type="xsd:double"&gt;0.009083889&lt;/D&gt;&lt;/FQL&gt;&lt;FQL&gt;&lt;Q&gt;JPYUSD^FG_PRICE(44354)&lt;/Q&gt;&lt;R&gt;1&lt;/R&gt;&lt;C&gt;1&lt;/C&gt;&lt;D xsi:type="xsd:double"&gt;0.0091495495&lt;/D&gt;&lt;/FQL&gt;&lt;FQL&gt;&lt;Q&gt;JPYUSD^FG_PRICE(44346)&lt;/Q&gt;&lt;R&gt;1&lt;/R&gt;&lt;C&gt;1&lt;/C&gt;&lt;D xsi:type="xsd:double"&gt;0.009092975&lt;/D&gt;&lt;/FQL&gt;&lt;FQL&gt;&lt;Q&gt;JPYUSD^FG_PRICE(44338)&lt;/Q&gt;&lt;R&gt;1&lt;/R&gt;&lt;C&gt;1&lt;/C&gt;&lt;D xsi:type="xsd:double"&gt;0.009177259&lt;/D&gt;&lt;/FQL&gt;&lt;FQL&gt;&lt;Q&gt;JPYUSD^FG_PRICE(44330)&lt;/Q&gt;&lt;R&gt;1&lt;/R&gt;&lt;C&gt;1&lt;/C&gt;&lt;D xsi:type="xsd:double"&gt;0.009137845&lt;/D&gt;&lt;/FQL&gt;&lt;FQL&gt;&lt;Q&gt;JPYUSD^FG_PRICE(44322)&lt;/Q&gt;&lt;R&gt;1&lt;/R&gt;&lt;C&gt;1&lt;/C&gt;&lt;D xsi:type="xsd:double"&gt;0.009168004&lt;/D&gt;&lt;/FQL&gt;&lt;FQL&gt;&lt;Q&gt;JPYUSD^FG_PRICE(44314)&lt;/Q&gt;&lt;R&gt;1&lt;/R&gt;&lt;C&gt;1&lt;/C&gt;&lt;D xsi:type="xsd:double"&gt;0.009182315&lt;/D&gt;&lt;/FQL&gt;&lt;FQL&gt;&lt;Q&gt;JPYUSD^FG_PRICE(44306)&lt;/Q&gt;&lt;R&gt;1&lt;/R&gt;&lt;C&gt;1&lt;/C&gt;&lt;D xsi:type="xsd:double"&gt;0.009248555&lt;/D&gt;&lt;/FQL&gt;&lt;FQL&gt;&lt;Q&gt;JPYUSD^FG_PRICE(44298)&lt;/Q&gt;&lt;R&gt;1&lt;/R&gt;&lt;C&gt;1&lt;/C&gt;&lt;D xsi:type="xsd:double"&gt;0.009140768&lt;/D&gt;&lt;/FQL&gt;&lt;FQL&gt;&lt;Q&gt;JPYUSD^FG_PRICE(44290)&lt;/Q&gt;&lt;R&gt;1&lt;/R&gt;&lt;C&gt;1&lt;/C&gt;&lt;D xsi:type="xsd:double"&gt;0.0090415925&lt;/D&gt;&lt;/FQL&gt;&lt;FQL&gt;&lt;Q&gt;JPYUSD^FG_PRICE(44282)&lt;/Q&gt;&lt;R&gt;1&lt;/R&gt;&lt;C&gt;1&lt;/C&gt;&lt;D xsi:type="xsd:double"&gt;0.009127836&lt;/D&gt;&lt;/FQL&gt;&lt;FQL&gt;&lt;Q&gt;JPYUSD^FG_PRICE(44274)&lt;/Q&gt;&lt;R&gt;1&lt;/R&gt;&lt;C&gt;1&lt;/C&gt;&lt;D xsi:type="xsd:double"&gt;0.009186532&lt;/D&gt;&lt;/FQL&gt;&lt;FQL&gt;&lt;Q&gt;JPYUSD^FG_PRICE(44266)&lt;/Q&gt;&lt;R&gt;1&lt;/R&gt;&lt;C&gt;1&lt;/C&gt;&lt;D xsi:type="xsd:double"&gt;0.009217439&lt;/D&gt;&lt;/FQL&gt;&lt;FQL&gt;&lt;Q&gt;JPYUSD^FG_PRICE(44258)&lt;/Q&gt;&lt;R&gt;1&lt;/R&gt;&lt;C&gt;1&lt;/C&gt;&lt;D xsi:type="xsd:double"&gt;0.009349289&lt;/D&gt;&lt;/FQL&gt;&lt;FQL&gt;&lt;Q&gt;JPYUSD^FG_PRICE(44250)&lt;/Q&gt;&lt;R&gt;1&lt;/R&gt;&lt;C&gt;1&lt;/C&gt;&lt;D xsi:type="xsd:double"&gt;0.00951339&lt;/D&gt;&lt;/FQL&gt;&lt;FQL&gt;&lt;Q&gt;JPYUSD^FG_PRICE(44242)&lt;/Q&gt;&lt;R&gt;1&lt;/R&gt;&lt;C&gt;1&lt;/C&gt;&lt;D xsi:type="xsd:double"&gt;0.009490818&lt;/D&gt;&lt;/FQL&gt;&lt;FQL&gt;&lt;Q&gt;JPYUSD^FG_PRICE(44234)&lt;/Q&gt;&lt;R&gt;1&lt;/R&gt;&lt;C&gt;1&lt;/C&gt;&lt;D xsi:type="xsd:double"&gt;0.009481819&lt;/D&gt;&lt;/FQL&gt;&lt;FQL&gt;&lt;Q&gt;JPYUSD^FG_PRICE(44226)&lt;/Q&gt;&lt;R&gt;1&lt;/R&gt;&lt;C&gt;1&lt;/C&gt;&lt;D xsi:type="xsd:double"&gt;0.009551555&lt;/D&gt;&lt;/FQL&gt;&lt;FQL&gt;&lt;Q&gt;JPYUSD^FG_PRICE(44218)&lt;/Q&gt;&lt;R&gt;1&lt;/R&gt;&lt;C&gt;1&lt;/C&gt;&lt;D xsi:type="xsd:double"&gt;0.009633911&lt;/D&gt;&lt;/FQL&gt;&lt;FQL&gt;&lt;Q&gt;JPYUSD^FG_PRICE(44210)&lt;/Q&gt;&lt;R&gt;1&lt;/R&gt;&lt;C&gt;1&lt;/C&gt;&lt;D xsi:type="xsd:double"&gt;0.009631592&lt;/D&gt;&lt;/FQL&gt;&lt;FQL&gt;&lt;Q&gt;JPYUSD^FG_PRICE(44202)&lt;/Q&gt;&lt;R&gt;1&lt;/R&gt;&lt;C&gt;1&lt;/C&gt;&lt;D xsi:type="xsd:double"&gt;0.009672116&lt;/D&gt;&lt;/FQL&gt;&lt;FQL&gt;&lt;Q&gt;JPYUSD^FG_PRICE(44194)&lt;/Q&gt;&lt;R&gt;1&lt;/R&gt;&lt;C&gt;1&lt;/C&gt;&lt;D xsi:type="xsd:double"&gt;0.009651578&lt;/D&gt;&lt;/FQL&gt;&lt;FQL&gt;&lt;Q&gt;JPYUSD^FG_PRICE(44186)&lt;/Q&gt;&lt;R&gt;1&lt;/R&gt;&lt;C&gt;1&lt;/C&gt;&lt;D xsi:type="xsd:double"&gt;0.009661836&lt;/D&gt;&lt;/FQL&gt;&lt;FQL&gt;&lt;Q&gt;JPYUSD^FG_PRICE(44178)&lt;/Q&gt;&lt;R&gt;1&lt;/R&gt;&lt;C&gt;1&lt;/C&gt;&lt;D xsi:type="xsd:double"&gt;0.009620473&lt;/D&gt;&lt;/FQL&gt;&lt;FQL&gt;&lt;Q&gt;JPYUSD^FG_PRICE(44170)&lt;/Q&gt;&lt;R&gt;1&lt;/R&gt;&lt;C&gt;1&lt;/C&gt;&lt;D xsi:type="xsd:double"&gt;0.00959739&lt;/D&gt;&lt;/FQL&gt;&lt;FQL&gt;&lt;Q&gt;JPYUSD^FG_PRICE(44162)&lt;/Q&gt;&lt;R&gt;1&lt;/R&gt;&lt;C&gt;1&lt;/C&gt;&lt;D xsi:type="xsd:double"&gt;0.009614923&lt;/D&gt;&lt;/FQL&gt;&lt;FQL&gt;&lt;Q&gt;JPYUSD^FG_PRICE(44154)&lt;/Q&gt;&lt;R&gt;1&lt;/R&gt;&lt;C&gt;1&lt;/C&gt;&lt;D xsi:type="xsd:double"&gt;0.009625102&lt;/D&gt;&lt;/FQL&gt;&lt;FQL&gt;&lt;Q&gt;JPYUSD^FG_PRICE(44146)&lt;/Q&gt;&lt;R&gt;1&lt;/R&gt;&lt;C&gt;1&lt;/C&gt;&lt;D xsi:type="xsd:double"&gt;0.009467008&lt;/D&gt;&lt;/FQL&gt;&lt;FQL&gt;&lt;Q&gt;JPYUSD^FG_PRICE(45644)&lt;/Q&gt;&lt;R&gt;1&lt;/R&gt;&lt;C&gt;1&lt;/C&gt;&lt;D xsi:type="xsd:double"&gt;0.007451287&lt;/D&gt;&lt;/FQL&gt;&lt;FQL&gt;&lt;Q&gt;JPYUSD^FG_PRICE(45623)&lt;/Q&gt;&lt;R&gt;1&lt;/R&gt;&lt;C&gt;1&lt;/C&gt;&lt;D xsi:type="xsd:double"&gt;0.007451287&lt;/D&gt;&lt;/FQL&gt;&lt;FQL&gt;&lt;Q&gt;JPYUSD^FG_PRICE(45603)&lt;/Q&gt;&lt;R&gt;1&lt;/R&gt;&lt;C&gt;1&lt;/C&gt;&lt;D xsi:type="xsd:double"&gt;0.007451287&lt;/D&gt;&lt;/FQL&gt;&lt;FQL&gt;&lt;Q&gt;JPYUSD^FG_PRICE(45580)&lt;/Q&gt;&lt;R&gt;1&lt;/R&gt;&lt;C&gt;1&lt;/C&gt;&lt;D xsi:type="xsd:double"&gt;0.007451287&lt;/D&gt;&lt;/FQL&gt;&lt;FQL&gt;&lt;Q&gt;JPYUSD^FG_PRICE(45559)&lt;/Q&gt;&lt;R&gt;1&lt;/R&gt;&lt;C&gt;1&lt;/C&gt;&lt;D xsi:type="xsd:double"&gt;0.007451287&lt;/D&gt;&lt;/FQL&gt;&lt;FQL&gt;&lt;Q&gt;JPYUSD^FG_PRICE(45539)&lt;/Q&gt;&lt;R&gt;1&lt;/R&gt;&lt;C&gt;1&lt;/C&gt;&lt;D xsi:type="xsd:double"&gt;0.007451287&lt;/D&gt;&lt;/FQL&gt;&lt;FQL&gt;&lt;Q&gt;JPYUSD^FG_PRICE(45516)&lt;/Q&gt;&lt;R&gt;1&lt;/R&gt;&lt;C&gt;1&lt;/C&gt;&lt;D xsi:type="xsd:double"&gt;0.007451287&lt;/D&gt;&lt;/FQL&gt;&lt;FQL&gt;&lt;Q&gt;JPYUSD^FG_PRICE(45495)&lt;/Q&gt;&lt;R&gt;1&lt;/R&gt;&lt;C&gt;1&lt;/C&gt;&lt;D xsi:type="xsd:double"&gt;0.007451287&lt;/D&gt;&lt;/FQL&gt;&lt;FQL&gt;&lt;Q&gt;JPYUSD^FG_PRICE(45475)&lt;/Q&gt;&lt;R&gt;1&lt;/R&gt;&lt;C&gt;1&lt;/C&gt;&lt;D xsi:type="xsd:double"&gt;0.007451287&lt;/D&gt;&lt;/FQL&gt;&lt;FQL&gt;&lt;Q&gt;JPYUSD^FG_PRICE(45452)&lt;/Q&gt;&lt;R&gt;1&lt;/R&gt;&lt;C&gt;1&lt;/C&gt;&lt;D xsi:type="xsd:double"&gt;0.007451287&lt;/D&gt;&lt;/FQL&gt;&lt;FQL&gt;&lt;Q&gt;JPYUSD^FG_PRICE(45431)&lt;/Q&gt;&lt;R&gt;1&lt;/R&gt;&lt;C&gt;1&lt;/C&gt;&lt;D xsi:type="xsd:double"&gt;0.007451287&lt;/D&gt;&lt;/FQL&gt;&lt;FQL&gt;&lt;Q&gt;JPYUSD^FG_PRICE(45411)&lt;/Q&gt;&lt;R&gt;1&lt;/R&gt;&lt;C&gt;1&lt;/C&gt;&lt;D xsi:type="xsd:double"&gt;0.007451287&lt;/D&gt;&lt;/FQL&gt;&lt;FQL&gt;&lt;Q&gt;JPYUSD^FG_PRICE(45388)&lt;/Q&gt;&lt;R&gt;1&lt;/R&gt;&lt;C&gt;1&lt;/C&gt;&lt;D xsi:type="xsd:double"&gt;0.007451287&lt;/D&gt;&lt;/FQL&gt;&lt;FQL&gt;&lt;Q&gt;JPYUSD^FG_PRICE(45367)&lt;/Q&gt;&lt;R&gt;1&lt;/R&gt;&lt;C&gt;1&lt;/C&gt;&lt;D xsi:type="xsd:double"&gt;0.007451287&lt;/D&gt;&lt;/FQL&gt;&lt;FQL&gt;&lt;Q&gt;JPYUSD^FG_PRICE(45347)&lt;/Q&gt;&lt;R&gt;1&lt;/R&gt;&lt;C&gt;1&lt;/C&gt;&lt;D xsi:type="xsd:double"&gt;0.007451287&lt;/D&gt;&lt;/FQL&gt;&lt;FQL&gt;&lt;Q&gt;JPYUSD^FG_PRICE(45324)&lt;/Q&gt;&lt;R&gt;1&lt;/R&gt;&lt;C&gt;1&lt;/C&gt;&lt;D xsi:type="xsd:double"&gt;0.007451287&lt;/D&gt;&lt;/FQL&gt;&lt;FQL&gt;&lt;Q&gt;JPYUSD^FG_PRICE(45303)&lt;/Q&gt;&lt;R&gt;1&lt;/R&gt;&lt;C&gt;1&lt;/C&gt;&lt;D xsi:type="xsd:double"&gt;0.007451287&lt;/D&gt;&lt;/FQL&gt;&lt;FQL&gt;&lt;Q&gt;JPYUSD^FG_PRICE(45283)&lt;/Q&gt;&lt;R&gt;1&lt;/R&gt;&lt;C&gt;1&lt;/C&gt;&lt;D xsi:type="xsd:double"&gt;0.007451287&lt;/D&gt;&lt;/FQL&gt;&lt;FQL&gt;&lt;Q&gt;JPYUSD^FG_PRICE(45260)&lt;/Q&gt;&lt;R&gt;1&lt;/R&gt;&lt;C&gt;1&lt;/C&gt;&lt;D xsi:type="xsd:double"&gt;0.007451287&lt;/D&gt;&lt;/FQL&gt;&lt;FQL&gt;&lt;Q&gt;JPYUSD^FG_PRICE(45239)&lt;/Q&gt;&lt;R&gt;1&lt;/R&gt;&lt;C&gt;1&lt;/C&gt;&lt;D xsi:type="xsd:double"&gt;0.007451287&lt;/D&gt;&lt;/FQL&gt;&lt;FQL&gt;&lt;Q&gt;JPYUSD^FG_PRICE(45219)&lt;/Q&gt;&lt;R&gt;1&lt;/R&gt;&lt;C&gt;1&lt;/C&gt;&lt;D xsi:type="xsd:double"&gt;0.007451287&lt;/D&gt;&lt;/FQL&gt;&lt;FQL&gt;&lt;Q&gt;JPYUSD^FG_PRICE(45196)&lt;/Q&gt;&lt;R&gt;1&lt;/R&gt;&lt;C&gt;1&lt;/C&gt;&lt;D xsi:type="xsd:double"&gt;0.007451287&lt;/D&gt;&lt;/FQL&gt;&lt;FQL&gt;&lt;Q&gt;JPYUSD^FG_PRICE(45175)&lt;/Q&gt;&lt;R&gt;1&lt;/R&gt;&lt;C&gt;1&lt;/C&gt;&lt;D xsi:type="xsd:double"&gt;0.007451287&lt;/D&gt;&lt;/FQL&gt;&lt;FQL&gt;&lt;Q&gt;JPYUSD^FG_PRICE(45155)&lt;/Q&gt;&lt;R&gt;1&lt;/R&gt;&lt;C&gt;1&lt;/C&gt;&lt;D xsi:type="xsd:double"&gt;0.007451287&lt;/D&gt;&lt;/FQL&gt;&lt;FQL&gt;&lt;Q&gt;JPYUSD^FG_PRICE(45132)&lt;/Q&gt;&lt;R&gt;1&lt;/R&gt;&lt;C&gt;1&lt;/C&gt;&lt;D xsi:type="xsd:double"&gt;0.007451287&lt;/D&gt;&lt;/FQL&gt;&lt;FQL&gt;&lt;Q&gt;JPYUSD^FG_PRICE(45111)&lt;/Q&gt;&lt;R&gt;1&lt;/R&gt;&lt;C&gt;1&lt;/C&gt;&lt;D xsi:type="xsd:double"&gt;0.007451287&lt;/D&gt;&lt;/FQL&gt;&lt;FQL&gt;&lt;Q&gt;JPYUSD^FG_PRICE(45091)&lt;/Q&gt;&lt;R&gt;1&lt;/R&gt;&lt;C&gt;1&lt;/C&gt;&lt;D xsi:type="xsd:double"&gt;0.007451287&lt;/D&gt;&lt;/FQL&gt;&lt;FQL&gt;&lt;Q&gt;JPYUSD^FG_PRICE(45068)&lt;/Q&gt;&lt;R&gt;1&lt;/R&gt;&lt;C&gt;1&lt;/C&gt;&lt;D xsi:type="xsd:double"&gt;0.007451287&lt;/D&gt;&lt;/FQL&gt;&lt;FQL&gt;&lt;Q&gt;JPYUSD^FG_PRICE(45047)&lt;/Q&gt;&lt;R&gt;1&lt;/R&gt;&lt;C&gt;1&lt;/C&gt;&lt;D xsi:type="xsd:double"&gt;0.007451287&lt;/D&gt;&lt;/FQL&gt;&lt;FQL&gt;&lt;Q&gt;JPYUSD^FG_PRICE(45027)&lt;/Q&gt;&lt;R&gt;1&lt;/R&gt;&lt;C&gt;1&lt;/C&gt;&lt;D xsi:type="xsd:double"&gt;0.007451287&lt;/D&gt;&lt;/FQL&gt;&lt;FQL&gt;&lt;Q&gt;JPYUSD^FG_PRICE(45004)&lt;/Q&gt;&lt;R&gt;1&lt;/R&gt;&lt;C&gt;1&lt;/C&gt;&lt;D xsi:type="xsd:double"&gt;0.007451287&lt;/D&gt;&lt;/FQL&gt;&lt;FQL&gt;&lt;Q&gt;JPYUSD^FG_PRICE(44983)&lt;/Q&gt;&lt;R&gt;1&lt;/R&gt;&lt;C&gt;1&lt;/C&gt;&lt;D xsi:type="xsd:double"&gt;0.007451287&lt;/D&gt;&lt;/FQL&gt;&lt;FQL&gt;&lt;Q&gt;JPYUSD^FG_PRICE(44963)&lt;/Q&gt;&lt;R&gt;1&lt;/R&gt;&lt;C&gt;1&lt;/C&gt;&lt;D xsi:type="xsd:double"&gt;0.00752672&lt;/D&gt;&lt;/FQL&gt;&lt;FQL&gt;&lt;Q&gt;JPYUSD^FG_PRICE(44940)&lt;/Q&gt;&lt;R&gt;1&lt;/R&gt;&lt;C&gt;1&lt;/C&gt;&lt;D xsi:type="xsd:double"&gt;0.007842215&lt;/D&gt;&lt;/FQL&gt;&lt;FQL&gt;&lt;Q&gt;JPYUSD^FG_PRICE(44924)&lt;/Q&gt;&lt;R&gt;1&lt;/R&gt;&lt;C&gt;1&lt;/C&gt;&lt;D xsi:type="xsd:double"&gt;0.007506098&lt;/D&gt;&lt;/FQL&gt;&lt;FQL&gt;&lt;Q&gt;JPYUSD^FG_PRICE(44911)&lt;/Q&gt;&lt;R&gt;1&lt;/R&gt;&lt;C&gt;1&lt;/C&gt;&lt;D xsi:type="xsd:double"&gt;0.0073171626&lt;/D&gt;&lt;/FQL&gt;&lt;FQL&gt;&lt;Q&gt;JPYUSD^FG_PRICE(44899)&lt;/Q&gt;&lt;R&gt;1&lt;/R&gt;&lt;C&gt;1&lt;/C&gt;&lt;D xsi:type="xsd:double"&gt;0.0073814355&lt;/D&gt;&lt;/FQL&gt;&lt;FQL&gt;&lt;Q&gt;JPYUSD^FG_PRICE(44885)&lt;/Q&gt;&lt;R&gt;1&lt;/R&gt;&lt;C&gt;1&lt;/C&gt;&lt;D xsi:type="xsd:double"&gt;0.0071487296&lt;/D&gt;&lt;/FQL&gt;&lt;FQL&gt;&lt;Q&gt;JPYUSD^FG_PRICE(44872)&lt;/Q&gt;&lt;R&gt;1&lt;/R&gt;&lt;C&gt;1&lt;/C&gt;&lt;D xsi:type="xsd:double"&gt;0.0068273367&lt;/D&gt;&lt;/FQL&gt;&lt;FQL&gt;&lt;Q&gt;JPYUSD^FG_PRICE(44860)&lt;/Q&gt;&lt;R&gt;1&lt;/R&gt;&lt;C&gt;1&lt;/C&gt;&lt;D xsi:type="xsd:double"&gt;0.0068201195&lt;/D&gt;&lt;/FQL&gt;&lt;FQL&gt;&lt;Q&gt;JPYUSD^FG_PRICE(44847)&lt;/Q&gt;&lt;R&gt;1&lt;/R&gt;&lt;C&gt;1&lt;/C&gt;&lt;D xsi:type="xsd:double"&gt;0.0067854114&lt;/D&gt;&lt;/FQL&gt;&lt;FQL&gt;&lt;Q&gt;JPYUSD^FG_PRICE(44835)&lt;/Q&gt;&lt;R&gt;1&lt;/R&gt;&lt;C&gt;1&lt;/C&gt;&lt;D xsi:type="xsd:double"&gt;0.0069087017&lt;/D&gt;&lt;/FQL&gt;&lt;FQL&gt;&lt;Q&gt;JPYUSD^FG_PRICE(44821)&lt;/Q&gt;&lt;R&gt;1&lt;/R&gt;&lt;C&gt;1&lt;/C&gt;&lt;D xsi:type="xsd:double"&gt;0.0069959424&lt;/D&gt;&lt;/FQL&gt;&lt;FQL&gt;&lt;Q&gt;JPYUSD^FG_PRICE(44808)&lt;/Q&gt;&lt;R&gt;1&lt;/R&gt;&lt;C&gt;1&lt;/C&gt;&lt;D xsi:type="xsd:double"&gt;0.007141072&lt;/D&gt;&lt;/FQL&gt;&lt;FQL&gt;&lt;Q&gt;JPYUSD^FG_PRICE(44796)&lt;/Q&gt;&lt;R&gt;1&lt;/R&gt;&lt;C&gt;1&lt;/C&gt;&lt;D xsi:type="xsd:double"&gt;0.0073394496&lt;/D&gt;&lt;/FQL&gt;&lt;FQL&gt;&lt;Q&gt;JPYUSD^FG_PRICE(44783)&lt;/Q&gt;&lt;R&gt;1&lt;/R&gt;&lt;C&gt;1&lt;/C&gt;&lt;D xsi:type="xsd:double"&gt;0.0075685903&lt;/D&gt;&lt;/FQL&gt;&lt;FQL&gt;&lt;Q&gt;JPYUSD^FG_PRICE(44771)&lt;/Q&gt;&lt;R&gt;1&lt;/R&gt;&lt;C&gt;1&lt;/C&gt;&lt;D xsi:type="xsd:double"&gt;0.00748223&lt;/D&gt;&lt;/FQL&gt;&lt;FQL&gt;&lt;Q&gt;JPYUSD^FG_PRICE(44757)&lt;/Q&gt;&lt;R&gt;1&lt;/R&gt;&lt;C&gt;1&lt;/C&gt;&lt;D xsi:type="xsd:double"&gt;0.0072157877&lt;/D&gt;&lt;/FQL&gt;&lt;FQL&gt;&lt;Q&gt;JPYUSD^FG_PRICE(44744)&lt;/Q&gt;&lt;R&gt;1&lt;/R&gt;&lt;C&gt;1&lt;/C&gt;&lt;D xsi:type="xsd:double"&gt;0.0074011027&lt;/D&gt;&lt;/FQL&gt;&lt;FQL&gt;&lt;Q&gt;JPYUSD^FG_PRICE(44732)&lt;/Q&gt;&lt;R&gt;1&lt;/R&gt;&lt;C&gt;1&lt;/C&gt;&lt;D xsi:type="xsd:double"&gt;0.0074093286&lt;/D&gt;&lt;/FQL&gt;&lt;FQL&gt;&lt;Q&gt;JPYUSD^FG_PRICE(44719)&lt;/Q&gt;&lt;R&gt;1&lt;/R&gt;&lt;C&gt;1&lt;/C&gt;&lt;D xsi:type="xsd:double"&gt;0.007548594&lt;/D&gt;&lt;/FQL&gt;&lt;FQL&gt;&lt;Q&gt;JPYUSD^FG_PRICE(44707)&lt;/Q&gt;&lt;R&gt;1&lt;/R&gt;&lt;C&gt;1&lt;/C&gt;&lt;D xsi:type="xsd:double"&gt;0.007853918&lt;/D&gt;&lt;/FQL&gt;&lt;FQL&gt;&lt;Q&gt;JPYUSD^FG_PRICE(44693)&lt;/Q&gt;&lt;R&gt;1&lt;/R&gt;&lt;C&gt;1&lt;/C&gt;&lt;D xsi:type="xsd:double"&gt;0.007805487&lt;/D&gt;&lt;/FQL&gt;&lt;FQL&gt;&lt;Q&gt;JPYUSD^FG_PRICE(44683)&lt;/Q&gt;&lt;R&gt;1&lt;/R&gt;&lt;C&gt;1&lt;/C&gt;&lt;D xsi:type="xsd:double"&gt;0.0076784273&lt;/D&gt;&lt;/FQL&gt;&lt;FQL&gt;&lt;Q&gt;JPYUSD^FG_PRICE(44672)&lt;/Q&gt;&lt;R&gt;1&lt;/R&gt;&lt;C&gt;1&lt;/C&gt;&lt;D xsi:type="xsd:double"&gt;0.007781798&lt;/D&gt;&lt;/FQL&gt;&lt;FQL&gt;&lt;Q&gt;JPYUSD^FG_PRICE(44661)&lt;/Q&gt;&lt;R&gt;1&lt;/R&gt;&lt;C&gt;1&lt;/C&gt;&lt;D xsi:type="xsd:double"&gt;0.008038262&lt;/D&gt;&lt;/FQL&gt;&lt;FQL&gt;&lt;Q&gt;JPYUSD^FG_PRICE(44651)&lt;/Q&gt;&lt;R&gt;1&lt;/R&gt;&lt;C&gt;1&lt;/C&gt;&lt;D xsi:type="xsd:double"&gt;0.008238929&lt;/D&gt;&lt;/FQL&gt;&lt;FQL&gt;&lt;Q&gt;JPYUSD^FG_PRICE(44641)&lt;/Q&gt;&lt;R&gt;1&lt;/R&gt;&lt;C&gt;1&lt;/C&gt;&lt;D xsi:type="xsd:double"&gt;0.008392782&lt;/D&gt;&lt;/FQL&gt;&lt;FQL&gt;&lt;Q&gt;JPYUSD^FG_PRICE(44633)&lt;/Q&gt;&lt;R&gt;1&lt;/R&gt;&lt;C&gt;1&lt;/C&gt;&lt;D xsi:type="xsd:double"&gt;0.008547374&lt;/D&gt;&lt;/FQL&gt;&lt;FQL&gt;&lt;Q&gt;JPYUSD^FG_PRICE(44625)&lt;/Q&gt;&lt;R&gt;1&lt;/R&gt;&lt;C&gt;1&lt;/C&gt;&lt;D xsi:type="xsd:double"&gt;0.0087096635&lt;/D&gt;&lt;/FQL&gt;&lt;FQL&gt;&lt;Q&gt;JPYUSD^FG_PRICE(44617)&lt;/Q&gt;&lt;R&gt;1&lt;/R&gt;&lt;C&gt;1&lt;/C&gt;&lt;D xsi:type="xsd:double"&gt;0.008652016&lt;/D&gt;&lt;/FQL&gt;&lt;FQL&gt;&lt;Q&gt;JPYUSD^FG_PRICE(44609)&lt;/Q&gt;&lt;R&gt;1&lt;/R&gt;&lt;C&gt;1&lt;/C&gt;&lt;D xsi:type="xsd:double"&gt;0.0086982995&lt;/D&gt;&lt;/FQL&gt;&lt;FQL&gt;&lt;Q&gt;JPYUSD^FG_PRICE(44601)&lt;/Q&gt;&lt;R&gt;1&lt;/R&gt;&lt;C&gt;1&lt;/C&gt;&lt;D xsi:type="xsd:double"&gt;0.008660633&lt;/D&gt;&lt;/FQL&gt;&lt;FQL&gt;&lt;Q&gt;JPYUSD^FG_PRICE(44593)&lt;/Q&gt;&lt;R&gt;1&lt;/R&gt;&lt;C&gt;1&lt;/C&gt;&lt;D xsi:type="xsd:double"&gt;0.00871232&lt;/D&gt;&lt;/FQL&gt;&lt;FQL&gt;&lt;Q&gt;JPYUSD^FG_PRICE(44585)&lt;/Q&gt;&lt;R&gt;1&lt;/R&gt;&lt;C&gt;1&lt;/C&gt;&lt;D xsi:type="xsd:double"&gt;0.008776935&lt;/D&gt;&lt;/FQL&gt;&lt;FQL&gt;&lt;Q&gt;JPYUSD^FG_PRICE(44577)&lt;/Q&gt;&lt;R&gt;1&lt;/R&gt;&lt;C&gt;1&lt;/C&gt;&lt;D xsi:type="xsd:double"&gt;0.008788505&lt;/D&gt;&lt;/FQL&gt;&lt;FQL&gt;&lt;Q&gt;JPYUSD^FG_PRICE(44569)&lt;/Q&gt;&lt;R&gt;1&lt;/R&gt;&lt;C&gt;1&lt;/C&gt;&lt;D xsi:type="xsd:double"&gt;0.0086482745&lt;/D&gt;&lt;/FQL&gt;&lt;FQL&gt;&lt;Q&gt;JPYUSD^FG_PRICE(44561)&lt;/Q&gt;&lt;R&gt;1&lt;/R&gt;&lt;C&gt;1&lt;/C&gt;&lt;D xsi:type="xsd:double"&gt;0.008683948&lt;/D&gt;&lt;/FQL&gt;&lt;FQL&gt;&lt;Q&gt;JPYUSD^FG_PRICE(44553)&lt;/Q&gt;&lt;R&gt;1&lt;/R&gt;&lt;C&gt;1&lt;/C&gt;&lt;D xsi:type="xsd:double"&gt;0.008740877&lt;/D&gt;&lt;/FQL&gt;&lt;FQL&gt;&lt;Q&gt;JPYUSD^FG_PRICE(44545)&lt;/Q&gt;&lt;R&gt;1&lt;/R&gt;&lt;C&gt;1&lt;/C&gt;&lt;D xsi:type="xsd:double"&gt;0.008784644&lt;/D&gt;&lt;/FQL&gt;&lt;FQL&gt;&lt;Q&gt;JPYUSD^FG_PRICE(44537)&lt;/Q&gt;&lt;R&gt;1&lt;/R&gt;&lt;C&gt;1&lt;/C&gt;&lt;D xsi:type="xsd:double"&gt;0.0087977825&lt;/D&gt;&lt;/FQL&gt;&lt;FQL&gt;&lt;Q&gt;JPYUSD^FG_PRICE(44529)&lt;/Q&gt;&lt;R&gt;1&lt;/R&gt;&lt;C&gt;1&lt;/C&gt;&lt;D xsi:type="xsd:double"&gt;0.008800105&lt;/D&gt;&lt;/FQL&gt;&lt;FQL&gt;&lt;Q&gt;JPYUSD^FG_PRICE(44521)&lt;/Q&gt;&lt;R&gt;1&lt;/R&gt;&lt;C&gt;1&lt;/C&gt;&lt;D xsi:type="xsd:double"&gt;0.00878233&lt;/D&gt;&lt;/FQL&gt;&lt;FQL&gt;&lt;Q&gt;JPYUSD^FG_PRICE(44513)&lt;/Q&gt;&lt;R&gt;1&lt;/R&gt;&lt;C&gt;1&lt;/C&gt;&lt;D xsi:type="xsd:double"&gt;0.0087753935&lt;/D&gt;&lt;/FQL&gt;&lt;FQL&gt;&lt;Q&gt;JPYUSD^FG_PRICE(44505)&lt;/Q&gt;&lt;R&gt;1&lt;/R&gt;&lt;C&gt;1&lt;/C&gt;&lt;D xsi:type="xsd:double"&gt;0.008813679&lt;/D&gt;&lt;/FQL&gt;&lt;FQL&gt;&lt;Q&gt;JPYUSD^FG_PRICE(44497)&lt;/Q&gt;&lt;R&gt;1&lt;/R&gt;&lt;C&gt;1&lt;/C&gt;&lt;D xsi:type="xsd:double"&gt;0.008819508&lt;/D&gt;&lt;/FQL&gt;&lt;FQL&gt;&lt;Q&gt;JPYUSD^FG_PRICE(44489)&lt;/Q&gt;&lt;R&gt;1&lt;/R&gt;&lt;C&gt;1&lt;/C&gt;&lt;D xsi:type="xsd:double"&gt;0.008747758&lt;/D&gt;&lt;/FQL&gt;&lt;FQL&gt;&lt;Q&gt;JPYUSD^FG_PRICE(44481)&lt;/Q&gt;&lt;R&gt;1&lt;/R&gt;&lt;C&gt;1&lt;/C&gt;&lt;D xsi:type="xsd:double"&gt;0.008802042&lt;/D&gt;&lt;/FQL&gt;&lt;FQL&gt;&lt;Q&gt;JPYUSD^FG_PRICE(44473)&lt;/Q&gt;&lt;R&gt;1&lt;/R&gt;&lt;C&gt;1&lt;/C&gt;&lt;D xsi:type="xsd:double"&gt;0.009020792&lt;/D&gt;&lt;/FQL&gt;&lt;FQL&gt;&lt;Q&gt;JPYUSD^FG_PRICE(44465)&lt;/Q&gt;&lt;R&gt;1&lt;/R&gt;&lt;C&gt;1&lt;/C&gt;&lt;D xsi:type="xsd:double"&gt;0.009033016&lt;/D&gt;&lt;/FQL&gt;&lt;FQL&gt;&lt;Q&gt;JPYUSD^FG_PRICE(44457)&lt;/Q&gt;&lt;R&gt;1&lt;/R&gt;&lt;C&gt;1&lt;/C&gt;&lt;D xsi:type="xsd:double"&gt;0.009093389&lt;/D&gt;&lt;/FQL&gt;&lt;FQL&gt;&lt;Q&gt;JPYUSD^FG_PRICE(44449)&lt;/Q&gt;&lt;R&gt;1&lt;/R&gt;&lt;C&gt;1&lt;/C&gt;&lt;D xsi:type="xsd:double"&gt;0.009104152&lt;/D&gt;&lt;/FQL&gt;&lt;FQL&gt;&lt;Q&gt;JPYUSD^FG_PRICE(44441)&lt;/Q&gt;&lt;R&gt;1&lt;/R&gt;&lt;C&gt;1&lt;/C&gt;&lt;D xsi:type="xsd:double"&gt;0.009092975&lt;/D&gt;&lt;/FQL&gt;&lt;FQL&gt;&lt;Q&gt;JPYUSD^FG_PRICE(44433)&lt;/Q&gt;&lt;R&gt;1&lt;/R&gt;&lt;C&gt;1&lt;/C&gt;&lt;D xsi:type="xsd:double"&gt;0.009082653&lt;/D&gt;&lt;/FQL&gt;&lt;FQL&gt;&lt;Q&gt;JPYUSD^FG_PRICE(44425)&lt;/Q&gt;&lt;R&gt;1&lt;/R&gt;&lt;C&gt;1&lt;/C&gt;&lt;D xsi:type="xsd:double"&gt;0.009124088&lt;/D&gt;&lt;/FQL&gt;&lt;FQL&gt;&lt;Q&gt;JPYUSD^FG_PRICE(44417)&lt;/Q&gt;&lt;R&gt;1&lt;/R&gt;&lt;C&gt;1&lt;/C&gt;&lt;D xsi:type="xsd:double"&gt;0.0090670055&lt;/D&gt;&lt;/FQL&gt;&lt;FQL&gt;&lt;Q&gt;JPYUSD^FG_PRICE(44409)&lt;/Q&gt;&lt;R&gt;1&lt;/R&gt;&lt;C&gt;1&lt;/C&gt;&lt;D xsi:type="xsd:double"&gt;0.009111618&lt;/D&gt;&lt;/FQL&gt;&lt;FQL&gt;&lt;Q&gt;JPYUSD^FG_PRICE(44401)&lt;/Q&gt;&lt;R&gt;1&lt;/R&gt;&lt;C&gt;1&lt;/C&gt;&lt;D xsi:type="xsd:double"&gt;0.009044045&lt;/D&gt;&lt;/FQL&gt;&lt;FQL&gt;&lt;Q&gt;JPYUSD^FG_PRICE(44393)&lt;/Q&gt;&lt;R&gt;1&lt;/R&gt;&lt;C&gt;1&lt;/C&gt;&lt;D xsi:type="xsd:double"&gt;0.009082239&lt;/D&gt;&lt;/FQL&gt;&lt;FQL&gt;&lt;Q&gt;JPYUSD^FG_PRICE(44385)&lt;/Q&gt;&lt;R&gt;1&lt;/R&gt;&lt;C&gt;1&lt;/C&gt;&lt;D xsi:type="xsd:double"&gt;0.009127836&lt;/D&gt;&lt;/FQL&gt;&lt;FQL&gt;&lt;Q&gt;JPYUSD^FG_PRICE(44377)&lt;/Q&gt;&lt;R&gt;1&lt;/R&gt;&lt;C&gt;1&lt;/C&gt;&lt;D xsi:type="xsd:double"&gt;0.009009821&lt;/D&gt;&lt;/FQL&gt;&lt;FQL&gt;&lt;Q&gt;JPYUSD^FG_PRICE(44369)&lt;/Q&gt;&lt;R&gt;1&lt;/R&gt;&lt;C&gt;1&lt;/C&gt;&lt;D xsi:type="xsd:double"&gt;0.009030976&lt;/D&gt;&lt;/FQL&gt;&lt;FQL&gt;&lt;Q&gt;JPYUSD^FG_PRICE(44361)&lt;/Q&gt;&lt;R&gt;1&lt;/R&gt;&lt;C&gt;1&lt;/C&gt;&lt;D xsi:type="xsd:double"&gt;0.009092149&lt;/D&gt;&lt;/FQL&gt;&lt;FQL&gt;&lt;Q&gt;JPYUSD^FG_PRICE(44353)&lt;/Q&gt;&lt;R&gt;1&lt;/R&gt;&lt;C&gt;1&lt;/C&gt;&lt;D xsi:type="xsd:double"&gt;0.009131169&lt;/D&gt;&lt;/FQL&gt;&lt;FQL&gt;&lt;Q&gt;JPYUSD^FG_PRICE(44345)&lt;/Q&gt;&lt;R&gt;1&lt;/R&gt;&lt;C&gt;1&lt;/C&gt;&lt;D xsi:type="xsd:double"&gt;0.009092975&lt;/D&gt;&lt;/FQL&gt;&lt;FQL&gt;&lt;Q&gt;JPYUSD^FG_PRICE(44337)&lt;/Q&gt;&lt;R&gt;1&lt;/R&gt;&lt;C&gt;1&lt;/C&gt;&lt;D xsi:type="xsd:double"&gt;0.009177259&lt;/D&gt;&lt;/FQL&gt;&lt;FQL&gt;&lt;Q&gt;JPYUSD^FG_PRICE(44329)&lt;/Q&gt;&lt;R&gt;1&lt;/R&gt;&lt;C&gt;1&lt;/C&gt;&lt;D xsi:type="xsd:double"&gt;0.009125337&lt;/D&gt;&lt;/FQL&gt;&lt;FQL&gt;&lt;Q&gt;JPYUSD^FG_PRICE(44321)&lt;/Q&gt;&lt;R&gt;1&lt;/R&gt;&lt;C&gt;1&lt;/C&gt;&lt;D xsi:type="xsd:double"&gt;0.009156251&lt;/D&gt;&lt;/FQL&gt;&lt;FQL&gt;&lt;Q&gt;JPYUSD^FG_PRICE(44313)&lt;/Q&gt;&lt;R&gt;1&lt;/R&gt;&lt;C&gt;1&lt;/C&gt;&lt;D xsi:type="xsd:double"&gt;0.009219989&lt;/D&gt;&lt;/FQL&gt;&lt;FQL&gt;&lt;Q&gt;JPYUSD^FG_PRICE(44305)&lt;/Q&gt;&lt;R&gt;1&lt;/R&gt;&lt;C&gt;1&lt;/C&gt;&lt;D xsi:type="xsd:double"&gt;0.009256688&lt;/D&gt;&lt;/FQL&gt;&lt;FQL&gt;&lt;Q&gt;JPYUSD^FG_PRICE(44297)&lt;/Q&gt;&lt;R&gt;1&lt;/R&gt;&lt;C&gt;1&lt;/C&gt;&lt;D xsi:type="xsd:double"&gt;0.009124921&lt;/D&gt;&lt;/FQL&gt;&lt;FQL&gt;&lt;Q&gt;JPYUSD^FG_PRICE(44289)&lt;/Q&gt;&lt;R&gt;1&lt;/R&gt;&lt;C&gt;1&lt;/C&gt;&lt;D xsi:type="xsd:double"&gt;0.0090415925&lt;/D&gt;&lt;/FQL&gt;&lt;FQL&gt;&lt;Q&gt;JPYUSD^FG_PRICE(44281)&lt;/Q&gt;&lt;R&gt;1&lt;/R&gt;&lt;C&gt;1&lt;/C&gt;&lt;D xsi:type="xsd:double"&gt;0.009127836&lt;/D&gt;&lt;/FQL&gt;&lt;FQL&gt;&lt;Q&gt;JPYUSD^FG_PRICE(44273)&lt;/Q&gt;&lt;R&gt;1&lt;/R&gt;&lt;C&gt;1&lt;/C&gt;&lt;D xsi:type="xsd:double"&gt;0.009176416&lt;/D&gt;&lt;/FQL&gt;&lt;FQL&gt;&lt;Q&gt;JPYUSD^FG_PRICE(44265)&lt;/Q&gt;&lt;R&gt;1&lt;/R&gt;&lt;C&gt;1&lt;/C&gt;&lt;D xsi:type="xsd:double"&gt;0.009205984&lt;/D&gt;&lt;/FQL&gt;&lt;FQL&gt;&lt;Q&gt;JPYUSD^FG_PRICE(44257)&lt;/Q&gt;&lt;R&gt;1&lt;/R&gt;&lt;C&gt;1&lt;/C&gt;&lt;D xsi:type="xsd:double"&gt;0.009369876&lt;/D&gt;&lt;/FQL&gt;&lt;FQL&gt;&lt;Q&gt;JPYUSD^FG_PRICE(44249)&lt;/Q&gt;&lt;R&gt;1&lt;/R&gt;&lt;C&gt;1&lt;/C&gt;&lt;D xsi:type="xsd:double"&gt;0.009516559&lt;/D&gt;&lt;/FQL&gt;&lt;FQL&gt;&lt;Q&gt;JPYUSD^FG_PRICE(44241)&lt;/Q&gt;&lt;R&gt;1&lt;/R&gt;&lt;C&gt;1&lt;/C&gt;&lt;D xsi:type="xsd:double"&gt;0.009526078&lt;/D&gt;&lt;/FQL&gt;&lt;FQL&gt;&lt;Q&gt;JPYUSD^FG_PRICE(44233)&lt;/Q&gt;&lt;R&gt;1&lt;/R&gt;&lt;C&gt;1&lt;/C&gt;&lt;D xsi:type="xsd:double"&gt;0.009481819&lt;/D&gt;&lt;/FQL&gt;&lt;FQL&gt;&lt;Q&gt;JPYUSD^FG_PRICE(44225)&lt;/Q&gt;&lt;R&gt;1&lt;/R&gt;&lt;C&gt;1&lt;/C&gt;&lt;D xsi:type="xsd:double"&gt;0.009551555&lt;/D&gt;&lt;/FQL&gt;&lt;FQL&gt;&lt;Q&gt;JPYUSD^FG_PRICE(44217)&lt;/Q&gt;&lt;R&gt;1&lt;/R&gt;&lt;C&gt;1&lt;/C&gt;&lt;D xsi:type="xsd:double"&gt;0.009655305&lt;/D&gt;&lt;/FQL&gt;&lt;FQL&gt;&lt;Q&gt;JPYUSD^FG_PRICE(44209)&lt;/Q&gt;&lt;R&gt;1&lt;/R&gt;&lt;C&gt;1&lt;/C&gt;&lt;D xsi:type="xsd:double"&gt;0.0096213985&lt;/D&gt;&lt;/FQL&gt;&lt;FQL&gt;&lt;Q&gt;JPYUSD^FG_PRICE(44201)&lt;/Q&gt;&lt;R&gt;1&lt;/R&gt;&lt;C&gt;1&lt;/C&gt;&lt;D xsi:type="xsd:double"&gt;0.009728572&lt;/D&gt;&lt;/FQL&gt;&lt;FQL&gt;&lt;Q&gt;JPYUSD^FG_PRICE(44193)&lt;/Q&gt;&lt;R&gt;1&lt;/R&gt;&lt;C&gt;1&lt;/C&gt;&lt;D xsi:type="xsd:double"&gt;0.009629273&lt;/D&gt;&lt;/FQL&gt;&lt;FQL&gt;&lt;Q&gt;JPYUSD^FG_PRICE(44185)&lt;/Q&gt;&lt;R&gt;1&lt;/R&gt;&lt;C&gt;1&lt;/C&gt;&lt;D xsi:type="xsd:double"&gt;0.009671648&lt;/D&gt;&lt;/FQL&gt;&lt;FQL&gt;&lt;Q&gt;JPYUSD^FG_PRICE(44177)&lt;/Q&gt;&lt;R&gt;1&lt;/R&gt;&lt;C&gt;1&lt;/C&gt;&lt;D xsi:type="xsd:double"&gt;0.009620473&lt;/D&gt;&lt;/FQL&gt;&lt;FQL&gt;&lt;Q&gt;JPYUSD^FG_PRICE(44169)&lt;/Q&gt;&lt;R&gt;1&lt;/R&gt;&lt;C&gt;1&lt;/C&gt;&lt;D xsi:type="xsd:double"&gt;0.00959739&lt;/D&gt;&lt;/FQL&gt;&lt;FQL&gt;&lt;Q&gt;JPYUSD^FG_PRICE(44161)&lt;/Q&gt;&lt;R&gt;1&lt;/R&gt;&lt;C&gt;1&lt;/C&gt;&lt;D xsi:type="xsd:double"&gt;0.009589567&lt;/D&gt;&lt;/FQL&gt;&lt;FQL&gt;&lt;Q&gt;JPYUSD^FG_PRICE(44153)&lt;/Q&gt;&lt;R&gt;1&lt;/R&gt;&lt;C&gt;1&lt;/C&gt;&lt;D xsi:type="xsd:double"&gt;0.009645992&lt;/D&gt;&lt;/FQL&gt;&lt;FQL&gt;&lt;Q&gt;JPYUSD^FG_PRICE(44145)&lt;/Q&gt;&lt;R&gt;1&lt;/R&gt;&lt;C&gt;1&lt;/C&gt;&lt;D xsi:type="xsd:double"&gt;0.009505251&lt;/D&gt;&lt;/FQL&gt;&lt;FQL&gt;&lt;Q&gt;JPYUSD^FG_PRICE(44137)&lt;/Q&gt;&lt;R&gt;1&lt;/R&gt;&lt;C&gt;1&lt;/C&gt;&lt;D xsi:type="xsd:double"&gt;0.009541985&lt;/D&gt;&lt;/FQL&gt;&lt;FQL&gt;&lt;Q&gt;JPYUSD^FG_PRICE(44129)&lt;/Q&gt;&lt;R&gt;1&lt;/R&gt;&lt;C&gt;1&lt;/C&gt;&lt;D xsi:type="xsd:double"&gt;0.0095387995&lt;/D&gt;&lt;/FQL&gt;&lt;FQL&gt;&lt;Q&gt;JPYUSD^FG_PRICE(44121)&lt;/Q&gt;&lt;R&gt;1&lt;/R&gt;&lt;C&gt;1&lt;/C&gt;&lt;D xsi:type="xsd:double"&gt;0.009486316&lt;/D&gt;&lt;/FQL&gt;&lt;FQL&gt;&lt;Q&gt;JPYUSD^FG_PRICE(44113)&lt;/Q&gt;&lt;R&gt;1&lt;/R&gt;&lt;C&gt;1&lt;/C&gt;&lt;D xsi:type="xsd:double"&gt;0.009464768&lt;/D&gt;&lt;/FQL&gt;&lt;FQL&gt;&lt;Q&gt;JPYUSD^FG_PRICE(45639)&lt;/Q&gt;&lt;R&gt;1&lt;/R&gt;&lt;C&gt;1&lt;/C&gt;&lt;D xsi:type="xsd:double"&gt;0.007451287&lt;/D&gt;&lt;/FQL&gt;&lt;FQL&gt;&lt;Q&gt;JPYUSD^FG_PRICE(45619)&lt;/Q&gt;&lt;R&gt;1&lt;/R&gt;&lt;C&gt;1&lt;/C&gt;&lt;D xsi:type="xsd:double"&gt;0.007451287&lt;/D&gt;&lt;/FQL&gt;&lt;FQL&gt;&lt;Q&gt;JPYUSD^FG_PRICE(45596)&lt;/Q&gt;&lt;R&gt;1&lt;/R&gt;&lt;C&gt;1&lt;/C&gt;&lt;D xsi:type="xsd:double"&gt;0.007451287&lt;/D&gt;&lt;/FQL&gt;&lt;FQL&gt;&lt;Q&gt;JPYUSD^FG_PRICE(45575)&lt;/Q&gt;&lt;R&gt;1&lt;/R&gt;&lt;C&gt;1&lt;/C&gt;&lt;D xsi:type="xsd:double"&gt;0.007451287&lt;/D&gt;&lt;/FQL&gt;&lt;FQL&gt;&lt;Q&gt;JPYUSD^FG_PRICE(45555)&lt;/Q&gt;&lt;R&gt;1&lt;/R&gt;&lt;C&gt;1&lt;/C&gt;&lt;D xsi:type="xsd:double"&gt;0.007451287&lt;/D&gt;&lt;/FQL&gt;&lt;FQL&gt;&lt;Q&gt;JPYUSD^FG_PRICE(45532)&lt;/Q&gt;&lt;R&gt;1&lt;/R&gt;&lt;C&gt;1&lt;/C&gt;&lt;D xsi:type="xsd:double"&gt;0.007451287&lt;/D&gt;&lt;/FQL&gt;&lt;FQL&gt;&lt;Q&gt;JPYUSD^FG_PRICE(45511)&lt;/Q&gt;&lt;R&gt;1&lt;/R&gt;&lt;C&gt;1&lt;/C&gt;&lt;D xsi:type="xsd:double"&gt;0.007451287&lt;/D&gt;&lt;/FQL&gt;&lt;FQL&gt;&lt;Q&gt;JPYUSD^FG_PRICE(45491)&lt;/Q&gt;&lt;R&gt;1&lt;/R&gt;&lt;C&gt;1&lt;/C&gt;&lt;D xsi:type="xsd:double"&gt;0.007451287&lt;/D&gt;&lt;/FQL&gt;&lt;FQL&gt;&lt;Q&gt;JPYUSD^FG_PRICE(45468)&lt;/Q&gt;&lt;R&gt;1&lt;/R&gt;&lt;C&gt;1&lt;/C&gt;&lt;D xsi:type="xsd:double"&gt;0.007451287&lt;/D&gt;&lt;/FQL&gt;&lt;FQL&gt;&lt;Q&gt;JPYUSD^FG_PRICE(45447)&lt;/Q&gt;&lt;R&gt;1&lt;/R&gt;&lt;C&gt;1&lt;/C&gt;&lt;D xsi:type="xsd:double"&gt;0.007451287&lt;/D&gt;&lt;/FQL&gt;&lt;FQL&gt;&lt;Q&gt;JPYUSD^FG_PRICE(45427)&lt;/Q&gt;&lt;R&gt;1&lt;/R&gt;&lt;C&gt;1&lt;/C&gt;&lt;D xsi:type="xsd:double"&gt;0.007451287&lt;/D&gt;&lt;/FQL&gt;&lt;FQL&gt;&lt;Q&gt;JPYUSD^FG_PRICE(45404)&lt;/Q&gt;&lt;R&gt;1&lt;/R&gt;&lt;C&gt;1&lt;/C&gt;&lt;D xsi:type="xsd:double"&gt;0.007451287&lt;/D&gt;&lt;/FQL&gt;&lt;FQL&gt;&lt;Q&gt;JPYUSD^FG_PRICE(45383)&lt;/Q&gt;&lt;R&gt;1&lt;/R&gt;&lt;C&gt;1&lt;/C&gt;&lt;D xsi:type="xsd:double"&gt;0.007451287&lt;/D&gt;&lt;/FQL&gt;&lt;FQL&gt;&lt;Q&gt;JPYUSD^FG_PRICE(45363)&lt;/Q&gt;&lt;R&gt;1&lt;/R&gt;&lt;C&gt;1&lt;/C&gt;&lt;D xsi:type="xsd:double"&gt;0.007451287&lt;/D&gt;&lt;/FQL&gt;&lt;FQL&gt;&lt;Q&gt;JPYUSD^FG_PRICE(45340)&lt;/Q&gt;&lt;R&gt;1&lt;/R&gt;&lt;C&gt;1&lt;/C&gt;&lt;D xsi:type="xsd:double"&gt;0.007451287&lt;/D&gt;&lt;/FQL&gt;&lt;FQL&gt;&lt;Q&gt;JPYUSD^FG_PRICE(45319)&lt;/Q&gt;&lt;R&gt;1&lt;/R&gt;&lt;C&gt;1&lt;/C&gt;&lt;D xsi:type="xsd:double"&gt;0.007451287&lt;/D&gt;&lt;/FQL&gt;&lt;FQL&gt;&lt;Q&gt;JPYUSD^FG_PRICE(45299)&lt;/Q&gt;&lt;R&gt;1&lt;/R&gt;&lt;C&gt;1&lt;/C&gt;&lt;D xsi:type="xsd:double"&gt;0.007451287&lt;/D&gt;&lt;/FQL&gt;&lt;FQL&gt;&lt;Q&gt;JPYUSD^FG_PRICE(45276)&lt;/Q&gt;&lt;R&gt;1&lt;/R&gt;&lt;C&gt;1&lt;/C&gt;&lt;D xsi:type="xsd:double"&gt;0.007451287&lt;/D&gt;&lt;/FQL&gt;&lt;FQL&gt;&lt;Q&gt;JPYUSD^FG_PRICE(45255)&lt;/Q&gt;&lt;R&gt;1&lt;/R&gt;&lt;C&gt;1&lt;/C&gt;&lt;D xsi:type="xsd:double"&gt;0.007451287&lt;/D&gt;&lt;/FQL&gt;&lt;FQL&gt;&lt;Q&gt;JPYUSD^FG_PRICE(45235)&lt;/Q&gt;&lt;R&gt;1&lt;/R&gt;&lt;C&gt;1&lt;/C&gt;&lt;D xsi:type="xsd:double"&gt;0.007451287&lt;/D&gt;&lt;/FQL&gt;&lt;FQL&gt;&lt;Q&gt;JPYUSD^FG_PRICE(45212)&lt;/Q&gt;&lt;R&gt;1&lt;/R&gt;&lt;C&gt;1&lt;/C&gt;&lt;D xsi:type="xsd:double"&gt;0.007451287&lt;/D&gt;&lt;/FQL&gt;&lt;FQL&gt;&lt;Q&gt;JPYUSD^FG_PRICE(45191)&lt;/Q&gt;&lt;R&gt;1&lt;/R&gt;&lt;C&gt;1&lt;/C&gt;&lt;D xsi:type="xsd:double"&gt;0.007451287&lt;/D&gt;&lt;/FQL&gt;&lt;FQL&gt;&lt;Q&gt;JPYUSD^FG_PRICE(45171)&lt;/Q&gt;&lt;R&gt;1&lt;/R&gt;&lt;C&gt;1&lt;/C&gt;&lt;D xsi:type="xsd:double"&gt;0.007451287&lt;/D&gt;&lt;/FQL&gt;&lt;FQL&gt;&lt;Q&gt;JPYUSD^FG_PRICE(45148)&lt;/Q&gt;&lt;R&gt;1&lt;/R&gt;&lt;C&gt;1&lt;/C&gt;&lt;D xsi:type="xsd:double"&gt;0.007451287&lt;/D&gt;&lt;/FQL&gt;&lt;FQL&gt;&lt;Q&gt;JPYUSD^FG_PRICE(45127)&lt;/Q&gt;&lt;R&gt;1&lt;/R&gt;&lt;C&gt;1&lt;/C&gt;&lt;D xsi:type="xsd:double"&gt;0.007451287&lt;/D&gt;&lt;/FQL&gt;&lt;FQL&gt;&lt;Q&gt;JPYUSD^FG_PRICE(45107)&lt;/Q&gt;&lt;R&gt;1&lt;/R&gt;&lt;C&gt;1&lt;/C&gt;&lt;D xsi:type="xsd:double"&gt;0.007451287&lt;/D&gt;&lt;/FQL&gt;&lt;FQL&gt;&lt;Q&gt;JPYUSD^FG_PRICE(45084)&lt;/Q&gt;&lt;R&gt;1&lt;/R&gt;&lt;C&gt;1&lt;/C&gt;&lt;D xsi:type="xsd:double"&gt;0.007451287&lt;/D&gt;&lt;/FQL&gt;&lt;FQL&gt;&lt;Q&gt;JPYUSD^FG_PRICE(45063)&lt;/Q&gt;&lt;R&gt;1&lt;/R&gt;&lt;C&gt;1&lt;/C&gt;&lt;D xsi:type="xsd:double"&gt;0.007451287&lt;/D&gt;&lt;/FQL&gt;&lt;FQL&gt;&lt;Q&gt;JPYUSD^FG_PRICE(45043)&lt;/Q&gt;&lt;R&gt;1&lt;/R&gt;&lt;C&gt;1&lt;/C&gt;&lt;D xsi:type="xsd:double"&gt;0.007451287&lt;/D&gt;&lt;/FQL&gt;&lt;FQL&gt;&lt;Q&gt;JPYUSD^FG_PRICE(45020)&lt;/Q&gt;&lt;R&gt;1&lt;/R&gt;&lt;C&gt;1&lt;/C&gt;&lt;D xsi:type="xsd:double"&gt;0.007451287&lt;/D&gt;&lt;/FQL&gt;&lt;FQL&gt;&lt;Q&gt;JPYUSD^FG_PRICE(44999)&lt;/Q&gt;&lt;R&gt;1&lt;/R&gt;&lt;C&gt;1&lt;/C&gt;&lt;D xsi:type="xsd:double"&gt;0.007451287&lt;/D&gt;&lt;/FQL&gt;&lt;FQL&gt;&lt;Q&gt;JPYUSD^FG_PRICE(44979)&lt;/Q&gt;&lt;R&gt;1&lt;/R&gt;&lt;C&gt;1&lt;/C&gt;&lt;D xsi:type="xsd:double"&gt;0.007451287&lt;/D&gt;&lt;/FQL&gt;&lt;FQL&gt;&lt;Q&gt;JPYUSD^FG_PRICE(44956)&lt;/Q&gt;&lt;R&gt;1&lt;/R&gt;&lt;C&gt;1&lt;/C&gt;&lt;D xsi:type="xsd:double"&gt;0.0076719476&lt;/D&gt;&lt;/FQL&gt;&lt;FQL&gt;&lt;Q&gt;JPYUSD^FG_PRICE(44935)&lt;/Q&gt;&lt;R&gt;1&lt;/R&gt;&lt;C&gt;1&lt;/C&gt;&lt;D xsi:type="xsd:double"&gt;0.007580352&lt;/D&gt;&lt;/FQL&gt;&lt;FQL&gt;&lt;Q&gt;JPYUSD^FG_PRICE(44920)&lt;/Q&gt;&lt;R&gt;1&lt;/R&gt;&lt;C&gt;1&lt;/C&gt;&lt;D xsi:type="xsd:double"&gt;0.007527286&lt;/D&gt;&lt;/FQL&gt;&lt;FQL&gt;&lt;Q&gt;JPYUSD^FG_PRICE(44908)&lt;/Q&gt;&lt;R&gt;1&lt;/R&gt;&lt;C&gt;1&lt;/C&gt;&lt;D xsi:type="xsd:double"&gt;0.0073983655&lt;/D&gt;&lt;/FQL&gt;&lt;FQL&gt;&lt;Q&gt;JPYUSD^FG_PRICE(44895)&lt;/Q&gt;&lt;R&gt;1&lt;/R&gt;&lt;C&gt;1&lt;/C&gt;&lt;D xsi:type="xsd:double"&gt;0.0071664043&lt;/D&gt;&lt;/FQL&gt;&lt;FQL&gt;&lt;Q&gt;JPYUSD^FG_PRICE(44883)&lt;/Q&gt;&lt;R&gt;1&lt;/R&gt;&lt;C&gt;1&lt;/C&gt;&lt;D xsi:type="xsd:double"&gt;0.0071487296&lt;/D&gt;&lt;/FQL&gt;&lt;FQL&gt;&lt;Q&gt;JPYUSD^FG_PRICE(44869)&lt;/Q&gt;&lt;R&gt;1&lt;/R&gt;&lt;C&gt;1&lt;/C&gt;&lt;D xsi:type="xsd:double"&gt;0.006791402&lt;/D&gt;&lt;/FQL&gt;&lt;FQL&gt;&lt;Q&gt;JPYUSD^FG_PRICE(44856)&lt;/Q&gt;&lt;R&gt;1&lt;/R&gt;&lt;C&gt;1&lt;/C&gt;&lt;D xsi:type="xsd:double"&gt;0.006667111&lt;/D&gt;&lt;/FQL&gt;&lt;FQL&gt;&lt;Q&gt;JPYUSD^FG_PRICE(44844)&lt;/Q&gt;&lt;R&gt;1&lt;/R&gt;&lt;C&gt;1&lt;/C&gt;&lt;D xsi:type="xsd:double"&gt;0.0068612993&lt;/D&gt;&lt;/FQL&gt;&lt;FQL&gt;&lt;Q&gt;JPYUSD^FG_PRICE(44831)&lt;/Q&gt;&lt;R&gt;1&lt;/R&gt;&lt;C&gt;1&lt;/C&gt;&lt;D xsi:type="xsd:double"&gt;0.006909179&lt;/D&gt;&lt;/FQL&gt;&lt;FQL&gt;&lt;Q&gt;JPYUSD^FG_PRICE(44819)&lt;/Q&gt;&lt;R&gt;1&lt;/R&gt;&lt;C&gt;1&lt;/C&gt;&lt;D xsi:type="xsd:double"&gt;0.0069700982&lt;/D&gt;&lt;/FQL&gt;&lt;FQL&gt;&lt;Q&gt;JPYUSD^FG_PRICE(44805)&lt;/Q&gt;&lt;R&gt;1&lt;/R&gt;&lt;C&gt;1&lt;/C&gt;&lt;D xsi:type="xsd:double"&gt;0.0071418365&lt;/D&gt;&lt;/FQL&gt;&lt;FQL&gt;&lt;Q&gt;JPYUSD^FG_PRICE(44792)&lt;/Q&gt;&lt;R&gt;1&lt;/R&gt;&lt;C&gt;1&lt;/C&gt;&lt;D xsi:type="xsd:double"&gt;0.007293148&lt;/D&gt;&lt;/FQL&gt;&lt;FQL&gt;&lt;Q&gt;JPYUSD^FG_PRICE(44780)&lt;/Q&gt;&lt;R&gt;1&lt;/R&gt;&lt;C&gt;1&lt;/C&gt;&lt;D xsi:type="xsd:double"&gt;0.0073885256&lt;/D&gt;&lt;/FQL&gt;&lt;FQL&gt;&lt;Q&gt;JPYUSD^FG_PRICE(44767)&lt;/Q&gt;&lt;R&gt;1&lt;/R&gt;&lt;C&gt;1&lt;/C&gt;&lt;D xsi:type="xsd:double"&gt;0.0073142187&lt;/D&gt;&lt;/FQL&gt;&lt;FQL&gt;&lt;Q&gt;JPYUSD^FG_PRICE(44755)&lt;/Q&gt;&lt;R&gt;1&lt;/R&gt;&lt;C&gt;1&lt;/C&gt;&lt;D xsi:type="xsd:double"&gt;0.007289427&lt;/D&gt;&lt;/FQL&gt;&lt;FQL&gt;&lt;Q&gt;JPYUSD^FG_PRICE(44741)&lt;/Q&gt;&lt;R&gt;1&lt;/R&gt;&lt;C&gt;1&lt;/C&gt;&lt;D xsi:type="xsd:double"&gt;0.0073080715&lt;/D&gt;&lt;/FQL&gt;&lt;FQL&gt;&lt;Q&gt;JPYUSD^FG_PRICE(44728)&lt;/Q&gt;&lt;R&gt;1&lt;/R&gt;&lt;C&gt;1&lt;/C&gt;&lt;D xsi:type="xsd:double"&gt;0.0075434693&lt;/D&gt;&lt;/FQL&gt;&lt;FQL&gt;&lt;Q&gt;JPYUSD^FG_PRICE(44716)&lt;/Q&gt;&lt;R&gt;1&lt;/R&gt;&lt;C&gt;1&lt;/C&gt;&lt;D xsi:type="xsd:double"&gt;0.0076496457&lt;/D&gt;&lt;/FQL&gt;&lt;FQL&gt;&lt;Q&gt;JPYUSD^FG_PRICE(44703)&lt;/Q&gt;&lt;R&gt;1&lt;/R&gt;&lt;C&gt;1&lt;/C&gt;&lt;D xsi:type="xsd:double"&gt;0.0078115845&lt;/D&gt;&lt;/FQL&gt;&lt;FQL&gt;&lt;Q&gt;JPYUSD^FG_PRICE(44691)&lt;/Q&gt;&lt;R&gt;1&lt;/R&gt;&lt;C&gt;1&lt;/C&gt;&lt;D xsi:type="xsd:double"&gt;0.007679017&lt;/D&gt;&lt;/FQL&gt;&lt;FQL&gt;&lt;Q&gt;JPYUSD^FG_PRICE(44680)&lt;/Q&gt;&lt;R&gt;1&lt;/R&gt;&lt;C&gt;1&lt;/C&gt;&lt;D xsi:type="xsd:double"&gt;0.0077184318&lt;/D&gt;&lt;/FQL&gt;&lt;FQL&gt;&lt;Q&gt;JPYUSD^FG_PRICE(44669)&lt;/Q&gt;&lt;R&gt;1&lt;/R&gt;&lt;C&gt;1&lt;/C&gt;&lt;D xsi:type="xsd:double"&gt;0.007895464&lt;/D&gt;&lt;/FQL&gt;&lt;FQL&gt;&lt;Q&gt;JPYUSD^FG_PRICE(44659)&lt;/Q&gt;&lt;R&gt;1&lt;/R&gt;&lt;C&gt;1&lt;/C&gt;&lt;D xsi:type="xsd:double"&gt;0.008038262&lt;/D&gt;&lt;/FQL&gt;&lt;FQL&gt;&lt;Q&gt;JPYUSD^FG_PRICE(44648)&lt;/Q&gt;&lt;R&gt;1&lt;/R&gt;&lt;C&gt;1&lt;/C&gt;&lt;D xsi:type="xsd:double"&gt;0.008094217&lt;/D&gt;&lt;/FQL&gt;&lt;FQL&gt;&lt;Q&gt;JPYUSD^FG_PRICE(44639)&lt;/Q&gt;&lt;R&gt;1&lt;/R&gt;&lt;C&gt;1&lt;/C&gt;&lt;D xsi:type="xsd:double"&gt;0.008391022&lt;/D&gt;&lt;/FQL&gt;&lt;FQL&gt;&lt;Q&gt;JPYUSD^FG_PRICE(44631)&lt;/Q&gt;&lt;R&gt;1&lt;/R&gt;&lt;C&gt;1&lt;/C&gt;&lt;D xsi:type="xsd:double"&gt;0.008547374&lt;/D&gt;&lt;/FQL&gt;&lt;FQL&gt;&lt;Q&gt;JPYUSD^FG_PRICE(44623)&lt;/Q&gt;&lt;R&gt;1&lt;/R&gt;&lt;C&gt;1&lt;/C&gt;&lt;D xsi:type="xsd:double"&gt;0.008647901&lt;/D&gt;&lt;/FQL&gt;&lt;FQL&gt;&lt;Q&gt;JPYUSD^FG_PRICE(44615)&lt;/Q&gt;&lt;R&gt;1&lt;/R&gt;&lt;C&gt;1&lt;/C&gt;&lt;D xsi:type="xsd:double"&gt;0.008693006&lt;/D&gt;&lt;/FQL&gt;&lt;FQL&gt;&lt;Q&gt;JPYUSD^FG_PRICE(44607)&lt;/Q&gt;&lt;R&gt;1&lt;/R&gt;&lt;C&gt;1&lt;/C&gt;&lt;D xsi:type="xsd:double"&gt;0.008640428&lt;/D&gt;&lt;/FQL&gt;&lt;FQL&gt;&lt;Q&gt;JPYUSD^FG_PRICE(44599)&lt;/Q&gt;&lt;R&gt;1&lt;/R&gt;&lt;C&gt;1&lt;/C&gt;&lt;D xsi:type="xsd:double"&gt;0.008691495&lt;/D&gt;&lt;/FQL&gt;&lt;FQL&gt;&lt;Q&gt;JPYUSD^FG_PRICE(44591)&lt;/Q&gt;&lt;R&gt;1&lt;/R&gt;&lt;C&gt;1&lt;/C&gt;&lt;D xsi:type="xsd:double"&gt;0.008682063&lt;/D&gt;&lt;/FQL&gt;&lt;FQL&gt;&lt;Q&gt;JPYUSD^FG_PRICE(44583)&lt;/Q&gt;&lt;R&gt;1&lt;/R&gt;&lt;C&gt;1&lt;/C&gt;&lt;D xsi:type="xsd:double"&gt;0.0087977825&lt;/D&gt;&lt;/FQL&gt;&lt;FQL&gt;&lt;Q&gt;JPYUSD^FG_PRICE(44575)&lt;/Q&gt;&lt;R&gt;1&lt;/R&gt;&lt;C&gt;1&lt;/C&gt;&lt;D xsi:type="xsd:double"&gt;0.008788505&lt;/D&gt;&lt;/FQL&gt;&lt;FQL&gt;&lt;Q&gt;JPYUSD^FG_PRICE(44567)&lt;/Q&gt;&lt;R&gt;1&lt;/R&gt;&lt;C&gt;1&lt;/C&gt;&lt;D xsi:type="xsd:double"&gt;0.008639309&lt;/D&gt;&lt;/FQL&gt;&lt;FQL&gt;&lt;Q&gt;JPYUSD^FG_PRICE(44559)&lt;/Q&gt;&lt;R&gt;1&lt;/R&gt;&lt;C&gt;1&lt;/C&gt;&lt;D xsi:type="xsd:double"&gt;0.00870057&lt;/D&gt;&lt;/FQL&gt;&lt;FQL&gt;&lt;Q&gt;JPYUSD^FG_PRICE(44551)&lt;/Q&gt;&lt;R&gt;1&lt;/R&gt;&lt;C&gt;1&lt;/C&gt;&lt;D xsi:type="xsd:double"&gt;0.008765394&lt;/D&gt;&lt;/FQL&gt;&lt;FQL&gt;&lt;Q&gt;JPYUSD^FG_PRICE(44543)&lt;/Q&gt;&lt;R&gt;1&lt;/R&gt;&lt;C&gt;1&lt;/C&gt;&lt;D xsi:type="xsd:double"&gt;0.008804754&lt;/D&gt;&lt;/FQL&gt;&lt;FQL&gt;&lt;Q&gt;JPYUSD^FG_PRICE(44535)&lt;/Q&gt;&lt;R&gt;1&lt;/R&gt;&lt;C&gt;1&lt;/C&gt;&lt;D xsi:type="xsd:double"&gt;0.008831972&lt;/D&gt;&lt;/FQL&gt;&lt;FQL&gt;&lt;Q&gt;JPYUSD^FG_PRICE(44527)&lt;/Q&gt;&lt;R&gt;1&lt;/R&gt;&lt;C&gt;1&lt;/C&gt;&lt;D xsi:type="xsd:double"&gt;0.008837826&lt;/D&gt;&lt;/FQL&gt;&lt;FQL&gt;&lt;Q&gt;JPYUSD^FG_PRICE(44519)&lt;/Q&gt;&lt;R&gt;1&lt;/R&gt;&lt;C&gt;1&lt;/C&gt;&lt;D xsi:type="xsd:double"&gt;0.00878233&lt;/D&gt;&lt;/FQL&gt;&lt;FQL&gt;&lt;Q&gt;JPYUSD^FG_PRICE(45643)&lt;/Q&gt;&lt;R&gt;1&lt;/R&gt;&lt;C&gt;1&lt;/C&gt;&lt;D xsi:type="xsd:double"&gt;0.007451287&lt;/D&gt;&lt;/FQL&gt;&lt;FQL&gt;&lt;Q&gt;JPYUSD^FG_PRICE(45556)&lt;/Q&gt;&lt;R&gt;1&lt;/R&gt;&lt;C&gt;1&lt;/C&gt;&lt;D xsi:type="xsd:double"&gt;0.007451287&lt;/D&gt;&lt;/FQL&gt;&lt;FQL&gt;&lt;Q&gt;JPYUSD^FG_PRICE(45471)&lt;/Q&gt;&lt;R&gt;1&lt;/R&gt;&lt;C&gt;1&lt;/C&gt;&lt;D xsi:type="xsd:double"&gt;0.007451287&lt;/D&gt;&lt;/FQL&gt;&lt;FQL&gt;&lt;Q&gt;JPYUSD^FG_PRICE(45387)&lt;/Q&gt;&lt;R&gt;1&lt;/R&gt;&lt;C&gt;1&lt;/C&gt;&lt;D xsi:type="xsd:double"&gt;0.007451287&lt;/D&gt;&lt;/FQL&gt;&lt;FQL&gt;&lt;Q&gt;JPYUSD^FG_PRICE(45300)&lt;/Q&gt;&lt;R&gt;1&lt;/R&gt;&lt;C&gt;1&lt;/C&gt;&lt;D xsi:type="xsd:double"&gt;0.007451287&lt;/D&gt;&lt;/FQL&gt;&lt;FQL&gt;&lt;Q&gt;JPYUSD^FG_PRICE(45215)&lt;/Q&gt;&lt;R&gt;1&lt;/R&gt;&lt;C&gt;1&lt;/C&gt;&lt;D xsi:type="xsd:double"&gt;0.007451287&lt;/D&gt;&lt;/FQL&gt;&lt;FQL&gt;&lt;Q&gt;JPYUSD^FG_PRICE(45131)&lt;/Q&gt;&lt;R&gt;1&lt;/R&gt;&lt;C&gt;1&lt;/C&gt;&lt;D xsi:type="xsd:double"&gt;0.007451287&lt;/D&gt;&lt;/FQL&gt;&lt;FQL&gt;&lt;Q&gt;JPYUSD^FG_PRICE(45044)&lt;/Q&gt;&lt;R&gt;1&lt;/R&gt;&lt;C&gt;1&lt;/C&gt;&lt;D xsi:type="xsd:double"&gt;0.007451287&lt;/D&gt;&lt;/FQL&gt;&lt;FQL&gt;&lt;Q&gt;JPYUSD^FG_PRICE(44959)&lt;/Q&gt;&lt;R&gt;1&lt;/R&gt;&lt;C&gt;1&lt;/C&gt;&lt;D xsi:type="xsd:double"&gt;0.007788465&lt;/D&gt;&lt;/FQL&gt;&lt;FQL&gt;&lt;Q&gt;JPYUSD^FG_PRICE(44896)&lt;/Q&gt;&lt;R&gt;1&lt;/R&gt;&lt;C&gt;1&lt;/C&gt;&lt;D xsi:type="xsd:double"&gt;0.007356728&lt;/D&gt;&lt;/FQL&gt;&lt;FQL&gt;&lt;Q&gt;JPYUSD^FG_PRICE(44845)&lt;/Q&gt;&lt;R&gt;1&lt;/R&gt;&lt;C&gt;1&lt;/C&gt;&lt;D xsi:type="xsd:double"&gt;0.0068617696&lt;/D&gt;&lt;/FQL&gt;&lt;FQL&gt;&lt;Q&gt;JPYUSD^FG_PRICE(44795)&lt;/Q&gt;&lt;R&gt;1&lt;/R&gt;&lt;C&gt;1&lt;/C&gt;&lt;D xsi:type="xsd:double"&gt;0.007289427&lt;/D&gt;&lt;/FQL&gt;&lt;FQL&gt;&lt;Q&gt;JPYUSD^FG_PRICE(44743)&lt;/Q&gt;&lt;R&gt;1&lt;/R&gt;&lt;C&gt;1&lt;/C&gt;&lt;D xsi:type="xsd:double"&gt;0.0074011027&lt;/D&gt;&lt;/FQL&gt;&lt;FQL&gt;&lt;Q&gt;JPYUSD^FG_PRICE(44692)&lt;/Q&gt;&lt;R&gt;1&lt;/R&gt;&lt;C&gt;1&lt;/C&gt;&lt;D xsi:type="xsd:double"&gt;0.0076754806&lt;/D&gt;&lt;/FQL&gt;&lt;FQL&gt;&lt;Q&gt;JPYUSD^FG_PRICE(44649)&lt;/Q&gt;&lt;R&gt;1&lt;/R&gt;&lt;C&gt;1&lt;/C&gt;&lt;D xsi:type="xsd:double"&gt;0.008149295&lt;/D&gt;&lt;/FQL&gt;&lt;FQL&gt;&lt;Q&gt;JPYUSD^FG_PRICE(44616)&lt;/Q&gt;&lt;R&gt;1&lt;/R&gt;&lt;C&gt;1&lt;/C&gt;&lt;D xsi:type="xsd:double"&gt;0.008650519&lt;/D&gt;&lt;/FQL&gt;&lt;FQL&gt;&lt;Q&gt;JPYUSD^FG_PRICE(44584)&lt;/Q&gt;&lt;R&gt;1&lt;/R&gt;&lt;C&gt;1&lt;/C&gt;&lt;D xsi:type="xsd:double"&gt;0.0087977825&lt;/D&gt;&lt;/FQL&gt;&lt;FQL&gt;&lt;Q&gt;JPYUSD^FG_PRICE(44552)&lt;/Q&gt;&lt;R&gt;1&lt;/R&gt;&lt;C&gt;1&lt;/C&gt;&lt;D xsi:type="xsd:double"&gt;0.008747758&lt;/D&gt;&lt;/FQL&gt;&lt;FQL&gt;&lt;Q&gt;JPYUSD^FG_PRICE(44520)&lt;/Q&gt;&lt;R&gt;1&lt;/R&gt;&lt;C&gt;1&lt;/C&gt;&lt;D xsi:type="xsd:double"&gt;0.00878233&lt;/D&gt;&lt;/FQL&gt;&lt;FQL&gt;&lt;Q&gt;JPYUSD^FG_PRICE(44496)&lt;/Q&gt;&lt;R&gt;1&lt;/R&gt;&lt;C&gt;1&lt;/C&gt;&lt;D xsi:type="xsd:double"&gt;0.008793528&lt;/D&gt;&lt;/FQL&gt;&lt;FQL&gt;&lt;Q&gt;JPYUSD^FG_PRICE(44478)&lt;/Q&gt;&lt;R&gt;1&lt;/R&gt;&lt;C&gt;1&lt;/C&gt;&lt;D xsi:type="xsd:double"&gt;0.008925384&lt;/D&gt;&lt;/FQL&gt;&lt;FQL&gt;&lt;Q&gt;JPYUSD^FG_PRICE(44455)&lt;/Q&gt;&lt;R&gt;1&lt;/R&gt;&lt;C&gt;1&lt;/C&gt;&lt;D xsi:type="xsd:double"&gt;0.009119927&lt;/D&gt;&lt;/FQL&gt;&lt;FQL&gt;&lt;Q&gt;JPYUSD^FG_PRICE(44432)&lt;/Q&gt;&lt;R&gt;1&lt;/R&gt;&lt;C&gt;1&lt;/C&gt;&lt;D xsi:type="xsd:double"&gt;0.009116186&lt;/D&gt;&lt;/FQL&gt;&lt;FQL&gt;&lt;Q&gt;JPYUSD^FG_PRICE(44414)&lt;/Q&gt;&lt;R&gt;1&lt;/R&gt;&lt;C&gt;1&lt;/C&gt;&lt;D xsi:type="xsd:double"&gt;0.009064129&lt;/D&gt;&lt;/FQL&gt;&lt;FQL&gt;&lt;Q&gt;JPYUSD^FG_PRICE(44391)&lt;/Q&gt;&lt;R&gt;1&lt;/R&gt;&lt;C&gt;1&lt;/C&gt;&lt;D xsi:type="xsd:double"&gt;0.009083478&lt;/D&gt;&lt;/FQL&gt;&lt;FQL&gt;&lt;Q&gt;JPYUSD^FG_PRICE(44368)&lt;/Q&gt;&lt;R&gt;1&lt;/R&gt;&lt;C&gt;1&lt;/C&gt;&lt;D xsi:type="xsd:double"&gt;0.009074822&lt;/D&gt;&lt;/FQL&gt;&lt;FQL&gt;&lt;Q&gt;JPYUSD^FG_PRICE(44350)&lt;/Q&gt;&lt;R&gt;1&lt;/R&gt;&lt;C&gt;1&lt;/C&gt;&lt;D xsi:type="xsd:double"&gt;0.009076469&lt;/D&gt;&lt;/FQL&gt;&lt;FQL&gt;&lt;Q&gt;JPYUSD^FG_PRICE(44327)&lt;/Q&gt;&lt;R&gt;1&lt;/R&gt;&lt;C&gt;1&lt;/C&gt;&lt;D xsi:type="xsd:double"&gt;0.009217864&lt;/D&gt;&lt;/FQL&gt;&lt;FQL&gt;&lt;Q&gt;JPYUSD^FG_PRICE(44304)&lt;/Q&gt;&lt;R&gt;1&lt;/R&gt;&lt;C&gt;1&lt;/C&gt;&lt;D xsi:type="xsd:double"&gt;0.009189909&lt;/D&gt;&lt;/FQL&gt;&lt;FQL&gt;&lt;Q&gt;JPYUSD^FG_PRICE(44286)&lt;/Q&gt;&lt;R&gt;1&lt;/R&gt;&lt;C&gt;1&lt;/C&gt;&lt;D xsi:type="xsd:double"&gt;0.009049774&lt;/D&gt;&lt;/FQL&gt;&lt;FQL&gt;&lt;Q&gt;JPYUSD^FG_PRICE(44263)&lt;/Q&gt;&lt;R&gt;1&lt;/R&gt;&lt;C&gt;1&lt;/C&gt;&lt;D xsi:type="xsd:double"&gt;0.009186532&lt;/D&gt;&lt;/FQL&gt;&lt;FQL&gt;&lt;Q&gt;JPYUSD^FG_PRICE(44240)&lt;/Q&gt;&lt;R&gt;1&lt;/R&gt;&lt;C&gt;1&lt;/C&gt;&lt;D xsi:type="xsd:double"&gt;0.009526078&lt;/D&gt;&lt;/FQL&gt;&lt;FQL&gt;&lt;Q&gt;JPYUSD^FG_PRICE(44222)&lt;/Q&gt;&lt;R&gt;1&lt;/R&gt;&lt;C&gt;1&lt;/C&gt;&lt;D xsi:type="xsd:double"&gt;0.009648319&lt;/D&gt;&lt;/FQL&gt;&lt;FQL&gt;&lt;Q&gt;JPYUSD^FG_PRICE(44199)&lt;/Q&gt;&lt;R&gt;1&lt;/R&gt;&lt;C&gt;1&lt;/C&gt;&lt;D xsi:type="xsd:double"&gt;0.0096857&lt;/D&gt;&lt;/FQL&gt;&lt;FQL&gt;&lt;Q&gt;JPYUSD^FG_PRICE(44176)&lt;/Q&gt;&lt;R&gt;1&lt;/R&gt;&lt;C&gt;1&lt;/C&gt;&lt;D xsi:type="xsd:double"&gt;0.009620473&lt;/D&gt;&lt;/FQL&gt;&lt;FQL&gt;&lt;Q&gt;JPYUSD^FG_PRICE(44158)&lt;/Q&gt;&lt;R&gt;1&lt;/R&gt;&lt;C&gt;1&lt;/C&gt;&lt;D xsi:type="xsd:double"&gt;0.009571668&lt;/D&gt;&lt;/FQL&gt;&lt;FQL&gt;&lt;Q&gt;JPYUSD^FG_PRICE(44136)&lt;/Q&gt;&lt;R&gt;1&lt;/R&gt;&lt;C&gt;1&lt;/C&gt;&lt;D xsi:type="xsd:double"&gt;0.009565717&lt;/D&gt;&lt;/FQL&gt;&lt;FQL&gt;&lt;Q&gt;JPYUSD^FG_PRICE(44120)&lt;/Q&gt;&lt;R&gt;1&lt;/R&gt;&lt;C&gt;1&lt;/C&gt;&lt;D xsi:type="xsd:double"&gt;0.009486316&lt;/D&gt;&lt;/FQL&gt;&lt;FQL&gt;&lt;Q&gt;JPYUSD^FG_PRICE(44109)&lt;/Q&gt;&lt;R&gt;1&lt;/R&gt;&lt;C&gt;1&lt;/C&gt;&lt;D xsi:type="xsd:double"&gt;0.009465664&lt;/D&gt;&lt;/FQL&gt;&lt;FQL&gt;&lt;Q&gt;JPYUSD^FG_PRICE(44100)&lt;/Q&gt;&lt;R&gt;1&lt;/R&gt;&lt;C&gt;1&lt;/C&gt;&lt;D xsi:type="xsd:double"&gt;0.009466112&lt;/D&gt;&lt;/FQL&gt;&lt;FQL&gt;&lt;Q&gt;JPYUSD^FG_PRICE(44090)&lt;/Q&gt;&lt;R&gt;1&lt;/R&gt;&lt;C&gt;1&lt;/C&gt;&lt;D xsi:type="xsd:double"&gt;0.0095387995&lt;/D&gt;&lt;/FQL&gt;&lt;FQL&gt;&lt;Q&gt;JPYUSD^FG_PRICE(44082)&lt;/Q&gt;&lt;R&gt;1&lt;/R&gt;&lt;C&gt;1&lt;/C&gt;&lt;D xsi:type="xsd:double"&gt;0.00943886&lt;/D&gt;&lt;/FQL&gt;&lt;FQL&gt;&lt;Q&gt;JPYUSD^FG_PRICE(44074)&lt;/Q&gt;&lt;R&gt;1&lt;/R&gt;&lt;C&gt;1&lt;/C&gt;&lt;D xsi:type="xsd:double"&gt;0.00942996&lt;/D&gt;&lt;/FQL&gt;&lt;FQL&gt;&lt;Q&gt;JPYUSD^FG_PRICE(44066)&lt;/Q&gt;&lt;R&gt;1&lt;/R&gt;&lt;C&gt;1&lt;/C&gt;&lt;D xsi:type="xsd:double"&gt;0.009437969&lt;/D&gt;&lt;/FQL&gt;&lt;FQL&gt;&lt;Q&gt;JPYUSD^FG_PRICE(44058)&lt;/Q&gt;&lt;R&gt;1&lt;/R&gt;&lt;C&gt;1&lt;/C&gt;&lt;D xsi:type="xsd:double"&gt;0.009393641&lt;/D&gt;&lt;/FQL&gt;&lt;FQL&gt;&lt;Q&gt;JPYUSD^FG_PRICE(44050)&lt;/Q&gt;&lt;R&gt;1&lt;/R&gt;&lt;C&gt;1&lt;/C&gt;&lt;D xsi:type="xsd:double"&gt;0.009444208&lt;/D&gt;&lt;/FQL&gt;&lt;FQL&gt;&lt;Q&gt;JPYUSD^FG_PRICE(44042)&lt;/Q&gt;&lt;R&gt;1&lt;/R&gt;&lt;C&gt;1&lt;/C&gt;&lt;D xsi:type="xsd:double"&gt;0.009521542&lt;/D&gt;&lt;/FQL&gt;&lt;FQL&gt;&lt;Q&gt;JPYUSD^FG_PRICE(44034)&lt;/Q&gt;&lt;R&gt;1&lt;/R&gt;&lt;C&gt;1&lt;/C&gt;&lt;D xsi:type="xsd:double"&gt;0.009329229&lt;/D&gt;&lt;/FQL&gt;&lt;FQL&gt;&lt;Q&gt;JPYUSD^FG_PRICE(44026)&lt;/Q&gt;&lt;R&gt;1&lt;/R&gt;&lt;C&gt;1&lt;/C&gt;&lt;D xsi:type="xsd:double"&gt;0.009323575&lt;/D&gt;&lt;/FQL&gt;&lt;FQL&gt;&lt;Q&gt;JPYUSD^FG_PRICE(44018)&lt;/Q&gt;&lt;R&gt;1&lt;/R&gt;&lt;C&gt;1&lt;/C&gt;&lt;D xsi:type="xsd:double"&gt;0.00930449&lt;/D&gt;&lt;/FQL&gt;&lt;FQL&gt;&lt;Q&gt;JPYUSD^FG_PRICE(44010)&lt;/Q&gt;&lt;R&gt;1&lt;/R&gt;&lt;C&gt;1&lt;/C&gt;&lt;D xsi:type="xsd:double"&gt;0.009316626&lt;/D&gt;&lt;/FQL&gt;&lt;FQL&gt;&lt;Q&gt;JPYUSD^FG_PRICE(44002)&lt;/Q&gt;&lt;R&gt;1&lt;/R&gt;&lt;C&gt;1&lt;/C&gt;&lt;D xsi:type="xsd:double"&gt;0.009347979&lt;/D&gt;&lt;/FQL&gt;&lt;FQL&gt;&lt;Q&gt;JPYUSD^FG_PRICE(43994)&lt;/Q&gt;&lt;R&gt;1&lt;/R&gt;&lt;C&gt;1&lt;/C&gt;&lt;D xsi:type="xsd:double"&gt;0.009317059&lt;/D&gt;&lt;/FQL&gt;&lt;FQL&gt;&lt;Q&gt;JPYUSD^FG_PRICE(43986)&lt;/Q&gt;&lt;R&gt;1&lt;/R&gt;&lt;C&gt;1&lt;/C&gt;&lt;D xsi:type="xsd:double"&gt;0.0091738915&lt;/D&gt;&lt;/FQL&gt;&lt;FQL&gt;&lt;Q&gt;JPYUSD^FG_PRICE(43978)&lt;/Q&gt;&lt;R&gt;1&lt;/R&gt;&lt;C&gt;1&lt;/C&gt;&lt;D xsi:type="xsd:double"&gt;0.009273428&lt;/D&gt;&lt;/FQL&gt;&lt;FQL&gt;&lt;Q&gt;JPYUSD^FG_PRICE(43970)&lt;/Q&gt;&lt;R&gt;1&lt;/R&gt;&lt;C&gt;1&lt;/C&gt;&lt;D xsi:type="xsd:double"&gt;0.009264835&lt;/D&gt;&lt;/FQL&gt;&lt;FQL&gt;&lt;Q&gt;JPYUSD^FG_PRICE(43962)&lt;/Q&gt;&lt;R&gt;1&lt;/R&gt;&lt;C&gt;1&lt;/C&gt;&lt;D xsi:type="xsd:double"&gt;0.009301028&lt;/D&gt;&lt;/FQL&gt;&lt;FQL&gt;&lt;Q&gt;JPYUSD^FG_PRICE(43954)&lt;/Q&gt;&lt;R&gt;1&lt;/R&gt;&lt;C&gt;1&lt;/C&gt;&lt;D xsi:type="xsd:double"&gt;0.0093541&lt;/D&gt;&lt;/FQL&gt;&lt;FQL&gt;&lt;Q&gt;JPYUSD^FG_PRICE(43946)&lt;/Q&gt;&lt;R&gt;1&lt;/R&gt;&lt;C&gt;1&lt;/C&gt;&lt;D xsi:type="xsd:double"&gt;0.0093079535&lt;/D&gt;&lt;/FQL&gt;&lt;FQL&gt;&lt;Q&gt;JPYUSD^FG_PRICE(43938)&lt;/Q&gt;&lt;R&gt;1&lt;/R&gt;&lt;C&gt;1&lt;/C&gt;&lt;D xsi:type="xsd:double"&gt;0.009300163&lt;/D&gt;&lt;/FQL&gt;&lt;FQL&gt;&lt;Q&gt;JPYUSD^FG_PRICE(43930)&lt;/Q&gt;&lt;R&gt;1&lt;/R&gt;&lt;C&gt;1&lt;/C&gt;&lt;D xsi:type="xsd:double"&gt;0.009216165&lt;/D&gt;&lt;/FQL&gt;&lt;FQL&gt;&lt;Q&gt;JPYUSD^FG_PRICE(43922)&lt;/Q&gt;&lt;R&gt;1&lt;/R&gt;&lt;C&gt;1&lt;/C&gt;&lt;D xsi:type="xsd:double"&gt;0.009335761&lt;/D&gt;&lt;/FQL&gt;&lt;FQL&gt;&lt;Q&gt;JPYUSD^FG_PRICE(43914)&lt;/Q&gt;&lt;R&gt;1&lt;/R&gt;&lt;C&gt;1&lt;/C&gt;&lt;D xsi:type="xsd:double"&gt;0.008969816&lt;/D&gt;&lt;/FQL&gt;&lt;FQL&gt;&lt;Q&gt;JPYUSD^FG_PRICE(43906)&lt;/Q&gt;&lt;R&gt;1&lt;/R&gt;&lt;C&gt;1&lt;/C&gt;&lt;D xsi:type="xsd:double"&gt;0.009464768&lt;/D&gt;&lt;/FQL&gt;&lt;FQL&gt;&lt;Q&gt;JPYUSD^FG_PRICE(43898)&lt;/Q&gt;&lt;R&gt;1&lt;/R&gt;&lt;C&gt;1&lt;/C&gt;&lt;D xsi:type="xsd:double"&gt;0.009492619&lt;/D&gt;&lt;/FQL&gt;&lt;FQL&gt;&lt;Q&gt;JPYUSD^FG_PRICE(43890)&lt;/Q&gt;&lt;R&gt;1&lt;/R&gt;&lt;C&gt;1&lt;/C&gt;&lt;D xsi:type="xsd:double"&gt;0.009270848&lt;/D&gt;&lt;/FQL&gt;&lt;FQL&gt;&lt;Q&gt;JPYUSD^FG_PRICE(43882)&lt;/Q&gt;&lt;R&gt;1&lt;/R&gt;&lt;C&gt;1&lt;/C&gt;&lt;D xsi:type="xsd:double"&gt;0.008952151&lt;/D&gt;&lt;/FQL&gt;&lt;FQL&gt;&lt;Q&gt;JPYUSD^FG_PRICE(43874)&lt;/Q&gt;&lt;R&gt;1&lt;/R&gt;&lt;C&gt;1&lt;/C&gt;&lt;D xsi:type="xsd:double"&gt;0.0091062235&lt;/D&gt;&lt;/FQL&gt;&lt;FQL&gt;&lt;Q&gt;JPYUSD^FG_PRICE(43866)&lt;/Q&gt;&lt;R&gt;1&lt;/R&gt;&lt;C&gt;1&lt;/C&gt;&lt;D xsi:type="xsd:double"&gt;0.009111202&lt;/D&gt;&lt;/FQL&gt;&lt;FQL&gt;&lt;Q&gt;JPYUSD^FG_PRICE(43858)&lt;/Q&gt;&lt;R&gt;1&lt;/R&gt;&lt;C&gt;1&lt;/C&gt;&lt;D xsi:type="xsd:double"&gt;0.009162543&lt;/D&gt;&lt;/FQL&gt;&lt;FQL&gt;&lt;Q&gt;JPYUSD^FG_PRICE(43850)&lt;/Q&gt;&lt;R&gt;1&lt;/R&gt;&lt;C&gt;1&lt;/C&gt;&lt;D xsi:type="xsd:double"&gt;0.0090777045&lt;/D&gt;&lt;/FQL&gt;&lt;FQL&gt;&lt;Q&gt;JPYUSD^FG_PRICE(43842)&lt;/Q&gt;&lt;R&gt;1&lt;/R&gt;&lt;C&gt;1&lt;/C&gt;&lt;D xsi:type="xsd:double"&gt;0.0091274185&lt;/D&gt;&lt;/FQL&gt;&lt;FQL&gt;&lt;Q&gt;JPYUSD^FG_PRICE(43834)&lt;/Q&gt;&lt;R&gt;1&lt;/R&gt;&lt;C&gt;1&lt;/C&gt;&lt;D xsi:type="xsd:double"&gt;0.009257116&lt;/D&gt;&lt;/FQL&gt;&lt;FQL&gt;&lt;Q&gt;JPYUSD^FG_PRICE(43826)&lt;/Q&gt;&lt;R&gt;1&lt;/R&gt;&lt;C&gt;1&lt;/C&gt;&lt;D xsi:type="xsd:double"&gt;0.009125337&lt;/D&gt;&lt;/FQL&gt;&lt;FQL&gt;&lt;Q&gt;JPYUSD^FG_PRICE(43818)&lt;/Q&gt;&lt;R&gt;1&lt;/R&gt;&lt;C&gt;1&lt;/C&gt;&lt;D xsi:type="xsd:double"&gt;0.009148712&lt;/D&gt;&lt;/FQL&gt;&lt;FQL&gt;&lt;Q&gt;JPYUSD^FG_PRICE(43810)&lt;/Q&gt;&lt;R&gt;1&lt;/R&gt;&lt;C&gt;1&lt;/C&gt;&lt;D xsi:type="xsd:double"&gt;0.009199632&lt;/D&gt;&lt;/FQL&gt;&lt;FQL&gt;&lt;Q&gt;JPYUSD^FG_PRICE(43802)&lt;/Q&gt;&lt;R&gt;1&lt;/R&gt;&lt;C&gt;1&lt;/C&gt;&lt;D xsi:type="xsd:double"&gt;0.009212769&lt;/D&gt;&lt;/FQL&gt;&lt;FQL&gt;&lt;Q&gt;JPYUSD^FG_PRICE(43794)&lt;/Q&gt;&lt;R&gt;1&lt;/R&gt;&lt;C&gt;1&lt;/C&gt;&lt;D xsi:type="xsd:double"&gt;0.009179365&lt;/D&gt;&lt;/FQL&gt;&lt;FQL&gt;&lt;Q&gt;JPYUSD^FG_PRICE(43786)&lt;/Q&gt;&lt;R&gt;1&lt;/R&gt;&lt;C&gt;1&lt;/C&gt;&lt;D xsi:type="xsd:double"&gt;0.009196671&lt;/D&gt;&lt;/FQL&gt;&lt;FQL&gt;&lt;Q&gt;JPYUSD^FG_PRICE(43778)&lt;/Q&gt;&lt;R&gt;1&lt;/R&gt;&lt;C&gt;1&lt;/C&gt;&lt;D xsi:type="xsd:double"&gt;0.009162124&lt;/D&gt;&lt;/FQL&gt;&lt;FQL&gt;&lt;Q&gt;JPYUSD^FG_PRICE(43770)&lt;/Q&gt;&lt;R&gt;1&lt;/R&gt;&lt;C&gt;1&lt;/C&gt;&lt;D xsi:type="xsd:double"&gt;0.009246417&lt;/D&gt;&lt;/FQL&gt;&lt;FQL&gt;&lt;Q&gt;JPYUSD^FG_PRICE(43762)&lt;/Q&gt;&lt;R&gt;1&lt;/R&gt;&lt;C&gt;1&lt;/C&gt;&lt;D xsi:type="xsd:double"&gt;0.009215316&lt;/D&gt;&lt;/FQL&gt;&lt;FQL&gt;&lt;Q&gt;JPYUSD^FG_PRICE(43754)&lt;/Q&gt;&lt;R&gt;1&lt;/R&gt;&lt;C&gt;1&lt;/C&gt;&lt;D xsi:type="xsd:double"&gt;0.009189066&lt;/D&gt;&lt;/FQL&gt;&lt;FQL&gt;&lt;Q&gt;JPYUSD^FG_PRICE(43746)&lt;/Q&gt;&lt;R&gt;1&lt;/R&gt;&lt;C&gt;1&lt;/C&gt;&lt;D xsi:type="xsd:double"&gt;0.009337504&lt;/D&gt;&lt;/FQL&gt;&lt;FQL&gt;&lt;Q&gt;JPYUSD^FG_PRICE(43738)&lt;/Q&gt;&lt;R&gt;1&lt;/R&gt;&lt;C&gt;1&lt;/C&gt;&lt;D xsi:type="xsd:double"&gt;0.009252834&lt;/D&gt;&lt;/FQL&gt;&lt;FQL&gt;&lt;Q&gt;JPYUSD^FG_PRICE(43730)&lt;/Q&gt;&lt;R&gt;1&lt;/R&gt;&lt;C&gt;1&lt;/C&gt;&lt;D xsi:type="xsd:double"&gt;0.009268699&lt;/D&gt;&lt;/FQL&gt;&lt;FQL&gt;&lt;Q&gt;JPYUSD^FG_PRICE(43722)&lt;/Q&gt;&lt;R&gt;1&lt;/R&gt;&lt;C&gt;1&lt;/C&gt;&lt;D xsi:type="xsd:double"&gt;0.00925369&lt;/D&gt;&lt;/FQL&gt;&lt;FQL&gt;&lt;Q&gt;JPYUSD^FG_PRICE(43714)&lt;/Q&gt;&lt;R&gt;1&lt;/R&gt;&lt;C&gt;1&lt;/C&gt;&lt;D xsi:type="xsd:double"&gt;0.009365488&lt;/D&gt;&lt;/FQL&gt;&lt;FQL&gt;&lt;Q&gt;JPYUSD^FG_PRICE(43706)&lt;/Q&gt;&lt;R&gt;1&lt;/R&gt;&lt;C&gt;1&lt;/C&gt;&lt;D xsi:type="xsd:double"&gt;0.009394523&lt;/D&gt;&lt;/FQL&gt;&lt;FQL&gt;&lt;Q&gt;JPYUSD^FG_PRICE(43698)&lt;/Q&gt;&lt;R&gt;1&lt;/R&gt;&lt;C&gt;1&lt;/C&gt;&lt;D xsi:type="xsd:double"&gt;0.009392317&lt;/D&gt;&lt;/FQL&gt;&lt;FQL&gt;&lt;Q&gt;JPYUSD^FG_PRICE(43690)&lt;/Q&gt;&lt;R&gt;1&lt;/R&gt;&lt;C&gt;1&lt;/C&gt;&lt;D xsi:type="xsd:double"&gt;0.009377784&lt;/D&gt;&lt;/FQL&gt;&lt;FQL&gt;&lt;Q&gt;JPYUSD^FG_PRICE(43682)&lt;/Q&gt;&lt;R&gt;1&lt;/R&gt;&lt;C&gt;1&lt;/C&gt;&lt;D xsi:type="xsd:double"&gt;0.009428181&lt;/D&gt;&lt;/FQL&gt;&lt;FQL&gt;&lt;Q&gt;JPYUSD^FG_PRICE(43674)&lt;/Q&gt;&lt;R&gt;1&lt;/R&gt;&lt;C&gt;1&lt;/C&gt;&lt;D xsi:type="xsd:double"&gt;0.009203442&lt;/D&gt;&lt;/FQL&gt;&lt;FQL&gt;&lt;Q&gt;JPYUSD^FG_PRICE(43666)&lt;/Q&gt;&lt;R&gt;1&lt;/R&gt;&lt;C&gt;1&lt;/C&gt;&lt;D xsi:type="xsd:double"&gt;0.009281604&lt;/D&gt;&lt;/FQL&gt;&lt;FQL&gt;&lt;Q&gt;JPYUSD^FG_PRICE(43658)&lt;/Q&gt;&lt;R&gt;1&lt;/R&gt;&lt;C&gt;1&lt;/C&gt;&lt;D xsi:type="xsd:double"&gt;0.009257973&lt;/D&gt;&lt;/FQL&gt;&lt;FQL&gt;&lt;Q&gt;JPYUSD^FG_PRICE(43650)&lt;/Q&gt;&lt;R&gt;1&lt;/R&gt;&lt;C&gt;1&lt;/C&gt;&lt;D xsi:type="xsd:double"&gt;0.009275147&lt;/D&gt;&lt;/FQL&gt;&lt;FQL&gt;&lt;Q&gt;JPYUSD^FG_PRICE(43642)&lt;/Q&gt;&lt;R&gt;1&lt;/R&gt;&lt;C&gt;1&lt;/C&gt;&lt;D xsi:type="xsd:double"&gt;0.009290227&lt;/D&gt;&lt;/FQL&gt;&lt;FQL&gt;&lt;Q&gt;JPYUSD^FG_PRICE(43634)&lt;/Q&gt;&lt;R&gt;1&lt;/R&gt;&lt;C&gt;1&lt;/C&gt;&lt;D xsi:type="xsd:double"&gt;0.0092157405&lt;/D&gt;&lt;/FQL&gt;&lt;FQL&gt;&lt;Q&gt;JPYUSD^FG_PRICE(43626)&lt;/Q&gt;&lt;R&gt;1&lt;/R&gt;&lt;C&gt;1&lt;/C&gt;&lt;D xsi:type="xsd:double"&gt;0.0092157405&lt;/D&gt;&lt;/FQL&gt;&lt;FQL&gt;&lt;Q&gt;JPYUSD^FG_PRICE(43618)&lt;/Q&gt;&lt;R&gt;1&lt;/R&gt;&lt;C&gt;1&lt;/C&gt;&lt;D xsi:type="xsd:double"&gt;0.009210223&lt;/D&gt;&lt;/FQL&gt;&lt;FQL&gt;&lt;Q&gt;JPYUSD^FG_PRICE(43610)&lt;/Q&gt;&lt;R&gt;1&lt;/R&gt;&lt;C&gt;1&lt;/C&gt;&lt;D xsi:type="xsd:double"&gt;0.009145365&lt;/D&gt;&lt;/FQL&gt;&lt;FQL&gt;&lt;Q&gt;JPYUSD^FG_PRICE(43602)&lt;/Q&gt;&lt;R&gt;1&lt;/R&gt;&lt;C&gt;1&lt;/C&gt;&lt;D xsi:type="xsd:double"&gt;0.009092975&lt;/D&gt;&lt;/FQL&gt;&lt;FQL&gt;&lt;Q&gt;JPYUSD^FG_PRICE(43594)&lt;/Q&gt;&lt;R&gt;1&lt;/R&gt;&lt;C&gt;1&lt;/C&gt;&lt;D xsi:type="xsd:double"&gt;0.009127002&lt;/D&gt;&lt;/FQL&gt;&lt;FQL&gt;&lt;Q&gt;JPYUSD^FG_PRICE(43586)&lt;/Q&gt;&lt;R&gt;1&lt;/R&gt;&lt;C&gt;1&lt;/C&gt;&lt;D xsi:type="xsd:double"&gt;0.008994828&lt;/D&gt;&lt;/FQL&gt;&lt;FQL&gt;&lt;Q&gt;JPYUSD^FG_PRICE(43578)&lt;/Q&gt;&lt;R&gt;1&lt;/R&gt;&lt;C&gt;1&lt;/C&gt;&lt;D xsi:type="xsd:double"&gt;0.008937748&lt;/D&gt;&lt;/FQL&gt;&lt;FQL&gt;&lt;Q&gt;JPYUSD^FG_PRICE(43570)&lt;/Q&gt;&lt;R&gt;1&lt;/R&gt;&lt;C&gt;1&lt;/C&gt;&lt;D xsi:type="xsd:double"&gt;0.008928173&lt;/D&gt;&lt;/FQL&gt;&lt;FQL&gt;&lt;Q&gt;JPYUSD^FG_PRICE(43562)&lt;/Q&gt;&lt;R&gt;1&lt;/R&gt;&lt;C&gt;1&lt;/C&gt;&lt;D xsi:type="xsd:double"&gt;0.008948546&lt;/D&gt;&lt;/FQL&gt;&lt;FQL&gt;&lt;Q&gt;JPYUSD^FG_PRICE(43554)&lt;/Q&gt;&lt;R&gt;1&lt;/R&gt;&lt;C&gt;1&lt;/C&gt;&lt;D xsi:type="xsd:double"&gt;0.009034649&lt;/D&gt;&lt;/FQL&gt;&lt;FQL&gt;&lt;Q&gt;JPYUSD^FG_PRICE(43546)&lt;/Q&gt;&lt;R&gt;1&lt;/R&gt;&lt;C&gt;1&lt;/C&gt;&lt;D xsi:type="xsd:double"&gt;0.009109542&lt;/D&gt;&lt;/FQL&gt;&lt;FQL&gt;&lt;Q&gt;JPYUSD^FG_PRICE(43538)&lt;/Q&gt;&lt;R&gt;1&lt;/R&gt;&lt;C&gt;1&lt;/C&gt;&lt;D xsi:type="xsd:double"&gt;0.008950949&lt;/D&gt;&lt;/FQL&gt;&lt;FQL&gt;&lt;Q&gt;JPYUSD^FG_PRICE(43530)&lt;/Q&gt;&lt;R&gt;1&lt;/R&gt;&lt;C&gt;1&lt;/C&gt;&lt;D xsi:type="xsd:double"&gt;0.008950548&lt;/D&gt;&lt;/FQL&gt;&lt;FQL&gt;&lt;Q&gt;JPYUSD^FG_PRICE(43522)&lt;/Q&gt;&lt;R&gt;1&lt;/R&gt;&lt;C&gt;1&lt;/C&gt;&lt;D xsi:type="xsd:double"&gt;0.009029753&lt;/D&gt;&lt;/FQL&gt;&lt;FQL&gt;&lt;Q&gt;JPYUSD^FG_PRICE(43514)&lt;/Q&gt;&lt;R&gt;1&lt;/R&gt;&lt;C&gt;1&lt;/C&gt;&lt;D xsi:type="xsd:double"&gt;0.009042&lt;/D&gt;&lt;/FQL&gt;&lt;FQL&gt;&lt;Q&gt;JPYUSD^FG_PRICE(43506)&lt;/Q&gt;&lt;R&gt;1&lt;/R&gt;&lt;C&gt;1&lt;/C&gt;&lt;D xsi:type="xsd:double"&gt;0.009113277&lt;/D&gt;&lt;/FQL&gt;&lt;FQL&gt;&lt;Q&gt;J</t>
        </r>
      </text>
    </comment>
    <comment ref="A5" authorId="0" shapeId="0" xr:uid="{0A59B075-F158-487E-9AF8-97A069E4A57E}">
      <text>
        <r>
          <rPr>
            <b/>
            <sz val="9"/>
            <color indexed="81"/>
            <rFont val="Tahoma"/>
            <family val="2"/>
          </rPr>
          <t>PYUSD^FG_PRICE(43498)&lt;/Q&gt;&lt;R&gt;1&lt;/R&gt;&lt;C&gt;1&lt;/C&gt;&lt;D xsi:type="xsd:double"&gt;0.009142857&lt;/D&gt;&lt;/FQL&gt;&lt;FQL&gt;&lt;Q&gt;JPYUSD^FG_PRICE(43490)&lt;/Q&gt;&lt;R&gt;1&lt;/R&gt;&lt;C&gt;1&lt;/C&gt;&lt;D xsi:type="xsd:double"&gt;0.009117848&lt;/D&gt;&lt;/FQL&gt;&lt;FQL&gt;&lt;Q&gt;JPYUSD^FG_PRICE(43482)&lt;/Q&gt;&lt;R&gt;1&lt;/R&gt;&lt;C&gt;1&lt;/C&gt;&lt;D xsi:type="xsd:double"&gt;0.00917263&lt;/D&gt;&lt;/FQL&gt;&lt;FQL&gt;&lt;Q&gt;JPYUSD^FG_PRICE(43474)&lt;/Q&gt;&lt;R&gt;1&lt;/R&gt;&lt;C&gt;1&lt;/C&gt;&lt;D xsi:type="xsd:double"&gt;0.009242571&lt;/D&gt;&lt;/FQL&gt;&lt;FQL&gt;&lt;Q&gt;JPYUSD^FG_PRICE(43466)&lt;/Q&gt;&lt;R&gt;1&lt;/R&gt;&lt;C&gt;1&lt;/C&gt;&lt;D xsi:type="xsd:double"&gt;0.0091145225&lt;/D&gt;&lt;/FQL&gt;&lt;FQL&gt;&lt;Q&gt;JPYUSD^FG_PRICE(43472)&lt;/Q&gt;&lt;R&gt;1&lt;/R&gt;&lt;C&gt;1&lt;/C&gt;&lt;D xsi:type="xsd:double"&gt;0.009221689&lt;/D&gt;&lt;/FQL&gt;&lt;FQL&gt;&lt;Q&gt;JPYUSD^FG_PRICE(43549)&lt;/Q&gt;&lt;R&gt;1&lt;/R&gt;&lt;C&gt;1&lt;/C&gt;&lt;D xsi:type="xsd:double"&gt;0.009082653&lt;/D&gt;&lt;/FQL&gt;&lt;FQL&gt;&lt;Q&gt;JPYUSD^FG_PRICE(43501)&lt;/Q&gt;&lt;R&gt;1&lt;/R&gt;&lt;C&gt;1&lt;/C&gt;&lt;D xsi:type="xsd:double"&gt;0.009098353&lt;/D&gt;&lt;/FQL&gt;&lt;FQL&gt;&lt;Q&gt;JPYUSD^FG_PRICE(45579)&lt;/Q&gt;&lt;R&gt;1&lt;/R&gt;&lt;C&gt;1&lt;/C&gt;&lt;D xsi:type="xsd:double"&gt;0.007451287&lt;/D&gt;&lt;/FQL&gt;&lt;FQL&gt;&lt;Q&gt;JPYUSD^FG_PRICE(44624)&lt;/Q&gt;&lt;R&gt;1&lt;/R&gt;&lt;C&gt;1&lt;/C&gt;&lt;D xsi:type="xsd:double"&gt;0.0087096635&lt;/D&gt;&lt;/FQL&gt;&lt;FQL&gt;&lt;Q&gt;JPYUSD^FG_PRICE(44480)&lt;/Q&gt;&lt;R&gt;1&lt;/R&gt;&lt;C&gt;1&lt;/C&gt;&lt;D xsi:type="xsd:double"&gt;0.008826904&lt;/D&gt;&lt;/FQL&gt;&lt;FQL&gt;&lt;Q&gt;JPYUSD^FG_PRICE(44334)&lt;/Q&gt;&lt;R&gt;1&lt;/R&gt;&lt;C&gt;1&lt;/C&gt;&lt;D xsi:type="xsd:double"&gt;0.009183158&lt;/D&gt;&lt;/FQL&gt;&lt;FQL&gt;&lt;Q&gt;JPYUSD^FG_PRICE(44224)&lt;/Q&gt;&lt;R&gt;1&lt;/R&gt;&lt;C&gt;1&lt;/C&gt;&lt;D xsi:type="xsd:double"&gt;0.009586809&lt;/D&gt;&lt;/FQL&gt;&lt;FQL&gt;&lt;Q&gt;JPYUSD^FG_PRICE(45636)&lt;/Q&gt;&lt;R&gt;1&lt;/R&gt;&lt;C&gt;1&lt;/C&gt;&lt;D xsi:type="xsd:double"&gt;0.007451287&lt;/D&gt;&lt;/FQL&gt;&lt;FQL&gt;&lt;Q&gt;JPYUSD^FG_PRICE(45551)&lt;/Q&gt;&lt;R&gt;1&lt;/R&gt;&lt;C&gt;1&lt;/C&gt;&lt;D xsi:type="xsd:double"&gt;0.007451287&lt;/D&gt;&lt;/FQL&gt;&lt;FQL&gt;&lt;Q&gt;JPYUSD^FG_PRICE(45467)&lt;/Q&gt;&lt;R&gt;1&lt;/R&gt;&lt;C&gt;1&lt;/C&gt;&lt;D xsi:type="xsd:double"&gt;0.007451287&lt;/D&gt;&lt;/FQL&gt;&lt;FQL&gt;&lt;Q&gt;JPYUSD^FG_PRICE(45380)&lt;/Q&gt;&lt;R&gt;1&lt;/R&gt;&lt;C&gt;1&lt;/C&gt;&lt;D xsi:type="xsd:double"&gt;0.007451287&lt;/D&gt;&lt;/FQL&gt;&lt;FQL&gt;&lt;Q&gt;JPYUSD^FG_PRICE(45295)&lt;/Q&gt;&lt;R&gt;1&lt;/R&gt;&lt;C&gt;1&lt;/C&gt;&lt;D xsi:type="xsd:double"&gt;0.007451287&lt;/D&gt;&lt;/FQL&gt;&lt;FQL&gt;&lt;Q&gt;JPYUSD^FG_PRICE(45211)&lt;/Q&gt;&lt;R&gt;1&lt;/R&gt;&lt;C&gt;1&lt;/C&gt;&lt;D xsi:type="xsd:double"&gt;0.007451287&lt;/D&gt;&lt;/FQL&gt;&lt;FQL&gt;&lt;Q&gt;JPYUSD^FG_PRICE(45124)&lt;/Q&gt;&lt;R&gt;1&lt;/R&gt;&lt;C&gt;1&lt;/C&gt;&lt;D xsi:type="xsd:double"&gt;0.007451287&lt;/D&gt;&lt;/FQL&gt;&lt;FQL&gt;&lt;Q&gt;JPYUSD^FG_PRICE(45039)&lt;/Q&gt;&lt;R&gt;1&lt;/R&gt;&lt;C&gt;1&lt;/C&gt;&lt;D xsi:type="xsd:double"&gt;0.007451287&lt;/D&gt;&lt;/FQL&gt;&lt;FQL&gt;&lt;Q&gt;JPYUSD^FG_PRICE(44955)&lt;/Q&gt;&lt;R&gt;1&lt;/R&gt;&lt;C&gt;1&lt;/C&gt;&lt;D xsi:type="xsd:double"&gt;0.007693787&lt;/D&gt;&lt;/FQL&gt;&lt;FQL&gt;&lt;Q&gt;JPYUSD^FG_PRICE(44893)&lt;/Q&gt;&lt;R&gt;1&lt;/R&gt;&lt;C&gt;1&lt;/C&gt;&lt;D xsi:type="xsd:double"&gt;0.0072048707&lt;/D&gt;&lt;/FQL&gt;&lt;FQL&gt;&lt;Q&gt;JPYUSD^FG_PRICE(44843)&lt;/Q&gt;&lt;R&gt;1&lt;/R&gt;&lt;C&gt;1&lt;/C&gt;&lt;D xsi:type="xsd:double"&gt;0.0068898993&lt;/D&gt;&lt;/FQL&gt;&lt;FQL&gt;&lt;Q&gt;JPYUSD^FG_PRICE(44791)&lt;/Q&gt;&lt;R&gt;1&lt;/R&gt;&lt;C&gt;1&lt;/C&gt;&lt;D xsi:type="xsd:double"&gt;0.007395902&lt;/D&gt;&lt;/FQL&gt;&lt;FQL&gt;&lt;Q&gt;JPYUSD^FG_PRICE(44740)&lt;/Q&gt;&lt;R&gt;1&lt;/R&gt;&lt;C&gt;1&lt;/C&gt;&lt;D xsi:type="xsd:double"&gt;0.0073386417&lt;/D&gt;&lt;/FQL&gt;&lt;FQL&gt;&lt;Q&gt;JPYUSD^FG_PRICE(44689)&lt;/Q&gt;&lt;R&gt;1&lt;/R&gt;&lt;C&gt;1&lt;/C&gt;&lt;D xsi:type="xsd:double"&gt;0.007668418&lt;/D&gt;&lt;/FQL&gt;&lt;FQL&gt;&lt;Q&gt;JPYUSD^FG_PRICE(44647)&lt;/Q&gt;&lt;R&gt;1&lt;/R&gt;&lt;C&gt;1&lt;/C&gt;&lt;D xsi:type="xsd:double"&gt;0.0081977295&lt;/D&gt;&lt;/FQL&gt;&lt;FQL&gt;&lt;Q&gt;JPYUSD^FG_PRICE(44614)&lt;/Q&gt;&lt;R&gt;1&lt;/R&gt;&lt;C&gt;1&lt;/C&gt;&lt;D xsi:type="xsd:double"&gt;0.00869074&lt;/D&gt;&lt;/FQL&gt;&lt;FQL&gt;&lt;Q&gt;JPYUSD^FG_PRICE(44582)&lt;/Q&gt;&lt;R&gt;1&lt;/R&gt;&lt;C&gt;1&lt;/C&gt;&lt;D xsi:type="xsd:double"&gt;0.0087977825&lt;/D&gt;&lt;/FQL&gt;&lt;FQL&gt;&lt;Q&gt;JPYUSD^FG_PRICE(44550)&lt;/Q&gt;&lt;R&gt;1&lt;/R&gt;&lt;C&gt;1&lt;/C&gt;&lt;D xsi:type="xsd:double"&gt;0.008818732&lt;/D&gt;&lt;/FQL&gt;&lt;FQL&gt;&lt;Q&gt;JPYUSD^FG_PRICE(44518)&lt;/Q&gt;&lt;R&gt;1&lt;/R&gt;&lt;C&gt;1&lt;/C&gt;&lt;D xsi:type="xsd:double"&gt;0.008750054&lt;/D&gt;&lt;/FQL&gt;&lt;FQL&gt;&lt;Q&gt;JPYUSD^FG_PRICE(44495)&lt;/Q&gt;&lt;R&gt;1&lt;/R&gt;&lt;C&gt;1&lt;/C&gt;&lt;D xsi:type="xsd:double"&gt;0.008752353&lt;/D&gt;&lt;/FQL&gt;&lt;FQL&gt;&lt;Q&gt;JPYUSD^FG_PRICE(44472)&lt;/Q&gt;&lt;R&gt;1&lt;/R&gt;&lt;C&gt;1&lt;/C&gt;&lt;D xsi:type="xsd:double"&gt;0.009011851&lt;/D&gt;&lt;/FQL&gt;&lt;FQL&gt;&lt;Q&gt;JPYUSD^FG_PRICE(44454)&lt;/Q&gt;&lt;R&gt;1&lt;/R&gt;&lt;C&gt;1&lt;/C&gt;&lt;D xsi:type="xsd:double"&gt;0.0091495495&lt;/D&gt;&lt;/FQL&gt;&lt;FQL&gt;&lt;Q&gt;JPYUSD^FG_PRICE(44431)&lt;/Q&gt;&lt;R&gt;1&lt;/R&gt;&lt;C&gt;1&lt;/C&gt;&lt;D xsi:type="xsd:double"&gt;0.009112032&lt;/D&gt;&lt;/FQL&gt;&lt;FQL&gt;&lt;Q&gt;JPYUSD^FG_PRICE(44408)&lt;/Q&gt;&lt;R&gt;1&lt;/R&gt;&lt;C&gt;1&lt;/C&gt;&lt;D xsi:type="xsd:double"&gt;0.009111618&lt;/D&gt;&lt;/FQL&gt;&lt;FQL&gt;&lt;Q&gt;JPYUSD^FG_PRICE(44390)&lt;/Q&gt;&lt;R&gt;1&lt;/R&gt;&lt;C&gt;1&lt;/C&gt;&lt;D xsi:type="xsd:double"&gt;0.00906495&lt;/D&gt;&lt;/FQL&gt;&lt;FQL&gt;&lt;Q&gt;JPYUSD^FG_PRICE(44367)&lt;/Q&gt;&lt;R&gt;1&lt;/R&gt;&lt;C&gt;1&lt;/C&gt;&lt;D xsi:type="xsd:double"&gt;0.009071118&lt;/D&gt;&lt;/FQL&gt;&lt;FQL&gt;&lt;Q&gt;JPYUSD^FG_PRICE(44344)&lt;/Q&gt;&lt;R&gt;1&lt;/R&gt;&lt;C&gt;1&lt;/C&gt;&lt;D xsi:type="xsd:double"&gt;0.009092975&lt;/D&gt;&lt;/FQL&gt;&lt;FQL&gt;&lt;Q&gt;JPYUSD^FG_PRICE(44326)&lt;/Q&gt;&lt;R&gt;1&lt;/R&gt;&lt;C&gt;1&lt;/C&gt;&lt;D xsi:type="xsd:double"&gt;0.009196671&lt;/D&gt;&lt;/FQL&gt;&lt;FQL&gt;&lt;Q&gt;JPYUSD^FG_PRICE(44303)&lt;/Q&gt;&lt;R&gt;1&lt;/R&gt;&lt;C&gt;1&lt;/C&gt;&lt;D xsi:type="xsd:double"&gt;0.009189909&lt;/D&gt;&lt;/FQL&gt;&lt;FQL&gt;&lt;Q&gt;JPYUSD^FG_PRICE(44280)&lt;/Q&gt;&lt;R&gt;1&lt;/R&gt;&lt;C&gt;1&lt;/C&gt;&lt;D xsi:type="xsd:double"&gt;0.009162963&lt;/D&gt;&lt;/FQL&gt;&lt;FQL&gt;&lt;Q&gt;JPYUSD^FG_PRICE(44262)&lt;/Q&gt;&lt;R&gt;1&lt;/R&gt;&lt;C&gt;1&lt;/C&gt;&lt;D xsi:type="xsd:double"&gt;0.009237449&lt;/D&gt;&lt;/FQL&gt;&lt;FQL&gt;&lt;Q&gt;JPYUSD^FG_PRICE(44239)&lt;/Q&gt;&lt;R&gt;1&lt;/R&gt;&lt;C&gt;1&lt;/C&gt;&lt;D xsi:type="xsd:double"&gt;0.009526078&lt;/D&gt;&lt;/FQL&gt;&lt;FQL&gt;&lt;Q&gt;JPYUSD^FG_PRICE(44216)&lt;/Q&gt;&lt;R&gt;1&lt;/R&gt;&lt;C&gt;1&lt;/C&gt;&lt;D xsi:type="xsd:double"&gt;0.009655305&lt;/D&gt;&lt;/FQL&gt;&lt;FQL&gt;&lt;Q&gt;JPYUSD^FG_PRICE(44198)&lt;/Q&gt;&lt;R&gt;1&lt;/R&gt;&lt;C&gt;1&lt;/C&gt;&lt;D xsi:type="xsd:double"&gt;0.0096857&lt;/D&gt;&lt;/FQL&gt;&lt;FQL&gt;&lt;Q&gt;JPYUSD^FG_PRICE(44175)&lt;/Q&gt;&lt;R&gt;1&lt;/R&gt;&lt;C&gt;1&lt;/C&gt;&lt;D xsi:type="xsd:double"&gt;0.0095780855&lt;/D&gt;&lt;/FQL&gt;&lt;FQL&gt;&lt;Q&gt;JPYUSD^FG_PRICE(44152)&lt;/Q&gt;&lt;R&gt;1&lt;/R&gt;&lt;C&gt;1&lt;/C&gt;&lt;D xsi:type="xsd:double"&gt;0.009595548&lt;/D&gt;&lt;/FQL&gt;&lt;FQL&gt;&lt;Q&gt;JPYUSD^FG_PRICE(44135)&lt;/Q&gt;&lt;R&gt;1&lt;/R&gt;&lt;C&gt;1&lt;/C&gt;&lt;D xsi:type="xsd:double"&gt;0.009565717&lt;/D&gt;&lt;/FQL&gt;&lt;FQL&gt;&lt;Q&gt;JPYUSD^FG_PRICE(44119)&lt;/Q&gt;&lt;R&gt;1&lt;/R&gt;&lt;C&gt;1&lt;/C&gt;&lt;D xsi:type="xsd:double"&gt;0.009498029&lt;/D&gt;&lt;/FQL&gt;&lt;FQL&gt;&lt;Q&gt;JPYUSD^FG_PRICE(44108)&lt;/Q&gt;&lt;R&gt;1&lt;/R&gt;&lt;C&gt;1&lt;/C&gt;&lt;D xsi:type="xsd:double"&gt;0.009491718&lt;/D&gt;&lt;/FQL&gt;&lt;FQL&gt;&lt;Q&gt;JPYUSD^FG_PRICE(44098)&lt;/Q&gt;&lt;R&gt;1&lt;/R&gt;&lt;C&gt;1&lt;/C&gt;&lt;D xsi:type="xsd:double"&gt;0.00948092&lt;/D&gt;&lt;/FQL&gt;&lt;FQL&gt;&lt;Q&gt;JPYUSD^FG_PRICE(44089)&lt;/Q&gt;&lt;R&gt;1&lt;/R&gt;&lt;C&gt;1&lt;/C&gt;&lt;D xsi:type="xsd:double"&gt;0.00948047&lt;/D&gt;&lt;/FQL&gt;&lt;FQL&gt;&lt;Q&gt;JPYUSD^FG_PRICE(44081)&lt;/Q&gt;&lt;R&gt;1&lt;/R&gt;&lt;C&gt;1&lt;/C&gt;&lt;D xsi:type="xsd:double"&gt;0.009409108&lt;/D&gt;&lt;/FQL&gt;&lt;FQL&gt;&lt;Q&gt;JPYUSD^FG_PRICE(44073)&lt;/Q&gt;&lt;R&gt;1&lt;/R&gt;&lt;C&gt;1&lt;/C&gt;&lt;D xsi:type="xsd:double"&gt;0.009496225&lt;/D&gt;&lt;/FQL&gt;&lt;FQL&gt;&lt;Q&gt;JPYUSD^FG_PRICE(44065)&lt;/Q&gt;&lt;R&gt;1&lt;/R&gt;&lt;C&gt;1&lt;/C&gt;&lt;D xsi:type="xsd:double"&gt;0.009437969&lt;/D&gt;&lt;/FQL&gt;&lt;FQL&gt;&lt;Q&gt;JPYUSD^FG_PRICE(44057)&lt;/Q&gt;&lt;R&gt;1&lt;/R&gt;&lt;C&gt;1&lt;/C&gt;&lt;D xsi:type="xsd:double"&gt;0.009393641&lt;/D&gt;&lt;/FQL&gt;&lt;FQL&gt;&lt;Q&gt;JPYUSD^FG_PRICE(44049)&lt;/Q&gt;&lt;R&gt;1&lt;/R&gt;&lt;C&gt;1&lt;/C&gt;&lt;D xsi:type="xsd:double"&gt;0.009476427&lt;/D&gt;&lt;/FQL&gt;&lt;FQL&gt;&lt;Q&gt;JPYUSD^FG_PRICE(44041)&lt;/Q&gt;&lt;R&gt;1&lt;/R&gt;&lt;C&gt;1&lt;/C&gt;&lt;D xsi:type="xsd:double"&gt;0.009514295&lt;/D&gt;&lt;/FQL&gt;&lt;FQL&gt;&lt;Q&gt;JPYUSD^FG_PRICE(44033)&lt;/Q&gt;&lt;R&gt;1&lt;/R&gt;&lt;C&gt;1&lt;/C&gt;&lt;D xsi:type="xsd:double"&gt;0.0093541&lt;/D&gt;&lt;/FQL&gt;&lt;FQL&gt;&lt;Q&gt;JPYUSD^FG_PRICE(44025)&lt;/Q&gt;&lt;R&gt;1&lt;/R&gt;&lt;C&gt;1&lt;/C&gt;&lt;D xsi:type="xsd:double"&gt;0.009321836&lt;/D&gt;&lt;/FQL&gt;&lt;FQL&gt;&lt;Q&gt;JPYUSD^FG_PRICE(44017)&lt;/Q&gt;&lt;R&gt;1&lt;/R&gt;&lt;C&gt;1&lt;/C&gt;&lt;D xsi:type="xsd:double"&gt;0.00929973&lt;/D&gt;&lt;/FQL&gt;&lt;FQL&gt;&lt;Q&gt;JPYUSD^FG_PRICE(44009)&lt;/Q&gt;&lt;R&gt;1&lt;/R&gt;&lt;C&gt;1&lt;/C&gt;&lt;D xsi:type="xsd:double"&gt;0.009316626&lt;/D&gt;&lt;/FQL&gt;&lt;FQL&gt;&lt;Q&gt;JPYUSD^FG_PRICE(44001)&lt;/Q&gt;&lt;R&gt;1&lt;/R&gt;&lt;C&gt;1&lt;/C&gt;&lt;D xsi:type="xsd:double"&gt;0.009347979&lt;/D&gt;&lt;/FQL&gt;&lt;FQL&gt;&lt;Q&gt;JPYUSD^FG_PRICE(43993)&lt;/Q&gt;&lt;R&gt;1&lt;/R&gt;&lt;C&gt;1&lt;/C&gt;&lt;D xsi:type="xsd:double"&gt;0.009376905&lt;/D&gt;&lt;/FQL&gt;&lt;FQL&gt;&lt;Q&gt;JPYUSD^FG_PRICE(43985)&lt;/Q&gt;&lt;R&gt;1&lt;/R&gt;&lt;C&gt;1&lt;/C&gt;&lt;D xsi:type="xsd:double"&gt;0.009189066&lt;/D&gt;&lt;/FQL&gt;&lt;FQL&gt;&lt;Q&gt;JPYUSD^FG_PRICE(43977)&lt;/Q&gt;&lt;R&gt;1&lt;/R&gt;&lt;C&gt;1&lt;/C&gt;&lt;D xsi:type="xsd:double"&gt;0.009294112&lt;/D&gt;&lt;/FQL&gt;&lt;FQL&gt;&lt;Q&gt;JPYUSD^FG_PRICE(43969)&lt;/Q&gt;&lt;R&gt;1&lt;/R&gt;&lt;C&gt;1&lt;/C&gt;&lt;D xsi:type="xsd:double"&gt;0.009309254&lt;/D&gt;&lt;/FQL&gt;&lt;FQL&gt;&lt;Q&gt;JPYUSD^FG_PRICE(43961)&lt;/Q&gt;&lt;R&gt;1&lt;/R&gt;&lt;C&gt;1&lt;/C&gt;&lt;D xsi:type="xsd:double"&gt;0.009395847&lt;/D&gt;&lt;/FQL&gt;&lt;FQL&gt;&lt;Q&gt;JPYUSD^FG_PRICE(43953)&lt;/Q&gt;&lt;R&gt;1&lt;/R&gt;&lt;C&gt;1&lt;/C&gt;&lt;D xsi:type="xsd:double"&gt;0.0093541&lt;/D&gt;&lt;/FQL&gt;&lt;FQL&gt;&lt;Q&gt;JPYUSD^FG_PRICE(43945)&lt;/Q&gt;&lt;R&gt;1&lt;/R&gt;&lt;C&gt;1&lt;/C&gt;&lt;D xsi:type="xsd:double"&gt;0.0093079535&lt;/D&gt;&lt;/FQL&gt;&lt;FQL&gt;&lt;Q&gt;JPYUSD^FG_PRICE(43937)&lt;/Q&gt;&lt;R&gt;1&lt;/R&gt;&lt;C&gt;1&lt;/C&gt;&lt;D xsi:type="xsd:double"&gt;0.009296704&lt;/D&gt;&lt;/FQL&gt;&lt;FQL&gt;&lt;Q&gt;JPYUSD^FG_PRICE(43929)&lt;/Q&gt;&lt;R&gt;1&lt;/R&gt;&lt;C&gt;1&lt;/C&gt;&lt;D xsi:type="xsd:double"&gt;0.009195825&lt;/D&gt;&lt;/FQL&gt;&lt;FQL&gt;&lt;Q&gt;JPYUSD^FG_PRICE(43921)&lt;/Q&gt;&lt;R&gt;1&lt;/R&gt;&lt;C&gt;1&lt;/C&gt;&lt;D xsi:type="xsd:double"&gt;0.009263119&lt;/D&gt;&lt;/FQL&gt;&lt;FQL&gt;&lt;Q&gt;JPYUSD^FG_PRICE(43913)&lt;/Q&gt;&lt;R&gt;1&lt;/R&gt;&lt;C&gt;1&lt;/C&gt;&lt;D xsi:type="xsd:double"&gt;0.008980288&lt;/D&gt;&lt;/FQL&gt;&lt;FQL&gt;&lt;Q&gt;JPYUSD^FG_PRICE(43905)&lt;/Q&gt;&lt;R&gt;1&lt;/R&gt;&lt;C&gt;1&lt;/C&gt;&lt;D xsi:type="xsd:double"&gt;0.00933184&lt;/D&gt;&lt;/FQL&gt;&lt;FQL&gt;&lt;Q&gt;JPYUSD^FG_PRICE(43897)&lt;/Q&gt;&lt;R&gt;1&lt;/R&gt;&lt;C&gt;1&lt;/C&gt;&lt;D xsi:type="xsd:double"&gt;0.009492619&lt;/D&gt;&lt;/FQL&gt;&lt;FQL&gt;&lt;Q&gt;JPYUSD^FG_PRICE(43889)&lt;/Q&gt;&lt;R&gt;1&lt;/R&gt;&lt;C&gt;1&lt;/C&gt;&lt;D xsi:type="xsd:double"&gt;0.009270848&lt;/D&gt;&lt;/FQL&gt;&lt;FQL&gt;&lt;Q&gt;JPYUSD^FG_PRICE(43881)&lt;/Q&gt;&lt;R&gt;1&lt;/R&gt;&lt;C&gt;1&lt;/C&gt;&lt;D xsi:type="xsd:double"&gt;0.0089214025&lt;/D&gt;&lt;/FQL&gt;&lt;FQL&gt;&lt;Q&gt;JPYUSD^FG_PRICE(43873)&lt;/Q&gt;&lt;R&gt;1&lt;/R&gt;&lt;C&gt;1&lt;/C&gt;&lt;D xsi:type="xsd:double"&gt;0.009089669&lt;/D&gt;&lt;/FQL&gt;&lt;FQL&gt;&lt;Q&gt;JPYUSD^FG_PRICE(43865)&lt;/Q&gt;&lt;R&gt;1&lt;/R&gt;&lt;C&gt;1&lt;/C&gt;&lt;D xsi:type="xsd:double"&gt;0.009146202&lt;/D&gt;&lt;/FQL&gt;&lt;FQL&gt;&lt;Q&gt;JPYUSD^FG_PRICE(43857)&lt;/Q&gt;&lt;R&gt;1&lt;/R&gt;&lt;C&gt;1&lt;/C&gt;&lt;D xsi:type="xsd:double"&gt;0.009182315&lt;/D&gt;&lt;/FQL&gt;&lt;FQL&gt;&lt;Q&gt;JPYUSD^FG_PRICE(43849)&lt;/Q&gt;&lt;R&gt;1&lt;/R&gt;&lt;C&gt;1&lt;/C&gt;&lt;D xsi:type="xsd:double"&gt;0.009076469&lt;/D&gt;&lt;/FQL&gt;&lt;FQL&gt;&lt;Q&gt;JPYUSD^FG_PRICE(43841)&lt;/Q&gt;&lt;R&gt;1&lt;/R&gt;&lt;C&gt;1&lt;/C&gt;&lt;D xsi:type="xsd:double"&gt;0.0091274185&lt;/D&gt;&lt;/FQL&gt;&lt;FQL&gt;&lt;Q&gt;JPYUSD^FG_PRICE(43833)&lt;/Q&gt;&lt;R&gt;1&lt;/R&gt;&lt;C&gt;1&lt;/C&gt;&lt;D xsi:type="xsd:double"&gt;0.009257116&lt;/D&gt;&lt;/FQL&gt;&lt;FQL&gt;&lt;Q&gt;JPYUSD^FG_PRICE(43825)&lt;/Q&gt;&lt;R&gt;1&lt;/R&gt;&lt;C&gt;1&lt;/C&gt;&lt;D xsi:type="xsd:double"&gt;0.009120759&lt;/D&gt;&lt;/FQL&gt;&lt;FQL&gt;&lt;Q&gt;JPYUSD^FG_PRICE(43817)&lt;/Q&gt;&lt;R&gt;1&lt;/R&gt;&lt;C&gt;1&lt;/C&gt;&lt;D xsi:type="xsd:double"&gt;0.009124921&lt;/D&gt;&lt;/FQL&gt;&lt;FQL&gt;&lt;Q&gt;JPYUSD^FG_PRICE(43809)&lt;/Q&gt;&lt;R&gt;1&lt;/R&gt;&lt;C&gt;1&lt;/C&gt;&lt;D xsi:type="xsd:double"&gt;0.009198786&lt;/D&gt;&lt;/FQL&gt;&lt;FQL&gt;&lt;Q&gt;JPYUSD^FG_PRICE(43801)&lt;/Q&gt;&lt;R&gt;1&lt;/R&gt;&lt;C&gt;1&lt;/C&gt;&lt;D xsi:type="xsd:double"&gt;0.009164643&lt;/D&gt;&lt;/FQL&gt;&lt;FQL&gt;&lt;Q&gt;JPYUSD^FG_PRICE(43793)&lt;/Q&gt;&lt;R&gt;1&lt;/R&gt;&lt;C&gt;1&lt;/C&gt;&lt;D xsi:type="xsd:double"&gt;0.009203442&lt;/D&gt;&lt;/FQL&gt;&lt;FQL&gt;&lt;Q&gt;JPYUSD^FG_PRICE(43785)&lt;/Q&gt;&lt;R&gt;1&lt;/R&gt;&lt;C&gt;1&lt;/C&gt;&lt;D xsi:type="xsd:double"&gt;0.009196671&lt;/D&gt;&lt;/FQL&gt;&lt;FQL&gt;&lt;Q&gt;JPYUSD^FG_PRICE(43777)&lt;/Q&gt;&lt;R&gt;1&lt;/R&gt;&lt;C&gt;1&lt;/C&gt;&lt;D xsi:type="xsd:double"&gt;0.009162124&lt;/D&gt;&lt;/FQL&gt;&lt;FQL&gt;&lt;Q&gt;JPYUSD^FG_PRICE(43769)&lt;/Q&gt;&lt;R&gt;1&lt;/R&gt;&lt;C&gt;1&lt;/C&gt;&lt;D xsi:type="xsd:double"&gt;0.009250266&lt;/D&gt;&lt;/FQL&gt;&lt;FQL&gt;&lt;Q&gt;JPYUSD^FG_PRICE(43761)&lt;/Q&gt;&lt;R&gt;1&lt;/R&gt;&lt;C&gt;1&lt;/C&gt;&lt;D xsi:type="xsd:double"&gt;0.009206408&lt;/D&gt;&lt;/FQL&gt;&lt;FQL&gt;&lt;Q&gt;JPYUSD^FG_PRICE(43753)&lt;/Q&gt;&lt;R&gt;1&lt;/R&gt;&lt;C&gt;1&lt;/C&gt;&lt;D xsi:type="xsd:double"&gt;0.009190754&lt;/D&gt;&lt;/FQL&gt;&lt;FQL&gt;&lt;Q&gt;JPYUSD^FG_PRICE(43745)&lt;/Q&gt;&lt;R&gt;1&lt;/R&gt;&lt;C&gt;1&lt;/C&gt;&lt;D xsi:type="xsd:double"&gt;0.009350601&lt;/D&gt;&lt;/FQL&gt;&lt;FQL&gt;&lt;Q&gt;JPYUSD^FG_PRICE(43737)&lt;/Q&gt;&lt;R&gt;1&lt;/R&gt;&lt;C&gt;1&lt;/C&gt;&lt;D xsi:type="xsd:double"&gt;0.00924599&lt;/D&gt;&lt;/FQL&gt;&lt;FQL&gt;&lt;Q&gt;JPYUSD^FG_PRICE(43729)&lt;/Q&gt;&lt;R&gt;1&lt;/R&gt;&lt;C&gt;1&lt;/C&gt;&lt;D xsi:type="xsd:double"&gt;0.009268699&lt;/D&gt;&lt;/FQL&gt;&lt;FQL&gt;&lt;Q&gt;JPYUSD^FG_PRICE(43721)&lt;/Q&gt;&lt;R&gt;1&lt;/R&gt;&lt;C&gt;1&lt;/C&gt;&lt;D xsi:type="xsd:double"&gt;0.00925369&lt;/D&gt;&lt;/FQL&gt;&lt;FQL&gt;&lt;Q&gt;JPYUSD^FG_PRICE(43713)&lt;/Q&gt;&lt;R&gt;1&lt;/R&gt;&lt;C&gt;1&lt;/C&gt;&lt;D xsi:type="xsd:double"&gt;0.009341429&lt;/D&gt;&lt;/FQL&gt;&lt;FQL&gt;&lt;Q&gt;JPYUSD^FG_PRICE(43705)&lt;/Q&gt;&lt;R&gt;1&lt;/R&gt;&lt;C&gt;1&lt;/C&gt;&lt;D xsi:type="xsd:double"&gt;0.009442425&lt;/D&gt;&lt;/FQL&gt;&lt;FQL&gt;&lt;Q&gt;JPYUSD^FG_PRICE(43697)&lt;/Q&gt;&lt;R&gt;1&lt;/R&gt;&lt;C&gt;1&lt;/C&gt;&lt;D xsi:type="xsd:double"&gt;0.009406011&lt;/D&gt;&lt;/FQL&gt;&lt;FQL&gt;&lt;Q&gt;JPYUSD^FG_PRICE(43689)&lt;/Q&gt;&lt;R&gt;1&lt;/R&gt;&lt;C&gt;1&lt;/C&gt;&lt;D xsi:type="xsd:double"&gt;0.009496225&lt;/D&gt;&lt;/FQL&gt;&lt;FQL&gt;&lt;Q&gt;JPYUSD^FG_PRICE(43681)&lt;/Q&gt;&lt;R&gt;1&lt;/R&gt;&lt;C&gt;1&lt;/C&gt;&lt;D xsi:type="xsd:double"&gt;0.009383944&lt;/D&gt;&lt;/FQL&gt;&lt;FQL&gt;&lt;Q&gt;JPYUSD^FG_PRICE(43673)&lt;/Q&gt;&lt;R&gt;1&lt;/R&gt;&lt;C&gt;1&lt;/C&gt;&lt;D xsi:type="xsd:double"&gt;0.009203442&lt;/D&gt;&lt;/FQL&gt;&lt;FQL&gt;&lt;Q&gt;JPYUSD^FG_PRICE(43665)&lt;/Q&gt;&lt;R&gt;1&lt;/R&gt;&lt;C&gt;1&lt;/C&gt;&lt;D xsi:type="xsd:double"&gt;0.009281604&lt;/D&gt;&lt;/FQL&gt;&lt;FQL&gt;&lt;Q&gt;JPYUSD^FG_PRICE(43657)&lt;/Q&gt;&lt;R&gt;1&lt;/R&gt;&lt;C&gt;1&lt;/C&gt;&lt;D xsi:type="xsd:double"&gt;0.009230628&lt;/D&gt;&lt;/FQL&gt;&lt;FQL&gt;&lt;Q&gt;JPYUSD^FG_PRICE(43649)&lt;/Q&gt;&lt;R&gt;1&lt;/R&gt;&lt;C&gt;1&lt;/C&gt;&lt;D xsi:type="xsd:double"&gt;0.00927902&lt;/D&gt;&lt;/FQL&gt;&lt;FQL&gt;&lt;Q&gt;JPYUSD^FG_PRICE(43641)&lt;/Q&gt;&lt;R&gt;1&lt;/R&gt;&lt;C&gt;1&lt;/C&gt;&lt;D xsi:type="xsd:double"&gt;0.009349726&lt;/D&gt;&lt;/FQL&gt;&lt;FQL&gt;&lt;Q&gt;JPYUSD^FG_PRICE(43633)&lt;/Q&gt;&lt;R&gt;1&lt;/R&gt;&lt;C&gt;1&lt;/C&gt;&lt;D xsi:type="xsd:double"&gt;0.009201748&lt;/D&gt;&lt;/FQL&gt;&lt;FQL&gt;&lt;Q&gt;JPYUSD^FG_PRICE(43625)&lt;/Q&gt;&lt;R&gt;1&lt;/R&gt;&lt;C&gt;1&lt;/C&gt;&lt;D xsi:type="xsd:double"&gt;0.009257116&lt;/D&gt;&lt;/FQL&gt;&lt;FQL&gt;&lt;Q&gt;JPYUSD^FG_PRICE(43617)&lt;/Q&gt;&lt;R&gt;1&lt;/R&gt;&lt;C&gt;1&lt;/C&gt;&lt;D xsi:type="xsd:double"&gt;0.009210223&lt;/D&gt;&lt;/FQL&gt;&lt;FQL&gt;&lt;Q&gt;JPYUSD^FG_PRICE(43609)&lt;/Q&gt;&lt;R&gt;1&lt;/R&gt;&lt;C&gt;1&lt;/C&gt;&lt;D xsi:type="xsd:double"&gt;0.009145365&lt;/D&gt;&lt;/FQL&gt;&lt;FQL&gt;&lt;Q&gt;JPYUSD^FG_PRICE(43601)&lt;/Q&gt;&lt;R&gt;1&lt;/R&gt;&lt;C&gt;1&lt;/C&gt;&lt;D xsi:type="xsd:double"&gt;0.00909587&lt;/D&gt;&lt;/FQL&gt;&lt;FQL&gt;&lt;Q&gt;JPYUSD^FG_PRICE(43593)&lt;/Q&gt;&lt;R&gt;1&lt;/R&gt;&lt;C&gt;1&lt;/C&gt;&lt;D xsi:type="xsd:double"&gt;0.009076469&lt;/D&gt;&lt;/FQL&gt;&lt;FQL&gt;&lt;Q&gt;JPYUSD^FG_PRICE(43585)&lt;/Q&gt;&lt;R&gt;1&lt;/R&gt;&lt;C&gt;1&lt;/C&gt;&lt;D xsi:type="xsd:double"&gt;0.008978676&lt;/D&gt;&lt;/FQL&gt;&lt;FQL&gt;&lt;Q&gt;JPYUSD^FG_PRICE(43577)&lt;/Q&gt;&lt;R&gt;1&lt;/R&gt;&lt;C&gt;1&lt;/C&gt;&lt;D xsi:type="xsd:double"&gt;0.008934554&lt;/D&gt;&lt;/FQL&gt;&lt;FQL&gt;&lt;Q&gt;JPYUSD^FG_PRICE(43569)&lt;/Q&gt;&lt;R&gt;1&lt;/R&gt;&lt;C&gt;1&lt;/C&gt;&lt;D xsi:type="xsd:double"&gt;0.008930963&lt;/D&gt;&lt;/FQL&gt;&lt;FQL&gt;&lt;Q&gt;JPYUSD^FG_PRICE(43561)&lt;/Q&gt;&lt;R&gt;1&lt;/R&gt;&lt;C&gt;1&lt;/C&gt;&lt;D xsi:type="xsd:double"&gt;0.008948546&lt;/D&gt;&lt;/FQL&gt;&lt;FQL&gt;&lt;Q&gt;JPYUSD^FG_PRICE(43553)&lt;/Q&gt;&lt;R&gt;1&lt;/R&gt;&lt;C&gt;1&lt;/C&gt;&lt;D xsi:type="xsd:double"&gt;0.009034649&lt;/D&gt;&lt;/FQL&gt;&lt;FQL&gt;&lt;Q&gt;JPYUSD^FG_PRICE(43545)&lt;/Q&gt;&lt;R&gt;1&lt;/R&gt;&lt;C&gt;1&lt;/C&gt;&lt;D xsi:type="xsd:double"&gt;0.009020792&lt;/D&gt;&lt;/FQL&gt;&lt;FQL&gt;&lt;Q&gt;JPYUSD^FG_PRICE(43537)&lt;/Q&gt;&lt;R&gt;1&lt;/R&gt;&lt;C&gt;1&lt;/C&gt;&lt;D xsi:type="xsd:double"&gt;0.00899038&lt;/D&gt;&lt;/FQL&gt;&lt;FQL&gt;&lt;Q&gt;JPYUSD^FG_PRICE(43529)&lt;/Q&gt;&lt;R&gt;1&lt;/R&gt;&lt;C&gt;1&lt;/C&gt;&lt;D xsi:type="xsd:double"&gt;0.00893695&lt;/D&gt;&lt;/FQL&gt;&lt;FQL&gt;&lt;Q&gt;JPYUSD^FG_PRICE(43521)&lt;/Q&gt;&lt;R&gt;1&lt;/R&gt;&lt;C&gt;1&lt;/C&gt;&lt;D xsi:type="xsd:double"&gt;0.009019572&lt;/D&gt;&lt;/FQL&gt;&lt;FQL&gt;&lt;Q&gt;JPYUSD^FG_PRICE(43513)&lt;/Q&gt;&lt;R&gt;1&lt;/R&gt;&lt;C&gt;1&lt;/C&gt;&lt;D xsi:type="xsd:double"&gt;0.009045271&lt;/D&gt;&lt;/FQL&gt;&lt;FQL&gt;&lt;Q&gt;JPYUSD^FG_PRICE(43505)&lt;/Q&gt;&lt;R&gt;1&lt;/R&gt;&lt;C&gt;1&lt;/C&gt;&lt;D xsi:type="xsd:double"&gt;0.009113277&lt;/D&gt;&lt;/FQL&gt;&lt;FQL&gt;&lt;Q&gt;JPYUSD^FG_PRICE(43497)&lt;/Q&gt;&lt;R&gt;1&lt;/R&gt;&lt;C&gt;1&lt;/C&gt;&lt;D xsi:type="xsd:double"&gt;0.009142857&lt;/D&gt;&lt;/FQL&gt;&lt;FQL&gt;&lt;Q&gt;JPYUSD^FG_PRICE(43489)&lt;/Q&gt;&lt;R&gt;1&lt;/R&gt;&lt;C&gt;1&lt;/C&gt;&lt;D xsi:type="xsd:double"&gt;0.009125337&lt;/D&gt;&lt;/FQL&gt;&lt;FQL&gt;&lt;Q&gt;JPYUSD^FG_PRICE(43481)&lt;/Q&gt;&lt;R&gt;1&lt;/R&gt;&lt;C&gt;1&lt;/C&gt;&lt;D xsi:type="xsd:double"&gt;0.009187376&lt;/D&gt;&lt;/FQL&gt;&lt;FQL&gt;&lt;Q&gt;JPYUSD^FG_PRICE(43473)&lt;/Q&gt;&lt;R&gt;1&lt;/R&gt;&lt;C&gt;1&lt;/C&gt;&lt;D xsi:type="xsd:double"&gt;0.009205984&lt;/D&gt;&lt;/FQL&gt;&lt;FQL&gt;&lt;Q&gt;JPYUSD^FG_PRICE(43480)&lt;/Q&gt;&lt;R&gt;1&lt;/R&gt;&lt;C&gt;1&lt;/C&gt;&lt;D xsi:type="xsd:double"&gt;0.009215316&lt;/D&gt;&lt;/FQL&gt;&lt;FQL&gt;&lt;Q&gt;JPYUSD^FG_PRICE(43565)&lt;/Q&gt;&lt;R&gt;1&lt;/R&gt;&lt;C&gt;1&lt;/C&gt;&lt;D xsi:type="xsd:double"&gt;0.009013881&lt;/D&gt;&lt;/FQL&gt;&lt;FQL&gt;&lt;Q&gt;JPYUSD^FG_PRICE(43533)&lt;/Q&gt;&lt;R&gt;1&lt;/R&gt;&lt;C&gt;1&lt;/C&gt;&lt;D xsi:type="xsd:double"&gt;0.008998065&lt;/D&gt;&lt;/FQL&gt;&lt;FQL&gt;&lt;Q&gt;JPYUSD^FG_PRICE(43477)&lt;/Q&gt;&lt;R&gt;1&lt;/R&gt;&lt;C&gt;1&lt;/C&gt;&lt;D xsi:type="xsd:double"&gt;0.009224241&lt;/D&gt;&lt;/FQL&gt;&lt;FQL&gt;&lt;Q&gt;JPYUSD^FG_PRICE(45323)&lt;/Q&gt;&lt;R&gt;1&lt;/R&gt;&lt;C&gt;1&lt;/C&gt;&lt;D xsi:type="xsd:double"&gt;0.007451287&lt;/D&gt;&lt;/FQL&gt;&lt;FQL&gt;&lt;Q&gt;JPYUSD^FG_PRICE(44704)&lt;/Q&gt;&lt;R&gt;1&lt;/R&gt;&lt;C&gt;1&lt;/C&gt;&lt;D xsi:type="xsd:double"&gt;0.0078323865&lt;/D&gt;&lt;/FQL&gt;&lt;FQL&gt;&lt;Q&gt;JPYUSD^FG_PRICE(44503)&lt;/Q&gt;&lt;R&gt;1&lt;/R&gt;&lt;C&gt;1&lt;/C&gt;&lt;D xsi:type="xsd:double"&gt;0.008766163&lt;/D&gt;&lt;/FQL&gt;&lt;FQL&gt;&lt;Q&gt;JPYUSD^FG_PRICE(44416)&lt;/Q&gt;&lt;R&gt;1&lt;/R&gt;&lt;C&gt;1&lt;/C&gt;&lt;D xsi:type="xsd:double"&gt;0.009064129&lt;/D&gt;&lt;/FQL&gt;&lt;FQL&gt;&lt;Q&gt;JPYUSD^FG_PRICE(44270)&lt;/Q&gt;&lt;R&gt;1&lt;/R&gt;&lt;C&gt;1&lt;/C&gt;&lt;D xsi:type="xsd:double"&gt;0.009163803&lt;/D&gt;&lt;/FQL&gt;&lt;FQL&gt;&lt;Q&gt;JPYUSD^FG_PRICE(45620)&lt;/Q&gt;&lt;R&gt;1&lt;/R&gt;&lt;C&gt;1&lt;/C&gt;&lt;D xsi:type="xsd:double"&gt;0.007451287&lt;/D&gt;&lt;/FQL&gt;&lt;FQL&gt;&lt;Q&gt;JPYUSD^FG_PRICE(45535)&lt;/Q&gt;&lt;R&gt;1&lt;/R&gt;&lt;C&gt;1&lt;/C&gt;&lt;D xsi:type="xsd:double"&gt;0.007451287&lt;/D&gt;&lt;/FQL&gt;&lt;FQL&gt;&lt;Q&gt;JPYUSD^FG_PRICE(45451)&lt;/Q&gt;&lt;R&gt;1&lt;/R&gt;&lt;C&gt;1&lt;/C&gt;&lt;D xsi:type="xsd:double"&gt;0.007451287&lt;/D&gt;&lt;/FQL&gt;&lt;FQL&gt;&lt;Q&gt;JPYUSD^FG_PRICE(45364)&lt;/Q&gt;&lt;R&gt;1&lt;/R&gt;&lt;C&gt;1&lt;/C&gt;&lt;D xsi:type="xsd:double"&gt;0.007451287&lt;/D&gt;&lt;/FQL&gt;&lt;FQL&gt;&lt;Q&gt;JPYUSD^FG_PRICE(45279)&lt;/Q&gt;&lt;R&gt;1&lt;/R&gt;&lt;C&gt;1&lt;/C&gt;&lt;D xsi:type="xsd:double"&gt;0.007451287&lt;/D&gt;&lt;/FQL&gt;&lt;FQL&gt;&lt;Q&gt;JPYUSD^FG_PRICE(45195)&lt;/Q&gt;&lt;R&gt;1&lt;/R&gt;&lt;C&gt;1&lt;/C&gt;&lt;D xsi:type="xsd:double"&gt;0.007451287&lt;/D&gt;&lt;/FQL&gt;&lt;FQL&gt;&lt;Q&gt;JPYUSD^FG_PRICE(45108)&lt;/Q&gt;&lt;R&gt;1&lt;/R&gt;&lt;C&gt;1&lt;/C&gt;&lt;D xsi:type="xsd:double"&gt;0.007451287&lt;/D&gt;&lt;/FQL&gt;&lt;FQL&gt;&lt;Q&gt;JPYUSD^FG_PRICE(45023)&lt;/Q&gt;&lt;R&gt;1&lt;/R&gt;&lt;C&gt;1&lt;/C&gt;&lt;D xsi:type="xsd:double"&gt;0.007451287&lt;/D&gt;&lt;/FQL&gt;&lt;FQL&gt;&lt;Q&gt;JPYUSD^FG_PRICE(44939)&lt;/Q&gt;&lt;R&gt;1&lt;/R&gt;&lt;C&gt;1&lt;/C&gt;&lt;D xsi:type="xsd:double"&gt;0.007842215&lt;/D&gt;&lt;/FQL&gt;&lt;FQL&gt;&lt;Q&gt;JPYUSD^FG_PRICE(44884)&lt;/Q&gt;&lt;R&gt;1&lt;/R&gt;&lt;C&gt;1&lt;/C&gt;&lt;D xsi:type="xsd:double"&gt;0.0071487296&lt;/D&gt;&lt;/FQL&gt;&lt;FQL&gt;&lt;Q&gt;JPYUSD^FG_PRICE(44832)&lt;/Q&gt;&lt;R&gt;1&lt;/R&gt;&lt;C&gt;1&lt;/C&gt;&lt;D xsi:type="xsd:double"&gt;0.0069163465&lt;/D&gt;&lt;/FQL&gt;&lt;FQL&gt;&lt;Q&gt;JPYUSD^FG_PRICE(44781)&lt;/Q&gt;&lt;R&gt;1&lt;/R&gt;&lt;C&gt;1&lt;/C&gt;&lt;D xsi:type="xsd:double"&gt;0.007422527&lt;/D&gt;&lt;/FQL&gt;&lt;FQL&gt;&lt;Q&gt;JPYUSD^FG_PRICE(44731)&lt;/Q&gt;&lt;R&gt;1&lt;/R&gt;&lt;C&gt;1&lt;/C&gt;&lt;D xsi:type="xsd:double"&gt;0.0073912563&lt;/D&gt;&lt;/FQL&gt;&lt;FQL&gt;&lt;Q&gt;JPYUSD^FG_PRICE(44681)&lt;/Q&gt;&lt;R&gt;1&lt;/R&gt;&lt;C&gt;1&lt;/C&gt;&lt;D xsi:type="xsd:double"&gt;0.0077184318&lt;/D&gt;&lt;/FQL&gt;&lt;FQL&gt;&lt;Q&gt;JPYUSD^FG_PRICE(44640)&lt;/Q&gt;&lt;R&gt;1&lt;/R&gt;&lt;C&gt;1&lt;/C&gt;&lt;D xsi:type="xsd:double"&gt;0.008391022&lt;/D&gt;&lt;/FQL&gt;&lt;FQL&gt;&lt;Q&gt;JPYUSD^FG_PRICE(44608)&lt;/Q&gt;&lt;R&gt;1&lt;/R&gt;&lt;C&gt;1&lt;/C&gt;&lt;D xsi:type="xsd:double"&gt;0.008663259&lt;/D&gt;&lt;/FQL&gt;&lt;FQL&gt;&lt;Q&gt;JPYUSD^FG_PRICE(44576)&lt;/Q&gt;&lt;R&gt;1&lt;/R&gt;&lt;C&gt;1&lt;/C&gt;&lt;D xsi:type="xsd:double"&gt;0.008788505&lt;/D&gt;&lt;/FQL&gt;&lt;FQL&gt;&lt;Q&gt;JPYUSD^FG_PRICE(44544)&lt;/Q&gt;&lt;R&gt;1&lt;/R&gt;&lt;C&gt;1&lt;/C&gt;&lt;D xsi:type="xsd:double"&gt;0.008793915&lt;/D&gt;&lt;/FQL&gt;&lt;FQL&gt;&lt;Q&gt;JPYUSD^FG_PRICE(44512)&lt;/Q&gt;&lt;R&gt;1&lt;/R&gt;&lt;C&gt;1&lt;/C&gt;&lt;D xsi:type="xsd:double"&gt;0.0087753935&lt;/D&gt;&lt;/FQL&gt;&lt;FQL&gt;&lt;Q&gt;JPYUSD^FG_PRICE(44494)&lt;/Q&gt;&lt;R&gt;1&lt;/R&gt;&lt;C&gt;1&lt;/C&gt;&lt;D xsi:type="xsd:double"&gt;0.008800105&lt;/D&gt;&lt;/FQL&gt;&lt;FQL&gt;&lt;Q&gt;JPYUSD^FG_PRICE(44471)&lt;/Q&gt;&lt;R&gt;1&lt;/R&gt;&lt;C&gt;1&lt;/C&gt;&lt;D xsi:type="xsd:double"&gt;0.009011851&lt;/D&gt;&lt;/FQL&gt;&lt;FQL&gt;&lt;Q&gt;JPYUSD^FG_PRICE(44448)&lt;/Q&gt;&lt;R&gt;1&lt;/R&gt;&lt;C&gt;1&lt;/C&gt;&lt;D xsi:type="xsd:double"&gt;0.0091053955&lt;/D&gt;&lt;/FQL&gt;&lt;FQL&gt;&lt;Q&gt;JPYUSD^FG_PRICE(44430)&lt;/Q&gt;&lt;R&gt;1&lt;/R&gt;&lt;C&gt;1&lt;/C&gt;&lt;D xsi:type="xsd:double"&gt;0.009107053&lt;/D&gt;&lt;/FQL&gt;&lt;FQL&gt;&lt;Q&gt;JPYUSD^FG_PRICE(44407)&lt;/Q&gt;&lt;R&gt;1&lt;/R&gt;&lt;C&gt;1&lt;/C&gt;&lt;D xsi:type="xsd:double"&gt;0.009111618&lt;/D&gt;&lt;/FQL&gt;&lt;FQL&gt;&lt;Q&gt;JPYUSD^FG_PRICE(44384)&lt;/Q&gt;&lt;R&gt;1&lt;/R&gt;&lt;C&gt;1&lt;/C&gt;&lt;D xsi:type="xsd:double"&gt;0.009036689&lt;/D&gt;&lt;/FQL&gt;&lt;FQL&gt;&lt;Q&gt;JPYUSD^FG_PRICE(44366)&lt;/Q&gt;&lt;R&gt;1&lt;/R&gt;&lt;C&gt;1&lt;/C&gt;&lt;D xsi:type="xsd:double"&gt;0.009071118&lt;/D&gt;&lt;/FQL&gt;&lt;FQL&gt;&lt;Q&gt;JPYUSD^FG_PRICE(44343)&lt;/Q&gt;&lt;R&gt;1&lt;/R&gt;&lt;C&gt;1&lt;/C&gt;&lt;D xsi:type="xsd:double"&gt;0.009113277&lt;/D&gt;&lt;/FQL&gt;&lt;FQL&gt;&lt;Q&gt;JPYUSD^FG_PRICE(44320)&lt;/Q&gt;&lt;R&gt;1&lt;/R&gt;&lt;C&gt;1&lt;/C&gt;&lt;D xsi:type="xsd:double"&gt;0.00915751&lt;/D&gt;&lt;/FQL&gt;&lt;FQL&gt;&lt;Q&gt;JPYUSD^FG_PRICE(44302)&lt;/Q&gt;&lt;R&gt;1&lt;/R&gt;&lt;C&gt;1&lt;/C&gt;&lt;D xsi:type="xsd:double"&gt;0.009189909&lt;/D&gt;&lt;/FQL&gt;&lt;FQL&gt;&lt;Q&gt;JPYUSD^FG_PRICE(44279)&lt;/Q&gt;&lt;R&gt;1&lt;/R&gt;&lt;C&gt;1&lt;/C&gt;&lt;D xsi:type="xsd:double"&gt;0.009189909&lt;/D&gt;&lt;/FQL&gt;&lt;FQL&gt;&lt;Q&gt;JPYUSD^FG_PRICE(44256)&lt;/Q&gt;&lt;R&gt;1&lt;/R&gt;&lt;C&gt;1&lt;/C&gt;&lt;D xsi:type="xsd:double"&gt;0.009376905&lt;/D&gt;&lt;/FQL&gt;&lt;FQL&gt;&lt;Q&gt;JPYUSD^FG_PRICE(44238)&lt;/Q&gt;&lt;R&gt;1&lt;/R&gt;&lt;C&gt;1&lt;/C&gt;&lt;D xsi:type="xsd:double"&gt;0.009548819&lt;/D&gt;&lt;/FQL&gt;&lt;FQL&gt;&lt;Q&gt;JPYUSD^FG_PRICE(44215)&lt;/Q&gt;&lt;R&gt;1&lt;/R&gt;&lt;C&gt;1&lt;/C&gt;&lt;D xsi:type="xsd:double"&gt;0.009624176&lt;/D&gt;&lt;/FQL&gt;&lt;FQL&gt;&lt;Q&gt;JPYUSD^FG_PRICE(44192)&lt;/Q&gt;&lt;R&gt;1&lt;/R&gt;&lt;C&gt;1&lt;/C&gt;&lt;D xsi:type="xsd:double"&gt;0.009649715&lt;/D&gt;&lt;/FQL&gt;&lt;FQL&gt;&lt;Q&gt;JPYUSD^FG_PRICE(44174)&lt;/Q&gt;&lt;R&gt;1&lt;/R&gt;&lt;C&gt;1&lt;/C&gt;&lt;D xsi:type="xsd:double"&gt;0.009596468&lt;/D&gt;&lt;/FQL&gt;&lt;FQL&gt;&lt;Q&gt;JPYUSD^FG_PRICE(44151)&lt;/Q&gt;&lt;R&gt;1&lt;/R&gt;&lt;C&gt;1&lt;/C&gt;&lt;D xsi:type="xsd:double"&gt;0.009560687&lt;/D&gt;&lt;/FQL&gt;&lt;FQL&gt;&lt;Q&gt;JPYUSD^FG_PRICE(44134)&lt;/Q&gt;&lt;R&gt;1&lt;/R&gt;&lt;C&gt;1&lt;/C&gt;&lt;D xsi:type="xsd:double"&gt;0.009565717&lt;/D&gt;&lt;/FQL&gt;&lt;FQL&gt;&lt;Q&gt;JPYUSD^FG_PRICE(44118)&lt;/Q&gt;&lt;R&gt;1&lt;/R&gt;&lt;C&gt;1&lt;/C&gt;&lt;D xsi:type="xsd:double"&gt;0.009514295&lt;/D&gt;&lt;/FQL&gt;&lt;FQL&gt;&lt;Q&gt;JPYUSD^FG_PRICE(44106)&lt;/Q&gt;&lt;R&gt;1&lt;/R&gt;&lt;C&gt;1&lt;/C&gt;&lt;D xsi:type="xsd:double"&gt;0.009491718&lt;/D&gt;&lt;/FQL&gt;&lt;FQL&gt;&lt;Q&gt;JPYUSD^FG_PRICE(44097)&lt;/Q&gt;&lt;R&gt;1&lt;/R&gt;&lt;C&gt;1&lt;/C&gt;&lt;D xsi:type="xsd:double"&gt;0.009498029&lt;/D&gt;&lt;/FQL&gt;&lt;FQL&gt;&lt;Q&gt;JPYUSD^FG_PRICE(44088)&lt;/Q&gt;&lt;R&gt;1&lt;/R&gt;&lt;C&gt;1&lt;/C&gt;&lt;D xsi:type="xsd:double"&gt;0.009464768&lt;/D&gt;&lt;/FQL&gt;&lt;FQL&gt;&lt;Q&gt;JPYUSD^FG_PRICE(44080)&lt;/Q&gt;&lt;R&gt;1&lt;/R&gt;&lt;C&gt;1&lt;/C&gt;&lt;D xsi:type="xsd:double"&gt;0.009405126&lt;/D&gt;&lt;/FQL&gt;&lt;FQL&gt;&lt;Q&gt;JPYUSD^FG_PRICE(44072)&lt;/Q&gt;&lt;R&gt;1&lt;/R&gt;&lt;C&gt;1&lt;/C&gt;&lt;D xsi:type="xsd:double"&gt;0.009496225&lt;/D&gt;&lt;/FQL&gt;&lt;FQL&gt;&lt;Q&gt;JPYUSD^FG_PRICE(44064)&lt;/Q&gt;&lt;R&gt;1&lt;/R&gt;&lt;C&gt;1&lt;/C&gt;&lt;D xsi:type="xsd:double"&gt;0.009437969&lt;/D&gt;&lt;/FQL&gt;&lt;FQL&gt;&lt;Q&gt;JPYUSD^FG_PRICE(44056)&lt;/Q&gt;&lt;R&gt;1&lt;/R&gt;&lt;C&gt;1&lt;/C&gt;&lt;D xsi:type="xsd:double"&gt;0.00935585&lt;/D&gt;&lt;/FQL&gt;&lt;FQL&gt;&lt;Q&gt;JPYUSD^FG_PRICE(44048)&lt;/Q&gt;&lt;R&gt;1&lt;/R&gt;&lt;C&gt;1&lt;/C&gt;&lt;D xsi:type="xsd:double"&gt;0.009472837&lt;/D&gt;&lt;/FQL&gt;&lt;FQL&gt;&lt;Q&gt;JPYUSD^FG_PRICE(44040)&lt;/Q&gt;&lt;R&gt;1&lt;/R&gt;&lt;C&gt;1&lt;/C&gt;&lt;D xsi:type="xsd:double"&gt;0.009526078&lt;/D&gt;&lt;/FQL&gt;&lt;FQL&gt;&lt;Q&gt;JPYUSD^FG_PRICE(44032)&lt;/Q&gt;&lt;R&gt;1&lt;/R&gt;&lt;C&gt;1&lt;/C&gt;&lt;D xsi:type="xsd:double"&gt;0.009328794&lt;/D&gt;&lt;/FQL&gt;&lt;FQL&gt;&lt;Q&gt;JPYUSD^FG_PRICE(44024)&lt;/Q&gt;&lt;R&gt;1&lt;/R&gt;&lt;C&gt;1&lt;/C&gt;&lt;D xsi:type="xsd:double"&gt;0.009367243&lt;/D&gt;&lt;/FQL&gt;&lt;FQL&gt;&lt;Q&gt;JPYUSD^FG_PRICE(44016)&lt;/Q&gt;&lt;R&gt;1&lt;/R&gt;&lt;C&gt;1&lt;/C&gt;&lt;D xsi:type="xsd:double"&gt;0.00929973&lt;/D&gt;&lt;/FQL&gt;&lt;FQL&gt;&lt;Q&gt;JPYUSD^FG_PRICE(44008)&lt;/Q&gt;&lt;R&gt;1&lt;/R&gt;&lt;C&gt;1&lt;/C&gt;&lt;D xsi:type="xsd:double"&gt;0.009316626&lt;/D&gt;&lt;/FQL&gt;&lt;FQL&gt;&lt;Q&gt;JPYUSD^FG_PRICE(44000)&lt;/Q&gt;&lt;R&gt;1&lt;/R&gt;&lt;C&gt;1&lt;/C&gt;&lt;D xsi:type="xsd:double"&gt;0.009365927&lt;/D&gt;&lt;/FQL&gt;&lt;FQL&gt;&lt;Q&gt;JPYUSD^FG_PRICE(43992)&lt;/Q&gt;&lt;R&gt;1&lt;/R&gt;&lt;C&gt;1&lt;/C&gt;&lt;D xsi:type="xsd:double"&gt;0.0093244435&lt;/D&gt;&lt;/FQL&gt;&lt;FQL&gt;&lt;Q&gt;JPYUSD^FG_PRICE(43984)&lt;/Q&gt;&lt;R&gt;1&lt;/R&gt;&lt;C&gt;1&lt;/C&gt;&lt;D xsi:type="xsd:double"&gt;0.009209375&lt;/D&gt;&lt;/FQL&gt;&lt;FQL&gt;&lt;Q&gt;JPYUSD^FG_PRICE(43976)&lt;/Q&gt;&lt;R&gt;1&lt;/R&gt;&lt;C&gt;1&lt;/C&gt;&lt;D xsi:type="xsd:double"&gt;0.009285051&lt;/D&gt;&lt;/FQL&gt;&lt;FQL&gt;&lt;Q&gt;JPYUSD^FG_PRICE(43968)&lt;/Q&gt;&lt;R&gt;1&lt;/R&gt;&lt;C&gt;1&lt;/C&gt;&lt;D xsi:type="xsd:double"&gt;0.00931923&lt;/D&gt;&lt;/FQL&gt;&lt;FQL&gt;&lt;Q&gt;JPYUSD^FG_PRICE(43960)&lt;/Q&gt;&lt;R&gt;1&lt;/R&gt;&lt;C&gt;1&lt;/C&gt;&lt;D xsi:type="xsd:double"&gt;0.009395847&lt;/D&gt;&lt;/FQL&gt;&lt;FQL&gt;&lt;Q&gt;JPYUSD^FG_PRICE(43952)&lt;/Q&gt;&lt;R&gt;1&lt;/R&gt;&lt;C&gt;1&lt;/C&gt;&lt;D xsi:type="xsd:double"&gt;0.0093541&lt;/D&gt;&lt;/FQL&gt;&lt;FQL&gt;&lt;Q&gt;JPYUSD^FG_PRICE(43944)&lt;/Q&gt;&lt;R&gt;1&lt;/R&gt;&lt;C&gt;1&lt;/C&gt;&lt;D xsi:type="xsd:double"&gt;0.009292385&lt;/D&gt;&lt;/FQL&gt;&lt;FQL&gt;&lt;Q&gt;JPYUSD^FG_PRICE(43936)&lt;/Q&gt;&lt;R&gt;1&lt;/R&gt;&lt;C&gt;1&lt;/C&gt;&lt;D xsi:type="xsd:double"&gt;0.009309687&lt;/D&gt;&lt;/FQL&gt;&lt;FQL&gt;&lt;Q&gt;JPYUSD^FG_PRICE(43928)&lt;/Q&gt;&lt;R&gt;1&lt;/R&gt;&lt;C&gt;1&lt;/C&gt;&lt;D xsi:type="xsd:double"&gt;0.0091747325&lt;/D&gt;&lt;/FQL&gt;&lt;FQL&gt;&lt;Q&gt;JPYUSD^FG_PRICE(43920)&lt;/Q&gt;&lt;R&gt;1&lt;/R&gt;&lt;C&gt;1&lt;/C&gt;&lt;D xsi:type="xsd:double"&gt;0.009251977&lt;/D&gt;&lt;/FQL&gt;&lt;FQL&gt;&lt;Q&gt;JPYUSD^FG_PRICE(43912)&lt;/Q&gt;&lt;R&gt;1&lt;/R&gt;&lt;C&gt;1&lt;/C&gt;&lt;D xsi:type="xsd:double"&gt;0.008981498&lt;/D&gt;&lt;/FQL&gt;&lt;FQL&gt;&lt;Q&gt;JPYUSD^FG_PRICE(43904)&lt;/Q&gt;&lt;R&gt;1&lt;/R&gt;&lt;C&gt;1&lt;/C&gt;&lt;D xsi:type="xsd:double"&gt;0.00933184&lt;/D&gt;&lt;/FQL&gt;&lt;FQL&gt;&lt;Q&gt;JPYUSD^FG_PRICE(43896)&lt;/Q&gt;&lt;R&gt;1&lt;/R&gt;&lt;C&gt;1&lt;/C&gt;&lt;D xsi:type="xsd:double"&gt;0.009492619&lt;/D&gt;&lt;/FQL&gt;&lt;FQL&gt;&lt;Q&gt;JPYUSD^FG_PRICE(43888)&lt;/Q&gt;&lt;R&gt;1&lt;/R&gt;&lt;C&gt;1&lt;/C&gt;&lt;D xsi:type="xsd:double"&gt;0.009091736&lt;/D&gt;&lt;/FQL&gt;&lt;FQL&gt;&lt;Q&gt;JPYUSD^FG_PRICE(43880)&lt;/Q&gt;&lt;R&gt;1&lt;/R&gt;&lt;C&gt;1&lt;/C&gt;&lt;D xsi:type="xsd:double"&gt;0.009013069&lt;/D&gt;&lt;/FQL&gt;&lt;FQL&gt;&lt;Q&gt;JPYUSD^FG_PRICE(43872)&lt;/Q&gt;&lt;R&gt;1&lt;/R&gt;&lt;C&gt;1&lt;/C&gt;&lt;D xsi:type="xsd:double"&gt;0.009097939&lt;/D&gt;&lt;/FQL&gt;&lt;FQL&gt;&lt;Q&gt;JPYUSD^FG_PRICE(43864)&lt;/Q&gt;&lt;R&gt;1&lt;/R&gt;&lt;C&gt;1&lt;/C&gt;&lt;D xsi:type="xsd:double"&gt;0.009198786&lt;/D&gt;&lt;/FQL&gt;&lt;FQL&gt;&lt;Q&gt;JPYUSD^FG_PRICE(43856)&lt;/Q&gt;&lt;R&gt;1&lt;/R&gt;&lt;C&gt;1&lt;/C&gt;&lt;D xsi:type="xsd:double"&gt;0.009137845&lt;/D&gt;&lt;/FQL&gt;&lt;FQL&gt;&lt;Q&gt;JPYUSD^FG_PRICE(43848)&lt;/Q&gt;&lt;R&gt;1&lt;/R&gt;&lt;C&gt;1&lt;/C&gt;&lt;D xsi:type="xsd:double"&gt;0.009076469&lt;/D&gt;&lt;/FQL&gt;&lt;FQL&gt;&lt;Q&gt;JPYUSD^FG_PRICE(43840)&lt;/Q&gt;&lt;R&gt;1&lt;/R&gt;&lt;C&gt;1&lt;/C&gt;&lt;D xsi:type="xsd:double"&gt;0.0091274185&lt;/D&gt;&lt;/FQL&gt;&lt;FQL&gt;&lt;Q&gt;JPYUSD^FG_PRICE(43832)&lt;/Q&gt;&lt;R&gt;1&lt;/R&gt;&lt;C&gt;1&lt;/C&gt;&lt;D xsi:type="xsd:double"&gt;0.0092357425&lt;/D&gt;&lt;/FQL&gt;&lt;FQL&gt;&lt;Q&gt;JPYUSD^FG_PRICE(43824)&lt;/Q&gt;&lt;R&gt;1&lt;/R&gt;&lt;C&gt;1&lt;/C&gt;&lt;D xsi:type="xsd:double"&gt;0.009145782&lt;/D&gt;&lt;/FQL&gt;&lt;FQL&gt;&lt;Q&gt;JPYUSD^FG_PRICE(43816)&lt;/Q&gt;&lt;R&gt;1&lt;/R&gt;&lt;C&gt;1&lt;/C&gt;&lt;D xsi:type="xsd:double"&gt;0.009130335&lt;/D&gt;&lt;/FQL&gt;&lt;FQL&gt;&lt;Q&gt;JPYUSD^FG_PRICE(43808)&lt;/Q&gt;&lt;R&gt;1&lt;/R&gt;&lt;C&gt;1&lt;/C&gt;&lt;D xsi:type="xsd:double"&gt;0.009207679&lt;/D&gt;&lt;/FQL&gt;&lt;FQL&gt;&lt;Q&gt;JPYUSD^FG_PRICE(43800)&lt;/Q&gt;&lt;R&gt;1&lt;/R&gt;&lt;C&gt;1&lt;/C&gt;&lt;D xsi:type="xsd:double"&gt;0.009131586&lt;/D&gt;&lt;/FQL&gt;&lt;FQL&gt;&lt;Q&gt;JPYUSD^FG_PRICE(43792)&lt;/Q&gt;&lt;R&gt;1&lt;/R&gt;&lt;C&gt;1&lt;/C&gt;&lt;D xsi:type="xsd:double"&gt;0.009203442&lt;/D&gt;&lt;/FQL&gt;&lt;FQL&gt;&lt;Q&gt;JPYUSD^FG_PRICE(43784)&lt;/Q&gt;&lt;R&gt;1&lt;/R&gt;&lt;C&gt;1&lt;/C&gt;&lt;D xsi:type="xsd:double"&gt;0.009196671&lt;/D&gt;&lt;/FQL&gt;&lt;FQL&gt;&lt;Q&gt;JPYUSD^FG_PRICE(43776)&lt;/Q&gt;&lt;R&gt;1&lt;/R&gt;&lt;C&gt;1&lt;/C&gt;&lt;D xsi:type="xsd:double"&gt;0.009146202&lt;/D&gt;&lt;/FQL&gt;&lt;FQL&gt;&lt;Q&gt;JPYUSD^FG_PRICE(43768)&lt;/Q&gt;&lt;R&gt;1&lt;/R&gt;&lt;C&gt;1&lt;/C&gt;&lt;D xsi:type="xsd:double"&gt;0.009184424&lt;/D&gt;&lt;/FQL&gt;&lt;FQL&gt;&lt;Q&gt;JPYUSD^FG_PRICE(43760)&lt;/Q&gt;&lt;R&gt;1&lt;/R&gt;&lt;C&gt;1&lt;/C&gt;&lt;D xsi:type="xsd:double"&gt;0.009211496&lt;/D&gt;&lt;/FQL&gt;&lt;FQL&gt;&lt;Q&gt;JPYUSD^FG_PRICE(43752)&lt;/Q&gt;&lt;R&gt;1&lt;/R&gt;&lt;C&gt;1&lt;/C&gt;&lt;D xsi:type="xsd:double"&gt;0.009223816&lt;/D&gt;&lt;/FQL&gt;&lt;FQL&gt;&lt;Q&gt;JPYUSD^FG_PRICE(43744)&lt;/Q&gt;&lt;R&gt;1&lt;/R&gt;&lt;C&gt;1&lt;/C&gt;&lt;D xsi:type="xsd:double"&gt;0.00935585&lt;/D&gt;&lt;/FQL&gt;&lt;FQL&gt;&lt;Q&gt;JPYUSD^FG_PRICE(43736)&lt;/Q&gt;&lt;R&gt;1&lt;/R&gt;&lt;C&gt;1&lt;/C&gt;&lt;D xsi:type="xsd:double"&gt;0.00924599&lt;/D&gt;&lt;/FQL&gt;&lt;FQL&gt;&lt;Q&gt;JPYUSD^FG_PRICE(43728)&lt;/Q&gt;&lt;R&gt;1&lt;/R&gt;&lt;C&gt;1&lt;/C&gt;&lt;D xsi:type="xsd:double"&gt;0.009268699&lt;/D&gt;&lt;/FQL&gt;&lt;FQL&gt;&lt;Q&gt;JPYUSD^FG_PRICE(43720)&lt;/Q&gt;&lt;R&gt;1&lt;/R&gt;&lt;C&gt;1&lt;/C&gt;&lt;D xsi:type="xsd:double"&gt;0.009269129&lt;/D&gt;&lt;/FQL&gt;&lt;FQL&gt;&lt;Q&gt;JPYUSD^FG_PRICE(43712)&lt;/Q&gt;&lt;R&gt;1&lt;/R&gt;&lt;C&gt;1&lt;/C&gt;&lt;D xsi:type="xsd:double"&gt;0.009416639&lt;/D&gt;&lt;/FQL&gt;&lt;FQL&gt;&lt;Q&gt;JPYUSD^FG_PRICE(43704)&lt;/Q&gt;&lt;R&gt;1&lt;/R&gt;&lt;C&gt;1&lt;/C&gt;&lt;D xsi:type="xsd:double"&gt;0.009441533&lt;/D&gt;&lt;/FQL&gt;&lt;FQL&gt;&lt;Q&gt;JPYUSD^FG_PRICE(43696)&lt;/Q&gt;&lt;R&gt;1&lt;/R&gt;&lt;C&gt;1&lt;/C&gt;&lt;D xsi:type="xsd:double"&gt;0.009390112&lt;/D&gt;&lt;/FQL&gt;&lt;FQL&gt;&lt;Q&gt;JPYUSD^FG_PRICE(43688)&lt;/Q&gt;&lt;R&gt;1&lt;/R&gt;&lt;C&gt;1&lt;/C&gt;&lt;D xsi:type="xsd:double"&gt;0.009464768&lt;/D&gt;&lt;/FQL&gt;&lt;FQL&gt;&lt;Q&gt;JPYUSD^FG_PRICE(43680)&lt;/Q&gt;&lt;R&gt;1&lt;/R&gt;&lt;C&gt;1&lt;/C&gt;&lt;D xsi:type="xsd:double"&gt;0.009383944&lt;/D&gt;&lt;/FQL&gt;&lt;FQL&gt;&lt;Q&gt;JPYUSD^FG_PRICE(43672)&lt;/Q&gt;&lt;R&gt;1&lt;/R&gt;&lt;C&gt;1&lt;/C&gt;&lt;D xsi:type="xsd:double"&gt;0.009203442&lt;/D&gt;&lt;/FQL&gt;&lt;FQL&gt;&lt;Q&gt;JPYUSD^FG_PRICE(43664)&lt;/Q&gt;&lt;R&gt;1&lt;/R&gt;&lt;C&gt;1&lt;/C&gt;&lt;D xsi:type="xsd:double"&gt;0.009273428&lt;/D&gt;&lt;/FQL&gt;&lt;FQL&gt;&lt;Q&gt;JPYUSD^FG_PRICE(43656)&lt;/Q&gt;&lt;R&gt;1&lt;/R&gt;&lt;C&gt;1&lt;/C&gt;&lt;D xsi:type="xsd:double"&gt;0.009212344&lt;/D&gt;&lt;/FQL&gt;&lt;FQL&gt;&lt;Q&gt;JPYUSD^FG_PRICE(43648)&lt;/Q&gt;&lt;R&gt;1&lt;/R&gt;&lt;C&gt;1&lt;/C&gt;&lt;D xsi:type="xsd:double"&gt;0.009248982&lt;/D&gt;&lt;/FQL&gt;&lt;FQL&gt;&lt;Q&gt;JPYUSD^FG_PRICE(43640)&lt;/Q&gt;&lt;R&gt;1&lt;/R&gt;&lt;C&gt;1&lt;/C&gt;&lt;D xsi:type="xsd:double"&gt;0.009313588&lt;/D&gt;&lt;/FQL&gt;&lt;FQL&gt;&lt;Q&gt;JPYUSD^FG_PRICE(43632)&lt;/Q&gt;&lt;R&gt;1&lt;/R&gt;&lt;C&gt;1&lt;/C&gt;&lt;D xsi:type="xsd:double"&gt;0.009222965&lt;/D&gt;&lt;/FQL&gt;&lt;FQL&gt;&lt;Q&gt;JPYUSD^FG_PRICE(43624)&lt;/Q&gt;&lt;R&gt;1&lt;/R&gt;&lt;C&gt;1&lt;/C&gt;&lt;D xsi:type="xsd:double"&gt;0.009257116&lt;/D&gt;&lt;/FQL&gt;&lt;FQL&gt;&lt;Q&gt;JPYUSD^FG_PRICE(43616)&lt;/Q&gt;&lt;R&gt;1&lt;/R&gt;&lt;C&gt;1&lt;/C&gt;&lt;D xsi:type="xsd:double"&gt;0.009210223&lt;/D&gt;&lt;/FQL&gt;&lt;FQL&gt;&lt;Q&gt;JPYUSD^FG_PRICE(43608)&lt;/Q&gt;&lt;R&gt;1&lt;/R&gt;&lt;C&gt;1&lt;/C&gt;&lt;D xsi:type="xsd:double"&gt;0.009113277&lt;/D&gt;&lt;/FQL&gt;&lt;FQL&gt;&lt;Q&gt;JPYUSD^FG_PRICE(43600)&lt;/Q&gt;&lt;R&gt;1&lt;/R&gt;&lt;C&gt;1&lt;/C&gt;&lt;D xsi:type="xsd:double"&gt;0.009133671&lt;/D&gt;&lt;/FQL&gt;&lt;FQL&gt;&lt;Q&gt;JPYUSD^FG_PRICE(43592)&lt;/Q&gt;&lt;R&gt;1&lt;/R&gt;&lt;C&gt;1&lt;/C&gt;&lt;D xsi:type="xsd:double"&gt;0.009058381&lt;/D&gt;&lt;/FQL&gt;&lt;FQL&gt;&lt;Q&gt;JPYUSD^FG_PRICE(43584)&lt;/Q&gt;&lt;R&gt;1&lt;/R&gt;&lt;C&gt;1&lt;/C&gt;&lt;D xsi:type="xsd:double"&gt;0.008943344&lt;/D&gt;&lt;/FQL&gt;&lt;FQL&gt;&lt;Q&gt;JPYUSD^FG_PRICE(43576)&lt;/Q&gt;&lt;R&gt;1&lt;/R&gt;&lt;C&gt;1&lt;/C&gt;&lt;D xsi:type="xsd:double"&gt;0.008937749&lt;/D&gt;&lt;/FQL&gt;&lt;FQL&gt;&lt;Q&gt;JPYUSD^FG_PRICE(43568)&lt;/Q&gt;&lt;R&gt;1&lt;/R&gt;&lt;C&gt;1&lt;/C&gt;&lt;D xsi:type="xsd:double"&gt;0.008930963&lt;/D&gt;&lt;/FQL&gt;&lt;FQL&gt;&lt;Q&gt;JPYUSD^FG_PRICE(43560)&lt;/Q&gt;&lt;R&gt;1&lt;/R&gt;&lt;C&gt;1&lt;/C&gt;&lt;D xsi:type="xsd:double"&gt;0.008948546&lt;/D&gt;&lt;/FQL&gt;&lt;FQL&gt;&lt;Q&gt;JPYUSD^FG_PRICE(43552)&lt;/Q&gt;&lt;R&gt;1&lt;/R&gt;&lt;C&gt;1&lt;/C&gt;&lt;D xsi:type="xsd:double"&gt;0.009045271&lt;/D&gt;&lt;/FQL&gt;&lt;FQL&gt;&lt;Q&gt;JPYUSD^FG_PRICE(43544)&lt;/Q&gt;&lt;R&gt;1&lt;/R&gt;&lt;C&gt;1&lt;/C&gt;&lt;D xsi:type="xsd:double"&gt;0.008974244&lt;/D&gt;&lt;/FQL&gt;&lt;FQL&gt;&lt;Q&gt;JPYUSD^FG_PRICE(43536)&lt;/Q&gt;&lt;R&gt;1&lt;/R&gt;&lt;C&gt;1&lt;/C&gt;&lt;D xsi:type="xsd:double"&gt;0.008978273&lt;/D&gt;&lt;/FQL&gt;&lt;FQL&gt;&lt;Q&gt;JPYUSD^FG_PRICE(43528)&lt;/Q&gt;&lt;R&gt;1&lt;/R&gt;&lt;C&gt;1&lt;/C&gt;&lt;D xsi:type="xsd:double"&gt;0.008940945&lt;/D&gt;&lt;/FQL&gt;&lt;FQL&gt;&lt;Q&gt;JPYUSD^FG_PRICE(43520)&lt;/Q&gt;&lt;R&gt;1&lt;/R&gt;&lt;C&gt;1&lt;/C&gt;&lt;D xsi:type="xsd:double"&gt;0.009028938&lt;/D&gt;&lt;/FQL&gt;&lt;FQL&gt;&lt;Q&gt;JPYUSD^FG_PRICE(43512)&lt;/Q&gt;&lt;R&gt;1&lt;/R&gt;&lt;C&gt;1&lt;/C&gt;&lt;D xsi:type="xsd:double"&gt;0.009045271&lt;/D&gt;&lt;/FQL&gt;&lt;FQL&gt;&lt;Q&gt;JPYUSD^FG_PRICE(43504)&lt;/Q&gt;&lt;R&gt;1&lt;/R&gt;&lt;C&gt;1&lt;/C&gt;&lt;D xsi:type="xsd:double"&gt;0.009113277&lt;/D&gt;&lt;/FQL&gt;&lt;FQL&gt;&lt;Q&gt;JPYUSD^FG_PRICE(43496)&lt;/Q&gt;&lt;R&gt;1&lt;/R&gt;&lt;C&gt;1&lt;/C&gt;&lt;D xsi:type="xsd:double"&gt;0.009188643&lt;/D&gt;&lt;/FQL&gt;&lt;FQL&gt;&lt;Q&gt;JPYUSD^FG_PRICE(43488)&lt;/Q&gt;&lt;R&gt;1&lt;/R&gt;&lt;C&gt;1&lt;/C&gt;&lt;D xsi:type="xsd:double"&gt;0.009121175&lt;/D&gt;&lt;/FQL&gt;&lt;FQL&gt;&lt;Q&gt;JPYUSD^FG_PRICE(43557)&lt;/Q&gt;&lt;R&gt;1&lt;/R&gt;&lt;C&gt;1&lt;/C&gt;&lt;D xsi:type="xsd:double"&gt;0.008983515&lt;/D&gt;&lt;/FQL&gt;&lt;FQL&gt;&lt;Q&gt;JPYUSD^FG_PRICE(43509)&lt;/Q&gt;&lt;R&gt;1&lt;/R&gt;&lt;C&gt;1&lt;/C&gt;&lt;D xsi:type="xsd:double"&gt;0.009018759&lt;/D&gt;&lt;/FQL&gt;&lt;FQL&gt;&lt;Q&gt;JPYUSD^FG_PRICE(43469)&lt;/Q&gt;&lt;R&gt;1&lt;/R&gt;&lt;C&gt;1&lt;/C&gt;&lt;D xsi:type="xsd:double"&gt;0.009248127&lt;/D&gt;&lt;/FQL&gt;&lt;FQL&gt;&lt;Q&gt;JPYUSD^FG_PRICE(45151)&lt;/Q&gt;&lt;R&gt;1&lt;/R&gt;&lt;C&gt;1&lt;/C&gt;&lt;D xsi:type="xsd:double"&gt;0.007451287&lt;/D&gt;&lt;/FQL&gt;&lt;FQL&gt;&lt;Q&gt;JPYUSD^FG_PRICE(44756)&lt;/Q&gt;&lt;R&gt;1&lt;/R&gt;&lt;C&gt;1&lt;/C&gt;&lt;D xsi:type="xsd:double"&gt;0.0071833916&lt;/D&gt;&lt;/FQL&gt;&lt;FQL&gt;&lt;Q&gt;JPYUSD^FG_PRICE(44528)&lt;/Q&gt;&lt;R&gt;1&lt;/R&gt;&lt;C&gt;1&lt;/C&gt;&lt;D xsi:type="xsd:double"&gt;0.008837826&lt;/D&gt;&lt;/FQL&gt;&lt;FQL&gt;&lt;Q&gt;JPYUSD^FG_PRICE(44375)&lt;/Q&gt;&lt;R&gt;1&lt;/R&gt;&lt;C&gt;1&lt;/C&gt;&lt;D xsi:type="xsd:double"&gt;0.009039548&lt;/D&gt;&lt;/FQL&gt;&lt;FQL&gt;&lt;Q&gt;JPYUSD^FG_PRICE(44247)&lt;/Q&gt;&lt;R&gt;1&lt;/R&gt;&lt;C&gt;1&lt;/C&gt;&lt;D xsi:type="xsd:double"&gt;0.009467008&lt;/D&gt;&lt;/FQL&gt;&lt;FQL&gt;&lt;Q&gt;JPYUSD^FG_PRICE(45615)&lt;/Q&gt;&lt;R&gt;1&lt;/R&gt;&lt;C&gt;1&lt;/C&gt;&lt;D xsi:type="xsd:double"&gt;0.007451287&lt;/D&gt;&lt;/FQL&gt;&lt;FQL&gt;&lt;Q&gt;JPYUSD^FG_PRICE(45531)&lt;/Q&gt;&lt;R&gt;1&lt;/R&gt;&lt;C&gt;1&lt;/C&gt;&lt;D xsi:type="xsd:double"&gt;0.007451287&lt;/D&gt;&lt;/FQL&gt;&lt;FQL&gt;&lt;Q&gt;JPYUSD^FG_PRICE(45444)&lt;/Q&gt;&lt;R&gt;1&lt;/R&gt;&lt;C&gt;1&lt;/C&gt;&lt;D xsi:type="xsd:double"&gt;0.007451287&lt;/D&gt;&lt;/FQL&gt;&lt;FQL&gt;&lt;Q&gt;JPYUSD^FG_PRICE(45359)&lt;/Q&gt;&lt;R&gt;1&lt;/R&gt;&lt;C&gt;1&lt;/C&gt;&lt;D xsi:type="xsd:double"&gt;0.007451287&lt;/D&gt;&lt;/FQL&gt;&lt;FQL&gt;&lt;Q&gt;JPYUSD^FG_PRICE(45275)&lt;/Q&gt;&lt;R&gt;1&lt;/R&gt;&lt;C&gt;1&lt;/C&gt;&lt;D xsi:type="xsd:double"&gt;0.007451287&lt;/D&gt;&lt;/FQL&gt;&lt;FQL&gt;&lt;Q&gt;JPYUSD^FG_PRICE(45188)&lt;/Q&gt;&lt;R&gt;1&lt;/R&gt;&lt;C&gt;1&lt;/C&gt;&lt;D xsi:type="xsd:double"&gt;0.007451287&lt;/D&gt;&lt;/FQL&gt;&lt;FQL&gt;&lt;Q&gt;JPYUSD^FG_PRICE(45103)&lt;/Q&gt;&lt;R&gt;1&lt;/R&gt;&lt;C&gt;1&lt;/C&gt;&lt;D xsi:type="xsd:double"&gt;0.007451287&lt;/D&gt;&lt;/FQL&gt;&lt;FQL&gt;&lt;Q&gt;JPYUSD^FG_PRICE(45019)&lt;/Q&gt;&lt;R&gt;1&lt;/R&gt;&lt;C&gt;1&lt;/C&gt;&lt;D xsi:type="xsd:double"&gt;0.007451287&lt;/D&gt;&lt;/FQL&gt;&lt;FQL&gt;&lt;Q&gt;JPYUSD^FG_PRICE(44932)&lt;/Q&gt;&lt;R&gt;1&lt;/R&gt;&lt;C&gt;1&lt;/C&gt;&lt;D xsi:type="xsd:double"&gt;0.0075517297&lt;/D&gt;&lt;/FQL&gt;&lt;FQL&gt;&lt;Q&gt;JPYUSD^FG_PRICE(44880)&lt;/Q&gt;&lt;R&gt;1&lt;/R&gt;&lt;C&gt;1&lt;/C&gt;&lt;D xsi:type="xsd:double"&gt;0.007181844&lt;/D&gt;&lt;/FQL&gt;&lt;FQL&gt;&lt;Q&gt;JPYUSD^FG_PRICE(44829)&lt;/Q&gt;&lt;R&gt;1&lt;/R&gt;&lt;C&gt;1&lt;/C&gt;&lt;D xsi:type="xsd:double"&gt;0.0069790976&lt;/D&gt;&lt;/FQL&gt;&lt;FQL&gt;&lt;Q&gt;JPYUSD^FG_PRICE(44779)&lt;/Q&gt;&lt;R&gt;1&lt;/R&gt;&lt;C&gt;1&lt;/C&gt;&lt;D xsi:type="xsd:double"&gt;0.0073885256&lt;/D&gt;&lt;/FQL&gt;&lt;FQL&gt;&lt;Q&gt;JPYUSD^FG_PRICE(44727)&lt;/Q&gt;&lt;R&gt;1&lt;/R&gt;&lt;C&gt;1&lt;/C&gt;&lt;D xsi:type="xsd:double"&gt;0.0074308007&lt;/D&gt;&lt;/FQL&gt;&lt;FQL&gt;&lt;Q&gt;JPYUSD^FG_PRICE(44679)&lt;/Q&gt;&lt;R&gt;1&lt;/R&gt;&lt;C&gt;1&lt;/C&gt;&lt;D xsi:type="xsd:double"&gt;0.0076327138&lt;/D&gt;&lt;/FQL&gt;&lt;FQL&gt;&lt;Q&gt;JPYUSD^FG_PRICE(44638)&lt;/Q&gt;&lt;R&gt;1&lt;/R&gt;&lt;C&gt;1&lt;/C&gt;&lt;D xsi:type="xsd:double"&gt;0.008391022&lt;/D&gt;&lt;/FQL&gt;&lt;FQL&gt;&lt;Q&gt;JPYUSD^FG_PRICE(44606)&lt;/Q&gt;&lt;R&gt;1&lt;/R&gt;&lt;C&gt;1&lt;/C&gt;&lt;D xsi:type="xsd:double"&gt;0.008653139&lt;/D&gt;&lt;/FQL&gt;&lt;FQL&gt;&lt;Q&gt;JPYUSD^FG_PRICE(44574)&lt;/Q&gt;&lt;R&gt;1&lt;/R&gt;&lt;C&gt;1&lt;/C&gt;&lt;D xsi:type="xsd:double"&gt;0.008762322&lt;/D&gt;&lt;/FQL&gt;&lt;FQL&gt;&lt;Q&gt;JPYUSD^FG_PRICE(44542)&lt;/Q&gt;&lt;R&gt;1&lt;/R&gt;&lt;C&gt;1&lt;/C&gt;&lt;D xsi:type="xsd:double"&gt;0.008816399&lt;/D&gt;&lt;/FQL&gt;&lt;FQL&gt;&lt;Q&gt;JPYUSD^FG_PRICE(44511)&lt;/Q&gt;&lt;R&gt;1&lt;/R&gt;&lt;C&gt;1&lt;/C&gt;&lt;D xsi:type="xsd:double"&gt;0.008774239&lt;/D&gt;&lt;/FQL&gt;&lt;FQL&gt;&lt;Q&gt;JPYUSD^FG_PRICE(44488)&lt;/Q&gt;&lt;R&gt;1&lt;/R&gt;&lt;C&gt;1&lt;/C&gt;&lt;D xsi:type="xsd:double"&gt;0.008751586&lt;/D&gt;&lt;/FQL&gt;&lt;FQL&gt;&lt;Q&gt;JPYUSD^FG_PRICE(44470)&lt;/Q&gt;&lt;R&gt;1&lt;/R&gt;&lt;C&gt;1&lt;/C&gt;&lt;D xsi:type="xsd:double"&gt;0.009011851&lt;/D&gt;&lt;/FQL&gt;&lt;FQL&gt;&lt;Q&gt;JPYUSD^FG_PRICE(44447)&lt;/Q&gt;&lt;R&gt;1&lt;/R&gt;&lt;C&gt;1&lt;/C&gt;&lt;D xsi:type="xsd:double"&gt;0.009063307&lt;/D&gt;&lt;/FQL&gt;&lt;FQL&gt;&lt;Q&gt;JPYUSD^FG_PRICE(44424)&lt;/Q&gt;&lt;R&gt;1&lt;/R&gt;&lt;C&gt;1&lt;/C&gt;&lt;D xsi:type="xsd:double"&gt;0.009162124&lt;/D&gt;&lt;/FQL&gt;&lt;FQL&gt;&lt;Q&gt;JPYUSD^FG_PRICE(44406)&lt;/Q&gt;&lt;R&gt;1&lt;/R&gt;&lt;C&gt;1&lt;/C&gt;&lt;D xsi:type="xsd:double"&gt;0.009122423&lt;/D&gt;&lt;/FQL&gt;&lt;FQL&gt;&lt;Q&gt;JPYUSD^FG_PRICE(44383)&lt;/Q&gt;&lt;R&gt;1&lt;/R&gt;&lt;C&gt;1&lt;/C&gt;&lt;D xsi:type="xsd:double"&gt;0.0090444535&lt;/D&gt;&lt;/FQL&gt;&lt;FQL&gt;&lt;Q&gt;JPYUSD^FG_PRICE(44360)&lt;/Q&gt;&lt;R&gt;1&lt;/R&gt;&lt;C&gt;1&lt;/C&gt;&lt;D xsi:type="xsd:double"&gt;0.0091103725&lt;/D&gt;&lt;/FQL&gt;&lt;FQL&gt;&lt;Q&gt;JPYUSD^FG_PRICE(44342)&lt;/Q&gt;&lt;R&gt;1&lt;/R&gt;&lt;C&gt;1&lt;/C&gt;&lt;D xsi:type="xsd:double"&gt;0.009171367&lt;/D&gt;&lt;/FQL&gt;&lt;FQL&gt;&lt;Q&gt;JPYUSD^FG_PRICE(44319)&lt;/Q&gt;&lt;R&gt;1&lt;/R&gt;&lt;C&gt;1&lt;/C&gt;&lt;D xsi:type="xsd:double"&gt;0.009180629&lt;/D&gt;&lt;/FQL&gt;&lt;FQL&gt;&lt;Q&gt;JPYUSD^FG_PRICE(44296)&lt;/Q&gt;&lt;R&gt;1&lt;/R&gt;&lt;C&gt;1&lt;/C&gt;&lt;D xsi:type="xsd:double"&gt;0.009124921&lt;/D&gt;&lt;/FQL&gt;&lt;FQL&gt;&lt;Q&gt;JPYUSD^FG_PRICE(44278)&lt;/Q&gt;&lt;R&gt;1&lt;/R&gt;&lt;C&gt;1&lt;/C&gt;&lt;D xsi:type="xsd:double"&gt;0.009205984&lt;/D&gt;&lt;/FQL&gt;&lt;FQL&gt;&lt;Q&gt;JPYUSD^FG_PRICE(44255)&lt;/Q&gt;&lt;R&gt;1&lt;/R&gt;&lt;C&gt;1&lt;/C&gt;&lt;D xsi:type="xsd:double"&gt;0.0093861455&lt;/D&gt;&lt;/FQL&gt;&lt;FQL&gt;&lt;Q&gt;JPYUSD^FG_PRICE(44232)&lt;/Q&gt;&lt;R&gt;1&lt;/R&gt;&lt;C&gt;1&lt;/C&gt;&lt;D xsi:type="xsd:double"&gt;0.009481819&lt;/D&gt;&lt;/FQL&gt;&lt;FQL&gt;&lt;Q&gt;JPYUSD^FG_PRICE(44214)&lt;/Q&gt;&lt;R&gt;1&lt;/R&gt;&lt;C&gt;1&lt;/C&gt;&lt;D xsi:type="xsd:double"&gt;0.009643202&lt;/D&gt;&lt;/FQL&gt;&lt;FQL&gt;&lt;Q&gt;JPYUSD^FG_PRICE(44191)&lt;/Q&gt;&lt;R&gt;1&lt;/R&gt;&lt;C&gt;1&lt;/C&gt;&lt;D xsi:type="xsd:double"&gt;0.009649715&lt;/D&gt;&lt;/FQL&gt;&lt;FQL&gt;&lt;Q&gt;JPYUSD^FG_PRICE(44168)&lt;/Q&gt;&lt;R&gt;1&lt;/R&gt;&lt;C&gt;1&lt;/C&gt;&lt;D xsi:type="xsd:double"&gt;0.009637161&lt;/D&gt;&lt;/FQL&gt;&lt;FQL&gt;&lt;Q&gt;JPYUSD^FG_PRICE(44150)&lt;/Q&gt;&lt;R&gt;1&lt;/R&gt;&lt;C&gt;1&lt;/C&gt;&lt;D xsi:type="xsd:double"&gt;0.009556575&lt;/D&gt;&lt;/FQL&gt;&lt;FQL&gt;&lt;Q&gt;JPYUSD^FG_PRICE(44130)&lt;/Q&gt;&lt;R&gt;1&lt;/R&gt;&lt;C&gt;1&lt;/C&gt;&lt;D xsi:type="xsd:double"&gt;0.009536071&lt;/D&gt;&lt;/FQL&gt;&lt;FQL&gt;&lt;Q&gt;JPYUSD^FG_PRICE(44116)&lt;/Q&gt;&lt;R&gt;1&lt;/R&gt;&lt;C&gt;1&lt;/C&gt;&lt;D xsi:type="xsd:double"&gt;0.0094989315&lt;/D&gt;&lt;/FQL&gt;&lt;FQL&gt;&lt;Q&gt;JPYUSD^FG_PRICE(44105)&lt;/Q&gt;&lt;R&gt;1&lt;/R&gt;&lt;C&gt;1&lt;/C&gt;&lt;D xsi:type="xsd:double"&gt;0.009466112&lt;/D&gt;&lt;/FQL&gt;&lt;FQL&gt;&lt;Q&gt;JPYUSD^FG_PRICE(44096)&lt;/Q&gt;&lt;R&gt;1&lt;/R&gt;&lt;C&gt;1&lt;/C&gt;&lt;D xsi:type="xsd:double"&gt;0.009525171&lt;/D&gt;&lt;/FQL&gt;&lt;FQL&gt;&lt;Q&gt;JPYUSD^FG_PRICE(44087)&lt;/Q&gt;&lt;R&gt;1&lt;/R&gt;&lt;C&gt;1&lt;/C&gt;&lt;D xsi:type="xsd:double"&gt;0.0094161965&lt;/D&gt;&lt;/FQL&gt;&lt;FQL&gt;&lt;Q&gt;JPYUSD^FG_PRICE(44079)&lt;/Q&gt;&lt;R&gt;1&lt;/R&gt;&lt;C&gt;1&lt;/C&gt;&lt;D xsi:type="xsd:double"&gt;0.009405126&lt;/D&gt;&lt;/FQL&gt;&lt;FQL&gt;&lt;Q&gt;JPYUSD^FG_PRICE(44071)&lt;/Q&gt;&lt;R&gt;1&lt;/R&gt;&lt;C&gt;1&lt;/C&gt;&lt;D xsi:type="xsd:double"&gt;0.009496225&lt;/D&gt;&lt;/FQL&gt;&lt;FQL&gt;&lt;Q&gt;JPYUSD^FG_PRICE(44063)&lt;/Q&gt;&lt;R&gt;1&lt;/R&gt;&lt;C&gt;1&lt;/C&gt;&lt;D xsi:type="xsd:double"&gt;0.00943886&lt;/D&gt;&lt;/FQL&gt;&lt;FQL&gt;&lt;Q&gt;JPYUSD^FG_PRICE(44055)&lt;/Q&gt;&lt;R&gt;1&lt;/R&gt;&lt;C&gt;1&lt;/C&gt;&lt;D xsi:type="xsd:double"&gt;0.009354536&lt;/D&gt;&lt;/FQL&gt;&lt;FQL&gt;&lt;Q&gt;JPYUSD^FG_PRICE(44047)&lt;/Q&gt;&lt;R&gt;1&lt;/R&gt;&lt;C&gt;1&lt;/C&gt;&lt;D xsi:type="xsd:double"&gt;0.00943886&lt;/D&gt;&lt;/FQL&gt;&lt;FQL&gt;&lt;Q&gt;JPYUSD^FG_PRICE(44039)&lt;/Q&gt;&lt;R&gt;1&lt;/R&gt;&lt;C&gt;1&lt;/C&gt;&lt;D xsi:type="xsd:double"&gt;0.009510676&lt;/D&gt;&lt;/FQL&gt;&lt;FQL&gt;&lt;Q&gt;JPYUSD^FG_PRICE(44031)&lt;/Q&gt;&lt;R&gt;1&lt;/R&gt;&lt;C&gt;1&lt;/C&gt;&lt;D xsi:type="xsd:double"&gt;0.009333147&lt;/D&gt;&lt;/FQL&gt;&lt;FQL&gt;&lt;Q&gt;JPYUSD^FG_PRICE(44023)&lt;/Q&gt;&lt;R&gt;1&lt;/R&gt;&lt;C&gt;1&lt;/C&gt;&lt;D xsi:type="xsd:double"&gt;0.009367243&lt;/D&gt;&lt;/FQL&gt;&lt;FQL&gt;&lt;Q&gt;JPYUSD^FG_PRICE(44015)&lt;/Q&gt;&lt;R&gt;1&lt;/R&gt;&lt;C&gt;1&lt;/C&gt;&lt;D xsi:type="xsd:double"&gt;0.00929973&lt;/D&gt;&lt;/FQL&gt;&lt;FQL&gt;&lt;Q&gt;JPYUSD^FG_PRICE(44007)&lt;/Q&gt;&lt;R&gt;1&lt;/R&gt;&lt;C&gt;1&lt;/C&gt;&lt;D xsi:type="xsd:double"&gt;0.009329664&lt;/D&gt;&lt;/FQL&gt;&lt;FQL&gt;&lt;Q&gt;JPYUSD^FG_PRICE(43999)&lt;/Q&gt;&lt;R&gt;1&lt;/R&gt;&lt;C&gt;1&lt;/C&gt;&lt;D xsi:type="xsd:double"&gt;0.0093244435&lt;/D&gt;&lt;/FQL&gt;&lt;FQL&gt;&lt;Q&gt;JPYUSD^FG_PRICE(43991)&lt;/Q&gt;&lt;R&gt;1&lt;/R&gt;&lt;C&gt;1&lt;/C&gt;&lt;D xsi:type="xsd:double"&gt;0.009283759&lt;/D&gt;&lt;/FQL&gt;&lt;FQL&gt;&lt;Q&gt;JPYUSD^FG_PRICE(43983)&lt;/Q&gt;&lt;R&gt;1&lt;/R&gt;&lt;C&gt;1&lt;/C&gt;&lt;D xsi:type="xsd:double"&gt;0.009297568&lt;/D&gt;&lt;/FQL&gt;&lt;FQL&gt;&lt;Q&gt;JPYUSD^FG_PRICE(43975)&lt;/Q&gt;&lt;R&gt;1&lt;/R&gt;&lt;C&gt;1&lt;/C&gt;&lt;D xsi:type="xsd:double"&gt;0.00930449&lt;/D&gt;&lt;/FQL&gt;&lt;FQL&gt;&lt;Q&gt;JPYUSD^FG_PRICE(43967)&lt;/Q&gt;&lt;R&gt;1&lt;/R&gt;&lt;C&gt;1&lt;/C&gt;&lt;D xsi:type="xsd:double"&gt;0.00931923&lt;/D&gt;&lt;/FQL&gt;&lt;FQL&gt;&lt;Q&gt;JPYUSD^FG_PRICE(43959)&lt;/Q&gt;&lt;R&gt;1&lt;/R&gt;&lt;C&gt;1&lt;/C&gt;&lt;D xsi:type="xsd:double"&gt;0.009395847&lt;/D&gt;&lt;/FQL&gt;&lt;FQL&gt;&lt;Q&gt;JPYUSD^FG_PRICE(43951)&lt;/Q&gt;&lt;R&gt;1&lt;/R&gt;&lt;C&gt;1&lt;/C&gt;&lt;D xsi:type="xsd:double"&gt;0.009351475&lt;/D&gt;&lt;/FQL&gt;&lt;FQL&gt;&lt;Q&gt;JPYUSD^FG_PRICE(43943)&lt;/Q&gt;&lt;R&gt;1&lt;/R&gt;&lt;C&gt;1&lt;/C&gt;&lt;D xsi:type="xsd:double"&gt;0.009276438&lt;/D&gt;&lt;/FQL&gt;&lt;FQL&gt;&lt;Q&gt;JPYUSD^FG_PRICE(43935)&lt;/Q&gt;&lt;R&gt;1&lt;/R&gt;&lt;C&gt;1&lt;/C&gt;&lt;D xsi:type="xsd:double"&gt;0.009326618&lt;/D&gt;&lt;/FQL&gt;&lt;FQL&gt;&lt;Q&gt;JPYUSD^FG_PRICE(43927)&lt;/Q&gt;&lt;R&gt;1&lt;/R&gt;&lt;C&gt;1&lt;/C&gt;&lt;D xsi:type="xsd:double"&gt;0.009163383&lt;/D&gt;&lt;/FQL&gt;&lt;FQL&gt;&lt;Q&gt;JPYUSD^FG_PRICE(43919)&lt;/Q&gt;&lt;R&gt;1&lt;/R&gt;&lt;C&gt;1&lt;/C&gt;&lt;D xsi:type="xsd:double"&gt;0.009242998&lt;/D&gt;&lt;/FQL&gt;&lt;FQL&gt;&lt;Q&gt;JPYUSD^FG_PRICE(43911)&lt;/Q&gt;&lt;R&gt;1&lt;/R&gt;&lt;C&gt;1&lt;/C&gt;&lt;D xsi:type="xsd:double"&gt;0.008981498&lt;/D&gt;&lt;/FQL&gt;&lt;FQL&gt;&lt;Q&gt;JPYUSD^FG_PRICE(43903)&lt;/Q&gt;&lt;R&gt;1&lt;/R&gt;&lt;C&gt;1&lt;/C&gt;&lt;D xsi:type="xsd:double"&gt;0.00933184&lt;/D&gt;&lt;/FQL&gt;&lt;FQL&gt;&lt;Q&gt;JPYUSD^FG_PRICE(43895)&lt;/Q&gt;&lt;R&gt;1&lt;/R&gt;&lt;C&gt;1&lt;/C&gt;&lt;D xsi:type="xsd:double"&gt;0.009374707&lt;/D&gt;&lt;/FQL&gt;&lt;FQL&gt;&lt;Q&gt;JPYUSD^FG_PRICE(43887)&lt;/Q&gt;&lt;R&gt;1&lt;/R&gt;&lt;C&gt;1&lt;/C&gt;&lt;D xsi:type="xsd:double"&gt;0.009043636&lt;/D&gt;&lt;/FQL&gt;&lt;FQL&gt;&lt;Q&gt;JPYUSD^FG_PRICE(43879)&lt;/Q&gt;&lt;R&gt;1&lt;/R&gt;&lt;C&gt;1&lt;/C&gt;&lt;D xsi:type="xsd:double"&gt;0.009106639&lt;/D&gt;&lt;/FQL&gt;&lt;FQL&gt;&lt;Q&gt;JPYUSD^FG_PRICE(43871)&lt;/Q&gt;&lt;R&gt;1&lt;/R&gt;&lt;C&gt;1&lt;/C&gt;&lt;D xsi:type="xsd:double"&gt;0.009113277&lt;/D&gt;&lt;/FQL&gt;&lt;FQL&gt;&lt;Q&gt;JPYUSD^FG_PRICE(43863)&lt;/Q&gt;&lt;R&gt;1&lt;/R&gt;&lt;C&gt;1&lt;/C&gt;&lt;D xsi:type="xsd:double"&gt;0.009226369&lt;/D&gt;&lt;/FQL&gt;&lt;FQL&gt;&lt;Q&gt;JPYUSD^FG_PRICE(43855)&lt;/Q&gt;&lt;R&gt;1&lt;/R&gt;&lt;C&gt;1&lt;/C&gt;&lt;D xsi:type="xsd:double"&gt;0.009137845&lt;/D&gt;&lt;/FQL&gt;&lt;FQL&gt;&lt;Q&gt;JPYUSD^FG_PRICE(43847)&lt;/Q&gt;&lt;R&gt;1&lt;/R&gt;&lt;C&gt;1&lt;/C&gt;&lt;D xsi:type="xsd:double"&gt;0.009076469&lt;/D&gt;&lt;/FQL&gt;&lt;FQL&gt;&lt;Q&gt;JPYUSD^FG_PRICE(43839)&lt;/Q&gt;&lt;R&gt;1&lt;/R&gt;&lt;C&gt;1&lt;/C&gt;&lt;D xsi:type="xsd:double"&gt;0.009128668&lt;/D&gt;&lt;/FQL&gt;&lt;FQL&gt;&lt;Q&gt;JPYUSD^FG_PRICE(43831)&lt;/Q&gt;&lt;R&gt;1&lt;/R&gt;&lt;C&gt;1&lt;/C&gt;&lt;D xsi:type="xsd:double"&gt;0.009201745&lt;/D&gt;&lt;/FQL&gt;&lt;FQL&gt;&lt;Q&gt;JPYUSD^FG_PRICE(43823)&lt;/Q&gt;&lt;R&gt;1&lt;/R&gt;&lt;C&gt;1&lt;/C&gt;&lt;D xsi:type="xsd:double"&gt;0.009145784&lt;/D&gt;&lt;/FQL&gt;&lt;FQL&gt;&lt;Q&gt;JPYUSD^FG_PRICE(43815)&lt;/Q&gt;&lt;R&gt;1&lt;/R&gt;&lt;C&gt;1&lt;/C&gt;&lt;D xsi:type="xsd:double"&gt;0.009121591&lt;/D&gt;&lt;/FQL&gt;&lt;FQL&gt;&lt;Q&gt;JPYUSD^FG_PRICE(43807)&lt;/Q&gt;&lt;R&gt;1&lt;/R&gt;&lt;C&gt;1&lt;/C&gt;&lt;D xsi:type="xsd:double"&gt;0.009203019&lt;/D&gt;&lt;/FQL&gt;&lt;FQL&gt;&lt;Q&gt;JPYUSD^FG_PRICE(43799)&lt;/Q&gt;&lt;R&gt;1&lt;/R&gt;&lt;C&gt;1&lt;/C&gt;&lt;D xsi:type="xsd:double"&gt;0.009131586&lt;/D&gt;&lt;/FQL&gt;&lt;FQL&gt;&lt;Q&gt;JPYUSD^FG_PRICE(43791)&lt;/Q&gt;&lt;R&gt;1</t>
        </r>
      </text>
    </comment>
    <comment ref="A6" authorId="0" shapeId="0" xr:uid="{566F64BA-5883-440C-B985-BF5F29086B48}">
      <text>
        <r>
          <rPr>
            <b/>
            <sz val="9"/>
            <color indexed="81"/>
            <rFont val="Tahoma"/>
            <family val="2"/>
          </rPr>
          <t>&lt;/R&gt;&lt;C&gt;1&lt;/C&gt;&lt;D xsi:type="xsd:double"&gt;0.009203442&lt;/D&gt;&lt;/FQL&gt;&lt;FQL&gt;&lt;Q&gt;JPYUSD^FG_PRICE(43783)&lt;/Q&gt;&lt;R&gt;1&lt;/R&gt;&lt;C&gt;1&lt;/C&gt;&lt;D xsi:type="xsd:double"&gt;0.009210223&lt;/D&gt;&lt;/FQL&gt;&lt;FQL&gt;&lt;Q&gt;JPYUSD^FG_PRICE(43775)&lt;/Q&gt;&lt;R&gt;1&lt;/R&gt;&lt;C&gt;1&lt;/C&gt;&lt;D xsi:type="xsd:double"&gt;0.009172208&lt;/D&gt;&lt;/FQL&gt;&lt;FQL&gt;&lt;Q&gt;JPYUSD^FG_PRICE(43767)&lt;/Q&gt;&lt;R&gt;1&lt;/R&gt;&lt;C&gt;1&lt;/C&gt;&lt;D xsi:type="xsd:double"&gt;0.009188221&lt;/D&gt;&lt;/FQL&gt;&lt;FQL&gt;&lt;Q&gt;JPYUSD^FG_PRICE(43759)&lt;/Q&gt;&lt;R&gt;1&lt;/R&gt;&lt;C&gt;1&lt;/C&gt;&lt;D xsi:type="xsd:double"&gt;0.009212344&lt;/D&gt;&lt;/FQL&gt;&lt;FQL&gt;&lt;Q&gt;JPYUSD^FG_PRICE(43751)&lt;/Q&gt;&lt;R&gt;1&lt;/R&gt;&lt;C&gt;1&lt;/C&gt;&lt;D xsi:type="xsd:double"&gt;0.009209375&lt;/D&gt;&lt;/FQL&gt;&lt;FQL&gt;&lt;Q&gt;JPYUSD^FG_PRICE(43743)&lt;/Q&gt;&lt;R&gt;1&lt;/R&gt;&lt;C&gt;1&lt;/C&gt;&lt;D xsi:type="xsd:double"&gt;0.00935585&lt;/D&gt;&lt;/FQL&gt;&lt;FQL&gt;&lt;Q&gt;JPYUSD^FG_PRICE(43735)&lt;/Q&gt;&lt;R&gt;1&lt;/R&gt;&lt;C&gt;1&lt;/C&gt;&lt;D xsi:type="xsd:double"&gt;0.00924599&lt;/D&gt;&lt;/FQL&gt;&lt;FQL&gt;&lt;Q&gt;JPYUSD^FG_PRICE(43727)&lt;/Q&gt;&lt;R&gt;1&lt;/R&gt;&lt;C&gt;1&lt;/C&gt;&lt;D xsi:type="xsd:double"&gt;0.009255403&lt;/D&gt;&lt;/FQL&gt;&lt;FQL&gt;&lt;Q&gt;JPYUSD^FG_PRICE(43719)&lt;/Q&gt;&lt;R&gt;1&lt;/R&gt;&lt;C&gt;1&lt;/C&gt;&lt;D xsi:type="xsd:double"&gt;0.009281173&lt;/D&gt;&lt;/FQL&gt;&lt;FQL&gt;&lt;Q&gt;JPYUSD^FG_PRICE(43711)&lt;/Q&gt;&lt;R&gt;1&lt;/R&gt;&lt;C&gt;1&lt;/C&gt;&lt;D xsi:type="xsd:double"&gt;0.009444208&lt;/D&gt;&lt;/FQL&gt;&lt;FQL&gt;&lt;Q&gt;JPYUSD^FG_PRICE(43703)&lt;/Q&gt;&lt;R&gt;1&lt;/R&gt;&lt;C&gt;1&lt;/C&gt;&lt;D xsi:type="xsd:double"&gt;0.009436188&lt;/D&gt;&lt;/FQL&gt;&lt;FQL&gt;&lt;Q&gt;JPYUSD^FG_PRICE(43695)&lt;/Q&gt;&lt;R&gt;1&lt;/R&gt;&lt;C&gt;1&lt;/C&gt;&lt;D xsi:type="xsd:double"&gt;0.009399821&lt;/D&gt;&lt;/FQL&gt;&lt;FQL&gt;&lt;Q&gt;JPYUSD^FG_PRICE(43687)&lt;/Q&gt;&lt;R&gt;1&lt;/R&gt;&lt;C&gt;1&lt;/C&gt;&lt;D xsi:type="xsd:double"&gt;0.009464768&lt;/D&gt;&lt;/FQL&gt;&lt;FQL&gt;&lt;Q&gt;JPYUSD^FG_PRICE(43679)&lt;/Q&gt;&lt;R&gt;1&lt;/R&gt;&lt;C&gt;1&lt;/C&gt;&lt;D xsi:type="xsd:double"&gt;0.009383944&lt;/D&gt;&lt;/FQL&gt;&lt;FQL&gt;&lt;Q&gt;JPYUSD^FG_PRICE(43671)&lt;/Q&gt;&lt;R&gt;1&lt;/R&gt;&lt;C&gt;1&lt;/C&gt;&lt;D xsi:type="xsd:double"&gt;0.009212344&lt;/D&gt;&lt;/FQL&gt;&lt;FQL&gt;&lt;Q&gt;JPYUSD^FG_PRICE(43663)&lt;/Q&gt;&lt;R&gt;1&lt;/R&gt;&lt;C&gt;1&lt;/C&gt;&lt;D xsi:type="xsd:double"&gt;0.00925155&lt;/D&gt;&lt;/FQL&gt;&lt;FQL&gt;&lt;Q&gt;JPYUSD^FG_PRICE(43655)&lt;/Q&gt;&lt;R&gt;1&lt;/R&gt;&lt;C&gt;1&lt;/C&gt;&lt;D xsi:type="xsd:double"&gt;0.009194134&lt;/D&gt;&lt;/FQL&gt;&lt;FQL&gt;&lt;Q&gt;JPYUSD^FG_PRICE(43647)&lt;/Q&gt;&lt;R&gt;1&lt;/R&gt;&lt;C&gt;1&lt;/C&gt;&lt;D xsi:type="xsd:double"&gt;0.00923148&lt;/D&gt;&lt;/FQL&gt;&lt;FQL&gt;&lt;Q&gt;JPYUSD^FG_PRICE(43639)&lt;/Q&gt;&lt;R&gt;1&lt;/R&gt;&lt;C&gt;1&lt;/C&gt;&lt;D xsi:type="xsd:double"&gt;0.009285051&lt;/D&gt;&lt;/FQL&gt;&lt;FQL&gt;&lt;Q&gt;JPYUSD^FG_PRICE(43631)&lt;/Q&gt;&lt;R&gt;1&lt;/R&gt;&lt;C&gt;1&lt;/C&gt;&lt;D xsi:type="xsd:double"&gt;0.009222965&lt;/D&gt;&lt;/FQL&gt;&lt;FQL&gt;&lt;Q&gt;JPYUSD^FG_PRICE(43623)&lt;/Q&gt;&lt;R&gt;1&lt;/R&gt;&lt;C&gt;1&lt;/C&gt;&lt;D xsi:type="xsd:double"&gt;0.009257116&lt;/D&gt;&lt;/FQL&gt;&lt;FQL&gt;&lt;Q&gt;JPYUSD^FG_PRICE(43615)&lt;/Q&gt;&lt;R&gt;1&lt;/R&gt;&lt;C&gt;1&lt;/C&gt;&lt;D xsi:type="xsd:double"&gt;0.009104566&lt;/D&gt;&lt;/FQL&gt;&lt;FQL&gt;&lt;Q&gt;JPYUSD^FG_PRICE(43607)&lt;/Q&gt;&lt;R&gt;1&lt;/R&gt;&lt;C&gt;1&lt;/C&gt;&lt;D xsi:type="xsd:double"&gt;0.009064539&lt;/D&gt;&lt;/FQL&gt;&lt;FQL&gt;&lt;Q&gt;JPYUSD^FG_PRICE(43599)&lt;/Q&gt;&lt;R&gt;1&lt;/R&gt;&lt;C&gt;1&lt;/C&gt;&lt;D xsi:type="xsd:double"&gt;0.009125752&lt;/D&gt;&lt;/FQL&gt;&lt;FQL&gt;&lt;Q&gt;JPYUSD^FG_PRICE(43591)&lt;/Q&gt;&lt;R&gt;1&lt;/R&gt;&lt;C&gt;1&lt;/C&gt;&lt;D xsi:type="xsd:double"&gt;0.009018759&lt;/D&gt;&lt;/FQL&gt;&lt;FQL&gt;&lt;Q&gt;JPYUSD^FG_PRICE(43583)&lt;/Q&gt;&lt;R&gt;1&lt;/R&gt;&lt;C&gt;1&lt;/C&gt;&lt;D xsi:type="xsd:double"&gt;0.008964188&lt;/D&gt;&lt;/FQL&gt;&lt;FQL&gt;&lt;Q&gt;JPYUSD^FG_PRICE(43575)&lt;/Q&gt;&lt;R&gt;1&lt;/R&gt;&lt;C&gt;1&lt;/C&gt;&lt;D xsi:type="xsd:double"&gt;0.008937749&lt;/D&gt;&lt;/FQL&gt;&lt;FQL&gt;&lt;Q&gt;JPYUSD^FG_PRICE(43567)&lt;/Q&gt;&lt;R&gt;1&lt;/R&gt;&lt;C&gt;1&lt;/C&gt;&lt;D xsi:type="xsd:double"&gt;0.008930963&lt;/D&gt;&lt;/FQL&gt;&lt;FQL&gt;&lt;Q&gt;JPYUSD^FG_PRICE(43559)&lt;/Q&gt;&lt;R&gt;1&lt;/R&gt;&lt;C&gt;1&lt;/C&gt;&lt;D xsi:type="xsd:double"&gt;0.008962983&lt;/D&gt;&lt;/FQL&gt;&lt;FQL&gt;&lt;Q&gt;JPYUSD^FG_PRICE(43551)&lt;/Q&gt;&lt;R&gt;1&lt;/R&gt;&lt;C&gt;1&lt;/C&gt;&lt;D xsi:type="xsd:double"&gt;0.009060022&lt;/D&gt;&lt;/FQL&gt;&lt;FQL&gt;&lt;Q&gt;JPYUSD^FG_PRICE(43543)&lt;/Q&gt;&lt;R&gt;1&lt;/R&gt;&lt;C&gt;1&lt;/C&gt;&lt;D xsi:type="xsd:double"&gt;0.008977466&lt;/D&gt;&lt;/FQL&gt;&lt;FQL&gt;&lt;Q&gt;JPYUSD^FG_PRICE(43535)&lt;/Q&gt;&lt;R&gt;1&lt;/R&gt;&lt;C&gt;1&lt;/C&gt;&lt;D xsi:type="xsd:double"&gt;0.0089915935&lt;/D&gt;&lt;/FQL&gt;&lt;FQL&gt;&lt;Q&gt;JPYUSD^FG_PRICE(43527)&lt;/Q&gt;&lt;R&gt;1&lt;/R&gt;&lt;C&gt;1&lt;/C&gt;&lt;D xsi:type="xsd:double"&gt;0.0089365505&lt;/D&gt;&lt;/FQL&gt;&lt;FQL&gt;&lt;Q&gt;JPYUSD^FG_PRICE(43519)&lt;/Q&gt;&lt;R&gt;1&lt;/R&gt;&lt;C&gt;1&lt;/C&gt;&lt;D xsi:type="xsd:double"&gt;0.009028938&lt;/D&gt;&lt;/FQL&gt;&lt;FQL&gt;&lt;Q&gt;JPYUSD^FG_PRICE(43511)&lt;/Q&gt;&lt;R&gt;1&lt;/R&gt;&lt;C&gt;1&lt;/C&gt;&lt;D xsi:type="xsd:double"&gt;0.009045271&lt;/D&gt;&lt;/FQL&gt;&lt;FQL&gt;&lt;Q&gt;JPYUSD^FG_PRICE(43503)&lt;/Q&gt;&lt;R&gt;1&lt;/R&gt;&lt;C&gt;1&lt;/C&gt;&lt;D xsi:type="xsd:double"&gt;0.009111202&lt;/D&gt;&lt;/FQL&gt;&lt;FQL&gt;&lt;Q&gt;JPYUSD^FG_PRICE(43495)&lt;/Q&gt;&lt;R&gt;1&lt;/R&gt;&lt;C&gt;1&lt;/C&gt;&lt;D xsi:type="xsd:double"&gt;0.0091245035&lt;/D&gt;&lt;/FQL&gt;&lt;FQL&gt;&lt;Q&gt;JPYUSD^FG_PRICE(43487)&lt;/Q&gt;&lt;R&gt;1&lt;/R&gt;&lt;C&gt;1&lt;/C&gt;&lt;D xsi:type="xsd:double"&gt;0.0091374265&lt;/D&gt;&lt;/FQL&gt;&lt;FQL&gt;&lt;Q&gt;JPYUSD^FG_PRICE(43479)&lt;/Q&gt;&lt;R&gt;1&lt;/R&gt;&lt;C&gt;1&lt;/C&gt;&lt;D xsi:type="xsd:double"&gt;0.009231905&lt;/D&gt;&lt;/FQL&gt;&lt;FQL&gt;&lt;Q&gt;JPYUSD^FG_PRICE(43471)&lt;/Q&gt;&lt;R&gt;1&lt;/R&gt;&lt;C&gt;1&lt;/C&gt;&lt;D xsi:type="xsd:double"&gt;0.009248127&lt;/D&gt;&lt;/FQL&gt;&lt;FQL&gt;&lt;Q&gt;JPYUSD^FG_PRICE(43589)&lt;/Q&gt;&lt;R&gt;1&lt;/R&gt;&lt;C&gt;1&lt;/C&gt;&lt;D xsi:type="xsd:double"&gt;0.008989167&lt;/D&gt;&lt;/FQL&gt;&lt;FQL&gt;&lt;Q&gt;JPYUSD^FG_PRICE(43525)&lt;/Q&gt;&lt;R&gt;1&lt;/R&gt;&lt;C&gt;1&lt;/C&gt;&lt;D xsi:type="xsd:double"&gt;0.0089365505&lt;/D&gt;&lt;/FQL&gt;&lt;FQL&gt;&lt;Q&gt;JPYUSD^FG_PRICE(43485)&lt;/Q&gt;&lt;R&gt;1&lt;/R&gt;&lt;C&gt;1&lt;/C&gt;&lt;D xsi:type="xsd:double"&gt;0.00911868&lt;/D&gt;&lt;/FQL&gt;&lt;FQL&gt;&lt;Q&gt;JPYUSD^FG_PRICE(45407)&lt;/Q&gt;&lt;R&gt;1&lt;/R&gt;&lt;C&gt;1&lt;/C&gt;&lt;D xsi:type="xsd:double"&gt;0.007451287&lt;/D&gt;&lt;/FQL&gt;&lt;FQL&gt;&lt;Q&gt;JPYUSD^FG_PRICE(44807)&lt;/Q&gt;&lt;R&gt;1&lt;/R&gt;&lt;C&gt;1&lt;/C&gt;&lt;D xsi:type="xsd:double"&gt;0.007141072&lt;/D&gt;&lt;/FQL&gt;&lt;FQL&gt;&lt;Q&gt;JPYUSD^FG_PRICE(44560)&lt;/Q&gt;&lt;R&gt;1&lt;/R&gt;&lt;C&gt;1&lt;/C&gt;&lt;D xsi:type="xsd:double"&gt;0.008683948&lt;/D&gt;&lt;/FQL&gt;&lt;FQL&gt;&lt;Q&gt;JPYUSD^FG_PRICE(44398)&lt;/Q&gt;&lt;R&gt;1&lt;/R&gt;&lt;C&gt;1&lt;/C&gt;&lt;D xsi:type="xsd:double"&gt;0.009063307&lt;/D&gt;&lt;/FQL&gt;&lt;FQL&gt;&lt;Q&gt;JPYUSD^FG_PRICE(44288)&lt;/Q&gt;&lt;R&gt;1&lt;/R&gt;&lt;C&gt;1&lt;/C&gt;&lt;D xsi:type="xsd:double"&gt;0.0090415925&lt;/D&gt;&lt;/FQL&gt;&lt;FQL&gt;&lt;Q&gt;JPYUSD^FG_PRICE(44160)&lt;/Q&gt;&lt;R&gt;1&lt;/R&gt;&lt;C&gt;1&lt;/C&gt;&lt;D xsi:type="xsd:double"&gt;0.009577626&lt;/D&gt;&lt;/FQL&gt;&lt;FQL&gt;&lt;Q&gt;JPYUSD^FG_PRICE(45599)&lt;/Q&gt;&lt;R&gt;1&lt;/R&gt;&lt;C&gt;1&lt;/C&gt;&lt;D xsi:type="xsd:double"&gt;0.007451287&lt;/D&gt;&lt;/FQL&gt;&lt;FQL&gt;&lt;Q&gt;JPYUSD^FG_PRICE(45515)&lt;/Q&gt;&lt;R&gt;1&lt;/R&gt;&lt;C&gt;1&lt;/C&gt;&lt;D xsi:type="xsd:double"&gt;0.007451287&lt;/D&gt;&lt;/FQL&gt;&lt;FQL&gt;&lt;Q&gt;JPYUSD^FG_PRICE(45428)&lt;/Q&gt;&lt;R&gt;1&lt;/R&gt;&lt;C&gt;1&lt;/C&gt;&lt;D xsi:type="xsd:double"&gt;0.007451287&lt;/D&gt;&lt;/FQL&gt;&lt;FQL&gt;&lt;Q&gt;JPYUSD^FG_PRICE(45343)&lt;/Q&gt;&lt;R&gt;1&lt;/R&gt;&lt;C&gt;1&lt;/C&gt;&lt;D xsi:type="xsd:double"&gt;0.007451287&lt;/D&gt;&lt;/FQL&gt;&lt;FQL&gt;&lt;Q&gt;JPYUSD^FG_PRICE(45259)&lt;/Q&gt;&lt;R&gt;1&lt;/R&gt;&lt;C&gt;1&lt;/C&gt;&lt;D xsi:type="xsd:double"&gt;0.007451287&lt;/D&gt;&lt;/FQL&gt;&lt;FQL&gt;&lt;Q&gt;JPYUSD^FG_PRICE(45172)&lt;/Q&gt;&lt;R&gt;1&lt;/R&gt;&lt;C&gt;1&lt;/C&gt;&lt;D xsi:type="xsd:double"&gt;0.007451287&lt;/D&gt;&lt;/FQL&gt;&lt;FQL&gt;&lt;Q&gt;JPYUSD^FG_PRICE(45087)&lt;/Q&gt;&lt;R&gt;1&lt;/R&gt;&lt;C&gt;1&lt;/C&gt;&lt;D xsi:type="xsd:double"&gt;0.007451287&lt;/D&gt;&lt;/FQL&gt;&lt;FQL&gt;&lt;Q&gt;JPYUSD^FG_PRICE(45003)&lt;/Q&gt;&lt;R&gt;1&lt;/R&gt;&lt;C&gt;1&lt;/C&gt;&lt;D xsi:type="xsd:double"&gt;0.007451287&lt;/D&gt;&lt;/FQL&gt;&lt;FQL&gt;&lt;Q&gt;JPYUSD^FG_PRICE(44923)&lt;/Q&gt;&lt;R&gt;1&lt;/R&gt;&lt;C&gt;1&lt;/C&gt;&lt;D xsi:type="xsd:double"&gt;0.0074501764&lt;/D&gt;&lt;/FQL&gt;&lt;FQL&gt;&lt;Q&gt;JPYUSD^FG_PRICE(44871)&lt;/Q&gt;&lt;R&gt;1&lt;/R&gt;&lt;C&gt;1&lt;/C&gt;&lt;D xsi:type="xsd:double"&gt;0.006791402&lt;/D&gt;&lt;/FQL&gt;&lt;FQL&gt;&lt;Q&gt;JPYUSD^FG_PRICE(44820)&lt;/Q&gt;&lt;R&gt;1&lt;/R&gt;&lt;C&gt;1&lt;/C&gt;&lt;D xsi:type="xsd:double"&gt;0.0069959424&lt;/D&gt;&lt;/FQL&gt;&lt;FQL&gt;&lt;Q&gt;JPYUSD^FG_PRICE(44768)&lt;/Q&gt;&lt;R&gt;1&lt;/R&gt;&lt;C&gt;1&lt;/C&gt;&lt;D xsi:type="xsd:double"&gt;0.0073214476&lt;/D&gt;&lt;/FQL&gt;&lt;FQL&gt;&lt;Q&gt;JPYUSD^FG_PRICE(44717)&lt;/Q&gt;&lt;R&gt;1&lt;/R&gt;&lt;C&gt;1&lt;/C&gt;&lt;D xsi:type="xsd:double"&gt;0.0076496457&lt;/D&gt;&lt;/FQL&gt;&lt;FQL&gt;&lt;Q&gt;JPYUSD^FG_PRICE(44671)&lt;/Q&gt;&lt;R&gt;1&lt;/R&gt;&lt;C&gt;1&lt;/C&gt;&lt;D xsi:type="xsd:double"&gt;0.00783116&lt;/D&gt;&lt;/FQL&gt;&lt;FQL&gt;&lt;Q&gt;JPYUSD^FG_PRICE(44632)&lt;/Q&gt;&lt;R&gt;1&lt;/R&gt;&lt;C&gt;1&lt;/C&gt;&lt;D xsi:type="xsd:double"&gt;0.008547374&lt;/D&gt;&lt;/FQL&gt;&lt;FQL&gt;&lt;Q&gt;JPYUSD^FG_PRICE(44600)&lt;/Q&gt;&lt;R&gt;1&lt;/R&gt;&lt;C&gt;1&lt;/C&gt;&lt;D xsi:type="xsd:double"&gt;0.008650519&lt;/D&gt;&lt;/FQL&gt;&lt;FQL&gt;&lt;Q&gt;JPYUSD^FG_PRICE(44568)&lt;/Q&gt;&lt;R&gt;1&lt;/R&gt;&lt;C&gt;1&lt;/C&gt;&lt;D xsi:type="xsd:double"&gt;0.0086482745&lt;/D&gt;&lt;/FQL&gt;&lt;FQL&gt;&lt;Q&gt;JPYUSD^FG_PRICE(44536)&lt;/Q&gt;&lt;R&gt;1&lt;/R&gt;&lt;C&gt;1&lt;/C&gt;&lt;D xsi:type="xsd:double"&gt;0.008814067&lt;/D&gt;&lt;/FQL&gt;&lt;FQL&gt;&lt;Q&gt;JPYUSD^FG_PRICE(44510)&lt;/Q&gt;&lt;R&gt;1&lt;/R&gt;&lt;C&gt;1&lt;/C&gt;&lt;D xsi:type="xsd:double"&gt;0.008779246&lt;/D&gt;&lt;/FQL&gt;&lt;FQL&gt;&lt;Q&gt;JPYUSD^FG_PRICE(44487)&lt;/Q&gt;&lt;R&gt;1&lt;/R&gt;&lt;C&gt;1&lt;/C&gt;&lt;D xsi:type="xsd:double"&gt;0.008753885&lt;/D&gt;&lt;/FQL&gt;&lt;FQL&gt;&lt;Q&gt;JPYUSD^FG_PRICE(44464)&lt;/Q&gt;&lt;R&gt;1&lt;/R&gt;&lt;C&gt;1&lt;/C&gt;&lt;D xsi:type="xsd:double"&gt;0.009033016&lt;/D&gt;&lt;/FQL&gt;&lt;FQL&gt;&lt;Q&gt;JPYUSD^FG_PRICE(44446)&lt;/Q&gt;&lt;R&gt;1&lt;/R&gt;&lt;C&gt;1&lt;/C&gt;&lt;D xsi:type="xsd:double"&gt;0.009072764&lt;/D&gt;&lt;/FQL&gt;&lt;FQL&gt;&lt;Q&gt;JPYUSD^FG_PRICE(44423)&lt;/Q&gt;&lt;R&gt;1&lt;/R&gt;&lt;C&gt;1&lt;/C&gt;&lt;D xsi:type="xsd:double"&gt;0.00910208&lt;/D&gt;&lt;/FQL&gt;&lt;FQL&gt;&lt;Q&gt;JPYUSD^FG_PRICE(44400)&lt;/Q&gt;&lt;R&gt;1&lt;/R&gt;&lt;C&gt;1&lt;/C&gt;&lt;D xsi:type="xsd:double"&gt;0.009044045&lt;/D&gt;&lt;/FQL&gt;&lt;FQL&gt;&lt;Q&gt;JPYUSD^FG_PRICE(44382)&lt;/Q&gt;&lt;R&gt;1&lt;/R&gt;&lt;C&gt;1&lt;/C&gt;&lt;D xsi:type="xsd:double"&gt;0.009013475&lt;/D&gt;&lt;/FQL&gt;&lt;FQL&gt;&lt;Q&gt;JPYUSD^FG_PRICE(44359)&lt;/Q&gt;&lt;R&gt;1&lt;/R&gt;&lt;C&gt;1&lt;/C&gt;&lt;D xsi:type="xsd:double"&gt;0.0091103725&lt;/D&gt;&lt;/FQL&gt;&lt;FQL&gt;&lt;Q&gt;JPYUSD^FG_PRICE(44336)&lt;/Q&gt;&lt;R&gt;1&lt;/R&gt;&lt;C&gt;1&lt;/C&gt;&lt;D xsi:type="xsd:double"&gt;0.009186954&lt;/D&gt;&lt;/FQL&gt;&lt;FQL&gt;&lt;Q&gt;JPYUSD^FG_PRICE(44318)&lt;/Q&gt;&lt;R&gt;1&lt;/R&gt;&lt;C&gt;1&lt;/C&gt;&lt;D xsi:type="xsd:double"&gt;0.009148712&lt;/D&gt;&lt;/FQL&gt;&lt;FQL&gt;&lt;Q&gt;JPYUSD^FG_PRICE(44295)&lt;/Q&gt;&lt;R&gt;1&lt;/R&gt;&lt;C&gt;1&lt;/C&gt;&lt;D xsi:type="xsd:double"&gt;0.009124921&lt;/D&gt;&lt;/FQL&gt;&lt;FQL&gt;&lt;Q&gt;JPYUSD^FG_PRICE(44272)&lt;/Q&gt;&lt;R&gt;1&lt;/R&gt;&lt;C&gt;1&lt;/C&gt;&lt;D xsi:type="xsd:double"&gt;0.009155832&lt;/D&gt;&lt;/FQL&gt;&lt;FQL&gt;&lt;Q&gt;JPYUSD^FG_PRICE(44254)&lt;/Q&gt;&lt;R&gt;1&lt;/R&gt;&lt;C&gt;1&lt;/C&gt;&lt;D xsi:type="xsd:double"&gt;0.0093861455&lt;/D&gt;&lt;/FQL&gt;&lt;FQL&gt;&lt;Q&gt;JPYUSD^FG_PRICE(44231)&lt;/Q&gt;&lt;R&gt;1&lt;/R&gt;&lt;C&gt;1&lt;/C&gt;&lt;D xsi:type="xsd:double"&gt;0.009485866&lt;/D&gt;&lt;/FQL&gt;&lt;FQL&gt;&lt;Q&gt;JPYUSD^FG_PRICE(44208)&lt;/Q&gt;&lt;R&gt;1&lt;/R&gt;&lt;C&gt;1&lt;/C&gt;&lt;D xsi:type="xsd:double"&gt;0.009596929&lt;/D&gt;&lt;/FQL&gt;&lt;FQL&gt;&lt;Q&gt;JPYUSD^FG_PRICE(44190)&lt;/Q&gt;&lt;R&gt;1&lt;/R&gt;&lt;C&gt;1&lt;/C&gt;&lt;D xsi:type="xsd:double"&gt;0.009649715&lt;/D&gt;&lt;/FQL&gt;&lt;FQL&gt;&lt;Q&gt;JPYUSD^FG_PRICE(44167)&lt;/Q&gt;&lt;R&gt;1&lt;/R&gt;&lt;C&gt;1&lt;/C&gt;&lt;D xsi:type="xsd:double"&gt;0.009561601&lt;/D&gt;&lt;/FQL&gt;&lt;FQL&gt;&lt;Q&gt;JPYUSD^FG_PRICE(44144)&lt;/Q&gt;&lt;R&gt;1&lt;/R&gt;&lt;C&gt;1&lt;/C&gt;&lt;D xsi:type="xsd:double"&gt;0.009486316&lt;/D&gt;&lt;/FQL&gt;&lt;FQL&gt;&lt;Q&gt;JPYUSD^FG_PRICE(44128)&lt;/Q&gt;&lt;R&gt;1&lt;/R&gt;&lt;C&gt;1&lt;/C&gt;&lt;D xsi:type="xsd:double"&gt;0.0095387995&lt;/D&gt;&lt;/FQL&gt;&lt;FQL&gt;&lt;Q&gt;JPYUSD^FG_PRICE(44114)&lt;/Q&gt;&lt;R&gt;1&lt;/R&gt;&lt;C&gt;1&lt;/C&gt;&lt;D xsi:type="xsd:double"&gt;0.009464768&lt;/D&gt;&lt;/FQL&gt;&lt;FQL&gt;&lt;Q&gt;JPYUSD^FG_PRICE(44104)&lt;/Q&gt;&lt;R&gt;1&lt;/R&gt;&lt;C&gt;1&lt;/C&gt;&lt;D xsi:type="xsd:double"&gt;0.009475978&lt;/D&gt;&lt;/FQL&gt;&lt;FQL&gt;&lt;Q&gt;JPYUSD^FG_PRICE(44095)&lt;/Q&gt;&lt;R&gt;1&lt;/R&gt;&lt;C&gt;1&lt;/C&gt;&lt;D xsi:type="xsd:double"&gt;0.009563429&lt;/D&gt;&lt;/FQL&gt;&lt;FQL&gt;&lt;Q&gt;JPYUSD^FG_PRICE(44086)&lt;/Q&gt;&lt;R&gt;1&lt;/R&gt;&lt;C&gt;1&lt;/C&gt;&lt;D xsi:type="xsd:double"&gt;0.0094161965&lt;/D&gt;&lt;/FQL&gt;&lt;FQL&gt;&lt;Q&gt;JPYUSD^FG_PRICE(44078)&lt;/Q&gt;&lt;R&gt;1&lt;/R&gt;&lt;C&gt;1&lt;/C&gt;&lt;D xsi:type="xsd:double"&gt;0.009405126&lt;/D&gt;&lt;/FQL&gt;&lt;FQL&gt;&lt;Q&gt;JPYUSD^FG_PRICE(44070)&lt;/Q&gt;&lt;R&gt;1&lt;/R&gt;&lt;C&gt;1&lt;/C&gt;&lt;D xsi:type="xsd:double"&gt;0.009394523&lt;/D&gt;&lt;/FQL&gt;&lt;FQL&gt;&lt;Q&gt;JPYUSD^FG_PRICE(44062)&lt;/Q&gt;&lt;R&gt;1&lt;/R&gt;&lt;C&gt;1&lt;/C&gt;&lt;D xsi:type="xsd:double"&gt;0.009465215&lt;/D&gt;&lt;/FQL&gt;&lt;FQL&gt;&lt;Q&gt;JPYUSD^FG_PRICE(44054)&lt;/Q&gt;&lt;R&gt;1&lt;/R&gt;&lt;C&gt;1&lt;/C&gt;&lt;D xsi:type="xsd:double"&gt;0.009392759&lt;/D&gt;&lt;/FQL&gt;&lt;FQL&gt;&lt;Q&gt;JPYUSD^FG_PRICE(44046)&lt;/Q&gt;&lt;R&gt;1&lt;/R&gt;&lt;C&gt;1&lt;/C&gt;&lt;D xsi:type="xsd:double"&gt;0.009425514&lt;/D&gt;&lt;/FQL&gt;&lt;FQL&gt;&lt;Q&gt;JPYUSD^FG_PRICE(44038)&lt;/Q&gt;&lt;R&gt;1&lt;/R&gt;&lt;C&gt;1&lt;/C&gt;&lt;D xsi:type="xsd:double"&gt;0.0094468845&lt;/D&gt;&lt;/FQL&gt;&lt;FQL&gt;&lt;Q&gt;JPYUSD^FG_PRICE(44030)&lt;/Q&gt;&lt;R&gt;1&lt;/R&gt;&lt;C&gt;1&lt;/C&gt;&lt;D xsi:type="xsd:double"&gt;0.009333147&lt;/D&gt;&lt;/FQL&gt;&lt;FQL&gt;&lt;Q&gt;JPYUSD^FG_PRICE(44022)&lt;/Q&gt;&lt;R&gt;1&lt;/R&gt;&lt;C&gt;1&lt;/C&gt;&lt;D xsi:type="xsd:double"&gt;0.009367243&lt;/D&gt;&lt;/FQL&gt;&lt;FQL&gt;&lt;Q&gt;JPYUSD^FG_PRICE(44014)&lt;/Q&gt;&lt;R&gt;1&lt;/R&gt;&lt;C&gt;1&lt;/C&gt;&lt;D xsi:type="xsd:double"&gt;0.009291521&lt;/D&gt;&lt;/FQL&gt;&lt;FQL&gt;&lt;Q&gt;JPYUSD^FG_PRICE(44006)&lt;/Q&gt;&lt;R&gt;1&lt;/R&gt;&lt;C&gt;1&lt;/C&gt;&lt;D xsi:type="xsd:double"&gt;0.0093541&lt;/D&gt;&lt;/FQL&gt;&lt;FQL&gt;&lt;Q&gt;JPYUSD^FG_PRICE(43998)&lt;/Q&gt;&lt;R&gt;1&lt;/R&gt;&lt;C&gt;1&lt;/C&gt;&lt;D xsi:type="xsd:double"&gt;0.009314022&lt;/D&gt;&lt;/FQL&gt;&lt;FQL&gt;&lt;Q&gt;JPYUSD^FG_PRICE(43990)&lt;/Q&gt;&lt;R&gt;1&lt;/R&gt;&lt;C&gt;1&lt;/C&gt;&lt;D xsi:type="xsd:double"&gt;0.009209375&lt;/D&gt;&lt;/FQL&gt;&lt;FQL&gt;&lt;Q&gt;JPYUSD^FG_PRICE(43982)&lt;/Q&gt;&lt;R&gt;1&lt;/R&gt;&lt;C&gt;1&lt;/C&gt;&lt;D xsi:type="xsd:double"&gt;0.009282035&lt;/D&gt;&lt;/FQL&gt;&lt;FQL&gt;&lt;Q&gt;JPYUSD^FG_PRICE(43974)&lt;/Q&gt;&lt;R&gt;1&lt;/R&gt;&lt;C&gt;1&lt;/C&gt;&lt;D xsi:type="xsd:double"&gt;0.00930449&lt;/D&gt;&lt;/FQL&gt;&lt;FQL&gt;&lt;Q&gt;JPYUSD^FG_PRICE(43966)&lt;/Q&gt;&lt;R&gt;1&lt;/R&gt;&lt;C&gt;1&lt;/C&gt;&lt;D xsi:type="xsd:double"&gt;0.00931923&lt;/D&gt;&lt;/FQL&gt;&lt;FQL&gt;&lt;Q&gt;JPYUSD^FG_PRICE(43958)&lt;/Q&gt;&lt;R&gt;1&lt;/R&gt;&lt;C&gt;1&lt;/C&gt;&lt;D xsi:type="xsd:double"&gt;0.009383944&lt;/D&gt;&lt;/FQL&gt;&lt;FQL&gt;&lt;Q&gt;JPYUSD^FG_PRICE(43950)&lt;/Q&gt;&lt;R&gt;1&lt;/R&gt;&lt;C&gt;1&lt;/C&gt;&lt;D xsi:type="xsd:double"&gt;0.009381303&lt;/D&gt;&lt;/FQL&gt;&lt;FQL&gt;&lt;Q&gt;JPYUSD^FG_PRICE(43942)&lt;/Q&gt;&lt;R&gt;1&lt;/R&gt;&lt;C&gt;1&lt;/C&gt;&lt;D xsi:type="xsd:double"&gt;0.0092897955&lt;/D&gt;&lt;/FQL&gt;&lt;FQL&gt;&lt;Q&gt;JPYUSD^FG_PRICE(43934)&lt;/Q&gt;&lt;R&gt;1&lt;/R&gt;&lt;C&gt;1&lt;/C&gt;&lt;D xsi:type="xsd:double"&gt;0.009282035&lt;/D&gt;&lt;/FQL&gt;&lt;FQL&gt;&lt;Q&gt;JPYUSD^FG_PRICE(43926)&lt;/Q&gt;&lt;R&gt;1&lt;/R&gt;&lt;C&gt;1&lt;/C&gt;&lt;D xsi:type="xsd:double"&gt;0.009216165&lt;/D&gt;&lt;/FQL&gt;&lt;FQL&gt;&lt;Q&gt;JPYUSD^FG_PRICE(43918)&lt;/Q&gt;&lt;R&gt;1&lt;/R&gt;&lt;C&gt;1&lt;/C&gt;&lt;D xsi:type="xsd:double"&gt;0.009242998&lt;/D&gt;&lt;/FQL&gt;&lt;FQL&gt;&lt;Q&gt;JPYUSD^FG_PRICE(43910)&lt;/Q&gt;&lt;R&gt;1&lt;/R&gt;&lt;C&gt;1&lt;/C&gt;&lt;D xsi:type="xsd:double"&gt;0.008981498&lt;/D&gt;&lt;/FQL&gt;&lt;FQL&gt;&lt;Q&gt;JPYUSD^FG_PRICE(43902)&lt;/Q&gt;&lt;R&gt;1&lt;/R&gt;&lt;C&gt;1&lt;/C&gt;&lt;D xsi:type="xsd:double"&gt;0.009462528&lt;/D&gt;&lt;/FQL&gt;&lt;FQL&gt;&lt;Q&gt;JPYUSD^FG_PRICE(43894)&lt;/Q&gt;&lt;R&gt;1&lt;/R&gt;&lt;C&gt;1&lt;/C&gt;&lt;D xsi:type="xsd:double"&gt;0.009320533&lt;/D&gt;&lt;/FQL&gt;&lt;FQL&gt;&lt;Q&gt;JPYUSD^FG_PRICE(43886)&lt;/Q&gt;&lt;R&gt;1&lt;/R&gt;&lt;C&gt;1&lt;/C&gt;&lt;D xsi:type="xsd:double"&gt;0.0090797655&lt;/D&gt;&lt;/FQL&gt;&lt;FQL&gt;&lt;Q&gt;JPYUSD^FG_PRICE(43878)&lt;/Q&gt;&lt;R&gt;1&lt;/R&gt;&lt;C&gt;1&lt;/C&gt;&lt;D xsi:type="xsd:double"&gt;0.009094629&lt;/D&gt;&lt;/FQL&gt;&lt;FQL&gt;&lt;Q&gt;JPYUSD^FG_PRICE(43870)&lt;/Q&gt;&lt;R&gt;1&lt;/R&gt;&lt;C&gt;1&lt;/C&gt;&lt;D xsi:type="xsd:double"&gt;0.009109542&lt;/D&gt;&lt;/FQL&gt;&lt;FQL&gt;&lt;Q&gt;JPYUSD^FG_PRICE(43862)&lt;/Q&gt;&lt;R&gt;1&lt;/R&gt;&lt;C&gt;1&lt;/C&gt;&lt;D xsi:type="xsd:double"&gt;0.009226369&lt;/D&gt;&lt;/FQL&gt;&lt;FQL&gt;&lt;Q&gt;JPYUSD^FG_PRICE(43854)&lt;/Q&gt;&lt;R&gt;1&lt;/R&gt;&lt;C&gt;1&lt;/C&gt;&lt;D xsi:type="xsd:double"&gt;0.009137845&lt;/D&gt;&lt;/FQL&gt;&lt;FQL&gt;&lt;Q&gt;JPYUSD^FG_PRICE(43846)&lt;/Q&gt;&lt;R&gt;1&lt;/R&gt;&lt;C&gt;1&lt;/C&gt;&lt;D xsi:type="xsd:double"&gt;0.009080178&lt;/D&gt;&lt;/FQL&gt;&lt;FQL&gt;&lt;Q&gt;JPYUSD^FG_PRICE(43838)&lt;/Q&gt;&lt;R&gt;1&lt;/R&gt;&lt;C&gt;1&lt;/C&gt;&lt;D xsi:type="xsd:double"&gt;0.009205136&lt;/D&gt;&lt;/FQL&gt;&lt;FQL&gt;&lt;Q&gt;JPYUSD^FG_PRICE(43830)&lt;/Q&gt;&lt;R&gt;1&lt;/R&gt;&lt;C&gt;1&lt;/C&gt;&lt;D xsi:type="xsd:double"&gt;0.009201748&lt;/D&gt;&lt;/FQL&gt;&lt;FQL&gt;&lt;Q&gt;JPYUSD^FG_PRICE(43822)&lt;/Q&gt;&lt;R&gt;1&lt;/R&gt;&lt;C&gt;1&lt;/C&gt;&lt;D xsi:type="xsd:double"&gt;0.009142857&lt;/D&gt;&lt;/FQL&gt;&lt;FQL&gt;&lt;Q&gt;JPYUSD^FG_PRICE(43814)&lt;/Q&gt;&lt;R&gt;1&lt;/R&gt;&lt;C&gt;1&lt;/C&gt;&lt;D xsi:type="xsd:double"&gt;0.009151643&lt;/D&gt;&lt;/FQL&gt;&lt;FQL&gt;&lt;Q&gt;JPYUSD^FG_PRICE(43806)&lt;/Q&gt;&lt;R&gt;1&lt;/R&gt;&lt;C&gt;1&lt;/C&gt;&lt;D xsi:type="xsd:double"&gt;0.009203019&lt;/D&gt;&lt;/FQL&gt;&lt;FQL&gt;&lt;Q&gt;JPYUSD^FG_PRICE(43798)&lt;/Q&gt;&lt;R&gt;1&lt;/R&gt;&lt;C&gt;1&lt;/C&gt;&lt;D xsi:type="xsd:double"&gt;0.009131586&lt;/D&gt;&lt;/FQL&gt;&lt;FQL&gt;&lt;Q&gt;JPYUSD^FG_PRICE(43790)&lt;/Q&gt;&lt;R&gt;1&lt;/R&gt;&lt;C&gt;1&lt;/C&gt;&lt;D xsi:type="xsd:double"&gt;0.009214891&lt;/D&gt;&lt;/FQL&gt;&lt;FQL&gt;&lt;Q&gt;JPYUSD^FG_PRICE(43782)&lt;/Q&gt;&lt;R&gt;1&lt;/R&gt;&lt;C&gt;1&lt;/C&gt;&lt;D xsi:type="xsd:double"&gt;0.009196671&lt;/D&gt;&lt;/FQL&gt;&lt;FQL&gt;&lt;Q&gt;JPYUSD^FG_PRICE(43774)&lt;/Q&gt;&lt;R&gt;1&lt;/R&gt;&lt;C&gt;1&lt;/C&gt;&lt;D xsi:type="xsd:double"&gt;0.009161704&lt;/D&gt;&lt;/FQL&gt;&lt;FQL&gt;&lt;Q&gt;JPYUSD^FG_PRICE(43766)&lt;/Q&gt;&lt;R&gt;1&lt;/R&gt;&lt;C&gt;1&lt;/C&gt;&lt;D xsi:type="xsd:double"&gt;0.009173471&lt;/D&gt;&lt;/FQL&gt;&lt;FQL&gt;&lt;Q&gt;JPYUSD^FG_PRICE(43758)&lt;/Q&gt;&lt;R&gt;1&lt;/R&gt;&lt;C&gt;1&lt;/C&gt;&lt;D xsi:type="xsd:double"&gt;0.009215316&lt;/D&gt;&lt;/FQL&gt;&lt;FQL&gt;&lt;Q&gt;JPYUSD^FG_PRICE(43750)&lt;/Q&gt;&lt;R&gt;1&lt;/R&gt;&lt;C&gt;1&lt;/C&gt;&lt;D xsi:type="xsd:double"&gt;0.009209375&lt;/D&gt;&lt;/FQL&gt;&lt;FQL&gt;&lt;Q&gt;JPYUSD^FG_PRICE(43742)&lt;/Q&gt;&lt;R&gt;1&lt;/R&gt;&lt;C&gt;1&lt;/C&gt;&lt;D xsi:type="xsd:double"&gt;0.00935585&lt;/D&gt;&lt;/FQL&gt;&lt;FQL&gt;&lt;Q&gt;JPYUSD^FG_PRICE(43734)&lt;/Q&gt;&lt;R&gt;1&lt;/R&gt;&lt;C&gt;1&lt;/C&gt;&lt;D xsi:type="xsd:double"&gt;0.009287206&lt;/D&gt;&lt;/FQL&gt;&lt;FQL&gt;&lt;Q&gt;JPYUSD^FG_PRICE(43726)&lt;/Q&gt;&lt;R&gt;1&lt;/R&gt;&lt;C&gt;1&lt;/C&gt;&lt;D xsi:type="xsd:double"&gt;0.00924001&lt;/D&gt;&lt;/FQL&gt;&lt;FQL&gt;&lt;Q&gt;JPYUSD^FG_PRICE(43718)&lt;/Q&gt;&lt;R&gt;1&lt;/R&gt;&lt;C&gt;1&lt;/C&gt;&lt;D xsi:type="xsd:double"&gt;0.009320967&lt;/D&gt;&lt;/FQL&gt;&lt;FQL&gt;&lt;Q&gt;JPYUSD^FG_PRICE(43710)&lt;/Q&gt;&lt;R&gt;1&lt;/R&gt;&lt;C&gt;1&lt;/C&gt;&lt;D xsi:type="xsd:double"&gt;0.009410436&lt;/D&gt;&lt;/FQL&gt;&lt;FQL&gt;&lt;Q&gt;JPYUSD^FG_PRICE(43702)&lt;/Q&gt;&lt;R&gt;1&lt;/R&gt;&lt;C&gt;1&lt;/C&gt;&lt;D xsi:type="xsd:double"&gt;0.009437969&lt;/D&gt;&lt;/FQL&gt;&lt;FQL&gt;&lt;Q&gt;JPYUSD^FG_PRICE(43694)&lt;/Q&gt;&lt;R&gt;1&lt;/R&gt;&lt;C&gt;1&lt;/C&gt;&lt;D xsi:type="xsd:double"&gt;0.009399821&lt;/D&gt;&lt;/FQL&gt;&lt;FQL&gt;&lt;Q&gt;JPYUSD^FG_PRICE(43686)&lt;/Q&gt;&lt;R&gt;1&lt;/R&gt;&lt;C&gt;1&lt;/C&gt;&lt;D xsi:type="xsd:double"&gt;0.009464768&lt;/D&gt;&lt;/FQL&gt;&lt;FQL&gt;&lt;Q&gt;JPYUSD^FG_PRICE(43678)&lt;/Q&gt;&lt;R&gt;1&lt;/R&gt;&lt;C&gt;1&lt;/C&gt;&lt;D xsi:type="xsd:double"&gt;0.009243426&lt;/D&gt;&lt;/FQL&gt;&lt;FQL&gt;&lt;Q&gt;JPYUSD^FG_PRICE(43670)&lt;/Q&gt;&lt;R&gt;1&lt;/R&gt;&lt;C&gt;1&lt;/C&gt;&lt;D xsi:type="xsd:double"&gt;0.00925369&lt;/D&gt;&lt;/FQL&gt;&lt;FQL&gt;&lt;Q&gt;JPYUSD^FG_PRICE(43662)&lt;/Q&gt;&lt;R&gt;1&lt;/R&gt;&lt;C&gt;1&lt;/C&gt;&lt;D xsi:type="xsd:double"&gt;0.009236169&lt;/D&gt;&lt;/FQL&gt;&lt;FQL&gt;&lt;Q&gt;JPYUSD^FG_PRICE(43654)&lt;/Q&gt;&lt;R&gt;1&lt;/R&gt;&lt;C&gt;1&lt;/C&gt;&lt;D xsi:type="xsd:double"&gt;0.009201748&lt;/D&gt;&lt;/FQL&gt;&lt;FQL&gt;&lt;Q&gt;JPYUSD^FG_PRICE(43646)&lt;/Q&gt;&lt;R&gt;1&lt;/R&gt;&lt;C&gt;1&lt;/C&gt;&lt;D xsi:type="xsd:double"&gt;0.009281604&lt;/D&gt;&lt;/FQL&gt;&lt;FQL&gt;&lt;Q&gt;JPYUSD^FG_PRICE(43638)&lt;/Q&gt;&lt;R&gt;1&lt;/R&gt;&lt;C&gt;1&lt;/C&gt;&lt;D xsi:type="xsd:double"&gt;0.009285051&lt;/D&gt;&lt;/FQL&gt;&lt;FQL&gt;&lt;Q&gt;JPYUSD^FG_PRICE(43630)&lt;/Q&gt;&lt;R&gt;1&lt;/R&gt;&lt;C&gt;1&lt;/C&gt;&lt;D xsi:type="xsd:double"&gt;0.009222965&lt;/D&gt;&lt;/FQL&gt;&lt;FQL&gt;&lt;Q&gt;JPYUSD^FG_PRICE(43622)&lt;/Q&gt;&lt;R&gt;1&lt;/R&gt;&lt;C&gt;1&lt;/C&gt;&lt;D xsi:type="xsd:double"&gt;0.009243426&lt;/D&gt;&lt;/FQL&gt;&lt;FQL&gt;&lt;Q&gt;JPYUSD^FG_PRICE(43614)&lt;/Q&gt;&lt;R&gt;1&lt;/R&gt;&lt;C&gt;1&lt;/C&gt;&lt;D xsi:type="xsd:double"&gt;0.009143693&lt;/D&gt;&lt;/FQL&gt;&lt;FQL&gt;&lt;Q&gt;JPYUSD^FG_PRICE(43606)&lt;/Q&gt;&lt;R&gt;1&lt;/R&gt;&lt;C&gt;1&lt;/C&gt;&lt;D xsi:type="xsd:double"&gt;0.009042409&lt;/D&gt;&lt;/FQL&gt;&lt;FQL&gt;&lt;Q&gt;JPYUSD^FG_PRICE(43598)&lt;/Q&gt;&lt;R&gt;1&lt;/R&gt;&lt;C&gt;1&lt;/C&gt;&lt;D xsi:type="xsd:double"&gt;0.009163383&lt;/D&gt;&lt;/FQL&gt;&lt;FQL&gt;&lt;Q&gt;JPYUSD^FG_PRICE(43590)&lt;/Q&gt;&lt;R&gt;1&lt;/R&gt;&lt;C&gt;1&lt;/C&gt;&lt;D xsi:type="xsd:double"&gt;0.008989167&lt;/D&gt;&lt;/FQL&gt;&lt;FQL&gt;&lt;Q&gt;JPYUSD^FG_PRICE(43582)&lt;/Q&gt;&lt;R&gt;1&lt;/R&gt;&lt;C&gt;1&lt;/C&gt;&lt;D xsi:type="xsd:double"&gt;0.008964188&lt;/D&gt;&lt;/FQL&gt;&lt;FQL&gt;&lt;Q&gt;JPYUSD^FG_PRICE(43574)&lt;/Q&gt;&lt;R&gt;1&lt;/R&gt;&lt;C&gt;1&lt;/C&gt;&lt;D xsi:type="xsd:double"&gt;0.008937749&lt;/D&gt;&lt;/FQL&gt;&lt;FQL&gt;&lt;Q&gt;JPYUSD^FG_PRICE(43566)&lt;/Q&gt;&lt;R&gt;1&lt;/R&gt;&lt;C&gt;1&lt;/C&gt;&lt;D xsi:type="xsd:double"&gt;0.008970219&lt;/D&gt;&lt;/FQL&gt;&lt;FQL&gt;&lt;Q&gt;JPYUSD^FG_PRICE(43558)&lt;/Q&gt;&lt;R&gt;1&lt;/R&gt;&lt;C&gt;1&lt;/C&gt;&lt;D xsi:type="xsd:double"&gt;0.008969414&lt;/D&gt;&lt;/FQL&gt;&lt;FQL&gt;&lt;Q&gt;JPYUSD^FG_PRICE(43550)&lt;/Q&gt;&lt;R&gt;1&lt;/R&gt;&lt;C&gt;1&lt;/C&gt;&lt;D xsi:type="xsd:double"&gt;0.009050183&lt;/D&gt;&lt;/FQL&gt;&lt;FQL&gt;&lt;Q&gt;JPYUSD^FG_PRICE(43542)&lt;/Q&gt;&lt;R&gt;1&lt;/R&gt;&lt;C&gt;1&lt;/C&gt;&lt;D xsi:type="xsd:double"&gt;0.008975452&lt;/D&gt;&lt;/FQL&gt;&lt;FQL&gt;&lt;Q&gt;JPYUSD^FG_PRICE(43534)&lt;/Q&gt;&lt;R&gt;1&lt;/R&gt;&lt;C&gt;1&lt;/C&gt;&lt;D xsi:type="xsd:double"&gt;0.008998065&lt;/D&gt;&lt;/FQL&gt;&lt;FQL&gt;&lt;Q&gt;JPYUSD^FG_PRICE(43526)&lt;/Q&gt;&lt;R&gt;1&lt;/R&gt;&lt;C&gt;1&lt;/C&gt;&lt;D xsi:type="xsd:double"&gt;0.0089365505&lt;/D&gt;&lt;/FQL&gt;&lt;FQL&gt;&lt;Q&gt;JPYUSD^FG_PRICE(43518)&lt;/Q&gt;&lt;R&gt;1&lt;/R&gt;&lt;C&gt;1&lt;/C&gt;&lt;D xsi:type="xsd:double"&gt;0.009028938&lt;/D&gt;&lt;/FQL&gt;&lt;FQL&gt;&lt;Q&gt;JPYUSD^FG_PRICE(43510)&lt;/Q&gt;&lt;R&gt;1&lt;/R&gt;&lt;C&gt;1&lt;/C&gt;&lt;D xsi:type="xsd:double"&gt;0.0090322&lt;/D&gt;&lt;/FQL&gt;&lt;FQL&gt;&lt;Q&gt;JPYUSD^FG_PRICE(43502)&lt;/Q&gt;&lt;R&gt;1&lt;/R&gt;&lt;C&gt;1&lt;/C&gt;&lt;D xsi:type="xsd:double"&gt;0.00910581&lt;/D&gt;&lt;/FQL&gt;&lt;FQL&gt;&lt;Q&gt;JPYUSD^FG_PRICE(43494)&lt;/Q&gt;&lt;R&gt;1&lt;/R&gt;&lt;C&gt;1&lt;/C&gt;&lt;D xsi:type="xsd:double"&gt;0.0091466205&lt;/D&gt;&lt;/FQL&gt;&lt;FQL&gt;&lt;Q&gt;JPYUSD^FG_PRICE(43486)&lt;/Q&gt;&lt;R&gt;1&lt;/R&gt;&lt;C&gt;1&lt;/C&gt;&lt;D xsi:type="xsd:double"&gt;0.009122423&lt;/D&gt;&lt;/FQL&gt;&lt;FQL&gt;&lt;Q&gt;JPYUSD^FG_PRICE(43478)&lt;/Q&gt;&lt;R&gt;1&lt;/R&gt;&lt;C&gt;1&lt;/C&gt;&lt;D xsi:type="xsd:double"&gt;0.009224241&lt;/D&gt;&lt;/FQL&gt;&lt;FQL&gt;&lt;Q&gt;JPYUSD^FG_PRICE(43470)&lt;/Q&gt;&lt;R&gt;1&lt;/R&gt;&lt;C&gt;1&lt;/C&gt;&lt;D xsi:type="xsd:double"&gt;0.009248127&lt;/D&gt;&lt;/FQL&gt;&lt;FQL&gt;&lt;Q&gt;JPYUSD^FG_PRICE(43581)&lt;/Q&gt;&lt;R&gt;1&lt;/R&gt;&lt;C&gt;1&lt;/C&gt;&lt;D xsi:type="xsd:double"&gt;0.008964188&lt;/D&gt;&lt;/FQL&gt;&lt;FQL&gt;&lt;Q&gt;JPYUSD^FG_PRICE(43541)&lt;/Q&gt;&lt;R&gt;1&lt;/R&gt;&lt;C&gt;1&lt;/C&gt;&lt;D xsi:type="xsd:double"&gt;0.008962582&lt;/D&gt;&lt;/FQL&gt;&lt;FQL&gt;&lt;Q&gt;JPYUSD^FG_PRICE(43493)&lt;/Q&gt;&lt;R&gt;1&lt;/R&gt;&lt;C&gt;1&lt;/C&gt;&lt;D xsi:type="xsd:double"&gt;0.009151224&lt;/D&gt;&lt;/FQL&gt;&lt;FQL&gt;&lt;Q&gt;JPYUSD^FG_PRICE(45492)&lt;/Q&gt;&lt;R&gt;1&lt;/R&gt;&lt;C&gt;1&lt;/C&gt;&lt;D xsi:type="xsd:double"&gt;0.007451287&lt;/D&gt;&lt;/FQL&gt;&lt;FQL&gt;&lt;Q&gt;JPYUSD^FG_PRICE(44660)&lt;/Q&gt;&lt;R&gt;1&lt;/R&gt;&lt;C&gt;1&lt;/C&gt;&lt;D xsi:type="xsd:double"&gt;0.008038262&lt;/D&gt;&lt;/FQL&gt;&lt;FQL&gt;&lt;Q&gt;JPYUSD^FG_PRICE(44462)&lt;/Q&gt;&lt;R&gt;1&lt;/R&gt;&lt;C&gt;1&lt;/C&gt;&lt;D xsi:type="xsd:double"&gt;0.0090797655&lt;/D&gt;&lt;/FQL&gt;&lt;FQL&gt;&lt;Q&gt;JPYUSD^FG_PRICE(44352)&lt;/Q&gt;&lt;R&gt;1&lt;/R&gt;&lt;C&gt;1&lt;/C&gt;&lt;D xsi:type="xsd:double"&gt;0.009131169&lt;/D&gt;&lt;/FQL&gt;&lt;FQL&gt;&lt;Q&gt;JPYUSD^FG_PRICE(44206)&lt;/Q&gt;&lt;R&gt;1&lt;/R&gt;&lt;C&gt;1&lt;/C&gt;&lt;D xsi:type="xsd:double"&gt;0.009634376&lt;/D&gt;&lt;/FQL&gt;&lt;FQL&gt;&lt;Q&gt;JPYUSD^FG_PRICE(45595)&lt;/Q&gt;&lt;R&gt;1&lt;/R&gt;&lt;C&gt;1&lt;/C&gt;&lt;D xsi:type="xsd:double"&gt;0.007451287&lt;/D&gt;&lt;/FQL&gt;&lt;FQL&gt;&lt;Q&gt;JPYUSD^FG_PRICE(45508)&lt;/Q&gt;&lt;R&gt;1&lt;/R&gt;&lt;C&gt;1&lt;/C&gt;&lt;D xsi:type="xsd:double"&gt;0.007451287&lt;/D&gt;&lt;/FQL&gt;&lt;FQL&gt;&lt;Q&gt;JPYUSD^FG_PRICE(45423)&lt;/Q&gt;&lt;R&gt;1&lt;/R&gt;&lt;C&gt;1&lt;/C&gt;&lt;D xsi:type="xsd:double"&gt;0.007451287&lt;/D&gt;&lt;/FQL&gt;&lt;FQL&gt;&lt;Q&gt;JPYUSD^FG_PRICE(45339)&lt;/Q&gt;&lt;R&gt;1&lt;/R&gt;&lt;C&gt;1&lt;/C&gt;&lt;D xsi:type="xsd:double"&gt;0.007451287&lt;/D&gt;&lt;/FQL&gt;&lt;FQL&gt;&lt;Q&gt;JPYUSD^FG_PRICE(45252)&lt;/Q&gt;&lt;R&gt;1&lt;/R&gt;&lt;C&gt;1&lt;/C&gt;&lt;D xsi:type="xsd:double"&gt;0.007451287&lt;/D&gt;&lt;/FQL&gt;&lt;FQL&gt;&lt;Q&gt;JPYUSD^FG_PRICE(45167)&lt;/Q&gt;&lt;R&gt;1&lt;/R&gt;&lt;C&gt;1&lt;/C&gt;&lt;D xsi:type="xsd:double"&gt;0.007451287&lt;/D&gt;&lt;/FQL&gt;&lt;FQL&gt;&lt;Q&gt;JPYUSD^FG_PRICE(45083)&lt;/Q&gt;&lt;R&gt;1&lt;/R&gt;&lt;C&gt;1&lt;/C&gt;&lt;D xsi:type="xsd:double"&gt;0.007451287&lt;/D&gt;&lt;/FQL&gt;&lt;FQL&gt;&lt;Q&gt;JPYUSD^FG_PRICE(44996)&lt;/Q&gt;&lt;R&gt;1&lt;/R&gt;&lt;C&gt;1&lt;/C&gt;&lt;D xsi:type="xsd:double"&gt;0.007451287&lt;/D&gt;&lt;/FQL&gt;&lt;FQL&gt;&lt;Q&gt;JPYUSD^FG_PRICE(44919)&lt;/Q&gt;&lt;R&gt;1&lt;/R&gt;&lt;C&gt;1&lt;/C&gt;&lt;D xsi:type="xsd:double"&gt;0.007527286&lt;/D&gt;&lt;/FQL&gt;&lt;FQL&gt;&lt;Q&gt;JPYUSD^FG_PRICE(44868)&lt;/Q&gt;&lt;R&gt;1&lt;/R&gt;&lt;C&gt;1&lt;/C&gt;&lt;D xsi:type="xsd:double"&gt;0.0067480938&lt;/D&gt;&lt;/FQL&gt;&lt;FQL&gt;&lt;Q&gt;JPYUSD^FG_PRICE(44816)&lt;/Q&gt;&lt;R&gt;1&lt;/R&gt;&lt;C&gt;1&lt;/C&gt;&lt;D xsi:type="xsd:double"&gt;0.007023705&lt;/D&gt;&lt;/FQL&gt;&lt;FQL&gt;&lt;Q&gt;JPYUSD^FG_PRICE(44765)&lt;/Q&gt;&lt;R&gt;1&lt;/R&gt;&lt;C&gt;1&lt;/C&gt;&lt;D xsi:type="xsd:double"&gt;0.007350509&lt;/D&gt;&lt;/FQL&gt;&lt;FQL&gt;&lt;Q&gt;JPYUSD^FG_PRICE(44715)&lt;/Q&gt;&lt;R&gt;1&lt;/R&gt;&lt;C&gt;1&lt;/C&gt;&lt;D xsi:type="xsd:double"&gt;0.0076496457&lt;/D&gt;&lt;/FQL&gt;&lt;FQL&gt;&lt;Q&gt;JPYUSD^FG_PRICE(44668)&lt;/Q&gt;&lt;R&gt;1&lt;/R&gt;&lt;C&gt;1&lt;/C&gt;&lt;D xsi:type="xsd:double"&gt;0.007942497&lt;/D&gt;&lt;/FQL&gt;&lt;FQL&gt;&lt;Q&gt;JPYUSD^FG_PRICE(44630)&lt;/Q&gt;&lt;R&gt;1&lt;/R&gt;&lt;C&gt;1&lt;/C&gt;&lt;D xsi:type="xsd:double"&gt;0.008623292&lt;/D&gt;&lt;/FQL&gt;&lt;FQL&gt;&lt;Q&gt;JPYUSD^FG_PRICE(44598)&lt;/Q&gt;&lt;R&gt;1&lt;/R&gt;&lt;C&gt;1&lt;/C&gt;&lt;D xsi:type="xsd:double"&gt;0.008675661&lt;/D&gt;&lt;/FQL&gt;&lt;FQL&gt;&lt;Q&gt;JPYUSD^FG_PRICE(44566)&lt;/Q&gt;&lt;R&gt;1&lt;/R&gt;&lt;C&gt;1&lt;/C&gt;&lt;D xsi:type="xsd:double"&gt;0.008636325&lt;/D&gt;&lt;/FQL&gt;&lt;FQL&gt;&lt;Q&gt;JPYUSD^FG_PRICE(44534)&lt;/Q&gt;&lt;R&gt;1&lt;/R&gt;&lt;C&gt;1&lt;/C&gt;&lt;D xsi:type="xsd:double"&gt;0.008831972&lt;/D&gt;&lt;/FQL&gt;&lt;FQL&gt;&lt;Q&gt;JPYUSD^FG_PRICE(44504)&lt;/Q&gt;&lt;R&gt;1&lt;/R&gt;&lt;C&gt;1&lt;/C&gt;&lt;D xsi:type="xsd:double"&gt;0.008800105&lt;/D&gt;&lt;/FQL&gt;&lt;FQL&gt;&lt;Q&gt;JPYUSD^FG_PRICE(44486)&lt;/Q&gt;&lt;R&gt;1&lt;/R&gt;&lt;C&gt;1&lt;/C&gt;&lt;D xsi:type="xsd:double"&gt;0.008766931&lt;/D&gt;&lt;/FQL&gt;&lt;FQL&gt;&lt;Q&gt;JPYUSD^FG_PRICE(44463)&lt;/Q&gt;&lt;R&gt;1&lt;/R&gt;&lt;C&gt;1&lt;/C&gt;&lt;D xsi:type="xsd:double"&gt;0.009033016&lt;/D&gt;&lt;/FQL&gt;&lt;FQL&gt;&lt;Q&gt;JPYUSD^FG_PRICE(44440)&lt;/Q&gt;&lt;R&gt;1&lt;/R&gt;&lt;C&gt;1&lt;/C&gt;&lt;D xsi:type="xsd:double"&gt;0.009090496&lt;/D&gt;&lt;/FQL&gt;&lt;FQL&gt;&lt;Q&gt;JPYUSD^FG_PRICE(44422)&lt;/Q&gt;&lt;R&gt;1&lt;/R&gt;&lt;C&gt;1&lt;/C&gt;&lt;D xsi:type="xsd:double"&gt;0.00910208&lt;/D&gt;&lt;/FQL&gt;&lt;FQL&gt;&lt;Q&gt;JPYUSD^FG_PRICE(44399)&lt;/Q&gt;&lt;R&gt;1&lt;/R&gt;&lt;C&gt;1&lt;/C&gt;&lt;D xsi:type="xsd:double"&gt;0.0090797655&lt;/D&gt;&lt;/FQL&gt;&lt;FQL&gt;&lt;Q&gt;JPYUSD^FG_PRICE(44376)&lt;/Q&gt;&lt;R&gt;1&lt;/R&gt;&lt;C&gt;1&lt;/C&gt;&lt;D xsi:type="xsd:double"&gt;0.009049364&lt;/D&gt;&lt;/FQL&gt;&lt;FQL&gt;&lt;Q&gt;JPYUSD^FG_PRICE(44358)&lt;/Q&gt;&lt;R&gt;1&lt;/R&gt;&lt;C&gt;1&lt;/C&gt;&lt;D xsi:type="xsd:double"&gt;0.0091103725&lt;/D&gt;&lt;/FQL&gt;&lt;FQL&gt;&lt;Q&gt;JPYUSD^FG_PRICE(44335)&lt;/Q&gt;&lt;R&gt;1&lt;/R&gt;&lt;C&gt;1&lt;/C&gt;&lt;D xsi:type="xsd:double"&gt;0.009208527&lt;/D&gt;&lt;/FQL&gt;&lt;FQL&gt;&lt;Q&gt;JPYUSD^FG_PRICE(44312)&lt;/Q&gt;&lt;R&gt;1&lt;/R&gt;&lt;C&gt;1&lt;/C&gt;&lt;D xsi:type="xsd:double"&gt;0.009251977&lt;/D&gt;&lt;/FQL&gt;&lt;FQL&gt;&lt;Q&gt;JPYUSD^FG_PRICE(44294)&lt;/Q&gt;&lt;R&gt;1&lt;/R&gt;&lt;C&gt;1&lt;/C&gt;&lt;D xsi:type="xsd:double"&gt;0.009151643&lt;/D&gt;&lt;/FQL&gt;&lt;FQL&gt;&lt;Q&gt;JPYUSD^FG_PRICE(44271)&lt;/Q&gt;&lt;R&gt;1&lt;/R&gt;&lt;C&gt;1&lt;/C&gt;&lt;D xsi:type="xsd:double"&gt;0.00917263&lt;/D&gt;&lt;/FQL&gt;&lt;FQL&gt;&lt;Q&gt;JPYUSD^FG_PRICE(44248)&lt;/Q&gt;&lt;R&gt;1&lt;/R&gt;&lt;C&gt;1&lt;/C&gt;&lt;D xsi:type="xsd:double"&gt;0.009467008&lt;/D&gt;&lt;/FQL&gt;&lt;FQL&gt;&lt;Q&gt;JPYUSD^FG_PRICE(44230)&lt;/Q&gt;&lt;R&gt;1&lt;/R&gt;&lt;C&gt;1&lt;/C&gt;&lt;D xsi:type="xsd:double"&gt;0.009517012&lt;/D&gt;&lt;/FQL&gt;&lt;FQL&gt;&lt;Q&gt;JPYUSD^FG_PRICE(44207)&lt;/Q&gt;&lt;R&gt;1&lt;/R&gt;&lt;C&gt;1&lt;/C&gt;&lt;D xsi:type="xsd:double"&gt;0.009588188&lt;/D&gt;&lt;/FQL&gt;&lt;FQL&gt;&lt;Q&gt;JPYUSD^FG_PRICE(44184)&lt;/Q&gt;&lt;R&gt;1&lt;/R&gt;&lt;C&gt;1&lt;/C&gt;&lt;D xsi:type="xsd:double"&gt;0.009671648&lt;/D&gt;&lt;/FQL&gt;&lt;FQL&gt;&lt;Q&gt;JPYUSD^FG_PRICE(44166)&lt;/Q&gt;&lt;R&gt;1&lt;/R&gt;&lt;C&gt;1&lt;/C&gt;&lt;D xsi:type="xsd:double"&gt;0.009570751&lt;/D&gt;&lt;/FQL&gt;&lt;FQL&gt;&lt;Q&gt;JPYUSD^FG_PRICE(44143)&lt;/Q&gt;&lt;R&gt;1&lt;/R&gt;&lt;C&gt;1&lt;/C&gt;&lt;D xsi:type="xsd:double"&gt;0.009680074&lt;/D&gt;&lt;/FQL&gt;&lt;FQL&gt;&lt;Q&gt;JPYUSD^FG_PRICE(44127)&lt;/Q&gt;&lt;R&gt;1&lt;/R&gt;&lt;C&gt;1&lt;/C&gt;&lt;D xsi:type="xsd:double"&gt;0.0095387995&lt;/D&gt;&lt;/FQL&gt;&lt;FQL&gt;&lt;Q&gt;JPYUSD^FG_PRICE(44112)&lt;/Q&gt;&lt;R&gt;1&lt;/R&gt;&lt;C&gt;1&lt;/C&gt;&lt;D xsi:type="xsd:double"&gt;0.0094317375&lt;/D&gt;&lt;/FQL&gt;&lt;FQL&gt;&lt;Q&gt;JPYUSD^FG_PRICE(44103)&lt;/Q&gt;&lt;R&gt;1&lt;/R&gt;&lt;C&gt;1&lt;/C&gt;&lt;D xsi:type="xsd:double"&gt;0.009461633&lt;/D&gt;&lt;/FQL&gt;&lt;FQL&gt;&lt;Q&gt;JPYUSD^FG_PRICE(44094)&lt;/Q&gt;&lt;R&gt;1&lt;/R&gt;&lt;C&gt;1&lt;/C&gt;&lt;D xsi:type="xsd:double"&gt;0.009585431&lt;/D&gt;&lt;/FQL&gt;&lt;FQL&gt;&lt;Q&gt;JPYUSD^FG_PRICE(44085)&lt;/Q&gt;&lt;R&gt;1&lt;/R&gt;&lt;C&gt;1&lt;/C&gt;&lt;D xsi:type="xsd:double"&gt;0.0094161965&lt;/D&gt;&lt;/FQL&gt;&lt;FQL&gt;&lt;Q&gt;JPYUSD^FG_PRICE(44077)&lt;/Q&gt;&lt;R&gt;1&lt;/R&gt;&lt;C&gt;1&lt;/C&gt;&lt;D xsi:type="xsd:double"&gt;0.009413093&lt;/D&gt;&lt;/FQL&gt;&lt;FQL&gt;&lt;Q&gt;JPYUSD^FG_PRICE(44069)&lt;/Q&gt;&lt;R&gt;1&lt;/R&gt;&lt;C&gt;1&lt;/C&gt;&lt;D xsi:type="xsd:double"&gt;0.009421076&lt;/D&gt;&lt;/FQL&gt;&lt;FQL&gt;&lt;Q&gt;JPYUSD^FG_PRICE(44061)&lt;/Q&gt;&lt;R&gt;1&lt;/R&gt;&lt;C&gt;1&lt;/C&gt;&lt;D xsi:type="xsd:double"&gt;0.009483168&lt;/D&gt;&lt;/FQL&gt;&lt;FQL&gt;&lt;Q&gt;JPYUSD^FG_PRICE(44053)&lt;/Q&gt;&lt;R&gt;1&lt;/R&gt;&lt;C&gt;1&lt;/C&gt;&lt;D xsi:type="xsd:double"&gt;0.00945403&lt;/D&gt;&lt;/FQL&gt;&lt;FQL&gt;&lt;Q&gt;JPYUSD^FG_PRICE(44045)&lt;/Q&gt;&lt;R&gt;1&lt;/R&gt;&lt;C&gt;1&lt;/C&gt;&lt;D xsi:type="xsd:double"&gt;0.009458053&lt;/D&gt;&lt;/FQL&gt;&lt;FQL&gt;&lt;Q&gt;JPYUSD^FG_PRICE(44037)&lt;/Q&gt;&lt;R&gt;1&lt;/R&gt;&lt;C&gt;1&lt;/C&gt;&lt;D xsi:type="xsd:double"&gt;0.0094468845&lt;/D&gt;&lt;/FQL&gt;&lt;FQL&gt;&lt;Q&gt;JPYUSD^FG_PRICE(44029)&lt;/Q&gt;&lt;R&gt;1&lt;/R&gt;&lt;C&gt;1&lt;/C&gt;&lt;D xsi:type="xsd:double"&gt;0.009333147&lt;/D&gt;&lt;/FQL&gt;&lt;FQL&gt;&lt;Q&gt;JPYUSD^FG_PRICE(44021)&lt;/Q&gt;&lt;R&gt;1&lt;/R&gt;&lt;C&gt;1&lt;/C&gt;&lt;D xsi:type="xsd:double"&gt;0.009320967&lt;/D&gt;&lt;/FQL&gt;&lt;FQL&gt;&lt;Q&gt;JPYUSD^FG_PRICE(44013)&lt;/Q&gt;&lt;R&gt;1&lt;/R&gt;&lt;C&gt;1&lt;/C&gt;&lt;D xsi:type="xsd:double"&gt;0.009300163&lt;/D&gt;&lt;/FQL&gt;&lt;FQL&gt;&lt;Q&gt;JPYUSD^FG_PRICE(44005)&lt;/Q&gt;&lt;R&gt;1&lt;/R&gt;&lt;C&gt;1&lt;/C&gt;&lt;D xsi:type="xsd:double"&gt;0.009413093&lt;/D&gt;&lt;/FQL&gt;&lt;FQL&gt;&lt;Q&gt;JPYUSD^FG_PRICE(43997)&lt;/Q&gt;&lt;R&gt;1&lt;/R&gt;&lt;C&gt;1&lt;/C&gt;&lt;D xsi:type="xsd:double"&gt;0.009310554&lt;/D&gt;&lt;/FQL&gt;&lt;FQL&gt;&lt;Q&gt;JPYUSD^FG_PRICE(43989)&lt;/Q&gt;&lt;R&gt;1&lt;/R&gt;&lt;C&gt;1&lt;/C&gt;&lt;D xsi:type="xsd:double"&gt;0.009112032&lt;/D&gt;&lt;/FQL&gt;&lt;FQL&gt;&lt;Q&gt;JPYUSD^FG_PRICE(43981)&lt;/Q&gt;&lt;R&gt;1&lt;/R&gt;&lt;C&gt;1&lt;/C&gt;&lt;D xsi:type="xsd:double"&gt;0.009282035&lt;/D&gt;&lt;/FQL&gt;&lt;FQL&gt;&lt;Q&gt;JPYUSD^FG_PRICE(43973)&lt;/Q&gt;&lt;R&gt;1&lt;/R&gt;&lt;C&gt;1&lt;/C&gt;&lt;D xsi:type="xsd:double"&gt;0.00930449&lt;/D&gt;&lt;/FQL&gt;&lt;FQL&gt;&lt;Q&gt;JPYUSD^FG_PRICE(43965)&lt;/Q&gt;&lt;R&gt;1&lt;/R&gt;&lt;C&gt;1&lt;/C&gt;&lt;D xsi:type="xsd:double"&gt;0.009341866&lt;/D&gt;&lt;/FQL&gt;&lt;FQL&gt;&lt;Q&gt;JPYUSD^FG_PRICE(43957)&lt;/Q&gt;&lt;R&gt;1&lt;/R&gt;&lt;C&gt;1&lt;/C&gt;&lt;D xsi:type="xsd:double"&gt;0.009429514&lt;/D&gt;&lt;/FQL&gt;&lt;FQL&gt;&lt;Q&gt;JPYUSD^FG_PRICE(43949)&lt;/Q&gt;&lt;R&gt;1&lt;/R&gt;&lt;C&gt;1&lt;/C&gt;&lt;D xsi:type="xsd:double"&gt;0.009350164&lt;/D&gt;&lt;/FQL&gt;&lt;FQL&gt;&lt;Q&gt;JPYUSD^FG_PRICE(43941)&lt;/Q&gt;&lt;R&gt;1&lt;/R&gt;&lt;C&gt;1&lt;/C&gt;&lt;D xsi:type="xsd:double"&gt;0.009290658&lt;/D&gt;&lt;/FQL&gt;&lt;FQL&gt;&lt;Q&gt;JPYUSD^FG_PRICE(43933)&lt;/Q&gt;&lt;R&gt;1&lt;/R&gt;&lt;C&gt;1&lt;/C&gt;&lt;D xsi:type="xsd:double"&gt;0.009216166&lt;/D&gt;&lt;/FQL&gt;&lt;FQL&gt;&lt;Q&gt;JPYUSD^FG_PRICE(43925)&lt;/Q&gt;&lt;R&gt;1&lt;/R&gt;&lt;C&gt;1&lt;/C&gt;&lt;D xsi:type="xsd:double"&gt;0.009216165&lt;/D&gt;&lt;/FQL&gt;&lt;FQL&gt;&lt;Q&gt;JPYUSD^FG_PRICE(43917)&lt;/Q&gt;&lt;R&gt;1&lt;/R&gt;&lt;C&gt;1&lt;/C&gt;&lt;D xsi:type="xsd:double"&gt;0.009242998&lt;/D&gt;&lt;/FQL&gt;&lt;FQL&gt;&lt;Q&gt;JPYUSD^FG_PRICE(43909)&lt;/Q&gt;&lt;R&gt;1&lt;/R&gt;&lt;C&gt;1&lt;/C&gt;&lt;D xsi:type="xsd:double"&gt;0.009085953&lt;/D&gt;&lt;/FQL&gt;&lt;FQL&gt;&lt;Q&gt;JPYUSD^FG_PRICE(43901)&lt;/Q&gt;&lt;R&gt;1&lt;/R&gt;&lt;C&gt;1&lt;/C&gt;&lt;D xsi:type="xsd:double"&gt;0.009537889&lt;/D&gt;&lt;/FQL&gt;&lt;FQL&gt;&lt;Q&gt;JPYUSD^FG_PRICE(43893)&lt;/Q&gt;&lt;R&gt;1&lt;/R&gt;&lt;C&gt;1&lt;/C&gt;&lt;D xsi:type="xsd:double"&gt;0.009297568&lt;/D&gt;&lt;/FQL&gt;&lt;FQL&gt;&lt;Q&gt;JPYUSD^FG_PRICE(43885)&lt;/Q&gt;&lt;R&gt;1&lt;/R&gt;&lt;C&gt;1&lt;/C&gt;&lt;D xsi:type="xsd:double"&gt;0.00903628&lt;/D&gt;&lt;/FQL&gt;&lt;FQL&gt;&lt;Q&gt;JPYUSD^FG_PRICE(43877)&lt;/Q&gt;&lt;R&gt;1&lt;/R&gt;&lt;C&gt;1&lt;/C&gt;&lt;D xsi:type="xsd:double"&gt;0.009110787&lt;/D&gt;&lt;/FQL&gt;&lt;FQL&gt;&lt;Q&gt;JPYUSD^FG_PRICE(43869)&lt;/Q&gt;&lt;R&gt;1&lt;/R&gt;&lt;C&gt;1&lt;/C&gt;&lt;D xsi:type="xsd:double"&gt;0.009109542&lt;/D&gt;&lt;/FQL&gt;&lt;FQL&gt;&lt;Q&gt;JPYUSD^FG_PRICE(43861)&lt;/Q&gt;&lt;R&gt;1&lt;/R&gt;&lt;C&gt;1&lt;/C&gt;&lt;D xsi:type="xsd:double"&gt;0.009226369&lt;/D&gt;&lt;/FQL&gt;&lt;FQL&gt;&lt;Q&gt;JPYUSD^FG_PRICE(43853)&lt;/Q&gt;&lt;R&gt;1&lt;/R&gt;&lt;C&gt;1&lt;/C&gt;&lt;D xsi:type="xsd:double"&gt;0.009143275&lt;/D&gt;&lt;/FQL&gt;&lt;FQL&gt;&lt;Q&gt;JPYUSD^FG_PRICE(43845)&lt;/Q&gt;&lt;R&gt;1&lt;/R&gt;&lt;C&gt;1&lt;/C&gt;&lt;D xsi:type="xsd:double"&gt;0.009091322&lt;/D&gt;&lt;/FQL&gt;&lt;FQL&gt;&lt;Q&gt;JPYUSD^FG_PRICE(43837)&lt;/Q&gt;&lt;R&gt;1&lt;/R&gt;&lt;C&gt;1&lt;/C&gt;&lt;D xsi:type="xsd:double"&gt;0.009206408&lt;/D&gt;&lt;/FQL&gt;&lt;FQL&gt;&lt;Q&gt;JPYUSD^FG_PRICE(43829)&lt;/Q&gt;&lt;R&gt;1&lt;/R&gt;&lt;C&gt;1&lt;/C&gt;&lt;D xsi:type="xsd:double"&gt;0.009175574&lt;/D&gt;&lt;/FQL&gt;&lt;FQL&gt;&lt;Q&gt;JPYUSD^FG_PRICE(43821)&lt;/Q&gt;&lt;R&gt;1&lt;/R&gt;&lt;C&gt;1&lt;/C&gt;&lt;D xsi:type="xsd:double"&gt;0.009136175&lt;/D&gt;&lt;/FQL&gt;&lt;FQL&gt;&lt;Q&gt;JPYUSD^FG_PRICE(43813)&lt;/Q&gt;&lt;R&gt;1&lt;/R&gt;&lt;C&gt;1&lt;/C&gt;&lt;D xsi:type="xsd:double"&gt;0.009151643&lt;/D&gt;&lt;/FQL&gt;&lt;FQL&gt;&lt;Q&gt;JPYUSD^FG_PRICE(43805)&lt;/Q&gt;&lt;R&gt;1&lt;/R&gt;&lt;C&gt;1&lt;/C&gt;&lt;D xsi:type="xsd:double"&gt;0.009203019&lt;/D&gt;&lt;/FQL&gt;&lt;FQL&gt;&lt;Q&gt;JPYUSD^FG_PRICE(43797)&lt;/Q&gt;&lt;R&gt;1&lt;/R&gt;&lt;C&gt;1&lt;/C&gt;&lt;D xsi:type="xsd:double"&gt;0.009129086&lt;/D&gt;&lt;/FQL&gt;&lt;FQL&gt;&lt;Q&gt;JPYUSD^FG_PRICE(43789)&lt;/Q&gt;&lt;R&gt;1&lt;/R&gt;&lt;C&gt;1&lt;/C&gt;&lt;D xsi:type="xsd:double"&gt;0.009204713&lt;/D&gt;&lt;/FQL&gt;&lt;FQL&gt;&lt;Q&gt;JPYUSD^FG_PRICE(43781)&lt;/Q&gt;&lt;R&gt;1&lt;/R&gt;&lt;C&gt;1&lt;/C&gt;&lt;D xsi:type="xsd:double"&gt;0.009161704&lt;/D&gt;&lt;/FQL&gt;&lt;FQL&gt;&lt;Q&gt;JPYUSD^FG_PRICE(43773)&lt;/Q&gt;&lt;R&gt;1&lt;/R&gt;&lt;C&gt;1&lt;/C&gt;&lt;D xsi:type="xsd:double"&gt;0.009215316&lt;/D&gt;&lt;/FQL&gt;&lt;FQL&gt;&lt;Q&gt;JPYUSD^FG_PRICE(43765)&lt;/Q&gt;&lt;R&gt;1&lt;/R&gt;&lt;C&gt;1&lt;/C&gt;&lt;D xsi:type="xsd:double"&gt;0.009210223&lt;/D&gt;&lt;/FQL&gt;&lt;FQL&gt;&lt;Q&gt;JPYUSD^FG_PRICE(43757)&lt;/Q&gt;&lt;R&gt;1&lt;/R&gt;&lt;C&gt;1&lt;/C&gt;&lt;D xsi:type="xsd:double"&gt;0.009215316&lt;/D&gt;&lt;/FQL&gt;&lt;FQL&gt;&lt;Q&gt;JPYUSD^FG_PRICE(43749)&lt;/Q&gt;&lt;R&gt;1&lt;/R&gt;&lt;C&gt;1&lt;/C&gt;&lt;D xsi:type="xsd:double"&gt;0.009209375&lt;/D&gt;&lt;/FQL&gt;&lt;FQL&gt;&lt;Q&gt;JPYUSD^FG_PRICE(43741)&lt;/Q&gt;&lt;R&gt;1&lt;/R&gt;&lt;C&gt;1&lt;/C&gt;&lt;D xsi:type="xsd:double"&gt;0.00937295&lt;/D&gt;&lt;/FQL&gt;&lt;FQL&gt;&lt;Q&gt;JPYUSD^FG_PRICE(43733)&lt;/Q&gt;&lt;R&gt;1&lt;/R&gt;&lt;C&gt;1&lt;/C&gt;&lt;D xsi:type="xsd:double"&gt;0.0092833275&lt;/D&gt;&lt;/FQL&gt;&lt;FQL&gt;&lt;Q&gt;JPYUSD^FG_PRICE(43725)&lt;/Q&gt;&lt;R&gt;1&lt;/R&gt;&lt;C&gt;1&lt;/C&gt;&lt;D xsi:type="xsd:double"&gt;0.009241717&lt;/D&gt;&lt;/FQL&gt;&lt;FQL&gt;&lt;Q&gt;JPYUSD^FG_PRICE(43717)&lt;/Q&gt;&lt;R&gt;1&lt;/R&gt;&lt;C&gt;1&lt;/C&gt;&lt;D xsi:type="xsd:double"&gt;0.00933184&lt;/D&gt;&lt;/FQL&gt;&lt;FQL&gt;&lt;Q&gt;JPYUSD^FG_PRICE(43709)&lt;/Q&gt;&lt;R&gt;1&lt;/R&gt;&lt;C&gt;1&lt;/C&gt;&lt;D xsi:type="xsd:double"&gt;0.009421076&lt;/D&gt;&lt;/FQL&gt;&lt;FQL&gt;&lt;Q&gt;JPYUSD^FG_PRICE(43701)&lt;/Q&gt;&lt;R&gt;1&lt;/R&gt;&lt;C&gt;1&lt;/C&gt;&lt;D xsi:type="xsd:double"&gt;0.009437969&lt;/D&gt;&lt;/FQL&gt;&lt;FQL&gt;&lt;Q&gt;JPYUSD^FG_PRICE(43693)&lt;/Q&gt;&lt;R&gt;1&lt;/R&gt;&lt;C&gt;1&lt;/C&gt;&lt;D xsi:type="xsd:double"&gt;0.009399821&lt;/D&gt;&lt;/FQL&gt;&lt;FQL&gt;&lt;Q&gt;JPYUSD^FG_PRICE(43685)&lt;/Q&gt;&lt;R&gt;1&lt;/R&gt;&lt;C&gt;1&lt;/C&gt;&lt;D xsi:type="xsd:double"&gt;0.009414867&lt;/D&gt;&lt;/FQL&gt;&lt;FQL&gt;&lt;Q&gt;JPYUSD^FG_PRICE(43677)&lt;/Q&gt;&lt;R&gt;1&lt;/R&gt;&lt;C&gt;1&lt;/C&gt;&lt;D xsi:type="xsd:double"&gt;0.009210223&lt;/D&gt;&lt;/FQL&gt;&lt;FQL&gt;&lt;Q&gt;JPYUSD^FG_PRICE(43669)&lt;/Q&gt;&lt;R&gt;1&lt;/R&gt;&lt;C&gt;1&lt;/C&gt;&lt;D xsi:type="xsd:double"&gt;0.009248982&lt;/D&gt;&lt;/FQL&gt;&lt;FQL&gt;&lt;Q&gt;JPYUSD^FG_PRICE(43661)&lt;/Q&gt;&lt;R&gt;1&lt;/R&gt;&lt;C&gt;1&lt;/C&gt;&lt;D xsi:type="xsd:double"&gt;0.009261403&lt;/D&gt;&lt;/FQL&gt;&lt;FQL&gt;&lt;Q&gt;JPYUSD^FG_PRICE(43653)&lt;/Q&gt;&lt;R&gt;1&lt;/R&gt;&lt;C&gt;1&lt;/C&gt;&lt;D xsi:type="xsd:double"&gt;0.0092195645&lt;/D&gt;&lt;/FQL&gt;&lt;FQL&gt;&lt;Q&gt;JPYUSD^FG_PRICE(43645)&lt;/Q&gt;&lt;R&gt;1&lt;/R&gt;&lt;C&gt;1&lt;/C&gt;&lt;D xsi:type="xsd:double"&gt;0.009281604&lt;/D&gt;&lt;/FQL&gt;&lt;FQL&gt;&lt;Q&gt;JPYUSD^FG_PRICE(43637)&lt;/Q&gt;&lt;R&gt;1&lt;/R&gt;&lt;C&gt;1&lt;/C&gt;&lt;D xsi:type="xsd:double"&gt;0.009285051&lt;/D&gt;&lt;/FQL&gt;&lt;FQL&gt;&lt;Q&gt;JPYUSD^FG_PRICE(43629)&lt;/Q&gt;&lt;R&gt;1&lt;/R&gt;&lt;C&gt;1&lt;/C&gt;&lt;D xsi:type="xsd:double"&gt;0.0092157405&lt;/D&gt;&lt;/FQL&gt;&lt;FQL&gt;&lt;Q&gt;JPYUSD^FG_PRICE(43621)&lt;/Q&gt;&lt;R&gt;1&lt;/R&gt;&lt;C&gt;1&lt;/C&gt;&lt;D xsi:type="xsd:double"&gt;0.009258831&lt;/D&gt;&lt;/FQL&gt;&lt;FQL&gt;&lt;Q&gt;JPYUSD^FG_PRICE(43613)&lt;/Q&gt;&lt;R&gt;1&lt;/R&gt;&lt;C&gt;1&lt;/C&gt;&lt;D xsi:type="xsd:double"&gt;0.009130335&lt;/D&gt;&lt;/FQL&gt;&lt;FQL&gt;&lt;Q&gt;JPYUSD^FG_PRICE(43605)&lt;/Q&gt;&lt;R&gt;1&lt;/R&gt;&lt;C&gt;1&lt;/C&gt;&lt;D xsi:type="xsd:double"&gt;0.009093389&lt;/D&gt;&lt;/FQL&gt;&lt;FQL&gt;&lt;Q&gt;JPYUSD^FG_PRICE(43597)&lt;/Q&gt;&lt;R&gt;1&lt;/R&gt;&lt;C&gt;1&lt;/C&gt;&lt;D xsi:type="xsd:double"&gt;0.009123671&lt;/D&gt;&lt;/FQL&gt;&lt;FQL&gt;&lt;Q&gt;JPYUSD^FG_PRICE(43573)&lt;/Q&gt;&lt;R&gt;1&lt;/R&gt;&lt;C&gt;1&lt;/C&gt;&lt;D xsi:type="xsd:double"&gt;0.008937748&lt;/D&gt;&lt;/FQL&gt;&lt;FQL&gt;&lt;Q&gt;JPYUSD^FG_PRICE(43517)&lt;/Q&gt;&lt;R&gt;1&lt;/R&gt;&lt;C&gt;1&lt;/C&gt;&lt;D xsi:type="xsd:double"&gt;0.009036689&lt;/D&gt;&lt;/FQL&gt;&lt;FQL&gt;&lt;Q&gt;JPYUSD^FG_PRICE(45236)&lt;/Q&gt;&lt;R&gt;1&lt;/R&gt;&lt;C&gt;1&lt;/C&gt;&lt;D xsi:type="xsd:double"&gt;0.007451287&lt;/D&gt;&lt;/FQL&gt;&lt;FQL&gt;&lt;Q&gt;JPYUSD^FG_PRICE(45067)&lt;/Q&gt;&lt;R&gt;1&lt;/R&gt;&lt;C&gt;1&lt;/C&gt;&lt;D xsi:type="xsd:double"&gt;0.007451287&lt;/D&gt;&lt;/FQL&gt;&lt;FQL&gt;&lt;Q&gt;JPYUSD^FG_PRICE(44980)&lt;/Q&gt;&lt;R&gt;1&lt;/R&gt;&lt;C&gt;1&lt;/C&gt;&lt;D xsi:type="xsd:double"&gt;0.007451287&lt;/D&gt;&lt;/FQL&gt;&lt;FQL&gt;&lt;Q&gt;JPYUSD^FG_PRICE(44909)&lt;/Q&gt;&lt;R&gt;1&lt;/R&gt;&lt;C&gt;1&lt;/C&gt;&lt;D xsi:type="xsd:double"&gt;0.007416197&lt;/D&gt;&lt;/FQL&gt;&lt;FQL&gt;&lt;Q&gt;JPYUSD^FG_PRICE(44859)&lt;/Q&gt;&lt;R&gt;1&lt;/R&gt;&lt;C&gt;1&lt;/C&gt;&lt;D xsi:type="xsd:double"&gt;0.0067652133&lt;/D&gt;&lt;/FQL&gt;&lt;FQL&gt;&lt;Q&gt;JPYUSD^FG_PRICE(44592)&lt;/Q&gt;&lt;R&gt;1&lt;/R&gt;&lt;C&gt;1&lt;/C&gt;&lt;D xsi:type="xsd:double"&gt;0.008678672&lt;/D&gt;&lt;/FQL&gt;&lt;FQL&gt;&lt;Q&gt;JPYUSD^FG_PRICE(44439)&lt;/Q&gt;&lt;R&gt;1&lt;/R&gt;&lt;C&gt;1&lt;/C&gt;&lt;D xsi:type="xsd:double"&gt;0.009102494&lt;/D&gt;&lt;/FQL&gt;&lt;FQL&gt;&lt;Q&gt;JPYUSD^FG_PRICE(44311)&lt;/Q&gt;&lt;R&gt;1&lt;/R&gt;&lt;C&gt;1&lt;/C&gt;&lt;D xsi:type="xsd:double"&gt;0.009251977&lt;/D&gt;&lt;/FQL&gt;&lt;FQL&gt;&lt;Q&gt;JPYUSD^FG_PRICE(44183)&lt;/Q&gt;&lt;R&gt;1&lt;/R&gt;&lt;C&gt;1&lt;/C&gt;&lt;D xsi:type="xsd:double"&gt;0.009671648&lt;/D&gt;&lt;/FQL&gt;&lt;FQL&gt;&lt;Q&gt;JPYUSD^FG_PRICE(45572)&lt;/Q&gt;&lt;R&gt;1&lt;/R&gt;&lt;C&gt;1&lt;/C&gt;&lt;D xsi:type="xsd:double"&gt;0.007451287&lt;/D&gt;&lt;/FQL&gt;&lt;FQL&gt;&lt;Q&gt;JPYUSD^FG_PRICE(44907)&lt;/Q&gt;&lt;R&gt;1&lt;/R&gt;&lt;C&gt;1&lt;/C&gt;&lt;D xsi:type="xsd:double"&gt;0.007277226&lt;/D&gt;&lt;/FQL&gt;&lt;FQL&gt;&lt;Q&gt;JPYUSD^FG_PRICE(44558)&lt;/Q&gt;&lt;R&gt;1&lt;/R&gt;&lt;C&gt;1&lt;/C&gt;&lt;D xsi:type="xsd:double"&gt;0.008713458&lt;/D&gt;&lt;/FQL&gt;&lt;FQL&gt;&lt;Q&gt;JPYUSD^FG_PRICE(44374)&lt;/Q&gt;&lt;R&gt;1&lt;/R&gt;&lt;C&gt;1&lt;/C&gt;&lt;D xsi:type="xsd:double"&gt;0.009027308&lt;/D&gt;&lt;/FQL&gt;&lt;FQL&gt;&lt;Q&gt;JPYUSD^FG_PRICE(44200)&lt;/Q&gt;&lt;R&gt;1&lt;/R&gt;&lt;C&gt;1&lt;/C&gt;&lt;D xsi:type="xsd:double"&gt;0.00969697&lt;/D&gt;&lt;/FQL&gt;&lt;FQL&gt;&lt;Q&gt;JPYUSD^FG_PRICE(44110)&lt;/Q&gt;&lt;R&gt;1&lt;/R&gt;&lt;C&gt;1&lt;/C&gt;&lt;D xsi:type="xsd:double"&gt;0.009468352&lt;/D&gt;&lt;/FQL&gt;&lt;FQL&gt;&lt;Q&gt;JPYUSD^FG_PRICE(44075)&lt;/Q&gt;&lt;R&gt;1&lt;/R&gt;&lt;C&gt;1&lt;/C&gt;&lt;D xsi:type="xsd:double"&gt;0.009434407&lt;/D&gt;&lt;/FQL&gt;&lt;FQL&gt;&lt;Q&gt;JPYUSD^FG_PRICE(44043)&lt;/Q&gt;&lt;R&gt;1&lt;/R&gt;&lt;C&gt;1&lt;/C&gt;&lt;D xsi:type="xsd:double"&gt;0.009458053&lt;/D&gt;&lt;/FQL&gt;&lt;FQL&gt;&lt;Q&gt;JPYUSD^FG_PRICE(44011)&lt;/Q&gt;&lt;R&gt;1&lt;/R&gt;&lt;C&gt;1&lt;/C&gt;&lt;D xsi:type="xsd:double"&gt;0.009283759&lt;/D&gt;&lt;/FQL&gt;&lt;FQL&gt;&lt;Q&gt;JPYUSD^FG_PRICE(43979)&lt;/Q&gt;&lt;R&gt;1&lt;/R&gt;&lt;C&gt;1&lt;/C&gt;&lt;D xsi:type="xsd:double"&gt;0.009291521&lt;/D&gt;&lt;/FQL&gt;&lt;FQL&gt;&lt;Q&gt;JPYUSD^FG_PRICE(43947)&lt;/Q&gt;&lt;R&gt;1&lt;/R&gt;&lt;C&gt;1&lt;/C&gt;&lt;D xsi:type="xsd:double"&gt;0.0093079535&lt;/D&gt;&lt;/FQL&gt;&lt;FQL&gt;&lt;Q&gt;JPYUSD^FG_PRICE(43915)&lt;/Q&gt;&lt;R&gt;1&lt;/R&gt;&lt;C&gt;1&lt;/C&gt;&lt;D xsi:type="xsd:double"&gt;0.008973842&lt;/D&gt;&lt;/FQL&gt;&lt;FQL&gt;&lt;Q&gt;JPYUSD^FG_PRICE(43883)&lt;/Q&gt;&lt;R&gt;1&lt;/R&gt;&lt;C&gt;1&lt;/C&gt;&lt;D xsi:type="xsd:double"&gt;0.008952151&lt;/D&gt;&lt;/FQL&gt;&lt;FQL&gt;&lt;Q&gt;JPYUSD^FG_PRICE(43851)&lt;/Q&gt;&lt;R&gt;1&lt;/R&gt;&lt;C&gt;1&lt;/C&gt;&lt;D xsi:type="xsd:double"&gt;0.009098353&lt;/D&gt;&lt;/FQL&gt;&lt;FQL&gt;&lt;Q&gt;JPYUSD^FG_PRICE(43819)&lt;/Q&gt;&lt;R&gt;1&lt;/R&gt;&lt;C&gt;1&lt;/C&gt;&lt;D xsi:type="xsd:double"&gt;0.009136175&lt;/D&gt;&lt;/FQL&gt;&lt;FQL&gt;&lt;Q&gt;JPYUSD^FG_PRICE(43787)&lt;/Q&gt;&lt;R&gt;1&lt;/R&gt;&lt;C&gt;1&lt;/C&gt;&lt;D xsi:type="xsd:double"&gt;0.00921192&lt;/D&gt;&lt;/FQL&gt;&lt;FQL&gt;&lt;Q&gt;JPYUSD^FG_PRICE(43755)&lt;/Q&gt;&lt;R&gt;1&lt;/R&gt;&lt;C&gt;1&lt;/C&gt;&lt;D xsi:type="xsd:double"&gt;0.009203865&lt;/D&gt;&lt;/FQL&gt;&lt;FQL&gt;&lt;Q&gt;JPYUSD^FG_PRICE(43723)&lt;/Q&gt;&lt;R&gt;1&lt;/R&gt;&lt;C&gt;1&lt;/C&gt;&lt;D xsi:type="xsd:double"&gt;0.00925369&lt;/D&gt;&lt;/FQL&gt;&lt;FQL&gt;&lt;Q&gt;JPYUSD^FG_PRICE(43691)&lt;/Q&gt;&lt;R&gt;1&lt;/R&gt;&lt;C&gt;1&lt;/C&gt;&lt;D xsi:type="xsd:double"&gt;0.009451349&lt;/D&gt;&lt;/FQL&gt;&lt;FQL&gt;&lt;Q&gt;JPYUSD^FG_PRICE(43659)&lt;/Q&gt;&lt;R&gt;1&lt;/R&gt;&lt;C&gt;1&lt;/C&gt;&lt;D xsi:type="xsd:double"&gt;0.009257973&lt;/D&gt;&lt;/FQL&gt;&lt;FQL&gt;&lt;Q&gt;JPYUSD^FG_PRICE(43627)&lt;/Q&gt;&lt;R&gt;1&lt;/R&gt;&lt;C&gt;1&lt;/C&gt;&lt;D xsi:type="xsd:double"&gt;0.009210223&lt;/D&gt;&lt;/FQL&gt;&lt;FQL&gt;&lt;Q&gt;JPYUSD^FG_PRICE(43595)&lt;/Q&gt;&lt;R&gt;1&lt;/R&gt;&lt;C&gt;1&lt;/C&gt;&lt;D xsi:type="xsd:double"&gt;0.009123671&lt;/D&gt;&lt;/FQL&gt;&lt;FQL&gt;&lt;Q&gt;JPYUSD^FG_PRICE(43563)&lt;/Q&gt;&lt;R&gt;1&lt;/R&gt;&lt;C&gt;1&lt;/C&gt;&lt;D xsi:type="xsd:double"&gt;0.008974646&lt;/D&gt;&lt;/FQL&gt;&lt;FQL&gt;&lt;Q&gt;JPYUSD^FG_PRICE(43531)&lt;/Q&gt;&lt;R&gt;1&lt;/R&gt;&lt;C&gt;1&lt;/C&gt;&lt;D xsi:type="xsd:double"&gt;0.008965795&lt;/D&gt;&lt;/FQL&gt;&lt;FQL&gt;&lt;Q&gt;JPYUSD^FG_PRICE(43499)&lt;/Q&gt;&lt;R&gt;1&lt;/R&gt;&lt;C&gt;1&lt;/C&gt;&lt;D xsi:type="xsd:double"&gt;0.009142857&lt;/D&gt;&lt;/FQL&gt;&lt;FQL&gt;&lt;Q&gt;JPYUSD^FG_PRICE(43467)&lt;/Q&gt;&lt;R&gt;1&lt;/R&gt;&lt;C&gt;1&lt;/C&gt;&lt;D xsi:type="xsd:double"&gt;0.0091495495&lt;/D&gt;&lt;/FQL&gt;&lt;FQL&gt;&lt;Q&gt;JPYUSD^FG_PRICE(43620)&lt;/Q&gt;&lt;R&gt;1&lt;/R&gt;&lt;C&gt;1&lt;/C&gt;&lt;D xsi:type="xsd:double"&gt;0.009232331&lt;/D&gt;&lt;/FQL&gt;&lt;FQL&gt;&lt;Q&gt;JPYUSD^FG_PRICE(43556)&lt;/Q&gt;&lt;R&gt;1&lt;/R&gt;&lt;C&gt;1&lt;/C&gt;&lt;D xsi:type="xsd:double"&gt;0.008992806&lt;/D&gt;&lt;/FQL&gt;&lt;FQL&gt;&lt;Q&gt;JPYUSD^FG_PRICE(43492)&lt;/Q&gt;&lt;R&gt;1&lt;/R&gt;&lt;C&gt;1&lt;/C&gt;&lt;D xsi:type="xsd:double"&gt;0.009117848&lt;/D&gt;&lt;/FQL&gt;&lt;FQL&gt;&lt;Q&gt;JPYUSD^FG_PRICE(43523)&lt;/Q&gt;&lt;R&gt;1&lt;/R&gt;&lt;C&gt;1&lt;/C&gt;&lt;D xsi:type="xsd:double"&gt;0.009017539&lt;/D&gt;&lt;/FQL&gt;&lt;FQL&gt;&lt;Q&gt;JPYUSD^FG_PRICE(43796)&lt;/Q&gt;&lt;R&gt;1&lt;/R&gt;&lt;C&gt;1&lt;/C&gt;&lt;D xsi:type="xsd:double"&gt;0.00914244&lt;/D&gt;&lt;/FQL&gt;&lt;FQL&gt;&lt;Q&gt;JPYUSD^FG_PRICE(43636)&lt;/Q&gt;&lt;R&gt;1&lt;/R&gt;&lt;C&gt;1&lt;/C&gt;&lt;D xsi:type="xsd:double"&gt;0.009298866&lt;/D&gt;&lt;/FQL&gt;&lt;FQL&gt;&lt;Q&gt;JPYUSD^FG_PRICE(45060)&lt;/Q&gt;&lt;R&gt;1&lt;/R&gt;&lt;C&gt;1&lt;/C&gt;&lt;D xsi:type="xsd:double"&gt;0.007451287&lt;/D&gt;&lt;/FQL&gt;&lt;FQL&gt;&lt;Q&gt;JPYUSD^FG_PRICE(43987)&lt;/Q&gt;&lt;R&gt;1&lt;/R&gt;&lt;C&gt;1&lt;/C&gt;&lt;D xsi:type="xsd:double"&gt;0.009112032&lt;/D&gt;&lt;/FQL&gt;&lt;FQL&gt;&lt;Q&gt;JPYUSD^FG_PRICE(43763)&lt;/Q&gt;&lt;R&gt;1&lt;/R&gt;&lt;C&gt;1&lt;/C&gt;&lt;D xsi:type="xsd:double"&gt;0.009210223&lt;/D&gt;&lt;/FQL&gt;&lt;FQL&gt;&lt;Q&gt;JPYUSD^FG_PRICE(43571)&lt;/Q&gt;&lt;R&gt;1&lt;/R&gt;&lt;C&gt;1&lt;/C&gt;&lt;D xsi:type="xsd:double"&gt;0.008934155&lt;/D&gt;&lt;/FQL&gt;&lt;FQL&gt;&lt;Q&gt;JPYUSD^FG_PRICE(44590)&lt;/Q&gt;&lt;R&gt;1&lt;/R&gt;&lt;C&gt;1&lt;/C&gt;&lt;D xsi:type="xsd:double"&gt;0.008682063&lt;/D&gt;&lt;/FQL&gt;&lt;FQL&gt;&lt;Q&gt;JPYUSD^FG_PRICE(44012)&lt;/Q&gt;&lt;R&gt;1&lt;/R&gt;&lt;C&gt;1&lt;/C&gt;&lt;D xsi:type="xsd:double"&gt;0.009269129&lt;/D&gt;&lt;/FQL&gt;&lt;FQL&gt;&lt;Q&gt;JPYUSD^FG_PRICE(43820)&lt;/Q&gt;&lt;R&gt;1&lt;/R&gt;&lt;C&gt;1&lt;/C&gt;&lt;D xsi:type="xsd:double"&gt;0.009136175&lt;/D&gt;&lt;/FQL&gt;&lt;FQL&gt;&lt;Q&gt;JPYUSD^FG_PRICE(43628)&lt;/Q&gt;&lt;R&gt;1&lt;/R&gt;&lt;C&gt;1&lt;/C&gt;&lt;D xsi:type="xsd:double"&gt;0.0092195645&lt;/D&gt;&lt;/FQL&gt;&lt;FQL&gt;&lt;Q&gt;JPYUSD^FG_PRICE(43468)&lt;/Q&gt;&lt;R&gt;1&lt;/R&gt;&lt;C&gt;1&lt;/C&gt;&lt;D xsi:type="xsd:double"&gt;0.009296704&lt;/D&gt;&lt;/FQL&gt;&lt;FQL&gt;&lt;Q&gt;JPYUSD^FG_PRICE(45487)&lt;/Q&gt;&lt;R&gt;1&lt;/R&gt;&lt;C&gt;1&lt;/C&gt;&lt;D xsi:type="xsd:double"&gt;0.007451287&lt;/D&gt;&lt;/FQL&gt;&lt;FQL&gt;&lt;Q&gt;JPYUSD^FG_PRICE(44855)&lt;/Q&gt;&lt;R&gt;1&lt;/R&gt;&lt;C&gt;1&lt;/C&gt;&lt;D xsi:type="xsd:double"&gt;0.006667111&lt;/D&gt;&lt;/FQL&gt;&lt;FQL&gt;&lt;Q&gt;JPYUSD^FG_PRICE(44526)&lt;/Q&gt;&lt;R&gt;1&lt;/R&gt;&lt;C&gt;1&lt;/C&gt;&lt;D xsi:type="xsd:double"&gt;0.008837826&lt;/D&gt;&lt;/FQL&gt;&lt;FQL&gt;&lt;Q&gt;JPYUSD^FG_PRICE(44351)&lt;/Q&gt;&lt;R&gt;1&lt;/R&gt;&lt;C&gt;1&lt;/C&gt;&lt;D xsi:type="xsd:double"&gt;0.009131169&lt;/D&gt;&lt;/FQL&gt;&lt;FQL&gt;&lt;Q&gt;JPYUSD^FG_PRICE(44182)&lt;/Q&gt;&lt;R&gt;1&lt;/R&gt;&lt;C&gt;1&lt;/C&gt;&lt;D xsi:type="xsd:double"&gt;0.009705439&lt;/D&gt;&lt;/FQL&gt;&lt;FQL&gt;&lt;Q&gt;JPYUSD^FG_PRICE(44102)&lt;/Q&gt;&lt;R&gt;1&lt;/R&gt;&lt;C&gt;1&lt;/C&gt;&lt;D xsi:type="xsd:double"&gt;0.009467456&lt;/D&gt;&lt;/FQL&gt;&lt;FQL&gt;&lt;Q&gt;JPYUSD^FG_PRICE(44068)&lt;/Q&gt;&lt;R&gt;1&lt;/R&gt;&lt;C&gt;1&lt;/C&gt;&lt;D xsi:type="xsd:double"&gt;0.0093852645&lt;/D&gt;&lt;/FQL&gt;&lt;FQL&gt;&lt;Q&gt;JPYUSD^FG_PRICE(44036)&lt;/Q&gt;&lt;R&gt;1&lt;/R&gt;&lt;C&gt;1&lt;/C&gt;&lt;D xsi:type="xsd:double"&gt;0.0094468845&lt;/D&gt;&lt;/FQL&gt;&lt;FQL&gt;&lt;Q&gt;JPYUSD^FG_PRICE(44004)&lt;/Q&gt;&lt;R&gt;1&lt;/R&gt;&lt;C&gt;1&lt;/C&gt;&lt;D xsi:type="xsd:double"&gt;0.009354975&lt;/D&gt;&lt;/FQL&gt;&lt;FQL&gt;&lt;Q&gt;JPYUSD^FG_PRICE(43972)&lt;/Q&gt;&lt;R&gt;1&lt;/R&gt;&lt;C&gt;1&lt;/C&gt;&lt;D xsi:type="xsd:double"&gt;0.009274717&lt;/D&gt;&lt;/FQL&gt;&lt;FQL&gt;&lt;Q&gt;JPYUSD^FG_PRICE(43940)&lt;/Q&gt;&lt;R&gt;1&lt;/R&gt;&lt;C&gt;1&lt;/C&gt;&lt;D xsi:type="xsd:double"&gt;0.009300163&lt;/D&gt;&lt;/FQL&gt;&lt;FQL&gt;&lt;Q&gt;JPYUSD^FG_PRICE(43908)&lt;/Q&gt;&lt;R&gt;1&lt;/R&gt;&lt;C&gt;1&lt;/C&gt;&lt;D xsi:t</t>
        </r>
      </text>
    </comment>
    <comment ref="A7" authorId="0" shapeId="0" xr:uid="{08994D24-53CF-4BA4-83AA-52C3DEAB46EF}">
      <text>
        <r>
          <rPr>
            <b/>
            <sz val="9"/>
            <color indexed="81"/>
            <rFont val="Tahoma"/>
            <family val="2"/>
          </rPr>
          <t>ype="xsd:double"&gt;0.009217864&lt;/D&gt;&lt;/FQL&gt;&lt;FQL&gt;&lt;Q&gt;JPYUSD^FG_PRICE(43876)&lt;/Q&gt;&lt;R&gt;1&lt;/R&gt;&lt;C&gt;1&lt;/C&gt;&lt;D xsi:type="xsd:double"&gt;0.009110787&lt;/D&gt;&lt;/FQL&gt;&lt;FQL&gt;&lt;Q&gt;JPYUSD^FG_PRICE(43844)&lt;/Q&gt;&lt;R&gt;1&lt;/R&gt;&lt;C&gt;1&lt;/C&gt;&lt;D xsi:type="xsd:double"&gt;0.0090876045&lt;/D&gt;&lt;/FQL&gt;&lt;FQL&gt;&lt;Q&gt;JPYUSD^FG_PRICE(43812)&lt;/Q&gt;&lt;R&gt;1&lt;/R&gt;&lt;C&gt;1&lt;/C&gt;&lt;D xsi:type="xsd:double"&gt;0.009151643&lt;/D&gt;&lt;/FQL&gt;&lt;FQL&gt;&lt;Q&gt;JPYUSD^FG_PRICE(43780)&lt;/Q&gt;&lt;R&gt;1&lt;/R&gt;&lt;C&gt;1&lt;/C&gt;&lt;D xsi:type="xsd:double"&gt;0.009165483&lt;/D&gt;&lt;/FQL&gt;&lt;FQL&gt;&lt;Q&gt;JPYUSD^FG_PRICE(43748)&lt;/Q&gt;&lt;R&gt;1&lt;/R&gt;&lt;C&gt;1&lt;/C&gt;&lt;D xsi:type="xsd:double"&gt;0.009263548&lt;/D&gt;&lt;/FQL&gt;&lt;FQL&gt;&lt;Q&gt;JPYUSD^FG_PRICE(43716)&lt;/Q&gt;&lt;R&gt;1&lt;/R&gt;&lt;C&gt;1&lt;/C&gt;&lt;D xsi:type="xsd:double"&gt;0.009365488&lt;/D&gt;&lt;/FQL&gt;&lt;FQL&gt;&lt;Q&gt;JPYUSD^FG_PRICE(43684)&lt;/Q&gt;&lt;R&gt;1&lt;/R&gt;&lt;C&gt;1&lt;/C&gt;&lt;D xsi:type="xsd:double"&gt;0.009454477&lt;/D&gt;&lt;/FQL&gt;&lt;FQL&gt;&lt;Q&gt;JPYUSD^FG_PRICE(43652)&lt;/Q&gt;&lt;R&gt;1&lt;/R&gt;&lt;C&gt;1&lt;/C&gt;&lt;D xsi:type="xsd:double"&gt;0.0092195645&lt;/D&gt;&lt;/FQL&gt;&lt;FQL&gt;&lt;Q&gt;JPYUSD^FG_PRICE(43588)&lt;/Q&gt;&lt;R&gt;1&lt;/R&gt;&lt;C&gt;1&lt;/C&gt;&lt;D xsi:type="xsd:double"&gt;0.008989167&lt;/D&gt;&lt;/FQL&gt;&lt;FQL&gt;&lt;Q&gt;JPYUSD^FG_PRICE(43524)&lt;/Q&gt;&lt;R&gt;1&lt;/R&gt;&lt;C&gt;1&lt;/C&gt;&lt;D xsi:type="xsd:double"&gt;0.008983112&lt;/D&gt;&lt;/FQL&gt;&lt;FQL&gt;&lt;Q&gt;JPYUSD^FG_PRICE(43860)&lt;/Q&gt;&lt;R&gt;1&lt;/R&gt;&lt;C&gt;1&lt;/C&gt;&lt;D xsi:type="xsd:double"&gt;0.009201748&lt;/D&gt;&lt;/FQL&gt;&lt;FQL&gt;&lt;Q&gt;JPYUSD^FG_PRICE(43604)&lt;/Q&gt;&lt;R&gt;1&lt;/R&gt;&lt;C&gt;1&lt;/C&gt;&lt;D xsi:type="xsd:double"&gt;0.009092975&lt;/D&gt;&lt;/FQL&gt;&lt;FQL&gt;&lt;Q&gt;JPYUSD^FG_PRICE(44246)&lt;/Q&gt;&lt;R&gt;1&lt;/R&gt;&lt;C&gt;1&lt;/C&gt;&lt;D xsi:type="xsd:double"&gt;0.009467008&lt;/D&gt;&lt;/FQL&gt;&lt;FQL&gt;&lt;Q&gt;JPYUSD^FG_PRICE(43923)&lt;/Q&gt;&lt;R&gt;1&lt;/R&gt;&lt;C&gt;1&lt;/C&gt;&lt;D xsi:type="xsd:double"&gt;0.009261403&lt;/D&gt;&lt;/FQL&gt;&lt;FQL&gt;&lt;Q&gt;JPYUSD^FG_PRICE(43699)&lt;/Q&gt;&lt;R&gt;1&lt;/R&gt;&lt;C&gt;1&lt;/C&gt;&lt;D xsi:type="xsd:double"&gt;0.009392759&lt;/D&gt;&lt;/FQL&gt;&lt;FQL&gt;&lt;Q&gt;JPYUSD^FG_PRICE(43507)&lt;/Q&gt;&lt;R&gt;1&lt;/R&gt;&lt;C&gt;1&lt;/C&gt;&lt;D xsi:type="xsd:double"&gt;0.009057971&lt;/D&gt;&lt;/FQL&gt;&lt;FQL&gt;&lt;Q&gt;JPYUSD^FG_PRICE(44111)&lt;/Q&gt;&lt;R&gt;1&lt;/R&gt;&lt;C&gt;1&lt;/C&gt;&lt;D xsi:type="xsd:double"&gt;0.0094317375&lt;/D&gt;&lt;/FQL&gt;&lt;FQL&gt;&lt;Q&gt;JPYUSD^FG_PRICE(43916)&lt;/Q&gt;&lt;R&gt;1&lt;/R&gt;&lt;C&gt;1&lt;/C&gt;&lt;D xsi:type="xsd:double"&gt;0.009134506&lt;/D&gt;&lt;/FQL&gt;&lt;FQL&gt;&lt;Q&gt;JPYUSD^FG_PRICE(43724)&lt;/Q&gt;&lt;R&gt;1&lt;/R&gt;&lt;C&gt;1&lt;/C&gt;&lt;D xsi:type="xsd:double"&gt;0.009257973&lt;/D&gt;&lt;/FQL&gt;&lt;FQL&gt;&lt;Q&gt;JPYUSD^FG_PRICE(43532)&lt;/Q&gt;&lt;R&gt;1&lt;/R&gt;&lt;C&gt;1&lt;/C&gt;&lt;D xsi:type="xsd:double"&gt;0.008998065&lt;/D&gt;&lt;/FQL&gt;&lt;FQL&gt;&lt;Q&gt;JPYUSD^FG_PRICE(45403)&lt;/Q&gt;&lt;R&gt;1&lt;/R&gt;&lt;C&gt;1&lt;/C&gt;&lt;D xsi:type="xsd:double"&gt;0.007451287&lt;/D&gt;&lt;/FQL&gt;&lt;FQL&gt;&lt;Q&gt;JPYUSD^FG_PRICE(44804)&lt;/Q&gt;&lt;R&gt;1&lt;/R&gt;&lt;C&gt;1&lt;/C&gt;&lt;D xsi:type="xsd:double"&gt;0.007213706&lt;/D&gt;&lt;/FQL&gt;&lt;FQL&gt;&lt;Q&gt;JPYUSD^FG_PRICE(44502)&lt;/Q&gt;&lt;R&gt;1&lt;/R&gt;&lt;C&gt;1&lt;/C&gt;&lt;D xsi:type="xsd:double"&gt;0.008787733&lt;/D&gt;&lt;/FQL&gt;&lt;FQL&gt;&lt;Q&gt;JPYUSD^FG_PRICE(44328)&lt;/Q&gt;&lt;R&gt;1&lt;/R&gt;&lt;C&gt;1&lt;/C&gt;&lt;D xsi:type="xsd:double"&gt;0.009142857&lt;/D&gt;&lt;/FQL&gt;&lt;FQL&gt;&lt;Q&gt;JPYUSD^FG_PRICE(44159)&lt;/Q&gt;&lt;R&gt;1&lt;/R&gt;&lt;C&gt;1&lt;/C&gt;&lt;D xsi:type="xsd:double"&gt;0.009554292&lt;/D&gt;&lt;/FQL&gt;&lt;FQL&gt;&lt;Q&gt;JPYUSD^FG_PRICE(44101)&lt;/Q&gt;&lt;R&gt;1&lt;/R&gt;&lt;C&gt;1&lt;/C&gt;&lt;D xsi:type="xsd:double"&gt;0.009466112&lt;/D&gt;&lt;/FQL&gt;&lt;FQL&gt;&lt;Q&gt;JPYUSD^FG_PRICE(44067)&lt;/Q&gt;&lt;R&gt;1&lt;/R&gt;&lt;C&gt;1&lt;/C&gt;&lt;D xsi:type="xsd:double"&gt;0.009446438&lt;/D&gt;&lt;/FQL&gt;&lt;FQL&gt;&lt;Q&gt;JPYUSD^FG_PRICE(44035)&lt;/Q&gt;&lt;R&gt;1&lt;/R&gt;&lt;C&gt;1&lt;/C&gt;&lt;D xsi:type="xsd:double"&gt;0.009346231&lt;/D&gt;&lt;/FQL&gt;&lt;FQL&gt;&lt;Q&gt;JPYUSD^FG_PRICE(44003)&lt;/Q&gt;&lt;R&gt;1&lt;/R&gt;&lt;C&gt;1&lt;/C&gt;&lt;D xsi:type="xsd:double"&gt;0.009347979&lt;/D&gt;&lt;/FQL&gt;&lt;FQL&gt;&lt;Q&gt;JPYUSD^FG_PRICE(43971)&lt;/Q&gt;&lt;R&gt;1&lt;/R&gt;&lt;C&gt;1&lt;/C&gt;&lt;D xsi:type="xsd:double"&gt;0.0093079535&lt;/D&gt;&lt;/FQL&gt;&lt;FQL&gt;&lt;Q&gt;JPYUSD^FG_PRICE(43939)&lt;/Q&gt;&lt;R&gt;1&lt;/R&gt;&lt;C&gt;1&lt;/C&gt;&lt;D xsi:type="xsd:double"&gt;0.009300163&lt;/D&gt;&lt;/FQL&gt;&lt;FQL&gt;&lt;Q&gt;JPYUSD^FG_PRICE(43907)&lt;/Q&gt;&lt;R&gt;1&lt;/R&gt;&lt;C&gt;1&lt;/C&gt;&lt;D xsi:type="xsd:double"&gt;0.009312287&lt;/D&gt;&lt;/FQL&gt;&lt;FQL&gt;&lt;Q&gt;JPYUSD^FG_PRICE(43875)&lt;/Q&gt;&lt;R&gt;1&lt;/R&gt;&lt;C&gt;1&lt;/C&gt;&lt;D xsi:type="xsd:double"&gt;0.009110787&lt;/D&gt;&lt;/FQL&gt;&lt;FQL&gt;&lt;Q&gt;JPYUSD^FG_PRICE(43843)&lt;/Q&gt;&lt;R&gt;1&lt;/R&gt;&lt;C&gt;1&lt;/C&gt;&lt;D xsi:type="xsd:double"&gt;0.009096698&lt;/D&gt;&lt;/FQL&gt;&lt;FQL&gt;&lt;Q&gt;JPYUSD^FG_PRICE(43811)&lt;/Q&gt;&lt;R&gt;1&lt;/R&gt;&lt;C&gt;1&lt;/C&gt;&lt;D xsi:type="xsd:double"&gt;0.009149968&lt;/D&gt;&lt;/FQL&gt;&lt;FQL&gt;&lt;Q&gt;JPYUSD^FG_PRICE(43779)&lt;/Q&gt;&lt;R&gt;1&lt;/R&gt;&lt;C&gt;1&lt;/C&gt;&lt;D xsi:type="xsd:double"&gt;0.009162124&lt;/D&gt;&lt;/FQL&gt;&lt;FQL&gt;&lt;Q&gt;JPYUSD^FG_PRICE(43747)&lt;/Q&gt;&lt;R&gt;1&lt;/R&gt;&lt;C&gt;1&lt;/C&gt;&lt;D xsi:type="xsd:double"&gt;0.009312287&lt;/D&gt;&lt;/FQL&gt;&lt;FQL&gt;&lt;Q&gt;JPYUSD^FG_PRICE(43715)&lt;/Q&gt;&lt;R&gt;1&lt;/R&gt;&lt;C&gt;1&lt;/C&gt;&lt;D xsi:type="xsd:double"&gt;0.009365488&lt;/D&gt;&lt;/FQL&gt;&lt;FQL&gt;&lt;Q&gt;JPYUSD^FG_PRICE(43683)&lt;/Q&gt;&lt;R&gt;1&lt;/R&gt;&lt;C&gt;1&lt;/C&gt;&lt;D xsi:type="xsd:double"&gt;0.009399821&lt;/D&gt;&lt;/FQL&gt;&lt;FQL&gt;&lt;Q&gt;JPYUSD^FG_PRICE(43651)&lt;/Q&gt;&lt;R&gt;1&lt;/R&gt;&lt;C&gt;1&lt;/C&gt;&lt;D xsi:type="xsd:double"&gt;0.0092195645&lt;/D&gt;&lt;/FQL&gt;&lt;FQL&gt;&lt;Q&gt;JPYUSD^FG_PRICE(43619)&lt;/Q&gt;&lt;R&gt;1&lt;/R&gt;&lt;C&gt;1&lt;/C&gt;&lt;D xsi:type="xsd:double"&gt;0.009226795&lt;/D&gt;&lt;/FQL&gt;&lt;FQL&gt;&lt;Q&gt;JPYUSD^FG_PRICE(43587)&lt;/Q&gt;&lt;R&gt;1&lt;/R&gt;&lt;C&gt;1&lt;/C&gt;&lt;D xsi:type="xsd:double"&gt;0.008965795&lt;/D&gt;&lt;/FQL&gt;&lt;FQL&gt;&lt;Q&gt;JPYUSD^FG_PRICE(43555)&lt;/Q&gt;&lt;R&gt;1&lt;/R&gt;&lt;C&gt;1&lt;/C&gt;&lt;D xsi:type="xsd:double"&gt;0.009034649&lt;/D&gt;&lt;/FQL&gt;&lt;FQL&gt;&lt;Q&gt;JPYUSD^FG_PRICE(43491)&lt;/Q&gt;&lt;R&gt;1&lt;/R&gt;&lt;C&gt;1&lt;/C&gt;&lt;D xsi:type="xsd:double"&gt;0.009117848&lt;/D&gt;&lt;/FQL&gt;&lt;FQL&gt;&lt;Q&gt;JPYUSD^FG_PRICE(43668)&lt;/Q&gt;&lt;R&gt;1&lt;/R&gt;&lt;C&gt;1&lt;/C&gt;&lt;D xsi:type="xsd:double"&gt;0.009272567&lt;/D&gt;&lt;/FQL&gt;&lt;FQL&gt;&lt;Q&gt;JPYUSD^FG_PRICE(43476)&lt;/Q&gt;&lt;R&gt;1&lt;/R&gt;&lt;C&gt;1&lt;/C&gt;&lt;D xsi:type="xsd:double"&gt;0.009224241&lt;/D&gt;&lt;/FQL&gt;&lt;FQL&gt;&lt;Q&gt;JPYUSD^FG_PRICE(44083)&lt;/Q&gt;&lt;R&gt;1&lt;/R&gt;&lt;C&gt;1&lt;/C&gt;&lt;D xsi:type="xsd:double"&gt;0.009413093&lt;/D&gt;&lt;/FQL&gt;&lt;FQL&gt;&lt;Q&gt;JPYUSD^FG_PRICE(43859)&lt;/Q&gt;&lt;R&gt;1&lt;/R&gt;&lt;C&gt;1&lt;/C&gt;&lt;D xsi:type="xsd:double"&gt;0.009159187&lt;/D&gt;&lt;/FQL&gt;&lt;FQL&gt;&lt;Q&gt;JPYUSD^FG_PRICE(43667)&lt;/Q&gt;&lt;R&gt;1&lt;/R&gt;&lt;C&gt;1&lt;/C&gt;&lt;D xsi:type="xsd:double"&gt;0.009281604&lt;/D&gt;&lt;/FQL&gt;&lt;FQL&gt;&lt;Q&gt;JPYUSD^FG_PRICE(43475)&lt;/Q&gt;&lt;R&gt;1&lt;/R&gt;&lt;C&gt;1&lt;/C&gt;&lt;D xsi:type="xsd:double"&gt;0.00924129&lt;/D&gt;&lt;/FQL&gt;&lt;FQL&gt;&lt;Q&gt;JPYUSD^FG_PRICE(44076)&lt;/Q&gt;&lt;R&gt;1&lt;/R&gt;&lt;C&gt;1&lt;/C&gt;&lt;D xsi:type="xsd:double"&gt;0.009420631&lt;/D&gt;&lt;/FQL&gt;&lt;FQL&gt;&lt;Q&gt;JPYUSD^FG_PRICE(43884)&lt;/Q&gt;&lt;R&gt;1&lt;/R&gt;&lt;C&gt;1&lt;/C&gt;&lt;D xsi:type="xsd:double"&gt;0.008952151&lt;/D&gt;&lt;/FQL&gt;&lt;FQL&gt;&lt;Q&gt;JPYUSD^FG_PRICE(43692)&lt;/Q&gt;&lt;R&gt;1&lt;/R&gt;&lt;C&gt;1&lt;/C&gt;&lt;D xsi:type="xsd:double"&gt;0.009421076&lt;/D&gt;&lt;/FQL&gt;&lt;FQL&gt;&lt;Q&gt;JPYUSD^FG_PRICE(43500)&lt;/Q&gt;&lt;R&gt;1&lt;/R&gt;&lt;C&gt;1&lt;/C&gt;&lt;D xsi:type="xsd:double"&gt;0.009086778&lt;/D&gt;&lt;/FQL&gt;&lt;FQL&gt;&lt;Q&gt;JPYUSD^FG_PRICE(45316)&lt;/Q&gt;&lt;R&gt;1&lt;/R&gt;&lt;C&gt;1&lt;/C&gt;&lt;D xsi:type="xsd:double"&gt;0.007451287&lt;/D&gt;&lt;/FQL&gt;&lt;FQL&gt;&lt;Q&gt;JPYUSD^FG_PRICE(44752)&lt;/Q&gt;&lt;R&gt;1&lt;/R&gt;&lt;C&gt;1&lt;/C&gt;&lt;D xsi:type="xsd:double"&gt;0.0073494283&lt;/D&gt;&lt;/FQL&gt;&lt;FQL&gt;&lt;Q&gt;JPYUSD^FG_PRICE(44479)&lt;/Q&gt;&lt;R&gt;1&lt;/R&gt;&lt;C&gt;1&lt;/C&gt;&lt;D xsi:type="xsd:double"&gt;0.008925384&lt;/D&gt;&lt;/FQL&gt;&lt;FQL&gt;&lt;Q&gt;JPYUSD^FG_PRICE(44310)&lt;/Q&gt;&lt;R&gt;1&lt;/R&gt;&lt;C&gt;1&lt;/C&gt;&lt;D xsi:type="xsd:double"&gt;0.009251977&lt;/D&gt;&lt;/FQL&gt;&lt;FQL&gt;&lt;Q&gt;JPYUSD^FG_PRICE(44142)&lt;/Q&gt;&lt;R&gt;1&lt;/R&gt;&lt;C&gt;1&lt;/C&gt;&lt;D xsi:type="xsd:double"&gt;0.009680074&lt;/D&gt;&lt;/FQL&gt;&lt;FQL&gt;&lt;Q&gt;JPYUSD^FG_PRICE(44093)&lt;/Q&gt;&lt;R&gt;1&lt;/R&gt;&lt;C&gt;1&lt;/C&gt;&lt;D xsi:type="xsd:double"&gt;0.009585431&lt;/D&gt;&lt;/FQL&gt;&lt;FQL&gt;&lt;Q&gt;JPYUSD^FG_PRICE(44060)&lt;/Q&gt;&lt;R&gt;1&lt;/R&gt;&lt;C&gt;1&lt;/C&gt;&lt;D xsi:type="xsd:double"&gt;0.0094277365&lt;/D&gt;&lt;/FQL&gt;&lt;FQL&gt;&lt;Q&gt;JPYUSD^FG_PRICE(44028)&lt;/Q&gt;&lt;R&gt;1&lt;/R&gt;&lt;C&gt;1&lt;/C&gt;&lt;D xsi:type="xsd:double"&gt;0.009335324&lt;/D&gt;&lt;/FQL&gt;&lt;FQL&gt;&lt;Q&gt;JPYUSD^FG_PRICE(43996)&lt;/Q&gt;&lt;R&gt;1&lt;/R&gt;&lt;C&gt;1&lt;/C&gt;&lt;D xsi:type="xsd:double"&gt;0.009317059&lt;/D&gt;&lt;/FQL&gt;&lt;FQL&gt;&lt;Q&gt;JPYUSD^FG_PRICE(43964)&lt;/Q&gt;&lt;R&gt;1&lt;/R&gt;&lt;C&gt;1&lt;/C&gt;&lt;D xsi:type="xsd:double"&gt;0.009335761&lt;/D&gt;&lt;/FQL&gt;&lt;FQL&gt;&lt;Q&gt;JPYUSD^FG_PRICE(43932)&lt;/Q&gt;&lt;R&gt;1&lt;/R&gt;&lt;C&gt;1&lt;/C&gt;&lt;D xsi:type="xsd:double"&gt;0.009216166&lt;/D&gt;&lt;/FQL&gt;&lt;FQL&gt;&lt;Q&gt;JPYUSD^FG_PRICE(43900)&lt;/Q&gt;&lt;R&gt;1&lt;/R&gt;&lt;C&gt;1&lt;/C&gt;&lt;D xsi:type="xsd:double"&gt;0.009638554&lt;/D&gt;&lt;/FQL&gt;&lt;FQL&gt;&lt;Q&gt;JPYUSD^FG_PRICE(43868)&lt;/Q&gt;&lt;R&gt;1&lt;/R&gt;&lt;C&gt;1&lt;/C&gt;&lt;D xsi:type="xsd:double"&gt;0.009109542&lt;/D&gt;&lt;/FQL&gt;&lt;FQL&gt;&lt;Q&gt;JPYUSD^FG_PRICE(43836)&lt;/Q&gt;&lt;R&gt;1&lt;/R&gt;&lt;C&gt;1&lt;/C&gt;&lt;D xsi:type="xsd:double"&gt;0.009232331&lt;/D&gt;&lt;/FQL&gt;&lt;FQL&gt;&lt;Q&gt;JPYUSD^FG_PRICE(43804)&lt;/Q&gt;&lt;R&gt;1&lt;/R&gt;&lt;C&gt;1&lt;/C&gt;&lt;D xsi:type="xsd:double"&gt;0.009194557&lt;/D&gt;&lt;/FQL&gt;&lt;FQL&gt;&lt;Q&gt;JPYUSD^FG_PRICE(43772)&lt;/Q&gt;&lt;R&gt;1&lt;/R&gt;&lt;C&gt;1&lt;/C&gt;&lt;D xsi:type="xsd:double"&gt;0.009246417&lt;/D&gt;&lt;/FQL&gt;&lt;FQL&gt;&lt;Q&gt;JPYUSD^FG_PRICE(43740)&lt;/Q&gt;&lt;R&gt;1&lt;/R&gt;&lt;C&gt;1&lt;/C&gt;&lt;D xsi:type="xsd:double"&gt;0.009315324&lt;/D&gt;&lt;/FQL&gt;&lt;FQL&gt;&lt;Q&gt;JPYUSD^FG_PRICE(43708)&lt;/Q&gt;&lt;R&gt;1&lt;/R&gt;&lt;C&gt;1&lt;/C&gt;&lt;D xsi:type="xsd:double"&gt;0.009421076&lt;/D&gt;&lt;/FQL&gt;&lt;FQL&gt;&lt;Q&gt;JPYUSD^FG_PRICE(43676)&lt;/Q&gt;&lt;R&gt;1&lt;/R&gt;&lt;C&gt;1&lt;/C&gt;&lt;D xsi:type="xsd:double"&gt;0.00920429&lt;/D&gt;&lt;/FQL&gt;&lt;FQL&gt;&lt;Q&gt;JPYUSD^FG_PRICE(43644)&lt;/Q&gt;&lt;R&gt;1&lt;/R&gt;&lt;C&gt;1&lt;/C&gt;&lt;D xsi:type="xsd:double"&gt;0.009281604&lt;/D&gt;&lt;/FQL&gt;&lt;FQL&gt;&lt;Q&gt;JPYUSD^FG_PRICE(43612)&lt;/Q&gt;&lt;R&gt;1&lt;/R&gt;&lt;C&gt;1&lt;/C&gt;&lt;D xsi:type="xsd:double"&gt;0.009129502&lt;/D&gt;&lt;/FQL&gt;&lt;FQL&gt;&lt;Q&gt;JPYUSD^FG_PRICE(43580)&lt;/Q&gt;&lt;R&gt;1&lt;/R&gt;&lt;C&gt;1&lt;/C&gt;&lt;D xsi:type="xsd:double"&gt;0.008972634&lt;/D&gt;&lt;/FQL&gt;&lt;FQL&gt;&lt;Q&gt;JPYUSD^FG_PRICE(43548)&lt;/Q&gt;&lt;R&gt;1&lt;/R&gt;&lt;C&gt;1&lt;/C&gt;&lt;D xsi:type="xsd:double"&gt;0.009109542&lt;/D&gt;&lt;/FQL&gt;&lt;FQL&gt;&lt;Q&gt;JPYUSD^FG_PRICE(43516)&lt;/Q&gt;&lt;R&gt;1&lt;/R&gt;&lt;C&gt;1&lt;/C&gt;&lt;D xsi:type="xsd:double"&gt;0.009028123&lt;/D&gt;&lt;/FQL&gt;&lt;FQL&gt;&lt;Q&gt;JPYUSD^FG_PRICE(43484)&lt;/Q&gt;&lt;R&gt;1&lt;/R&gt;&lt;C&gt;1&lt;/C&gt;&lt;D xsi:type="xsd:double"&gt;0.00911868&lt;/D&gt;&lt;/FQL&gt;&lt;FQL&gt;&lt;Q&gt;JPYUSD^FG_PRICE(43643)&lt;/Q&gt;&lt;R&gt;1&lt;/R&gt;&lt;C&gt;1&lt;/C&gt;&lt;D xsi:type="xsd:double"&gt;0.00927859&lt;/D&gt;&lt;/FQL&gt;&lt;FQL&gt;&lt;Q&gt;JPYUSD^FG_PRICE(43579)&lt;/Q&gt;&lt;R&gt;1&lt;/R&gt;&lt;C&gt;1&lt;/C&gt;&lt;D xsi:type="xsd:double"&gt;0.0089473445&lt;/D&gt;&lt;/FQL&gt;&lt;FQL&gt;&lt;Q&gt;JPYUSD^FG_PRICE(43515)&lt;/Q&gt;&lt;R&gt;1&lt;/R&gt;&lt;C&gt;1&lt;/C&gt;&lt;D xsi:type="xsd:double"&gt;0.009044862&lt;/D&gt;&lt;/FQL&gt;&lt;FQL&gt;&lt;Q&gt;JPYUSD^FG_PRICE(43924)&lt;/Q&gt;&lt;R&gt;1&lt;/R&gt;&lt;C&gt;1&lt;/C&gt;&lt;D xsi:type="xsd:double"&gt;0.009216165&lt;/D&gt;&lt;/FQL&gt;&lt;FQL&gt;&lt;Q&gt;JPYUSD^FG_PRICE(43732)&lt;/Q&gt;&lt;R&gt;1&lt;/R&gt;&lt;C&gt;1&lt;/C&gt;&lt;D xsi:type="xsd:double"&gt;0.009309687&lt;/D&gt;&lt;/FQL&gt;&lt;FQL&gt;&lt;Q&gt;JPYUSD^FG_PRICE(43540)&lt;/Q&gt;&lt;R&gt;1&lt;/R&gt;&lt;C&gt;1&lt;/C&gt;&lt;D xsi:type="xsd:double"&gt;0.008962582&lt;/D&gt;&lt;/FQL&gt;&lt;FQL&gt;&lt;Q&gt;JPYUSD^FG_PRICE(44415)&lt;/Q&gt;&lt;R&gt;1&lt;/R&gt;&lt;C&gt;1&lt;/C&gt;&lt;D xsi:type="xsd:double"&gt;0.009064129&lt;/D&gt;&lt;/FQL&gt;&lt;FQL&gt;&lt;Q&gt;JPYUSD^FG_PRICE(44019)&lt;/Q&gt;&lt;R&gt;1&lt;/R&gt;&lt;C&gt;1&lt;/C&gt;&lt;D xsi:type="xsd:double"&gt;0.009297568&lt;/D&gt;&lt;/FQL&gt;&lt;FQL&gt;&lt;Q&gt;JPYUSD^FG_PRICE(43827)&lt;/Q&gt;&lt;R&gt;1&lt;/R&gt;&lt;C&gt;1&lt;/C&gt;&lt;D xsi:type="xsd:double"&gt;0.009125337&lt;/D&gt;&lt;/FQL&gt;&lt;FQL&gt;&lt;Q&gt;JPYUSD^FG_PRICE(43603)&lt;/Q&gt;&lt;R&gt;1&lt;/R&gt;&lt;C&gt;1&lt;/C&gt;&lt;D xsi:type="xsd:double"&gt;0.009092975&lt;/D&gt;&lt;/FQL&gt;&lt;FQL&gt;&lt;Q&gt;JPYUSD^FG_PRICE(44392)&lt;/Q&gt;&lt;R&gt;1&lt;/R&gt;&lt;C&gt;1&lt;/C&gt;&lt;D xsi:type="xsd:double"&gt;0.009088017&lt;/D&gt;&lt;/FQL&gt;&lt;FQL&gt;&lt;Q&gt;JPYUSD^FG_PRICE(43980)&lt;/Q&gt;&lt;R&gt;1&lt;/R&gt;&lt;C&gt;1&lt;/C&gt;&lt;D xsi:type="xsd:double"&gt;0.009282035&lt;/D&gt;&lt;/FQL&gt;&lt;FQL&gt;&lt;Q&gt;JPYUSD^FG_PRICE(43756)&lt;/Q&gt;&lt;R&gt;1&lt;/R&gt;&lt;C&gt;1&lt;/C&gt;&lt;D xsi:type="xsd:double"&gt;0.009215316&lt;/D&gt;&lt;/FQL&gt;&lt;FQL&gt;&lt;Q&gt;JPYUSD^FG_PRICE(43596)&lt;/Q&gt;&lt;R&gt;1&lt;/R&gt;&lt;C&gt;1&lt;/C&gt;&lt;D xsi:type="xsd:double"&gt;0.009123671&lt;/D&gt;&lt;/FQL&gt;&lt;FQL&gt;&lt;Q&gt;JPYUSD^FG_PRICE(45231)&lt;/Q&gt;&lt;R&gt;1&lt;/R&gt;&lt;C&gt;1&lt;/C&gt;&lt;D xsi:type="xsd:double"&gt;0.007451287&lt;/D&gt;&lt;/FQL&gt;&lt;FQL&gt;&lt;Q&gt;JPYUSD^FG_PRICE(44701)&lt;/Q&gt;&lt;R&gt;1&lt;/R&gt;&lt;C&gt;1&lt;/C&gt;&lt;D xsi:type="xsd:double"&gt;0.0078115845&lt;/D&gt;&lt;/FQL&gt;&lt;FQL&gt;&lt;Q&gt;JPYUSD^FG_PRICE(44456)&lt;/Q&gt;&lt;R&gt;1&lt;/R&gt;&lt;C&gt;1&lt;/C&gt;&lt;D xsi:type="xsd:double"&gt;0.009093389&lt;/D&gt;&lt;/FQL&gt;&lt;FQL&gt;&lt;Q&gt;JPYUSD^FG_PRICE(44287)&lt;/Q&gt;&lt;R&gt;1&lt;/R&gt;&lt;C&gt;1&lt;/C&gt;&lt;D xsi:type="xsd:double"&gt;0.009041592&lt;/D&gt;&lt;/FQL&gt;&lt;FQL&gt;&lt;Q&gt;JPYUSD^FG_PRICE(44138)&lt;/Q&gt;&lt;R&gt;1&lt;/R&gt;&lt;C&gt;1&lt;/C&gt;&lt;D xsi:type="xsd:double"&gt;0.009563429&lt;/D&gt;&lt;/FQL&gt;&lt;FQL&gt;&lt;Q&gt;JPYUSD^FG_PRICE(44092)&lt;/Q&gt;&lt;R&gt;1&lt;/R&gt;&lt;C&gt;1&lt;/C&gt;&lt;D xsi:type="xsd:double"&gt;0.009585431&lt;/D&gt;&lt;/FQL&gt;&lt;FQL&gt;&lt;Q&gt;JPYUSD^FG_PRICE(44059)&lt;/Q&gt;&lt;R&gt;1&lt;/R&gt;&lt;C&gt;1&lt;/C&gt;&lt;D xsi:type="xsd:double"&gt;0.009393641&lt;/D&gt;&lt;/FQL&gt;&lt;FQL&gt;&lt;Q&gt;JPYUSD^FG_PRICE(44027)&lt;/Q&gt;&lt;R&gt;1&lt;/R&gt;&lt;C&gt;1&lt;/C&gt;&lt;D xsi:type="xsd:double"&gt;0.009359791&lt;/D&gt;&lt;/FQL&gt;&lt;FQL&gt;&lt;Q&gt;JPYUSD^FG_PRICE(43995)&lt;/Q&gt;&lt;R&gt;1&lt;/R&gt;&lt;C&gt;1&lt;/C&gt;&lt;D xsi:type="xsd:double"&gt;0.009317059&lt;/D&gt;&lt;/FQL&gt;&lt;FQL&gt;&lt;Q&gt;JPYUSD^FG_PRICE(43963)&lt;/Q&gt;&lt;R&gt;1&lt;/R&gt;&lt;C&gt;1&lt;/C&gt;&lt;D xsi:type="xsd:double"&gt;0.009325313&lt;/D&gt;&lt;/FQL&gt;&lt;FQL&gt;&lt;Q&gt;JPYUSD^FG_PRICE(43931)&lt;/Q&gt;&lt;R&gt;1&lt;/R&gt;&lt;C&gt;1&lt;/C&gt;&lt;D xsi:type="xsd:double"&gt;0.009216166&lt;/D&gt;&lt;/FQL&gt;&lt;FQL&gt;&lt;Q&gt;JPYUSD^FG_PRICE(43899)&lt;/Q&gt;&lt;R&gt;1&lt;/R&gt;&lt;C&gt;1&lt;/C&gt;&lt;D xsi:type="xsd:double"&gt;0.009751816&lt;/D&gt;&lt;/FQL&gt;&lt;FQL&gt;&lt;Q&gt;JPYUSD^FG_PRICE(43867)&lt;/Q&gt;&lt;R&gt;1&lt;/R&gt;&lt;C&gt;1&lt;/C&gt;&lt;D xsi:type="xsd:double"&gt;0.009092975&lt;/D&gt;&lt;/FQL&gt;&lt;FQL&gt;&lt;Q&gt;JPYUSD^FG_PRICE(43835)&lt;/Q&gt;&lt;R&gt;1&lt;/R&gt;&lt;C&gt;1&lt;/C&gt;&lt;D xsi:type="xsd:double"&gt;0.009257116&lt;/D&gt;&lt;/FQL&gt;&lt;FQL&gt;&lt;Q&gt;JPYUSD^FG_PRICE(43803)&lt;/Q&gt;&lt;R&gt;1&lt;/R&gt;&lt;C&gt;1&lt;/C&gt;&lt;D xsi:type="xsd:double"&gt;0.009189909&lt;/D&gt;&lt;/FQL&gt;&lt;FQL&gt;&lt;Q&gt;JPYUSD^FG_PRICE(43771)&lt;/Q&gt;&lt;R&gt;1&lt;/R&gt;&lt;C&gt;1&lt;/C&gt;&lt;D xsi:type="xsd:double"&gt;0.009246417&lt;/D&gt;&lt;/FQL&gt;&lt;FQL&gt;&lt;Q&gt;JPYUSD^FG_PRICE(43739)&lt;/Q&gt;&lt;R&gt;1&lt;/R&gt;&lt;C&gt;1&lt;/C&gt;&lt;D xsi:type="xsd:double"&gt;0.009271707&lt;/D&gt;&lt;/FQL&gt;&lt;FQL&gt;&lt;Q&gt;JPYUSD^FG_PRICE(43707)&lt;/Q&gt;&lt;R&gt;1&lt;/R&gt;&lt;C&gt;1&lt;/C&gt;&lt;D xsi:type="xsd:double"&gt;0.009421076&lt;/D&gt;&lt;/FQL&gt;&lt;FQL&gt;&lt;Q&gt;JPYUSD^FG_PRICE(43675)&lt;/Q&gt;&lt;R&gt;1&lt;/R&gt;&lt;C&gt;1&lt;/C&gt;&lt;D xsi:type="xsd:double"&gt;0.009189066&lt;/D&gt;&lt;/FQL&gt;&lt;FQL&gt;&lt;Q&gt;JPYUSD^FG_PRICE(43611)&lt;/Q&gt;&lt;R&gt;1&lt;/R&gt;&lt;C&gt;1&lt;/C&gt;&lt;D xsi:type="xsd:double"&gt;0.009145365&lt;/D&gt;&lt;/FQL&gt;&lt;FQL&gt;&lt;Q&gt;JPYUSD^FG_PRICE(43547)&lt;/Q&gt;&lt;R&gt;1&lt;/R&gt;&lt;C&gt;1&lt;/C&gt;&lt;D xsi:type="xsd:double"&gt;0.009109542&lt;/D&gt;&lt;/FQL&gt;&lt;FQL&gt;&lt;Q&gt;JPYUSD^FG_PRICE(43483)&lt;/Q&gt;&lt;R&gt;1&lt;/R&gt;&lt;C&gt;1&lt;/C&gt;&lt;D xsi:type="xsd:double"&gt;0.00911868&lt;/D&gt;&lt;/FQL&gt;&lt;FQL&gt;&lt;Q&gt;JPYUSD^FG_PRICE(43764)&lt;/Q&gt;&lt;R&gt;1&lt;/R&gt;&lt;C&gt;1&lt;/C&gt;&lt;D xsi:type="xsd:double"&gt;0.009210223&lt;/D&gt;&lt;/FQL&gt;&lt;FQL&gt;&lt;Q&gt;JPYUSD^FG_PRICE(43572)&lt;/Q&gt;&lt;R&gt;1&lt;/R&gt;&lt;C&gt;1&lt;/C&gt;&lt;D xsi:type="xsd:double"&gt;0.008928572&lt;/D&gt;&lt;/FQL&gt;&lt;FQL&gt;&lt;Q&gt;JPYUSD^FG_PRICE(44622)&lt;/Q&gt;&lt;R&gt;1&lt;/R&gt;&lt;C&gt;1&lt;/C&gt;&lt;D xsi:type="xsd:double"&gt;0.008652016&lt;/D&gt;&lt;/FQL&gt;&lt;FQL&gt;&lt;Q&gt;JPYUSD^FG_PRICE(44051)&lt;/Q&gt;&lt;R&gt;1&lt;/R&gt;&lt;C&gt;1&lt;/C&gt;&lt;D xsi:type="xsd:double"&gt;0.009444208&lt;/D&gt;&lt;/FQL&gt;&lt;FQL&gt;&lt;Q&gt;JPYUSD^FG_PRICE(43891)&lt;/Q&gt;&lt;R&gt;1&lt;/R&gt;&lt;C&gt;1&lt;/C&gt;&lt;D xsi:type="xsd:double"&gt;0.009270848&lt;/D&gt;&lt;/FQL&gt;&lt;FQL&gt;&lt;Q&gt;JPYUSD^FG_PRICE(43731)&lt;/Q&gt;&lt;R&gt;1&lt;/R&gt;&lt;C&gt;1&lt;/C&gt;&lt;D xsi:type="xsd:double"&gt;0.009314456&lt;/D&gt;&lt;/FQL&gt;&lt;FQL&gt;&lt;Q&gt;JPYUSD^FG_PRICE(43539)&lt;/Q&gt;&lt;R&gt;1&lt;/R&gt;&lt;C&gt;1&lt;/C&gt;&lt;D xsi:type="xsd:double"&gt;0.008962582&lt;/D&gt;&lt;/FQL&gt;&lt;FQL&gt;&lt;Q&gt;JPYUSD^FG_PRICE(44223)&lt;/Q&gt;&lt;R&gt;1&lt;/R&gt;&lt;C&gt;1&lt;/C&gt;&lt;D xsi:type="xsd:double"&gt;0.009605686&lt;/D&gt;&lt;/FQL&gt;&lt;FQL&gt;&lt;Q&gt;JPYUSD^FG_PRICE(43948)&lt;/Q&gt;&lt;R&gt;1&lt;/R&gt;&lt;C&gt;1&lt;/C&gt;&lt;D xsi:type="xsd:double"&gt;0.009328794&lt;/D&gt;&lt;/FQL&gt;&lt;FQL&gt;&lt;Q&gt;JPYUSD^FG_PRICE(43788)&lt;/Q&gt;&lt;R&gt;1&lt;/R&gt;&lt;C&gt;1&lt;/C&gt;&lt;D xsi:type="xsd:double"&gt;0.009217015&lt;/D&gt;&lt;/FQL&gt;&lt;FQL&gt;&lt;Q&gt;JPYUSD^FG_PRICE(43564)&lt;/Q&gt;&lt;R&gt;1&lt;/R&gt;&lt;C&gt;1&lt;/C&gt;&lt;D xsi:type="xsd:double"&gt;0.0089988755&lt;/D&gt;&lt;/FQL&gt;&lt;FQL&gt;&lt;Q&gt;JPYUSD^FG_PRICE(45147)&lt;/Q&gt;&lt;R&gt;1&lt;/R&gt;&lt;C&gt;1&lt;/C&gt;&lt;D xsi:type="xsd:double"&gt;0.007451287&lt;/D&gt;&lt;/FQL&gt;&lt;FQL&gt;&lt;Q&gt;JPYUSD^FG_PRICE(44657)&lt;/Q&gt;&lt;R&gt;1&lt;/R&gt;&lt;C&gt;1&lt;/C&gt;&lt;D xsi:type="xsd:double"&gt;0.008081134&lt;/D&gt;&lt;/FQL&gt;&lt;FQL&gt;&lt;Q&gt;JPYUSD^FG_PRICE(44438)&lt;/Q&gt;&lt;R&gt;1&lt;/R&gt;&lt;C&gt;1&lt;/C&gt;&lt;D xsi:type="xsd:double"&gt;0.009098767&lt;/D&gt;&lt;/FQL&gt;&lt;FQL&gt;&lt;Q&gt;JPYUSD^FG_PRICE(44264)&lt;/Q&gt;&lt;R&gt;1&lt;/R&gt;&lt;C&gt;1&lt;/C&gt;&lt;D xsi:type="xsd:double"&gt;0.009192022&lt;/D&gt;&lt;/FQL&gt;&lt;FQL&gt;&lt;Q&gt;JPYUSD^FG_PRICE(44126)&lt;/Q&gt;&lt;R&gt;1&lt;/R&gt;&lt;C&gt;1&lt;/C&gt;&lt;D xsi:type="xsd:double"&gt;0.009541529&lt;/D&gt;&lt;/FQL&gt;&lt;FQL&gt;&lt;Q&gt;JPYUSD^FG_PRICE(44084)&lt;/Q&gt;&lt;R&gt;1&lt;/R&gt;&lt;C&gt;1&lt;/C&gt;&lt;D xsi:type="xsd:double"&gt;0.00941797&lt;/D&gt;&lt;/FQL&gt;&lt;FQL&gt;&lt;Q&gt;JPYUSD^FG_PRICE(44052)&lt;/Q&gt;&lt;R&gt;1&lt;/R&gt;&lt;C&gt;1&lt;/C&gt;&lt;D xsi:type="xsd:double"&gt;0.009444208&lt;/D&gt;&lt;/FQL&gt;&lt;FQL&gt;&lt;Q&gt;JPYUSD^FG_PRICE(44020)&lt;/Q&gt;&lt;R&gt;1&lt;/R&gt;&lt;C&gt;1&lt;/C&gt;&lt;D xsi:type="xsd:double"&gt;0.009300595&lt;/D&gt;&lt;/FQL&gt;&lt;FQL&gt;&lt;Q&gt;JPYUSD^FG_PRICE(43988)&lt;/Q&gt;&lt;R&gt;1&lt;/R&gt;&lt;C&gt;1&lt;/C&gt;&lt;D xsi:type="xsd:double"&gt;0.009112032&lt;/D&gt;&lt;/FQL&gt;&lt;FQL&gt;&lt;Q&gt;JPYUSD^FG_PRICE(43956)&lt;/Q&gt;&lt;R&gt;1&lt;/R&gt;&lt;C&gt;1&lt;/C&gt;&lt;D xsi:type="xsd:double"&gt;0.0093804225&lt;/D&gt;&lt;/FQL&gt;&lt;FQL&gt;&lt;Q&gt;JPYUSD^FG_PRICE(43892)&lt;/Q&gt;&lt;R&gt;1&lt;/R&gt;&lt;C&gt;1&lt;/C&gt;&lt;D xsi:type="xsd:double"&gt;0.009265694&lt;/D&gt;&lt;/FQL&gt;&lt;FQL&gt;&lt;Q&gt;JPYUSD^FG_PRICE(43828)&lt;/Q&gt;&lt;R&gt;1&lt;/R&gt;&lt;C&gt;1&lt;/C&gt;&lt;D xsi:type="xsd:double"&gt;0.009125337&lt;/D&gt;&lt;/FQL&gt;&lt;FQL&gt;&lt;Q&gt;JPYUSD^FG_PRICE(43700)&lt;/Q&gt;&lt;R&gt;1&lt;/R&gt;&lt;C&gt;1&lt;/C&gt;&lt;D xsi:type="xsd:double"&gt;0.009437969&lt;/D&gt;&lt;/FQL&gt;&lt;FQL&gt;&lt;Q&gt;JPYUSD^FG_PRICE(43508)&lt;/Q&gt;&lt;R&gt;1&lt;/R&gt;&lt;C&gt;1&lt;/C&gt;&lt;D xsi:type="xsd:double"&gt;0.009048136&lt;/D&gt;&lt;/FQL&gt;&lt;FQL&gt;&lt;Q&gt;JPYUSD^FG_PRICE(44122)&lt;/Q&gt;&lt;R&gt;1&lt;/R&gt;&lt;C&gt;1&lt;/C&gt;&lt;D xsi:type="xsd:double"&gt;0.009486316&lt;/D&gt;&lt;/FQL&gt;&lt;FQL&gt;&lt;Q&gt;JPYUSD^FG_PRICE(43955)&lt;/Q&gt;&lt;R&gt;1&lt;/R&gt;&lt;C&gt;1&lt;/C&gt;&lt;D xsi:type="xsd:double"&gt;0.00935235&lt;/D&gt;&lt;/FQL&gt;&lt;FQL&gt;&lt;Q&gt;JPYUSD^FG_PRICE(43795)&lt;/Q&gt;&lt;R&gt;1&lt;/R&gt;&lt;C&gt;1&lt;/C&gt;&lt;D xsi:type="xsd:double"&gt;0.009167164&lt;/D&gt;&lt;/FQL&gt;&lt;FQL&gt;&lt;Q&gt;JPYUSD^FG_PRICE(43635)&lt;/Q&gt;&lt;R&gt;1&lt;/R&gt;&lt;C&gt;1&lt;/C&gt;&lt;D xsi:type="xsd:double"&gt;0.009224667&lt;/D&gt;&lt;/FQL&gt;&lt;FQL&gt;&lt;Q&gt;JPYUSD^FG_PRICE(44975)&lt;/Q&gt;&lt;R&gt;1&lt;/R&gt;&lt;C&gt;1&lt;/C&gt;&lt;D xsi:type="xsd:double"&gt;0.007451287&lt;/D&gt;&lt;/FQL&gt;&lt;FQL&gt;&lt;Q&gt;JPYUSD^FG_PRICE(44044)&lt;/Q&gt;&lt;R&gt;1&lt;/R&gt;&lt;C&gt;1&lt;/C&gt;&lt;D xsi:type="xsd:double"&gt;0.009458053&lt;/D&gt;&lt;/FQL&gt;&lt;FQL&gt;&lt;Q&gt;JPYUSD^FG_PRICE(43852)&lt;/Q&gt;&lt;R&gt;1&lt;/R&gt;&lt;C&gt;1&lt;/C&gt;&lt;D xsi:type="xsd:double"&gt;0.009098353&lt;/D&gt;&lt;/FQL&gt;&lt;FQL&gt;&lt;Q&gt;JPYUSD^FG_PRICE(43660)&lt;/Q&gt;&lt;R&gt;1&lt;/R&gt;&lt;C&gt;1&lt;/C&gt;&lt;D xsi:type="xsd:double"&gt;0.009257973&lt;/D&gt;&lt;/FQL&gt;&lt;FQL&gt;&lt;Q&gt;GBPUSD^FG_PRICE(45573)&lt;/Q&gt;&lt;R&gt;1&lt;/R&gt;&lt;C&gt;1&lt;/C&gt;&lt;D xsi:type="xsd:double"&gt;1.20115&lt;/D&gt;&lt;/FQL&gt;&lt;FQL&gt;&lt;Q&gt;EURUSD^FG_PRICE(45573)&lt;/Q&gt;&lt;R&gt;1&lt;/R&gt;&lt;C&gt;1&lt;/C&gt;&lt;D xsi:type="xsd:double"&gt;1.0673&lt;/D&gt;&lt;/FQL&gt;&lt;FQL&gt;&lt;Q&gt;GBPUSD^FG_PRICE(45572)&lt;/Q&gt;&lt;R&gt;1&lt;/R&gt;&lt;C&gt;1&lt;/C&gt;&lt;D xsi:type="xsd:double"&gt;1.20115&lt;/D&gt;&lt;/FQL&gt;&lt;FQL&gt;&lt;Q&gt;EURUSD^FG_PRICE(45572)&lt;/Q&gt;&lt;R&gt;1&lt;/R&gt;&lt;C&gt;1&lt;/C&gt;&lt;D xsi:type="xsd:double"&gt;1.0673&lt;/D&gt;&lt;/FQL&gt;&lt;FQL&gt;&lt;Q&gt;GBPUSD^FG_PRICE(45571)&lt;/Q&gt;&lt;R&gt;1&lt;/R&gt;&lt;C&gt;1&lt;/C&gt;&lt;D xsi:type="xsd:double"&gt;1.20115&lt;/D&gt;&lt;/FQL&gt;&lt;FQL&gt;&lt;Q&gt;EURUSD^FG_PRICE(45571)&lt;/Q&gt;&lt;R&gt;1&lt;/R&gt;&lt;C&gt;1&lt;/C&gt;&lt;D xsi:type="xsd:double"&gt;1.0673&lt;/D&gt;&lt;/FQL&gt;&lt;FQL&gt;&lt;Q&gt;GBPUSD^FG_PRICE(45570)&lt;/Q&gt;&lt;R&gt;1&lt;/R&gt;&lt;C&gt;1&lt;/C&gt;&lt;D xsi:type="xsd:double"&gt;1.20115&lt;/D&gt;&lt;/FQL&gt;&lt;FQL&gt;&lt;Q&gt;EURUSD^FG_PRICE(45570)&lt;/Q&gt;&lt;R&gt;1&lt;/R&gt;&lt;C&gt;1&lt;/C&gt;&lt;D xsi:type="xsd:double"&gt;1.0673&lt;/D&gt;&lt;/FQL&gt;&lt;FQL&gt;&lt;Q&gt;GBPUSD^FG_PRICE(45569)&lt;/Q&gt;&lt;R&gt;1&lt;/R&gt;&lt;C&gt;1&lt;/C&gt;&lt;D xsi:type="xsd:double"&gt;1.20115&lt;/D&gt;&lt;/FQL&gt;&lt;FQL&gt;&lt;Q&gt;EURUSD^FG_PRICE(45569)&lt;/Q&gt;&lt;R&gt;1&lt;/R&gt;&lt;C&gt;1&lt;/C&gt;&lt;D xsi:type="xsd:double"&gt;1.0673&lt;/D&gt;&lt;/FQL&gt;&lt;FQL&gt;&lt;Q&gt;GBPUSD^FG_PRICE(45568)&lt;/Q&gt;&lt;R&gt;1&lt;/R&gt;&lt;C&gt;1&lt;/C&gt;&lt;D xsi:type="xsd:double"&gt;1.20115&lt;/D&gt;&lt;/FQL&gt;&lt;FQL&gt;&lt;Q&gt;EURUSD^FG_PRICE(45568)&lt;/Q&gt;&lt;R&gt;1&lt;/R&gt;&lt;C&gt;1&lt;/C&gt;&lt;D xsi:type="xsd:double"&gt;1.0673&lt;/D&gt;&lt;/FQL&gt;&lt;FQL&gt;&lt;Q&gt;GBPUSD^FG_PRICE(45567)&lt;/Q&gt;&lt;R&gt;1&lt;/R&gt;&lt;C&gt;1&lt;/C&gt;&lt;D xsi:type="xsd:double"&gt;1.20115&lt;/D&gt;&lt;/FQL&gt;&lt;FQL&gt;&lt;Q&gt;EURUSD^FG_PRICE(45567)&lt;/Q&gt;&lt;R&gt;1&lt;/R&gt;&lt;C&gt;1&lt;/C&gt;&lt;D xsi:type="xsd:double"&gt;1.0673&lt;/D&gt;&lt;/FQL&gt;&lt;FQL&gt;&lt;Q&gt;GBPUSD^FG_PRICE(45566)&lt;/Q&gt;&lt;R&gt;1&lt;/R&gt;&lt;C&gt;1&lt;/C&gt;&lt;D xsi:type="xsd:double"&gt;1.20115&lt;/D&gt;&lt;/FQL&gt;&lt;FQL&gt;&lt;Q&gt;EURUSD^FG_PRICE(45566)&lt;/Q&gt;&lt;R&gt;1&lt;/R&gt;&lt;C&gt;1&lt;/C&gt;&lt;D xsi:type="xsd:double"&gt;1.0673&lt;/D&gt;&lt;/FQL&gt;&lt;FQL&gt;&lt;Q&gt;GBPUSD^FG_PRICE(45565)&lt;/Q&gt;&lt;R&gt;1&lt;/R&gt;&lt;C&gt;1&lt;/C&gt;&lt;D xsi:type="xsd:double"&gt;1.20115&lt;/D&gt;&lt;/FQL&gt;&lt;FQL&gt;&lt;Q&gt;EURUSD^FG_PRICE(45565)&lt;/Q&gt;&lt;R&gt;1&lt;/R&gt;&lt;C&gt;1&lt;/C&gt;&lt;D xsi:type="xsd:double"&gt;1.0673&lt;/D&gt;&lt;/FQL&gt;&lt;FQL&gt;&lt;Q&gt;GBPUSD^FG_PRICE(45564)&lt;/Q&gt;&lt;R&gt;1&lt;/R&gt;&lt;C&gt;1&lt;/C&gt;&lt;D xsi:type="xsd:double"&gt;1.20115&lt;/D&gt;&lt;/FQL&gt;&lt;FQL&gt;&lt;Q&gt;EURUSD^FG_PRICE(45564)&lt;/Q&gt;&lt;R&gt;1&lt;/R&gt;&lt;C&gt;1&lt;/C&gt;&lt;D xsi:type="xsd:double"&gt;1.0673&lt;/D&gt;&lt;/FQL&gt;&lt;FQL&gt;&lt;Q&gt;GBPUSD^FG_PRICE(45563)&lt;/Q&gt;&lt;R&gt;1&lt;/R&gt;&lt;C&gt;1&lt;/C&gt;&lt;D xsi:type="xsd:double"&gt;1.20115&lt;/D&gt;&lt;/FQL&gt;&lt;FQL&gt;&lt;Q&gt;EURUSD^FG_PRICE(45563)&lt;/Q&gt;&lt;R&gt;1&lt;/R&gt;&lt;C&gt;1&lt;/C&gt;&lt;D xsi:type="xsd:double"&gt;1.0673&lt;/D&gt;&lt;/FQL&gt;&lt;FQL&gt;&lt;Q&gt;GBPUSD^FG_PRICE(45562)&lt;/Q&gt;&lt;R&gt;1&lt;/R&gt;&lt;C&gt;1&lt;/C&gt;&lt;D xsi:type="xsd:double"&gt;1.20115&lt;/D&gt;&lt;/FQL&gt;&lt;FQL&gt;&lt;Q&gt;EURUSD^FG_PRICE(45562)&lt;/Q&gt;&lt;R&gt;1&lt;/R&gt;&lt;C&gt;1&lt;/C&gt;&lt;D xsi:type="xsd:double"&gt;1.0673&lt;/D&gt;&lt;/FQL&gt;&lt;FQL&gt;&lt;Q&gt;GBPUSD^FG_PRICE(45561)&lt;/Q&gt;&lt;R&gt;1&lt;/R&gt;&lt;C&gt;1&lt;/C&gt;&lt;D xsi:type="xsd:double"&gt;1.20115&lt;/D&gt;&lt;/FQL&gt;&lt;FQL&gt;&lt;Q&gt;EURUSD^FG_PRICE(45561)&lt;/Q&gt;&lt;R&gt;1&lt;/R&gt;&lt;C&gt;1&lt;/C&gt;&lt;D xsi:type="xsd:double"&gt;1.0673&lt;/D&gt;&lt;/FQL&gt;&lt;FQL&gt;&lt;Q&gt;GBPUSD^FG_PRICE(45560)&lt;/Q&gt;&lt;R&gt;1&lt;/R&gt;&lt;C&gt;1&lt;/C&gt;&lt;D xsi:type="xsd:double"&gt;1.20115&lt;/D&gt;&lt;/FQL&gt;&lt;FQL&gt;&lt;Q&gt;EURUSD^FG_PRICE(45560)&lt;/Q&gt;&lt;R&gt;1&lt;/R&gt;&lt;C&gt;1&lt;/C&gt;&lt;D xsi:type="xsd:double"&gt;1.0673&lt;/D&gt;&lt;/FQL&gt;&lt;FQL&gt;&lt;Q&gt;GBPUSD^FG_PRICE(45559)&lt;/Q&gt;&lt;R&gt;1&lt;/R&gt;&lt;C&gt;1&lt;/C&gt;&lt;D xsi:type="xsd:double"&gt;1.20115&lt;/D&gt;&lt;/FQL&gt;&lt;FQL&gt;&lt;Q&gt;EURUSD^FG_PRICE(45559)&lt;/Q&gt;&lt;R&gt;1&lt;/R&gt;&lt;C&gt;1&lt;/C&gt;&lt;D xsi:type="xsd:double"&gt;1.0673&lt;/D&gt;&lt;/FQL&gt;&lt;FQL&gt;&lt;Q&gt;GBPUSD^FG_PRICE(45558)&lt;/Q&gt;&lt;R&gt;1&lt;/R&gt;&lt;C&gt;1&lt;/C&gt;&lt;D xsi:type="xsd:double"&gt;1.20115&lt;/D&gt;&lt;/FQL&gt;&lt;FQL&gt;&lt;Q&gt;EURUSD^FG_PRICE(45558)&lt;/Q&gt;&lt;R&gt;1&lt;/R&gt;&lt;C&gt;1&lt;/C&gt;&lt;D xsi:type="xsd:double"&gt;1.0673&lt;/D&gt;&lt;/FQL&gt;&lt;FQL&gt;&lt;Q&gt;GBPUSD^FG_PRICE(45557)&lt;/Q&gt;&lt;R&gt;1&lt;/R&gt;&lt;C&gt;1&lt;/C&gt;&lt;D xsi:type="xsd:double"&gt;1.20115&lt;/D&gt;&lt;/FQL&gt;&lt;FQL&gt;&lt;Q&gt;EURUSD^FG_PRICE(45557)&lt;/Q&gt;&lt;R&gt;1&lt;/R&gt;&lt;C&gt;1&lt;/C&gt;&lt;D xsi:type="xsd:double"&gt;1.0673&lt;/D&gt;&lt;/FQL&gt;&lt;FQL&gt;&lt;Q&gt;GBPUSD^FG_PRICE(45556)&lt;/Q&gt;&lt;R&gt;1&lt;/R&gt;&lt;C&gt;1&lt;/C&gt;&lt;D xsi:type="xsd:double"&gt;1.20115&lt;/D&gt;&lt;/FQL&gt;&lt;FQL&gt;&lt;Q&gt;EURUSD^FG_PRICE(45556)&lt;/Q&gt;&lt;R&gt;1&lt;/R&gt;&lt;C&gt;1&lt;/C&gt;&lt;D xsi:type="xsd:double"&gt;1.0673&lt;/D&gt;&lt;/FQL&gt;&lt;FQL&gt;&lt;Q&gt;GBPUSD^FG_PRICE(45555)&lt;/Q&gt;&lt;R&gt;1&lt;/R&gt;&lt;C&gt;1&lt;/C&gt;&lt;D xsi:type="xsd:double"&gt;1.20115&lt;/D&gt;&lt;/FQL&gt;&lt;FQL&gt;&lt;Q&gt;EURUSD^FG_PRICE(45555)&lt;/Q&gt;&lt;R&gt;1&lt;/R&gt;&lt;C&gt;1&lt;/C&gt;&lt;D xsi:type="xsd:double"&gt;1.0673&lt;/D&gt;&lt;/FQL&gt;&lt;FQL&gt;&lt;Q&gt;GBPUSD^FG_PRICE(45554)&lt;/Q&gt;&lt;R&gt;1&lt;/R&gt;&lt;C&gt;1&lt;/C&gt;&lt;D xsi:type="xsd:double"&gt;1.20115&lt;/D&gt;&lt;/FQL&gt;&lt;FQL&gt;&lt;Q&gt;EURUSD^FG_PRICE(45554)&lt;/Q&gt;&lt;R&gt;1&lt;/R&gt;&lt;C&gt;1&lt;/C&gt;&lt;D xsi:type="xsd:double"&gt;1.0673&lt;/D&gt;&lt;/FQL&gt;&lt;FQL&gt;&lt;Q&gt;GBPUSD^FG_PRICE(45553)&lt;/Q&gt;&lt;R&gt;1&lt;/R&gt;&lt;C&gt;1&lt;/C&gt;&lt;D xsi:type="xsd:double"&gt;1.20115&lt;/D&gt;&lt;/FQL&gt;&lt;FQL&gt;&lt;Q&gt;EURUSD^FG_PRICE(45553)&lt;/Q&gt;&lt;R&gt;1&lt;/R&gt;&lt;C&gt;1&lt;/C&gt;&lt;D xsi:type="xsd:double"&gt;1.0673&lt;/D&gt;&lt;/FQL&gt;&lt;FQL&gt;&lt;Q&gt;GBPUSD^FG_PRICE(45552)&lt;/Q&gt;&lt;R&gt;1&lt;/R&gt;&lt;C&gt;1&lt;/C&gt;&lt;D xsi:type="xsd:double"&gt;1.20115&lt;/D&gt;&lt;/FQL&gt;&lt;FQL&gt;&lt;Q&gt;EURUSD^FG_PRICE(45552)&lt;/Q&gt;&lt;R&gt;1&lt;/R&gt;&lt;C&gt;1&lt;/C&gt;&lt;D xsi:type="xsd:double"&gt;1.0673&lt;/D&gt;&lt;/FQL&gt;&lt;FQL&gt;&lt;Q&gt;GBPUSD^FG_PRICE(45551)&lt;/Q&gt;&lt;R&gt;1&lt;/R&gt;&lt;C&gt;1&lt;/C&gt;&lt;D xsi:type="xsd:double"&gt;1.20115&lt;/D&gt;&lt;/FQL&gt;&lt;FQL&gt;&lt;Q&gt;EURUSD^FG_PRICE(45551)&lt;/Q&gt;&lt;R&gt;1&lt;/R&gt;&lt;C&gt;1&lt;/C&gt;&lt;D xsi:type="xsd:double"&gt;1.0673&lt;/D&gt;&lt;/FQL&gt;&lt;FQL&gt;&lt;Q&gt;GBPUSD^FG_PRICE(45550)&lt;/Q&gt;&lt;R&gt;1&lt;/R&gt;&lt;C&gt;1&lt;/C&gt;&lt;D xsi:type="xsd:double"&gt;1.20115&lt;/D&gt;&lt;/FQL&gt;&lt;FQL&gt;&lt;Q&gt;EURUSD^FG_PRICE(45550)&lt;/Q&gt;&lt;R&gt;1&lt;/R&gt;&lt;C&gt;1&lt;/C&gt;&lt;D xsi:type="xsd:double"&gt;1.0673&lt;/D&gt;&lt;/FQL&gt;&lt;FQL&gt;&lt;Q&gt;GBPUSD^FG_PRICE(45549)&lt;/Q&gt;&lt;R&gt;1&lt;/R&gt;&lt;C&gt;1&lt;/C&gt;&lt;D xsi:type="xsd:double"&gt;1.20115&lt;/D&gt;&lt;/FQL&gt;&lt;FQL&gt;&lt;Q&gt;EURUSD^FG_PRICE(45549)&lt;/Q&gt;&lt;R&gt;1&lt;/R&gt;&lt;C&gt;1&lt;/C&gt;&lt;D xsi:type="xsd:double"&gt;1.0673&lt;/D&gt;&lt;/FQL&gt;&lt;FQL&gt;&lt;Q&gt;GBPUSD^FG_PRICE(45548)&lt;/Q&gt;&lt;R&gt;1&lt;/R&gt;&lt;C&gt;1&lt;/C&gt;&lt;D xsi:type="xsd:double"&gt;1.20115&lt;/D&gt;&lt;/FQL&gt;&lt;FQL&gt;&lt;Q&gt;EURUSD^FG_PRICE(45548)&lt;/Q&gt;&lt;R&gt;1&lt;/R&gt;&lt;C&gt;1&lt;/C&gt;&lt;D xsi:type="xsd:double"&gt;1.0673&lt;/D&gt;&lt;/FQL&gt;&lt;FQL&gt;&lt;Q&gt;GBPUSD^FG_PRICE(45547)&lt;/Q&gt;&lt;R&gt;1&lt;/R&gt;&lt;C&gt;1&lt;/C&gt;&lt;D xsi:type="xsd:double"&gt;1.20115&lt;/D&gt;&lt;/FQL&gt;&lt;FQL&gt;&lt;Q&gt;EURUSD^FG_PRICE(45547)&lt;/Q&gt;&lt;R&gt;1&lt;/R&gt;&lt;C&gt;1&lt;/C&gt;&lt;D xsi:type="xsd:double"&gt;1.0673&lt;/D&gt;&lt;/FQL&gt;&lt;FQL&gt;&lt;Q&gt;GBPUSD^FG_PRICE(45546)&lt;/Q&gt;&lt;R&gt;1&lt;/R&gt;&lt;C&gt;1&lt;/C&gt;&lt;D xsi:type="xsd:double"&gt;1.20115&lt;/D&gt;&lt;/FQL&gt;&lt;FQL&gt;&lt;Q&gt;EURUSD^FG_PRICE(45546)&lt;/Q&gt;&lt;R&gt;1&lt;/R&gt;&lt;C&gt;1&lt;/C&gt;&lt;D xsi:type="xsd:double"&gt;1.0673&lt;/D&gt;&lt;/FQL&gt;&lt;FQL&gt;&lt;Q&gt;GBPUSD^FG_PRICE(45545)&lt;/Q&gt;&lt;R&gt;1&lt;/R&gt;&lt;C&gt;1&lt;/C&gt;&lt;D xsi:type="xsd:double"&gt;1.20115&lt;/D&gt;&lt;/FQL&gt;&lt;FQL&gt;&lt;Q&gt;EURUSD^FG_PRICE(45545)&lt;/Q&gt;&lt;R&gt;1&lt;/R&gt;&lt;C&gt;1&lt;/C&gt;&lt;D xsi:type="xsd:double"&gt;1.0673&lt;/D&gt;&lt;/FQL&gt;&lt;FQL&gt;&lt;Q&gt;GBPUSD^FG_PRICE(45544)&lt;/Q&gt;&lt;R&gt;1&lt;/R&gt;&lt;C&gt;1&lt;/C&gt;&lt;D xsi:type="xsd:double"&gt;1.20115&lt;/D&gt;&lt;/FQL&gt;&lt;FQL&gt;&lt;Q&gt;EURUSD^FG_PRICE(45544)&lt;/Q&gt;&lt;R&gt;1&lt;/R&gt;&lt;C&gt;1&lt;/C&gt;&lt;D xsi:type="xsd:double"&gt;1.0673&lt;/D&gt;&lt;/FQL&gt;&lt;FQL&gt;&lt;Q&gt;GBPUSD^FG_PRICE(45543)&lt;/Q&gt;&lt;R&gt;1&lt;/R&gt;&lt;C&gt;1&lt;/C&gt;&lt;D xsi:type="xsd:double"&gt;1.20115&lt;/D&gt;&lt;/FQL&gt;&lt;FQL&gt;&lt;Q&gt;EURUSD^FG_PRICE(45543)&lt;/Q&gt;&lt;R&gt;1&lt;/R&gt;&lt;C&gt;1&lt;/C&gt;&lt;D xsi:type="xsd:double"&gt;1.0673&lt;/D&gt;&lt;/FQL&gt;&lt;FQL&gt;&lt;Q&gt;GBPUSD^FG_PRICE(45542)&lt;/Q&gt;&lt;R&gt;1&lt;/R&gt;&lt;C&gt;1&lt;/C&gt;&lt;D xsi:type="xsd:double"&gt;1.20115&lt;/D&gt;&lt;/FQL&gt;&lt;FQL&gt;&lt;Q&gt;EURUSD^FG_PRICE(45542)&lt;/Q&gt;&lt;R&gt;1&lt;/R&gt;&lt;C&gt;1&lt;/C&gt;&lt;D xsi:type="xsd:double"&gt;1.0673&lt;/D&gt;&lt;/FQL&gt;&lt;FQL&gt;&lt;Q&gt;GBPUSD^FG_PRICE(45541)&lt;/Q&gt;&lt;R&gt;1&lt;/R&gt;&lt;C&gt;1&lt;/C&gt;&lt;D xsi:type="xsd:double"&gt;1.20115&lt;/D&gt;&lt;/FQL&gt;&lt;FQL&gt;&lt;Q&gt;EURUSD^FG_PRICE(45541)&lt;/Q&gt;&lt;R&gt;1&lt;/R&gt;&lt;C&gt;1&lt;/C&gt;&lt;D xsi:type="xsd:double"&gt;1.0673&lt;/D&gt;&lt;/FQL&gt;&lt;FQL&gt;&lt;Q&gt;GBPUSD^FG_PRICE(45540)&lt;/Q&gt;&lt;R&gt;1&lt;/R&gt;&lt;C&gt;1&lt;/C&gt;&lt;D xsi:type="xsd:double"&gt;1.20115&lt;/D&gt;&lt;/FQL&gt;&lt;FQL&gt;&lt;Q&gt;EURUSD^FG_PRICE(45540)&lt;/Q&gt;&lt;R&gt;1&lt;/R&gt;&lt;C&gt;1&lt;/C&gt;&lt;D xsi:type="xsd:double"&gt;1.0673&lt;/D&gt;&lt;/FQL&gt;&lt;FQL&gt;&lt;Q&gt;GBPUSD^FG_PRICE(45539)&lt;/Q&gt;&lt;R&gt;1&lt;/R&gt;&lt;C&gt;1&lt;/C&gt;&lt;D xsi:type="xsd:double"&gt;1.20115&lt;/D&gt;&lt;/FQL&gt;&lt;FQL&gt;&lt;Q&gt;EURUSD^FG_PRICE(45539)&lt;/Q&gt;&lt;R&gt;1&lt;/R&gt;&lt;C&gt;1&lt;/C&gt;&lt;D xsi:type="xsd:double"&gt;1.0673&lt;/D&gt;&lt;/FQL&gt;&lt;FQL&gt;&lt;Q&gt;GBPUSD^FG_PRICE(45538)&lt;/Q&gt;&lt;R&gt;1&lt;/R&gt;&lt;C&gt;1&lt;/C&gt;&lt;D xsi:type="xsd:double"&gt;1.20115&lt;/D&gt;&lt;/FQL&gt;&lt;FQL&gt;&lt;Q&gt;EURUSD^FG_PRICE(45538)&lt;/Q&gt;&lt;R&gt;1&lt;/R&gt;&lt;C&gt;1&lt;/C&gt;&lt;D xsi:type="xsd:double"&gt;1.0673&lt;/D&gt;&lt;/FQL&gt;&lt;FQL&gt;&lt;Q&gt;GBPUSD^FG_PRICE(45537)&lt;/Q&gt;&lt;R&gt;1&lt;/R&gt;&lt;C&gt;1&lt;/C&gt;&lt;D xsi:type="xsd:double"&gt;1.20115&lt;/D&gt;&lt;/FQL&gt;&lt;FQL&gt;&lt;Q&gt;EURUSD^FG_PRICE(45537)&lt;/Q&gt;&lt;R&gt;1&lt;/R&gt;&lt;C&gt;1&lt;/C&gt;&lt;D xsi:type="xsd:double"&gt;1.0673&lt;/D&gt;&lt;/FQL&gt;&lt;FQL&gt;&lt;Q&gt;GBPUSD^FG_PRICE(45536)&lt;/Q&gt;&lt;R&gt;1&lt;/R&gt;&lt;C&gt;1&lt;/C&gt;&lt;D xsi:type="xsd:double"&gt;1.20115&lt;/D&gt;&lt;/FQL&gt;&lt;FQL&gt;&lt;Q&gt;EURUSD^FG_PRICE(45536)&lt;/Q&gt;&lt;R&gt;1&lt;/R&gt;&lt;C&gt;1&lt;/C&gt;&lt;D xsi:type="xsd:double"&gt;1.0673&lt;/D&gt;&lt;/FQL&gt;&lt;FQL&gt;&lt;Q&gt;GBPUSD^FG_PRICE(45535)&lt;/Q&gt;&lt;R&gt;1&lt;/R&gt;&lt;C&gt;1&lt;/C&gt;&lt;D xsi:type="xsd:double"&gt;1.20115&lt;/D&gt;&lt;/FQL&gt;&lt;FQL&gt;&lt;Q&gt;EURUSD^FG_PRICE(45535)&lt;/Q&gt;&lt;R&gt;1&lt;/R&gt;&lt;C&gt;1&lt;/C&gt;&lt;D xsi:type="xsd:double"&gt;1.0673&lt;/D&gt;&lt;/FQL&gt;&lt;FQL&gt;&lt;Q&gt;GBPUSD^FG_PRICE(45534)&lt;/Q&gt;&lt;R&gt;1&lt;/R&gt;&lt;C&gt;1&lt;/C&gt;&lt;D xsi:type="xsd:double"&gt;1.20115&lt;/D&gt;&lt;/FQL&gt;&lt;FQL&gt;&lt;Q&gt;EURUSD^FG_PRICE(45534)&lt;/Q&gt;&lt;R&gt;1&lt;/R&gt;&lt;C&gt;1&lt;/C&gt;&lt;D xsi:type="xsd:double"&gt;1.0673&lt;/D&gt;&lt;/FQL&gt;&lt;FQL&gt;&lt;Q&gt;GBPUSD^FG_PRICE(45533)&lt;/Q&gt;&lt;R&gt;1&lt;/R&gt;&lt;C&gt;1&lt;/C&gt;&lt;D xsi:type="xsd:double"&gt;1.20115&lt;/D&gt;&lt;/FQL&gt;&lt;FQL&gt;&lt;Q&gt;EURUSD^FG_PRICE(45533)&lt;/Q&gt;&lt;R&gt;1&lt;/R&gt;&lt;C&gt;1&lt;/C&gt;&lt;D xsi:type="xsd:double"&gt;1.0673&lt;/D&gt;&lt;/FQL&gt;&lt;FQL&gt;&lt;Q&gt;GBPUSD^FG_PRICE(45532)&lt;/Q&gt;&lt;R&gt;1&lt;/R&gt;&lt;C&gt;1&lt;/C&gt;&lt;D xsi:type="xsd:double"&gt;1.20115&lt;/D&gt;&lt;/FQL&gt;&lt;FQL&gt;&lt;Q&gt;EURUSD^FG_PRICE(45532)&lt;/Q&gt;&lt;R&gt;1&lt;/R&gt;&lt;C&gt;1&lt;/C&gt;&lt;D xsi:type="xsd:double"&gt;1.0673&lt;/D&gt;&lt;/FQL&gt;&lt;FQL&gt;&lt;Q&gt;GBPUSD^FG_PRICE(45531)&lt;/Q&gt;&lt;R&gt;1&lt;/R&gt;&lt;C&gt;1&lt;/C&gt;&lt;D xsi:type="xsd:double"&gt;1.20115&lt;/D&gt;&lt;/FQL&gt;&lt;FQL&gt;&lt;Q&gt;EURUSD^FG_PRICE(45531)&lt;/Q&gt;&lt;R&gt;1&lt;/R&gt;&lt;C&gt;1&lt;/C&gt;&lt;D xsi:type="xsd:double"&gt;1.0673&lt;/D&gt;&lt;/FQL&gt;&lt;FQL&gt;&lt;Q&gt;GBPUSD^FG_PRICE(45530)&lt;/Q&gt;&lt;R&gt;1&lt;/R&gt;&lt;C&gt;1&lt;/C&gt;&lt;D xsi:type="xsd:double"&gt;1.20115&lt;/D&gt;&lt;/FQL&gt;&lt;FQL&gt;&lt;Q&gt;EURUSD^FG_PRICE(45530)&lt;/Q&gt;&lt;R&gt;1&lt;/R&gt;&lt;C&gt;1&lt;/C&gt;&lt;D xsi:type="xsd:double"&gt;1.0673&lt;/D&gt;&lt;/FQL&gt;&lt;FQL&gt;&lt;Q&gt;GBPUSD^FG_PRICE(45529)&lt;/Q&gt;&lt;R&gt;1&lt;/R&gt;&lt;C&gt;1&lt;/C&gt;&lt;D xsi:type="xsd:double"&gt;1.20115&lt;/D&gt;&lt;/FQL&gt;&lt;FQL&gt;&lt;Q&gt;EURUSD^FG_PRICE(45529)&lt;/Q&gt;&lt;R&gt;1&lt;/R&gt;&lt;C&gt;1&lt;/C&gt;&lt;D xsi:type="xsd:double"&gt;1.0673&lt;/D&gt;&lt;/FQL&gt;&lt;FQL&gt;&lt;Q&gt;GBPUSD^FG_PRICE(45528)&lt;/Q&gt;&lt;R&gt;1&lt;/R&gt;&lt;C&gt;1&lt;/C&gt;&lt;D xsi:type="xsd:double"&gt;1.20115&lt;/D&gt;&lt;/FQL&gt;&lt;FQL&gt;&lt;Q&gt;EURUSD^FG_PRICE(45528)&lt;/Q&gt;&lt;R&gt;1&lt;/R&gt;&lt;C&gt;1&lt;/C&gt;&lt;D xsi:type="xsd:double"&gt;1.0673&lt;/D&gt;&lt;/FQL&gt;&lt;FQL&gt;&lt;Q&gt;GBPUSD^FG_PRICE(45527)&lt;/Q&gt;&lt;R&gt;1&lt;/R&gt;&lt;C&gt;1&lt;/C&gt;&lt;D xsi:type="xsd:double"&gt;1.20115&lt;/D&gt;&lt;/FQL&gt;&lt;FQL&gt;&lt;Q&gt;EURUSD^FG_PRICE(45527)&lt;/Q&gt;&lt;R&gt;1&lt;/R&gt;&lt;C&gt;1&lt;/C&gt;&lt;D xsi:type="xsd:double"&gt;1.0673&lt;/D&gt;&lt;/FQL&gt;&lt;FQL&gt;&lt;Q&gt;GBPUSD^FG_PRICE(45526)&lt;/Q&gt;&lt;R&gt;1&lt;/R&gt;&lt;C&gt;1&lt;/C&gt;&lt;D xsi:type="xsd:double"&gt;1.20115&lt;/D&gt;&lt;/FQL&gt;&lt;FQL&gt;&lt;Q&gt;EURUSD^FG_PRICE(45526)&lt;/Q&gt;&lt;R&gt;1&lt;/R&gt;&lt;C&gt;1&lt;/C&gt;&lt;D xsi:type="xsd:double"&gt;1.0673&lt;/D&gt;&lt;/FQL&gt;&lt;FQL&gt;&lt;Q&gt;GBPUSD^FG_PRICE(45525)&lt;/Q&gt;&lt;R&gt;1&lt;/R&gt;&lt;C&gt;1&lt;/C&gt;&lt;D xsi:type="xsd:double"&gt;1.20115&lt;/D&gt;&lt;/FQL&gt;&lt;FQL&gt;&lt;Q&gt;EURUSD^FG_PRICE(45525)&lt;/Q&gt;&lt;R&gt;1&lt;/R&gt;&lt;C&gt;1&lt;/C&gt;&lt;D xsi:type="xsd:double"&gt;1.0673&lt;/D&gt;&lt;/FQL&gt;&lt;FQL&gt;&lt;Q&gt;GBPUSD^FG_PRICE(45524)&lt;/Q&gt;&lt;R&gt;1&lt;/R&gt;&lt;C&gt;1&lt;/C&gt;&lt;D xsi:type="xsd:double"&gt;1.20115&lt;/D&gt;&lt;/FQL&gt;&lt;FQL&gt;&lt;Q&gt;EURUSD^FG_PRICE(45524)&lt;/Q&gt;&lt;R&gt;1&lt;/R&gt;&lt;C&gt;1&lt;/C&gt;&lt;D xsi:type="xsd:double"&gt;1.0673&lt;/D&gt;&lt;/FQL&gt;&lt;FQL&gt;&lt;Q&gt;GBPUSD^FG_PRICE(45523)&lt;/Q&gt;&lt;R&gt;1&lt;/R&gt;&lt;C&gt;1&lt;/C&gt;&lt;D xsi:type="xsd:double"&gt;1.20115&lt;/D&gt;&lt;/FQL&gt;&lt;FQL&gt;&lt;Q&gt;EURUSD^FG_PRICE(45523)&lt;/Q&gt;&lt;R&gt;1&lt;/R&gt;&lt;C&gt;1&lt;/C&gt;&lt;D xsi:type="xsd:double"&gt;1.0673&lt;/D&gt;&lt;/FQL&gt;&lt;FQL&gt;&lt;Q&gt;GBPUSD^FG_PRICE(45522)&lt;/Q&gt;&lt;R&gt;1&lt;/R&gt;&lt;C&gt;1&lt;/C&gt;&lt;D xsi:type="xsd:double"&gt;1.20115&lt;/D&gt;&lt;/FQL&gt;&lt;FQL&gt;&lt;Q&gt;EURUSD^FG_PRICE(45522)&lt;/Q&gt;&lt;R&gt;1&lt;/R&gt;&lt;C&gt;1&lt;/C&gt;&lt;D xsi:type="xsd:double"&gt;1.0673&lt;/D&gt;&lt;/FQL&gt;&lt;FQL&gt;&lt;Q&gt;GBPUSD^FG_PRICE(45521)&lt;/Q&gt;&lt;R&gt;1&lt;/R&gt;&lt;C&gt;1&lt;/C&gt;&lt;D xsi:type="xsd:double"&gt;1.20115&lt;/D&gt;&lt;/FQL&gt;&lt;FQL&gt;&lt;Q&gt;EURUSD^FG_PRICE(45521)&lt;/Q&gt;&lt;R&gt;1&lt;/R&gt;&lt;C&gt;1&lt;/C&gt;&lt;D xsi:type="xsd:double"&gt;1.0673&lt;/D&gt;&lt;/FQL&gt;&lt;FQL&gt;&lt;Q&gt;GBPUSD^FG_PRICE(45520)&lt;/Q&gt;&lt;R&gt;1&lt;/R&gt;&lt;C&gt;1&lt;/C&gt;&lt;D xsi:type="xsd:double"&gt;1.20115&lt;/D&gt;&lt;/FQL&gt;&lt;FQL&gt;&lt;Q&gt;EURUSD^FG_PRICE(45520)&lt;/Q&gt;&lt;R&gt;1&lt;/R&gt;&lt;C&gt;1&lt;/C&gt;&lt;D xsi:type="xsd:double"&gt;1.0673&lt;/D&gt;&lt;/FQL&gt;&lt;FQL&gt;&lt;Q&gt;GBPUSD^FG_PRICE(45519)&lt;/Q&gt;&lt;R&gt;1&lt;/R&gt;&lt;C&gt;1&lt;/C&gt;&lt;D xsi:type="xsd:double"&gt;1.20115&lt;/D&gt;&lt;/FQL&gt;&lt;FQL&gt;&lt;Q&gt;EURUSD^FG_PRICE(45519)&lt;/Q&gt;&lt;R&gt;1&lt;/R&gt;&lt;C&gt;1&lt;/C&gt;&lt;D xsi:type="xsd:double"&gt;1.0673&lt;/D&gt;&lt;/FQL&gt;&lt;FQL&gt;&lt;Q&gt;GBPUSD^FG_PRICE(45518)&lt;/Q&gt;&lt;R&gt;1&lt;/R&gt;&lt;C&gt;1&lt;/C&gt;&lt;D xsi:type="xsd:double"&gt;1.20115&lt;/D&gt;&lt;/FQL&gt;&lt;FQL&gt;&lt;Q&gt;EURUSD^FG_PRICE(45518)&lt;/Q&gt;&lt;R&gt;1&lt;/R&gt;&lt;C&gt;1&lt;/C&gt;&lt;D xsi:type="xsd:double"&gt;1.0673&lt;/D&gt;&lt;/FQL&gt;&lt;FQL&gt;&lt;Q&gt;GBPUSD^FG_PRICE(45517)&lt;/Q&gt;&lt;R&gt;1&lt;/R&gt;&lt;C&gt;1&lt;/C&gt;&lt;D xsi:type="xsd:double"&gt;1.20115&lt;/D&gt;&lt;/FQL&gt;&lt;FQL&gt;&lt;Q&gt;EURUSD^FG_PRICE(45517)&lt;/Q&gt;&lt;R&gt;1&lt;/R&gt;&lt;C&gt;1&lt;/C&gt;&lt;D xsi:type="xsd:double"&gt;1.0673&lt;/D&gt;&lt;/FQL&gt;&lt;FQL&gt;&lt;Q&gt;GBPUSD^FG_PRICE(45516)&lt;/Q&gt;&lt;R&gt;1&lt;/R&gt;&lt;C&gt;1&lt;/C&gt;&lt;D xsi:type="xsd:double"&gt;1.20115&lt;/D&gt;&lt;/FQL&gt;&lt;FQL&gt;&lt;Q&gt;EURUSD^FG_PRICE(45516)&lt;/Q&gt;&lt;R&gt;1&lt;/R&gt;&lt;C&gt;1&lt;/C&gt;&lt;D xsi:type="xsd:double"&gt;1.0673&lt;/D&gt;&lt;/FQL&gt;&lt;FQL&gt;&lt;Q&gt;GBPUSD^FG_PRICE(45515)&lt;/Q&gt;&lt;R&gt;1&lt;/R&gt;&lt;C&gt;1&lt;/C&gt;&lt;D xsi:type="xsd:double"&gt;1.20115&lt;/D&gt;&lt;/FQL&gt;&lt;FQL&gt;&lt;Q&gt;EURUSD^FG_PRICE(45515)&lt;/Q&gt;&lt;R&gt;1&lt;/R&gt;&lt;C&gt;1&lt;/C&gt;&lt;D xsi:type="xsd:double"&gt;1.0673&lt;/D&gt;&lt;/FQL&gt;&lt;FQL&gt;&lt;Q&gt;GBPUSD^FG_PRICE(45514)&lt;/Q&gt;&lt;R&gt;1&lt;/R&gt;&lt;C&gt;1&lt;/C&gt;&lt;D xsi:type="xsd:double"&gt;1.20115&lt;/D&gt;&lt;/FQL&gt;&lt;FQL&gt;&lt;Q&gt;EURUSD^FG_PRICE(45514)&lt;/Q&gt;&lt;R&gt;1&lt;/R&gt;&lt;C&gt;1&lt;/C&gt;&lt;D xsi:type="xsd:double"&gt;1.0673&lt;/D&gt;&lt;/FQL&gt;&lt;FQL&gt;&lt;Q&gt;GBPUSD^FG_PRICE(45513)&lt;/Q&gt;&lt;R&gt;1&lt;/R&gt;&lt;C&gt;1&lt;/C&gt;&lt;D xsi:type="xsd:double"&gt;1.20115&lt;/D&gt;&lt;/FQL&gt;&lt;FQL&gt;&lt;Q&gt;EURUSD^FG_PRICE(45513)&lt;/Q&gt;&lt;R&gt;1&lt;/R&gt;&lt;C&gt;1&lt;/C&gt;&lt;D xsi:type="xsd:double"&gt;1.0673&lt;/D&gt;&lt;/FQL&gt;&lt;FQL&gt;&lt;Q&gt;GBPUSD^FG_PRICE(45512)&lt;/Q&gt;&lt;R&gt;1&lt;/R&gt;&lt;C&gt;1&lt;/C&gt;&lt;D xsi:type="xsd:double"&gt;1.20115&lt;/D&gt;&lt;/FQL&gt;&lt;FQL&gt;&lt;Q&gt;EURUSD^FG_PRICE(45512)&lt;/Q&gt;&lt;R&gt;1&lt;/R&gt;&lt;C&gt;1&lt;/C&gt;&lt;D xsi:type="xsd:double"&gt;1.0673&lt;/D&gt;&lt;/FQL&gt;&lt;FQL&gt;&lt;Q&gt;GBPUSD^FG_PRICE(45511)&lt;/Q&gt;&lt;R&gt;1&lt;/R&gt;&lt;C&gt;1&lt;/C&gt;&lt;D xsi:type="xsd:double"&gt;1.20115&lt;/D&gt;&lt;/FQL&gt;&lt;FQL&gt;&lt;Q&gt;EURUSD^FG_PRICE(45511)&lt;/Q&gt;&lt;R&gt;1&lt;/R&gt;&lt;C&gt;1&lt;/C&gt;&lt;D xsi:type="xsd:double"&gt;1.0673&lt;/D&gt;&lt;/FQL&gt;&lt;FQL&gt;&lt;Q&gt;GBPUSD^FG_PRICE(45510)&lt;/Q&gt;&lt;R&gt;1&lt;/R&gt;&lt;C&gt;1&lt;/C&gt;&lt;D xsi:type="xsd:double"&gt;1.20115&lt;/D&gt;&lt;/FQL&gt;&lt;FQL&gt;&lt;Q&gt;EURUSD^FG_PRICE(45510)&lt;/Q&gt;&lt;R&gt;1&lt;/R&gt;&lt;C&gt;1&lt;/C&gt;&lt;D xsi:type="xsd:double"&gt;1.0673&lt;/D&gt;&lt;/FQL&gt;&lt;FQL&gt;&lt;Q&gt;GBPUSD^FG_PRICE(45509)&lt;/Q&gt;&lt;R&gt;1&lt;/R&gt;&lt;C&gt;1&lt;/C&gt;&lt;D xsi:type="xsd:double"&gt;1.20115&lt;/D&gt;&lt;/FQL&gt;&lt;FQL&gt;&lt;Q&gt;EURUSD^FG_PRICE(45509)&lt;/Q&gt;&lt;R&gt;1&lt;/R&gt;&lt;C&gt;1&lt;/C&gt;&lt;D xsi:type="xsd:double"&gt;1.0673&lt;/D&gt;&lt;/FQL&gt;&lt;FQL&gt;&lt;Q&gt;GBPUSD^FG_PRICE(45508)&lt;/Q&gt;&lt;R&gt;1&lt;/R&gt;&lt;C&gt;1&lt;/C&gt;&lt;D xsi:type="xsd:double"&gt;1.20115&lt;/D&gt;&lt;/FQL&gt;&lt;FQL&gt;&lt;Q&gt;EURUSD^FG_PRICE(45508)&lt;/Q&gt;&lt;R&gt;1&lt;/R&gt;&lt;C&gt;1&lt;/C&gt;&lt;D xsi:type="xsd:double"&gt;1.0673&lt;/D&gt;&lt;/FQL&gt;&lt;FQL&gt;&lt;Q&gt;GBPUSD^FG_PRICE(45507)&lt;/Q&gt;&lt;R&gt;1&lt;/R&gt;&lt;C&gt;1&lt;/C&gt;&lt;D xsi:type="xsd:double"&gt;1.20115&lt;/D&gt;&lt;/FQL&gt;&lt;FQL&gt;&lt;Q&gt;EURUSD^FG_PRICE(45507)&lt;/Q&gt;&lt;R&gt;1&lt;/R&gt;&lt;C&gt;1&lt;/C&gt;&lt;D xsi:type="xsd:double"&gt;1.0673&lt;/D&gt;&lt;/FQL&gt;&lt;FQL&gt;&lt;Q&gt;GBPUSD^FG_PRICE(45506)&lt;/Q&gt;&lt;R&gt;1&lt;/R&gt;&lt;C&gt;1&lt;/C&gt;&lt;D xsi:type="xsd:double"&gt;1.20115&lt;/D&gt;&lt;/FQL&gt;&lt;FQL&gt;&lt;Q&gt;EURUSD^FG_PRICE(45506)&lt;/Q&gt;&lt;R&gt;1&lt;/R&gt;&lt;C&gt;1&lt;/C&gt;&lt;D xsi:type="xsd:double"&gt;1.0673&lt;/D&gt;&lt;/FQL&gt;&lt;FQL&gt;&lt;Q&gt;GBPUSD^FG_PRICE(45505)&lt;/Q&gt;&lt;R&gt;1&lt;/R&gt;&lt;C&gt;1&lt;/C&gt;&lt;D xsi:type="xsd:double"&gt;1.20115&lt;/D&gt;&lt;/FQL&gt;&lt;FQL&gt;&lt;Q&gt;EURUSD^FG_PRICE(45505)&lt;/Q&gt;&lt;R&gt;1&lt;/R&gt;&lt;C&gt;1&lt;/C&gt;&lt;D xsi:type="xsd:double"&gt;1.0673&lt;/D&gt;&lt;/FQL&gt;&lt;FQL&gt;&lt;Q&gt;GBPUSD^FG_PRICE(45504)&lt;/Q&gt;&lt;R&gt;1&lt;/R&gt;&lt;C&gt;1&lt;/C&gt;&lt;D xsi:type="xsd:double"&gt;1.20115&lt;/D&gt;&lt;/FQL&gt;&lt;FQL&gt;&lt;Q&gt;EURUSD^FG_PRICE(45504)&lt;/Q&gt;&lt;R&gt;1&lt;/R&gt;&lt;C&gt;1&lt;/C&gt;&lt;D xsi:type="xsd:double"&gt;1.0673&lt;/D&gt;&lt;/FQL&gt;&lt;FQL&gt;&lt;Q&gt;GBPUSD^FG_PRICE(45503)&lt;/Q&gt;&lt;R&gt;1&lt;/R&gt;&lt;C&gt;1&lt;/C&gt;&lt;D xsi:type="xsd:double"&gt;1.20115&lt;/D&gt;&lt;/FQL&gt;&lt;FQL&gt;&lt;Q&gt;EURUSD^FG_PRICE(45503)&lt;/Q&gt;&lt;R&gt;1&lt;/R&gt;&lt;C&gt;1&lt;/C&gt;&lt;D xsi:type="xsd:double"&gt;1.0673&lt;/D&gt;&lt;/FQL&gt;&lt;FQL&gt;&lt;Q&gt;GBPUSD^FG_PRICE(45502)&lt;/Q&gt;&lt;R&gt;1&lt;/R&gt;&lt;C&gt;1&lt;/C&gt;&lt;D xsi:type="xsd:double"&gt;1.20115&lt;/D&gt;&lt;/FQL&gt;&lt;FQL&gt;&lt;Q&gt;EURUSD^FG_PRICE(45502)&lt;/Q&gt;&lt;R&gt;1&lt;/R&gt;&lt;C&gt;1&lt;/C&gt;&lt;D xsi:type="xsd:double"&gt;1.0673&lt;/D&gt;&lt;/FQL&gt;&lt;FQL&gt;&lt;Q&gt;GBPUSD^FG_PRICE(45501)&lt;/Q&gt;&lt;R&gt;1&lt;/R&gt;&lt;C&gt;1&lt;/C&gt;&lt;D xsi:type="xsd:double"&gt;1.20115&lt;/D&gt;&lt;/FQL&gt;&lt;FQL&gt;&lt;Q&gt;EURUSD^FG_PRICE(45501)&lt;/Q&gt;&lt;R&gt;1&lt;/R&gt;&lt;C&gt;1&lt;/C&gt;&lt;D xsi:type="xsd:double"&gt;1.0673&lt;/D&gt;&lt;/FQL&gt;&lt;FQL&gt;&lt;Q&gt;GBPUSD^FG_PRICE(45500)&lt;/Q&gt;&lt;R&gt;1&lt;/R&gt;&lt;C&gt;1&lt;/C&gt;&lt;D xsi:type="xsd:double"&gt;1.20115&lt;/D&gt;&lt;/FQL&gt;&lt;FQL&gt;&lt;Q&gt;EURUSD^FG_PRICE(45500)&lt;/Q&gt;&lt;R&gt;1&lt;/R&gt;&lt;C&gt;1&lt;/C&gt;&lt;D xsi:type="xsd:double"&gt;1.0673&lt;/D&gt;&lt;/FQL&gt;&lt;FQL&gt;&lt;Q&gt;GBPUSD^FG_PRICE(45499)&lt;/Q&gt;&lt;R&gt;1&lt;/R&gt;&lt;C&gt;1&lt;/C&gt;&lt;D xsi:type="xsd:double"&gt;1.20115&lt;/D&gt;&lt;/FQL&gt;&lt;FQL&gt;&lt;Q&gt;EURUSD^FG_PRICE(45499)&lt;/Q&gt;&lt;R&gt;1&lt;/R&gt;&lt;C&gt;1&lt;/C&gt;&lt;D xsi:type="xsd:double"&gt;1.0673&lt;/D&gt;&lt;/FQL&gt;&lt;FQL&gt;&lt;Q&gt;GBPUSD^FG_PRICE(45498)&lt;/Q&gt;&lt;R&gt;1&lt;/R&gt;&lt;C&gt;1&lt;/C&gt;&lt;D xsi:type="xsd:double"&gt;1.20115&lt;/D&gt;&lt;/FQL&gt;&lt;FQL&gt;&lt;Q&gt;EURUSD^FG_PRICE(45498)&lt;/Q&gt;&lt;R&gt;1&lt;/R&gt;&lt;C&gt;1&lt;/C&gt;&lt;D xsi:type="xsd:double"&gt;1.0673&lt;/D&gt;&lt;/FQL&gt;&lt;FQL&gt;&lt;Q&gt;GBPUSD^FG_PRICE(45497)&lt;/Q&gt;&lt;R&gt;1&lt;/R&gt;&lt;C&gt;1&lt;/C&gt;&lt;D xsi:type="xsd:double"&gt;1.20115&lt;/D&gt;&lt;/FQL&gt;&lt;FQL&gt;&lt;Q&gt;EURUSD^FG_PRICE(45497)&lt;/Q&gt;&lt;R&gt;1&lt;/R&gt;&lt;C&gt;1&lt;/C&gt;&lt;D xsi:type="xsd:double"&gt;1.0673&lt;/D&gt;&lt;/FQL&gt;&lt;FQL&gt;&lt;Q&gt;GBPUSD^FG_PRICE(45496)&lt;/Q&gt;&lt;R&gt;1&lt;/R&gt;&lt;C&gt;1&lt;/C&gt;&lt;D xsi:type="xsd:double"&gt;1.20115&lt;/D&gt;&lt;/FQL&gt;&lt;FQL&gt;&lt;Q&gt;EURUSD^FG_PRICE(45496)&lt;/Q&gt;&lt;R&gt;1&lt;/R&gt;&lt;C&gt;1&lt;/C&gt;&lt;D xsi:type="xsd:double"&gt;1.0673&lt;/D&gt;&lt;/FQL&gt;&lt;FQL&gt;&lt;Q&gt;GBPUSD^FG_PRICE(45495)&lt;/Q&gt;&lt;R&gt;1&lt;/R&gt;&lt;C&gt;1&lt;/C&gt;&lt;D xsi:type="xsd:double"&gt;1.20115&lt;/D&gt;&lt;/FQL&gt;&lt;FQL&gt;&lt;Q&gt;EURUSD^FG_PRICE(45495)&lt;/Q&gt;&lt;R&gt;1&lt;/R&gt;&lt;C&gt;1&lt;/C&gt;&lt;D xsi:type="xsd:double"&gt;1.0673&lt;/D&gt;&lt;/FQL&gt;&lt;FQL&gt;&lt;Q&gt;GBPUSD^FG_PRICE(45494)&lt;/Q&gt;&lt;R&gt;1&lt;/R&gt;&lt;C&gt;1&lt;/C&gt;&lt;D xsi:type="xsd:double"&gt;1.20115&lt;/D&gt;&lt;/FQL&gt;&lt;FQL&gt;&lt;Q&gt;EURUSD^FG_PRICE(45494)&lt;/Q&gt;&lt;R&gt;1&lt;/R&gt;&lt;C&gt;1&lt;/C&gt;&lt;D xsi:type="xsd:double"&gt;1.0673&lt;/D&gt;&lt;/FQL&gt;&lt;FQL&gt;&lt;Q&gt;GBPUSD^FG_PRICE(45493)&lt;/Q&gt;&lt;R&gt;1&lt;/R&gt;&lt;C&gt;1&lt;/C&gt;&lt;D xsi:type="xsd:double"&gt;1.20115&lt;/D&gt;&lt;/FQL&gt;&lt;FQL&gt;&lt;Q&gt;EURUSD^FG_PRICE(45493)&lt;/Q&gt;&lt;R&gt;1&lt;/R&gt;&lt;C&gt;1&lt;/C&gt;&lt;D xsi:type="xsd:double"&gt;1.0673&lt;/D&gt;&lt;/FQL&gt;&lt;FQL&gt;&lt;Q&gt;GBPUSD^FG_PRICE(45492)&lt;/Q&gt;&lt;R&gt;1&lt;/R&gt;&lt;C&gt;1&lt;/C&gt;&lt;D xsi:type="xsd:double"&gt;1.20115&lt;/D&gt;&lt;/FQL&gt;&lt;FQL&gt;&lt;Q&gt;EURUSD^FG_PRICE(45492)&lt;/Q&gt;&lt;R&gt;1&lt;/R&gt;&lt;C&gt;1&lt;/C&gt;&lt;D xsi:type="xsd:double"&gt;1.0673&lt;/D&gt;&lt;/FQL&gt;&lt;FQL&gt;&lt;Q&gt;GBPUSD^FG_PRICE(45491)&lt;/Q&gt;&lt;R&gt;1&lt;/R&gt;&lt;C&gt;1&lt;/C&gt;&lt;D xsi:type="xsd:double"&gt;1.20115&lt;/D&gt;&lt;/FQL&gt;&lt;FQL&gt;&lt;Q&gt;EURUSD^FG_PRICE(45491)&lt;/Q&gt;&lt;R&gt;1&lt;/R&gt;&lt;C&gt;1&lt;/C&gt;&lt;D xsi:type="xsd:double"&gt;1.0673&lt;/D&gt;&lt;/FQL&gt;&lt;FQL&gt;&lt;Q&gt;GBPUSD^FG_PRICE(45490)&lt;/Q&gt;&lt;R&gt;1&lt;/R&gt;&lt;C&gt;1&lt;/C&gt;&lt;D xsi:type="xsd:double"&gt;1.20115&lt;/D&gt;&lt;/FQL&gt;&lt;FQL&gt;&lt;Q&gt;EURUSD^FG_PRICE(45490)&lt;/Q&gt;&lt;R&gt;1&lt;/R&gt;&lt;C&gt;1&lt;/C&gt;&lt;D xsi:type="xsd:double"&gt;1.0673&lt;/D&gt;&lt;/FQL&gt;&lt;FQL&gt;&lt;Q&gt;GBPUSD^FG_PRICE(45489)&lt;/Q&gt;&lt;R&gt;1&lt;/R&gt;&lt;C&gt;1&lt;/C&gt;&lt;D xsi:type="xsd:double"&gt;1.20115&lt;/D&gt;&lt;/FQL&gt;&lt;FQL&gt;&lt;Q&gt;EURUSD^FG_PRICE(45489)&lt;/Q&gt;&lt;R&gt;1&lt;/R&gt;&lt;C&gt;1&lt;/C&gt;&lt;D xsi:type="xsd:double"&gt;1.0673&lt;/D&gt;&lt;/FQL&gt;&lt;FQL&gt;&lt;Q&gt;GBPUSD^FG_PRICE(45488)&lt;/Q&gt;&lt;R&gt;1&lt;/R&gt;&lt;C&gt;1&lt;/C&gt;&lt;D xsi:type="xsd:double"&gt;1.20115&lt;/D&gt;&lt;/FQL&gt;&lt;FQL&gt;&lt;Q&gt;EURUSD^FG_PRICE(45488)&lt;/Q&gt;&lt;R&gt;1&lt;/R&gt;&lt;C&gt;1&lt;/C&gt;&lt;D xsi:type="xsd:double"&gt;1.0673&lt;/D&gt;&lt;/FQL&gt;&lt;FQL&gt;&lt;Q&gt;GBPUSD^FG_PRICE(45487)&lt;/Q&gt;&lt;R&gt;1&lt;/R&gt;&lt;C&gt;1&lt;/C&gt;&lt;D xsi:type="xsd:double"&gt;1.20115&lt;/D&gt;&lt;/FQL&gt;&lt;FQL&gt;&lt;Q&gt;EURUSD^FG_PRICE(45487)&lt;/Q&gt;&lt;R&gt;1&lt;/R&gt;&lt;C&gt;1&lt;/C&gt;&lt;D xsi:type="xsd:double"&gt;1.0673&lt;/D&gt;&lt;/FQL&gt;&lt;FQL&gt;&lt;Q&gt;GBPUSD^FG_PRICE(45486)&lt;/Q&gt;&lt;R&gt;1&lt;/R&gt;&lt;C&gt;1&lt;/C&gt;&lt;D xsi:type="xsd:double"&gt;1.20115&lt;/D&gt;&lt;/FQL&gt;&lt;FQL&gt;&lt;Q&gt;EURUSD^FG_PRICE(45486)&lt;/Q&gt;&lt;R&gt;1&lt;/R&gt;&lt;C&gt;1&lt;/C&gt;&lt;D xsi:type="xsd:double"&gt;1.0673&lt;/D&gt;&lt;/FQL&gt;&lt;FQL&gt;&lt;Q&gt;GBPUSD^FG_PRICE(45485)&lt;/Q&gt;&lt;R&gt;1&lt;/R&gt;&lt;C&gt;1&lt;/C&gt;&lt;D xsi:type="xsd:double"&gt;1.20115&lt;/D&gt;&lt;/FQL&gt;&lt;FQL&gt;&lt;Q&gt;EURUSD^FG_PRICE(45485)&lt;/Q&gt;&lt;R&gt;1&lt;/R&gt;&lt;C&gt;1&lt;/C&gt;&lt;D xsi:type="xsd:double"&gt;1.0673&lt;/D&gt;&lt;/FQL&gt;&lt;FQL&gt;&lt;Q&gt;GBPUSD^FG_PRICE(45484)&lt;/Q&gt;&lt;R&gt;1&lt;/R&gt;&lt;C&gt;1&lt;/C&gt;&lt;D xsi:type="xsd:double"&gt;1.20115&lt;/D&gt;&lt;/FQL&gt;&lt;FQL&gt;&lt;Q&gt;EURUSD^FG_PRICE(45484)&lt;/Q&gt;&lt;R&gt;1&lt;/R&gt;&lt;C&gt;1&lt;/C&gt;&lt;D xsi:type="xsd:double"&gt;1.0673&lt;/D&gt;&lt;/FQL&gt;&lt;FQL&gt;&lt;Q&gt;GBPUSD^FG_PRICE(45483)&lt;/Q&gt;&lt;R&gt;1&lt;/R&gt;&lt;C&gt;1&lt;/C&gt;&lt;D xsi:type="xsd:double"&gt;1.20115&lt;/D&gt;&lt;/FQL&gt;&lt;FQL&gt;&lt;Q&gt;EURUSD^FG_PRICE(45483)&lt;/Q&gt;&lt;R&gt;1&lt;/R&gt;&lt;C&gt;1&lt;/C&gt;&lt;D xsi:type="xsd:double"&gt;1.0673&lt;/D&gt;&lt;/FQL&gt;&lt;FQL&gt;&lt;Q&gt;GBPUSD^FG_PRICE(45482)&lt;/Q&gt;&lt;R&gt;1&lt;/R&gt;&lt;C&gt;1&lt;/C&gt;&lt;D xsi:type="xsd:double"&gt;1.20115&lt;/D&gt;&lt;/FQL&gt;&lt;FQL&gt;&lt;Q&gt;EURUSD^FG_PRICE(45482)&lt;/Q&gt;&lt;R&gt;1&lt;/R&gt;&lt;C&gt;1&lt;/C&gt;&lt;D xsi:type="xsd:double"&gt;1.0673&lt;/D&gt;&lt;/FQL&gt;&lt;FQL&gt;&lt;Q&gt;GBPUSD^FG_PRICE(45481)&lt;/Q&gt;&lt;R&gt;1&lt;/R&gt;&lt;C&gt;1&lt;/C&gt;&lt;D xsi:type="xsd:double"&gt;1.20115&lt;/D&gt;&lt;/FQL&gt;&lt;FQL&gt;&lt;Q&gt;EURUSD^FG_PRICE(45481)&lt;/Q&gt;&lt;R&gt;1&lt;/R&gt;&lt;C&gt;1&lt;/C&gt;&lt;D xsi:type="xsd:double"&gt;1.0673&lt;/D&gt;&lt;/FQL&gt;&lt;FQL&gt;&lt;Q&gt;GBPUSD^FG_PRICE(45480)&lt;/Q&gt;&lt;R&gt;1&lt;/R&gt;&lt;C&gt;1&lt;/C&gt;&lt;D xsi:type="xsd:double"&gt;1.20115&lt;/D&gt;&lt;/FQL&gt;&lt;FQL&gt;&lt;Q&gt;EURUSD^FG_PRICE(45480)&lt;/Q&gt;&lt;R&gt;1&lt;/R&gt;&lt;C&gt;1&lt;/C&gt;&lt;D xsi:type="xsd:double"&gt;1.0673&lt;/D&gt;&lt;/FQL&gt;&lt;FQL&gt;&lt;Q&gt;GBPUSD^FG_PRICE(45479)&lt;/Q&gt;&lt;R&gt;1&lt;/R&gt;&lt;C&gt;1&lt;/C&gt;&lt;D xsi:type="xsd:double"&gt;1.20115&lt;/D&gt;&lt;/FQL&gt;&lt;FQL&gt;&lt;Q&gt;EURUSD^FG_PRICE(45479)&lt;/Q&gt;&lt;R&gt;1&lt;/R&gt;&lt;C&gt;1&lt;/C&gt;&lt;D xsi:type="xsd:double"&gt;1.0673&lt;/D&gt;&lt;/FQL&gt;&lt;FQL&gt;&lt;Q&gt;GBPUSD^FG_PRICE(45478)&lt;/Q&gt;&lt;R&gt;1&lt;/R&gt;&lt;C&gt;1&lt;/C&gt;&lt;D xsi:type="xsd:double"&gt;1.20115&lt;/D&gt;&lt;/FQL&gt;&lt;FQL&gt;&lt;Q&gt;EURUSD^FG_PRICE(45478)&lt;/Q&gt;&lt;R&gt;1&lt;/R&gt;&lt;C&gt;1&lt;/C&gt;&lt;D xsi:type="xsd:double"&gt;1.0673&lt;/D&gt;&lt;/FQL&gt;&lt;FQL&gt;&lt;Q&gt;GBPUSD^FG_PRICE(45477)&lt;/Q&gt;&lt;R&gt;1&lt;/R&gt;&lt;C&gt;1&lt;/C&gt;&lt;D xsi:type="xsd:double"&gt;1.20115&lt;/D&gt;&lt;/FQL&gt;&lt;FQL&gt;&lt;Q&gt;EURUSD^FG_PRICE(45477)&lt;/Q&gt;&lt;R&gt;1&lt;/R&gt;&lt;C&gt;1&lt;/C&gt;&lt;D xsi:type="xsd:double"&gt;1.0673&lt;/D&gt;&lt;/FQL&gt;&lt;FQL&gt;&lt;Q&gt;GBPUSD^FG_PRICE(45476)&lt;/Q&gt;&lt;R&gt;1&lt;/R&gt;&lt;C&gt;1&lt;/C&gt;&lt;D xsi:type="xsd:double"&gt;1.20115&lt;/D&gt;&lt;/FQL&gt;&lt;FQL&gt;&lt;Q&gt;EURUSD^FG_PRICE(45476)&lt;/Q&gt;&lt;R&gt;1&lt;/R&gt;&lt;C&gt;1&lt;/C&gt;&lt;D xsi:type="xsd:double"&gt;1.0673&lt;/D&gt;&lt;/FQL&gt;&lt;FQL&gt;&lt;Q&gt;GBPUSD^FG_PRICE(45475)&lt;/Q&gt;&lt;R&gt;1&lt;/R&gt;&lt;C&gt;1&lt;/C&gt;&lt;D xsi:type="xsd:double"&gt;1.20115&lt;/D&gt;&lt;/FQL&gt;&lt;FQL&gt;&lt;Q&gt;EURUSD^FG_PRICE(45475)&lt;/Q&gt;&lt;R&gt;1&lt;/R&gt;&lt;C&gt;1&lt;/C&gt;&lt;D xsi:type="xsd:double"&gt;1.0673&lt;/D&gt;&lt;/FQL&gt;&lt;FQL&gt;&lt;Q&gt;GBPUSD^FG_PRICE(45474)&lt;/Q&gt;&lt;R&gt;1&lt;/R&gt;&lt;C&gt;1&lt;/C&gt;&lt;D xsi:type="xsd:double"&gt;1.20115&lt;/D&gt;&lt;/FQL&gt;&lt;FQL&gt;&lt;Q&gt;EURUSD^FG_PRICE(45474)&lt;/Q&gt;&lt;R&gt;1&lt;/R&gt;&lt;C&gt;1&lt;/C&gt;&lt;D xsi:type="xsd:double"&gt;1.0673&lt;/D&gt;&lt;/FQL&gt;&lt;FQL&gt;&lt;Q&gt;GBPUSD^FG_PRICE(45473)&lt;/Q&gt;&lt;R&gt;1&lt;/R&gt;&lt;C&gt;1&lt;/C&gt;&lt;D xsi:type="xsd:double"&gt;1.20115&lt;/D&gt;&lt;/FQL&gt;&lt;FQL&gt;&lt;Q&gt;EURUSD^FG_PRICE(45473)&lt;/Q&gt;&lt;R&gt;1&lt;/R&gt;&lt;C&gt;1&lt;/C&gt;&lt;D xsi:type="xsd:double"&gt;1.0673&lt;/D&gt;&lt;/FQL&gt;&lt;FQL&gt;&lt;Q&gt;GBPUSD^FG_PRICE(45472)&lt;/Q</t>
        </r>
      </text>
    </comment>
    <comment ref="A8" authorId="0" shapeId="0" xr:uid="{0FF74A0F-29AE-49CF-97C9-E0722F66A0EF}">
      <text>
        <r>
          <rPr>
            <b/>
            <sz val="9"/>
            <color indexed="81"/>
            <rFont val="Tahoma"/>
            <family val="2"/>
          </rPr>
          <t>&gt;&lt;R&gt;1&lt;/R&gt;&lt;C&gt;1&lt;/C&gt;&lt;D xsi:type="xsd:double"&gt;1.20115&lt;/D&gt;&lt;/FQL&gt;&lt;FQL&gt;&lt;Q&gt;EURUSD^FG_PRICE(45472)&lt;/Q&gt;&lt;R&gt;1&lt;/R&gt;&lt;C&gt;1&lt;/C&gt;&lt;D xsi:type="xsd:double"&gt;1.0673&lt;/D&gt;&lt;/FQL&gt;&lt;FQL&gt;&lt;Q&gt;GBPUSD^FG_PRICE(45471)&lt;/Q&gt;&lt;R&gt;1&lt;/R&gt;&lt;C&gt;1&lt;/C&gt;&lt;D xsi:type="xsd:double"&gt;1.20115&lt;/D&gt;&lt;/FQL&gt;&lt;FQL&gt;&lt;Q&gt;EURUSD^FG_PRICE(45471)&lt;/Q&gt;&lt;R&gt;1&lt;/R&gt;&lt;C&gt;1&lt;/C&gt;&lt;D xsi:type="xsd:double"&gt;1.0673&lt;/D&gt;&lt;/FQL&gt;&lt;FQL&gt;&lt;Q&gt;GBPUSD^FG_PRICE(45470)&lt;/Q&gt;&lt;R&gt;1&lt;/R&gt;&lt;C&gt;1&lt;/C&gt;&lt;D xsi:type="xsd:double"&gt;1.20115&lt;/D&gt;&lt;/FQL&gt;&lt;FQL&gt;&lt;Q&gt;EURUSD^FG_PRICE(45470)&lt;/Q&gt;&lt;R&gt;1&lt;/R&gt;&lt;C&gt;1&lt;/C&gt;&lt;D xsi:type="xsd:double"&gt;1.0673&lt;/D&gt;&lt;/FQL&gt;&lt;FQL&gt;&lt;Q&gt;GBPUSD^FG_PRICE(45469)&lt;/Q&gt;&lt;R&gt;1&lt;/R&gt;&lt;C&gt;1&lt;/C&gt;&lt;D xsi:type="xsd:double"&gt;1.20115&lt;/D&gt;&lt;/FQL&gt;&lt;FQL&gt;&lt;Q&gt;EURUSD^FG_PRICE(45469)&lt;/Q&gt;&lt;R&gt;1&lt;/R&gt;&lt;C&gt;1&lt;/C&gt;&lt;D xsi:type="xsd:double"&gt;1.0673&lt;/D&gt;&lt;/FQL&gt;&lt;FQL&gt;&lt;Q&gt;GBPUSD^FG_PRICE(45468)&lt;/Q&gt;&lt;R&gt;1&lt;/R&gt;&lt;C&gt;1&lt;/C&gt;&lt;D xsi:type="xsd:double"&gt;1.20115&lt;/D&gt;&lt;/FQL&gt;&lt;FQL&gt;&lt;Q&gt;EURUSD^FG_PRICE(45468)&lt;/Q&gt;&lt;R&gt;1&lt;/R&gt;&lt;C&gt;1&lt;/C&gt;&lt;D xsi:type="xsd:double"&gt;1.0673&lt;/D&gt;&lt;/FQL&gt;&lt;FQL&gt;&lt;Q&gt;GBPUSD^FG_PRICE(45467)&lt;/Q&gt;&lt;R&gt;1&lt;/R&gt;&lt;C&gt;1&lt;/C&gt;&lt;D xsi:type="xsd:double"&gt;1.20115&lt;/D&gt;&lt;/FQL&gt;&lt;FQL&gt;&lt;Q&gt;EURUSD^FG_PRICE(45467)&lt;/Q&gt;&lt;R&gt;1&lt;/R&gt;&lt;C&gt;1&lt;/C&gt;&lt;D xsi:type="xsd:double"&gt;1.0673&lt;/D&gt;&lt;/FQL&gt;&lt;FQL&gt;&lt;Q&gt;GBPUSD^FG_PRICE(45466)&lt;/Q&gt;&lt;R&gt;1&lt;/R&gt;&lt;C&gt;1&lt;/C&gt;&lt;D xsi:type="xsd:double"&gt;1.20115&lt;/D&gt;&lt;/FQL&gt;&lt;FQL&gt;&lt;Q&gt;EURUSD^FG_PRICE(45466)&lt;/Q&gt;&lt;R&gt;1&lt;/R&gt;&lt;C&gt;1&lt;/C&gt;&lt;D xsi:type="xsd:double"&gt;1.0673&lt;/D&gt;&lt;/FQL&gt;&lt;FQL&gt;&lt;Q&gt;GBPUSD^FG_PRICE(45465)&lt;/Q&gt;&lt;R&gt;1&lt;/R&gt;&lt;C&gt;1&lt;/C&gt;&lt;D xsi:type="xsd:double"&gt;1.20115&lt;/D&gt;&lt;/FQL&gt;&lt;FQL&gt;&lt;Q&gt;EURUSD^FG_PRICE(45465)&lt;/Q&gt;&lt;R&gt;1&lt;/R&gt;&lt;C&gt;1&lt;/C&gt;&lt;D xsi:type="xsd:double"&gt;1.0673&lt;/D&gt;&lt;/FQL&gt;&lt;FQL&gt;&lt;Q&gt;GBPUSD^FG_PRICE(45464)&lt;/Q&gt;&lt;R&gt;1&lt;/R&gt;&lt;C&gt;1&lt;/C&gt;&lt;D xsi:type="xsd:double"&gt;1.20115&lt;/D&gt;&lt;/FQL&gt;&lt;FQL&gt;&lt;Q&gt;EURUSD^FG_PRICE(45464)&lt;/Q&gt;&lt;R&gt;1&lt;/R&gt;&lt;C&gt;1&lt;/C&gt;&lt;D xsi:type="xsd:double"&gt;1.0673&lt;/D&gt;&lt;/FQL&gt;&lt;FQL&gt;&lt;Q&gt;GBPUSD^FG_PRICE(45463)&lt;/Q&gt;&lt;R&gt;1&lt;/R&gt;&lt;C&gt;1&lt;/C&gt;&lt;D xsi:type="xsd:double"&gt;1.20115&lt;/D&gt;&lt;/FQL&gt;&lt;FQL&gt;&lt;Q&gt;EURUSD^FG_PRICE(45463)&lt;/Q&gt;&lt;R&gt;1&lt;/R&gt;&lt;C&gt;1&lt;/C&gt;&lt;D xsi:type="xsd:double"&gt;1.0673&lt;/D&gt;&lt;/FQL&gt;&lt;FQL&gt;&lt;Q&gt;GBPUSD^FG_PRICE(45462)&lt;/Q&gt;&lt;R&gt;1&lt;/R&gt;&lt;C&gt;1&lt;/C&gt;&lt;D xsi:type="xsd:double"&gt;1.20115&lt;/D&gt;&lt;/FQL&gt;&lt;FQL&gt;&lt;Q&gt;EURUSD^FG_PRICE(45462)&lt;/Q&gt;&lt;R&gt;1&lt;/R&gt;&lt;C&gt;1&lt;/C&gt;&lt;D xsi:type="xsd:double"&gt;1.0673&lt;/D&gt;&lt;/FQL&gt;&lt;FQL&gt;&lt;Q&gt;GBPUSD^FG_PRICE(45461)&lt;/Q&gt;&lt;R&gt;1&lt;/R&gt;&lt;C&gt;1&lt;/C&gt;&lt;D xsi:type="xsd:double"&gt;1.20115&lt;/D&gt;&lt;/FQL&gt;&lt;FQL&gt;&lt;Q&gt;EURUSD^FG_PRICE(45461)&lt;/Q&gt;&lt;R&gt;1&lt;/R&gt;&lt;C&gt;1&lt;/C&gt;&lt;D xsi:type="xsd:double"&gt;1.0673&lt;/D&gt;&lt;/FQL&gt;&lt;FQL&gt;&lt;Q&gt;GBPUSD^FG_PRICE(45460)&lt;/Q&gt;&lt;R&gt;1&lt;/R&gt;&lt;C&gt;1&lt;/C&gt;&lt;D xsi:type="xsd:double"&gt;1.20115&lt;/D&gt;&lt;/FQL&gt;&lt;FQL&gt;&lt;Q&gt;EURUSD^FG_PRICE(45460)&lt;/Q&gt;&lt;R&gt;1&lt;/R&gt;&lt;C&gt;1&lt;/C&gt;&lt;D xsi:type="xsd:double"&gt;1.0673&lt;/D&gt;&lt;/FQL&gt;&lt;FQL&gt;&lt;Q&gt;GBPUSD^FG_PRICE(45459)&lt;/Q&gt;&lt;R&gt;1&lt;/R&gt;&lt;C&gt;1&lt;/C&gt;&lt;D xsi:type="xsd:double"&gt;1.20115&lt;/D&gt;&lt;/FQL&gt;&lt;FQL&gt;&lt;Q&gt;EURUSD^FG_PRICE(45459)&lt;/Q&gt;&lt;R&gt;1&lt;/R&gt;&lt;C&gt;1&lt;/C&gt;&lt;D xsi:type="xsd:double"&gt;1.0673&lt;/D&gt;&lt;/FQL&gt;&lt;FQL&gt;&lt;Q&gt;GBPUSD^FG_PRICE(45458)&lt;/Q&gt;&lt;R&gt;1&lt;/R&gt;&lt;C&gt;1&lt;/C&gt;&lt;D xsi:type="xsd:double"&gt;1.20115&lt;/D&gt;&lt;/FQL&gt;&lt;FQL&gt;&lt;Q&gt;EURUSD^FG_PRICE(45458)&lt;/Q&gt;&lt;R&gt;1&lt;/R&gt;&lt;C&gt;1&lt;/C&gt;&lt;D xsi:type="xsd:double"&gt;1.0673&lt;/D&gt;&lt;/FQL&gt;&lt;FQL&gt;&lt;Q&gt;GBPUSD^FG_PRICE(45457)&lt;/Q&gt;&lt;R&gt;1&lt;/R&gt;&lt;C&gt;1&lt;/C&gt;&lt;D xsi:type="xsd:double"&gt;1.20115&lt;/D&gt;&lt;/FQL&gt;&lt;FQL&gt;&lt;Q&gt;EURUSD^FG_PRICE(45457)&lt;/Q&gt;&lt;R&gt;1&lt;/R&gt;&lt;C&gt;1&lt;/C&gt;&lt;D xsi:type="xsd:double"&gt;1.0673&lt;/D&gt;&lt;/FQL&gt;&lt;FQL&gt;&lt;Q&gt;GBPUSD^FG_PRICE(45456)&lt;/Q&gt;&lt;R&gt;1&lt;/R&gt;&lt;C&gt;1&lt;/C&gt;&lt;D xsi:type="xsd:double"&gt;1.20115&lt;/D&gt;&lt;/FQL&gt;&lt;FQL&gt;&lt;Q&gt;EURUSD^FG_PRICE(45456)&lt;/Q&gt;&lt;R&gt;1&lt;/R&gt;&lt;C&gt;1&lt;/C&gt;&lt;D xsi:type="xsd:double"&gt;1.0673&lt;/D&gt;&lt;/FQL&gt;&lt;FQL&gt;&lt;Q&gt;GBPUSD^FG_PRICE(45455)&lt;/Q&gt;&lt;R&gt;1&lt;/R&gt;&lt;C&gt;1&lt;/C&gt;&lt;D xsi:type="xsd:double"&gt;1.20115&lt;/D&gt;&lt;/FQL&gt;&lt;FQL&gt;&lt;Q&gt;EURUSD^FG_PRICE(45455)&lt;/Q&gt;&lt;R&gt;1&lt;/R&gt;&lt;C&gt;1&lt;/C&gt;&lt;D xsi:type="xsd:double"&gt;1.0673&lt;/D&gt;&lt;/FQL&gt;&lt;FQL&gt;&lt;Q&gt;GBPUSD^FG_PRICE(45454)&lt;/Q&gt;&lt;R&gt;1&lt;/R&gt;&lt;C&gt;1&lt;/C&gt;&lt;D xsi:type="xsd:double"&gt;1.20115&lt;/D&gt;&lt;/FQL&gt;&lt;FQL&gt;&lt;Q&gt;EURUSD^FG_PRICE(45454)&lt;/Q&gt;&lt;R&gt;1&lt;/R&gt;&lt;C&gt;1&lt;/C&gt;&lt;D xsi:type="xsd:double"&gt;1.0673&lt;/D&gt;&lt;/FQL&gt;&lt;FQL&gt;&lt;Q&gt;GBPUSD^FG_PRICE(45453)&lt;/Q&gt;&lt;R&gt;1&lt;/R&gt;&lt;C&gt;1&lt;/C&gt;&lt;D xsi:type="xsd:double"&gt;1.20115&lt;/D&gt;&lt;/FQL&gt;&lt;FQL&gt;&lt;Q&gt;EURUSD^FG_PRICE(45453)&lt;/Q&gt;&lt;R&gt;1&lt;/R&gt;&lt;C&gt;1&lt;/C&gt;&lt;D xsi:type="xsd:double"&gt;1.0673&lt;/D&gt;&lt;/FQL&gt;&lt;FQL&gt;&lt;Q&gt;GBPUSD^FG_PRICE(45452)&lt;/Q&gt;&lt;R&gt;1&lt;/R&gt;&lt;C&gt;1&lt;/C&gt;&lt;D xsi:type="xsd:double"&gt;1.20115&lt;/D&gt;&lt;/FQL&gt;&lt;FQL&gt;&lt;Q&gt;EURUSD^FG_PRICE(45452)&lt;/Q&gt;&lt;R&gt;1&lt;/R&gt;&lt;C&gt;1&lt;/C&gt;&lt;D xsi:type="xsd:double"&gt;1.0673&lt;/D&gt;&lt;/FQL&gt;&lt;FQL&gt;&lt;Q&gt;GBPUSD^FG_PRICE(45451)&lt;/Q&gt;&lt;R&gt;1&lt;/R&gt;&lt;C&gt;1&lt;/C&gt;&lt;D xsi:type="xsd:double"&gt;1.20115&lt;/D&gt;&lt;/FQL&gt;&lt;FQL&gt;&lt;Q&gt;EURUSD^FG_PRICE(45451)&lt;/Q&gt;&lt;R&gt;1&lt;/R&gt;&lt;C&gt;1&lt;/C&gt;&lt;D xsi:type="xsd:double"&gt;1.0673&lt;/D&gt;&lt;/FQL&gt;&lt;FQL&gt;&lt;Q&gt;GBPUSD^FG_PRICE(45450)&lt;/Q&gt;&lt;R&gt;1&lt;/R&gt;&lt;C&gt;1&lt;/C&gt;&lt;D xsi:type="xsd:double"&gt;1.20115&lt;/D&gt;&lt;/FQL&gt;&lt;FQL&gt;&lt;Q&gt;EURUSD^FG_PRICE(45450)&lt;/Q&gt;&lt;R&gt;1&lt;/R&gt;&lt;C&gt;1&lt;/C&gt;&lt;D xsi:type="xsd:double"&gt;1.0673&lt;/D&gt;&lt;/FQL&gt;&lt;FQL&gt;&lt;Q&gt;GBPUSD^FG_PRICE(45449)&lt;/Q&gt;&lt;R&gt;1&lt;/R&gt;&lt;C&gt;1&lt;/C&gt;&lt;D xsi:type="xsd:double"&gt;1.20115&lt;/D&gt;&lt;/FQL&gt;&lt;FQL&gt;&lt;Q&gt;EURUSD^FG_PRICE(45449)&lt;/Q&gt;&lt;R&gt;1&lt;/R&gt;&lt;C&gt;1&lt;/C&gt;&lt;D xsi:type="xsd:double"&gt;1.0673&lt;/D&gt;&lt;/FQL&gt;&lt;FQL&gt;&lt;Q&gt;GBPUSD^FG_PRICE(45448)&lt;/Q&gt;&lt;R&gt;1&lt;/R&gt;&lt;C&gt;1&lt;/C&gt;&lt;D xsi:type="xsd:double"&gt;1.20115&lt;/D&gt;&lt;/FQL&gt;&lt;FQL&gt;&lt;Q&gt;EURUSD^FG_PRICE(45448)&lt;/Q&gt;&lt;R&gt;1&lt;/R&gt;&lt;C&gt;1&lt;/C&gt;&lt;D xsi:type="xsd:double"&gt;1.0673&lt;/D&gt;&lt;/FQL&gt;&lt;FQL&gt;&lt;Q&gt;GBPUSD^FG_PRICE(45447)&lt;/Q&gt;&lt;R&gt;1&lt;/R&gt;&lt;C&gt;1&lt;/C&gt;&lt;D xsi:type="xsd:double"&gt;1.20115&lt;/D&gt;&lt;/FQL&gt;&lt;FQL&gt;&lt;Q&gt;EURUSD^FG_PRICE(45447)&lt;/Q&gt;&lt;R&gt;1&lt;/R&gt;&lt;C&gt;1&lt;/C&gt;&lt;D xsi:type="xsd:double"&gt;1.0673&lt;/D&gt;&lt;/FQL&gt;&lt;FQL&gt;&lt;Q&gt;GBPUSD^FG_PRICE(45446)&lt;/Q&gt;&lt;R&gt;1&lt;/R&gt;&lt;C&gt;1&lt;/C&gt;&lt;D xsi:type="xsd:double"&gt;1.20115&lt;/D&gt;&lt;/FQL&gt;&lt;FQL&gt;&lt;Q&gt;EURUSD^FG_PRICE(45446)&lt;/Q&gt;&lt;R&gt;1&lt;/R&gt;&lt;C&gt;1&lt;/C&gt;&lt;D xsi:type="xsd:double"&gt;1.0673&lt;/D&gt;&lt;/FQL&gt;&lt;FQL&gt;&lt;Q&gt;GBPUSD^FG_PRICE(45445)&lt;/Q&gt;&lt;R&gt;1&lt;/R&gt;&lt;C&gt;1&lt;/C&gt;&lt;D xsi:type="xsd:double"&gt;1.20115&lt;/D&gt;&lt;/FQL&gt;&lt;FQL&gt;&lt;Q&gt;EURUSD^FG_PRICE(45445)&lt;/Q&gt;&lt;R&gt;1&lt;/R&gt;&lt;C&gt;1&lt;/C&gt;&lt;D xsi:type="xsd:double"&gt;1.0673&lt;/D&gt;&lt;/FQL&gt;&lt;FQL&gt;&lt;Q&gt;GBPUSD^FG_PRICE(45444)&lt;/Q&gt;&lt;R&gt;1&lt;/R&gt;&lt;C&gt;1&lt;/C&gt;&lt;D xsi:type="xsd:double"&gt;1.20115&lt;/D&gt;&lt;/FQL&gt;&lt;FQL&gt;&lt;Q&gt;EURUSD^FG_PRICE(45444)&lt;/Q&gt;&lt;R&gt;1&lt;/R&gt;&lt;C&gt;1&lt;/C&gt;&lt;D xsi:type="xsd:double"&gt;1.0673&lt;/D&gt;&lt;/FQL&gt;&lt;FQL&gt;&lt;Q&gt;GBPUSD^FG_PRICE(45443)&lt;/Q&gt;&lt;R&gt;1&lt;/R&gt;&lt;C&gt;1&lt;/C&gt;&lt;D xsi:type="xsd:double"&gt;1.20115&lt;/D&gt;&lt;/FQL&gt;&lt;FQL&gt;&lt;Q&gt;EURUSD^FG_PRICE(45443)&lt;/Q&gt;&lt;R&gt;1&lt;/R&gt;&lt;C&gt;1&lt;/C&gt;&lt;D xsi:type="xsd:double"&gt;1.0673&lt;/D&gt;&lt;/FQL&gt;&lt;FQL&gt;&lt;Q&gt;GBPUSD^FG_PRICE(45442)&lt;/Q&gt;&lt;R&gt;1&lt;/R&gt;&lt;C&gt;1&lt;/C&gt;&lt;D xsi:type="xsd:double"&gt;1.20115&lt;/D&gt;&lt;/FQL&gt;&lt;FQL&gt;&lt;Q&gt;EURUSD^FG_PRICE(45442)&lt;/Q&gt;&lt;R&gt;1&lt;/R&gt;&lt;C&gt;1&lt;/C&gt;&lt;D xsi:type="xsd:double"&gt;1.0673&lt;/D&gt;&lt;/FQL&gt;&lt;FQL&gt;&lt;Q&gt;GBPUSD^FG_PRICE(45441)&lt;/Q&gt;&lt;R&gt;1&lt;/R&gt;&lt;C&gt;1&lt;/C&gt;&lt;D xsi:type="xsd:double"&gt;1.20115&lt;/D&gt;&lt;/FQL&gt;&lt;FQL&gt;&lt;Q&gt;EURUSD^FG_PRICE(45441)&lt;/Q&gt;&lt;R&gt;1&lt;/R&gt;&lt;C&gt;1&lt;/C&gt;&lt;D xsi:type="xsd:double"&gt;1.0673&lt;/D&gt;&lt;/FQL&gt;&lt;FQL&gt;&lt;Q&gt;GBPUSD^FG_PRICE(45440)&lt;/Q&gt;&lt;R&gt;1&lt;/R&gt;&lt;C&gt;1&lt;/C&gt;&lt;D xsi:type="xsd:double"&gt;1.20115&lt;/D&gt;&lt;/FQL&gt;&lt;FQL&gt;&lt;Q&gt;EURUSD^FG_PRICE(45440)&lt;/Q&gt;&lt;R&gt;1&lt;/R&gt;&lt;C&gt;1&lt;/C&gt;&lt;D xsi:type="xsd:double"&gt;1.0673&lt;/D&gt;&lt;/FQL&gt;&lt;FQL&gt;&lt;Q&gt;GBPUSD^FG_PRICE(45439)&lt;/Q&gt;&lt;R&gt;1&lt;/R&gt;&lt;C&gt;1&lt;/C&gt;&lt;D xsi:type="xsd:double"&gt;1.20115&lt;/D&gt;&lt;/FQL&gt;&lt;FQL&gt;&lt;Q&gt;EURUSD^FG_PRICE(45439)&lt;/Q&gt;&lt;R&gt;1&lt;/R&gt;&lt;C&gt;1&lt;/C&gt;&lt;D xsi:type="xsd:double"&gt;1.0673&lt;/D&gt;&lt;/FQL&gt;&lt;FQL&gt;&lt;Q&gt;GBPUSD^FG_PRICE(45438)&lt;/Q&gt;&lt;R&gt;1&lt;/R&gt;&lt;C&gt;1&lt;/C&gt;&lt;D xsi:type="xsd:double"&gt;1.20115&lt;/D&gt;&lt;/FQL&gt;&lt;FQL&gt;&lt;Q&gt;EURUSD^FG_PRICE(45438)&lt;/Q&gt;&lt;R&gt;1&lt;/R&gt;&lt;C&gt;1&lt;/C&gt;&lt;D xsi:type="xsd:double"&gt;1.0673&lt;/D&gt;&lt;/FQL&gt;&lt;FQL&gt;&lt;Q&gt;GBPUSD^FG_PRICE(45437)&lt;/Q&gt;&lt;R&gt;1&lt;/R&gt;&lt;C&gt;1&lt;/C&gt;&lt;D xsi:type="xsd:double"&gt;1.20115&lt;/D&gt;&lt;/FQL&gt;&lt;FQL&gt;&lt;Q&gt;EURUSD^FG_PRICE(45437)&lt;/Q&gt;&lt;R&gt;1&lt;/R&gt;&lt;C&gt;1&lt;/C&gt;&lt;D xsi:type="xsd:double"&gt;1.0673&lt;/D&gt;&lt;/FQL&gt;&lt;FQL&gt;&lt;Q&gt;GBPUSD^FG_PRICE(45436)&lt;/Q&gt;&lt;R&gt;1&lt;/R&gt;&lt;C&gt;1&lt;/C&gt;&lt;D xsi:type="xsd:double"&gt;1.20115&lt;/D&gt;&lt;/FQL&gt;&lt;FQL&gt;&lt;Q&gt;EURUSD^FG_PRICE(45436)&lt;/Q&gt;&lt;R&gt;1&lt;/R&gt;&lt;C&gt;1&lt;/C&gt;&lt;D xsi:type="xsd:double"&gt;1.0673&lt;/D&gt;&lt;/FQL&gt;&lt;FQL&gt;&lt;Q&gt;GBPUSD^FG_PRICE(45435)&lt;/Q&gt;&lt;R&gt;1&lt;/R&gt;&lt;C&gt;1&lt;/C&gt;&lt;D xsi:type="xsd:double"&gt;1.20115&lt;/D&gt;&lt;/FQL&gt;&lt;FQL&gt;&lt;Q&gt;EURUSD^FG_PRICE(45435)&lt;/Q&gt;&lt;R&gt;1&lt;/R&gt;&lt;C&gt;1&lt;/C&gt;&lt;D xsi:type="xsd:double"&gt;1.0673&lt;/D&gt;&lt;/FQL&gt;&lt;FQL&gt;&lt;Q&gt;GBPUSD^FG_PRICE(45434)&lt;/Q&gt;&lt;R&gt;1&lt;/R&gt;&lt;C&gt;1&lt;/C&gt;&lt;D xsi:type="xsd:double"&gt;1.20115&lt;/D&gt;&lt;/FQL&gt;&lt;FQL&gt;&lt;Q&gt;EURUSD^FG_PRICE(45434)&lt;/Q&gt;&lt;R&gt;1&lt;/R&gt;&lt;C&gt;1&lt;/C&gt;&lt;D xsi:type="xsd:double"&gt;1.0673&lt;/D&gt;&lt;/FQL&gt;&lt;FQL&gt;&lt;Q&gt;GBPUSD^FG_PRICE(45433)&lt;/Q&gt;&lt;R&gt;1&lt;/R&gt;&lt;C&gt;1&lt;/C&gt;&lt;D xsi:type="xsd:double"&gt;1.20115&lt;/D&gt;&lt;/FQL&gt;&lt;FQL&gt;&lt;Q&gt;EURUSD^FG_PRICE(45433)&lt;/Q&gt;&lt;R&gt;1&lt;/R&gt;&lt;C&gt;1&lt;/C&gt;&lt;D xsi:type="xsd:double"&gt;1.0673&lt;/D&gt;&lt;/FQL&gt;&lt;FQL&gt;&lt;Q&gt;GBPUSD^FG_PRICE(45432)&lt;/Q&gt;&lt;R&gt;1&lt;/R&gt;&lt;C&gt;1&lt;/C&gt;&lt;D xsi:type="xsd:double"&gt;1.20115&lt;/D&gt;&lt;/FQL&gt;&lt;FQL&gt;&lt;Q&gt;EURUSD^FG_PRICE(45432)&lt;/Q&gt;&lt;R&gt;1&lt;/R&gt;&lt;C&gt;1&lt;/C&gt;&lt;D xsi:type="xsd:double"&gt;1.0673&lt;/D&gt;&lt;/FQL&gt;&lt;FQL&gt;&lt;Q&gt;GBPUSD^FG_PRICE(45431)&lt;/Q&gt;&lt;R&gt;1&lt;/R&gt;&lt;C&gt;1&lt;/C&gt;&lt;D xsi:type="xsd:double"&gt;1.20115&lt;/D&gt;&lt;/FQL&gt;&lt;FQL&gt;&lt;Q&gt;EURUSD^FG_PRICE(45431)&lt;/Q&gt;&lt;R&gt;1&lt;/R&gt;&lt;C&gt;1&lt;/C&gt;&lt;D xsi:type="xsd:double"&gt;1.0673&lt;/D&gt;&lt;/FQL&gt;&lt;FQL&gt;&lt;Q&gt;GBPUSD^FG_PRICE(45430)&lt;/Q&gt;&lt;R&gt;1&lt;/R&gt;&lt;C&gt;1&lt;/C&gt;&lt;D xsi:type="xsd:double"&gt;1.20115&lt;/D&gt;&lt;/FQL&gt;&lt;FQL&gt;&lt;Q&gt;EURUSD^FG_PRICE(45430)&lt;/Q&gt;&lt;R&gt;1&lt;/R&gt;&lt;C&gt;1&lt;/C&gt;&lt;D xsi:type="xsd:double"&gt;1.0673&lt;/D&gt;&lt;/FQL&gt;&lt;FQL&gt;&lt;Q&gt;GBPUSD^FG_PRICE(45429)&lt;/Q&gt;&lt;R&gt;1&lt;/R&gt;&lt;C&gt;1&lt;/C&gt;&lt;D xsi:type="xsd:double"&gt;1.20115&lt;/D&gt;&lt;/FQL&gt;&lt;FQL&gt;&lt;Q&gt;EURUSD^FG_PRICE(45429)&lt;/Q&gt;&lt;R&gt;1&lt;/R&gt;&lt;C&gt;1&lt;/C&gt;&lt;D xsi:type="xsd:double"&gt;1.0673&lt;/D&gt;&lt;/FQL&gt;&lt;FQL&gt;&lt;Q&gt;GBPUSD^FG_PRICE(45428)&lt;/Q&gt;&lt;R&gt;1&lt;/R&gt;&lt;C&gt;1&lt;/C&gt;&lt;D xsi:type="xsd:double"&gt;1.20115&lt;/D&gt;&lt;/FQL&gt;&lt;FQL&gt;&lt;Q&gt;EURUSD^FG_PRICE(45428)&lt;/Q&gt;&lt;R&gt;1&lt;/R&gt;&lt;C&gt;1&lt;/C&gt;&lt;D xsi:type="xsd:double"&gt;1.0673&lt;/D&gt;&lt;/FQL&gt;&lt;FQL&gt;&lt;Q&gt;GBPUSD^FG_PRICE(45427)&lt;/Q&gt;&lt;R&gt;1&lt;/R&gt;&lt;C&gt;1&lt;/C&gt;&lt;D xsi:type="xsd:double"&gt;1.20115&lt;/D&gt;&lt;/FQL&gt;&lt;FQL&gt;&lt;Q&gt;EURUSD^FG_PRICE(45427)&lt;/Q&gt;&lt;R&gt;1&lt;/R&gt;&lt;C&gt;1&lt;/C&gt;&lt;D xsi:type="xsd:double"&gt;1.0673&lt;/D&gt;&lt;/FQL&gt;&lt;FQL&gt;&lt;Q&gt;GBPUSD^FG_PRICE(45426)&lt;/Q&gt;&lt;R&gt;1&lt;/R&gt;&lt;C&gt;1&lt;/C&gt;&lt;D xsi:type="xsd:double"&gt;1.20115&lt;/D&gt;&lt;/FQL&gt;&lt;FQL&gt;&lt;Q&gt;EURUSD^FG_PRICE(45426)&lt;/Q&gt;&lt;R&gt;1&lt;/R&gt;&lt;C&gt;1&lt;/C&gt;&lt;D xsi:type="xsd:double"&gt;1.0673&lt;/D&gt;&lt;/FQL&gt;&lt;FQL&gt;&lt;Q&gt;GBPUSD^FG_PRICE(45425)&lt;/Q&gt;&lt;R&gt;1&lt;/R&gt;&lt;C&gt;1&lt;/C&gt;&lt;D xsi:type="xsd:double"&gt;1.20115&lt;/D&gt;&lt;/FQL&gt;&lt;FQL&gt;&lt;Q&gt;EURUSD^FG_PRICE(45425)&lt;/Q&gt;&lt;R&gt;1&lt;/R&gt;&lt;C&gt;1&lt;/C&gt;&lt;D xsi:type="xsd:double"&gt;1.0673&lt;/D&gt;&lt;/FQL&gt;&lt;FQL&gt;&lt;Q&gt;GBPUSD^FG_PRICE(45424)&lt;/Q&gt;&lt;R&gt;1&lt;/R&gt;&lt;C&gt;1&lt;/C&gt;&lt;D xsi:type="xsd:double"&gt;1.20115&lt;/D&gt;&lt;/FQL&gt;&lt;FQL&gt;&lt;Q&gt;EURUSD^FG_PRICE(45424)&lt;/Q&gt;&lt;R&gt;1&lt;/R&gt;&lt;C&gt;1&lt;/C&gt;&lt;D xsi:type="xsd:double"&gt;1.0673&lt;/D&gt;&lt;/FQL&gt;&lt;FQL&gt;&lt;Q&gt;GBPUSD^FG_PRICE(45423)&lt;/Q&gt;&lt;R&gt;1&lt;/R&gt;&lt;C&gt;1&lt;/C&gt;&lt;D xsi:type="xsd:double"&gt;1.20115&lt;/D&gt;&lt;/FQL&gt;&lt;FQL&gt;&lt;Q&gt;EURUSD^FG_PRICE(45423)&lt;/Q&gt;&lt;R&gt;1&lt;/R&gt;&lt;C&gt;1&lt;/C&gt;&lt;D xsi:type="xsd:double"&gt;1.0673&lt;/D&gt;&lt;/FQL&gt;&lt;FQL&gt;&lt;Q&gt;GBPUSD^FG_PRICE(45422)&lt;/Q&gt;&lt;R&gt;1&lt;/R&gt;&lt;C&gt;1&lt;/C&gt;&lt;D xsi:type="xsd:double"&gt;1.20115&lt;/D&gt;&lt;/FQL&gt;&lt;FQL&gt;&lt;Q&gt;EURUSD^FG_PRICE(45422)&lt;/Q&gt;&lt;R&gt;1&lt;/R&gt;&lt;C&gt;1&lt;/C&gt;&lt;D xsi:type="xsd:double"&gt;1.0673&lt;/D&gt;&lt;/FQL&gt;&lt;FQL&gt;&lt;Q&gt;GBPUSD^FG_PRICE(45421)&lt;/Q&gt;&lt;R&gt;1&lt;/R&gt;&lt;C&gt;1&lt;/C&gt;&lt;D xsi:type="xsd:double"&gt;1.20115&lt;/D&gt;&lt;/FQL&gt;&lt;FQL&gt;&lt;Q&gt;EURUSD^FG_PRICE(45421)&lt;/Q&gt;&lt;R&gt;1&lt;/R&gt;&lt;C&gt;1&lt;/C&gt;&lt;D xsi:type="xsd:double"&gt;1.0673&lt;/D&gt;&lt;/FQL&gt;&lt;FQL&gt;&lt;Q&gt;GBPUSD^FG_PRICE(45420)&lt;/Q&gt;&lt;R&gt;1&lt;/R&gt;&lt;C&gt;1&lt;/C&gt;&lt;D xsi:type="xsd:double"&gt;1.20115&lt;/D&gt;&lt;/FQL&gt;&lt;FQL&gt;&lt;Q&gt;EURUSD^FG_PRICE(45420)&lt;/Q&gt;&lt;R&gt;1&lt;/R&gt;&lt;C&gt;1&lt;/C&gt;&lt;D xsi:type="xsd:double"&gt;1.0673&lt;/D&gt;&lt;/FQL&gt;&lt;FQL&gt;&lt;Q&gt;GBPUSD^FG_PRICE(45419)&lt;/Q&gt;&lt;R&gt;1&lt;/R&gt;&lt;C&gt;1&lt;/C&gt;&lt;D xsi:type="xsd:double"&gt;1.20115&lt;/D&gt;&lt;/FQL&gt;&lt;FQL&gt;&lt;Q&gt;EURUSD^FG_PRICE(45419)&lt;/Q&gt;&lt;R&gt;1&lt;/R&gt;&lt;C&gt;1&lt;/C&gt;&lt;D xsi:type="xsd:double"&gt;1.0673&lt;/D&gt;&lt;/FQL&gt;&lt;FQL&gt;&lt;Q&gt;GBPUSD^FG_PRICE(45418)&lt;/Q&gt;&lt;R&gt;1&lt;/R&gt;&lt;C&gt;1&lt;/C&gt;&lt;D xsi:type="xsd:double"&gt;1.20115&lt;/D&gt;&lt;/FQL&gt;&lt;FQL&gt;&lt;Q&gt;EURUSD^FG_PRICE(45418)&lt;/Q&gt;&lt;R&gt;1&lt;/R&gt;&lt;C&gt;1&lt;/C&gt;&lt;D xsi:type="xsd:double"&gt;1.0673&lt;/D&gt;&lt;/FQL&gt;&lt;FQL&gt;&lt;Q&gt;GBPUSD^FG_PRICE(45417)&lt;/Q&gt;&lt;R&gt;1&lt;/R&gt;&lt;C&gt;1&lt;/C&gt;&lt;D xsi:type="xsd:double"&gt;1.20115&lt;/D&gt;&lt;/FQL&gt;&lt;FQL&gt;&lt;Q&gt;EURUSD^FG_PRICE(45417)&lt;/Q&gt;&lt;R&gt;1&lt;/R&gt;&lt;C&gt;1&lt;/C&gt;&lt;D xsi:type="xsd:double"&gt;1.0673&lt;/D&gt;&lt;/FQL&gt;&lt;FQL&gt;&lt;Q&gt;GBPUSD^FG_PRICE(45416)&lt;/Q&gt;&lt;R&gt;1&lt;/R&gt;&lt;C&gt;1&lt;/C&gt;&lt;D xsi:type="xsd:double"&gt;1.20115&lt;/D&gt;&lt;/FQL&gt;&lt;FQL&gt;&lt;Q&gt;EURUSD^FG_PRICE(45416)&lt;/Q&gt;&lt;R&gt;1&lt;/R&gt;&lt;C&gt;1&lt;/C&gt;&lt;D xsi:type="xsd:double"&gt;1.0673&lt;/D&gt;&lt;/FQL&gt;&lt;FQL&gt;&lt;Q&gt;GBPUSD^FG_PRICE(45415)&lt;/Q&gt;&lt;R&gt;1&lt;/R&gt;&lt;C&gt;1&lt;/C&gt;&lt;D xsi:type="xsd:double"&gt;1.20115&lt;/D&gt;&lt;/FQL&gt;&lt;FQL&gt;&lt;Q&gt;EURUSD^FG_PRICE(45415)&lt;/Q&gt;&lt;R&gt;1&lt;/R&gt;&lt;C&gt;1&lt;/C&gt;&lt;D xsi:type="xsd:double"&gt;1.0673&lt;/D&gt;&lt;/FQL&gt;&lt;FQL&gt;&lt;Q&gt;GBPUSD^FG_PRICE(45414)&lt;/Q&gt;&lt;R&gt;1&lt;/R&gt;&lt;C&gt;1&lt;/C&gt;&lt;D xsi:type="xsd:double"&gt;1.20115&lt;/D&gt;&lt;/FQL&gt;&lt;FQL&gt;&lt;Q&gt;EURUSD^FG_PRICE(45414)&lt;/Q&gt;&lt;R&gt;1&lt;/R&gt;&lt;C&gt;1&lt;/C&gt;&lt;D xsi:type="xsd:double"&gt;1.0673&lt;/D&gt;&lt;/FQL&gt;&lt;FQL&gt;&lt;Q&gt;GBPUSD^FG_PRICE(45413)&lt;/Q&gt;&lt;R&gt;1&lt;/R&gt;&lt;C&gt;1&lt;/C&gt;&lt;D xsi:type="xsd:double"&gt;1.20115&lt;/D&gt;&lt;/FQL&gt;&lt;FQL&gt;&lt;Q&gt;EURUSD^FG_PRICE(45413)&lt;/Q&gt;&lt;R&gt;1&lt;/R&gt;&lt;C&gt;1&lt;/C&gt;&lt;D xsi:type="xsd:double"&gt;1.0673&lt;/D&gt;&lt;/FQL&gt;&lt;FQL&gt;&lt;Q&gt;GBPUSD^FG_PRICE(45412)&lt;/Q&gt;&lt;R&gt;1&lt;/R&gt;&lt;C&gt;1&lt;/C&gt;&lt;D xsi:type="xsd:double"&gt;1.20115&lt;/D&gt;&lt;/FQL&gt;&lt;FQL&gt;&lt;Q&gt;EURUSD^FG_PRICE(45412)&lt;/Q&gt;&lt;R&gt;1&lt;/R&gt;&lt;C&gt;1&lt;/C&gt;&lt;D xsi:type="xsd:double"&gt;1.0673&lt;/D&gt;&lt;/FQL&gt;&lt;FQL&gt;&lt;Q&gt;GBPUSD^FG_PRICE(45411)&lt;/Q&gt;&lt;R&gt;1&lt;/R&gt;&lt;C&gt;1&lt;/C&gt;&lt;D xsi:type="xsd:double"&gt;1.20115&lt;/D&gt;&lt;/FQL&gt;&lt;FQL&gt;&lt;Q&gt;EURUSD^FG_PRICE(45411)&lt;/Q&gt;&lt;R&gt;1&lt;/R&gt;&lt;C&gt;1&lt;/C&gt;&lt;D xsi:type="xsd:double"&gt;1.0673&lt;/D&gt;&lt;/FQL&gt;&lt;FQL&gt;&lt;Q&gt;GBPUSD^FG_PRICE(45410)&lt;/Q&gt;&lt;R&gt;1&lt;/R&gt;&lt;C&gt;1&lt;/C&gt;&lt;D xsi:type="xsd:double"&gt;1.20115&lt;/D&gt;&lt;/FQL&gt;&lt;FQL&gt;&lt;Q&gt;EURUSD^FG_PRICE(45410)&lt;/Q&gt;&lt;R&gt;1&lt;/R&gt;&lt;C&gt;1&lt;/C&gt;&lt;D xsi:type="xsd:double"&gt;1.0673&lt;/D&gt;&lt;/FQL&gt;&lt;FQL&gt;&lt;Q&gt;GBPUSD^FG_PRICE(45409)&lt;/Q&gt;&lt;R&gt;1&lt;/R&gt;&lt;C&gt;1&lt;/C&gt;&lt;D xsi:type="xsd:double"&gt;1.20115&lt;/D&gt;&lt;/FQL&gt;&lt;FQL&gt;&lt;Q&gt;EURUSD^FG_PRICE(45409)&lt;/Q&gt;&lt;R&gt;1&lt;/R&gt;&lt;C&gt;1&lt;/C&gt;&lt;D xsi:type="xsd:double"&gt;1.0673&lt;/D&gt;&lt;/FQL&gt;&lt;FQL&gt;&lt;Q&gt;GBPUSD^FG_PRICE(45408)&lt;/Q&gt;&lt;R&gt;1&lt;/R&gt;&lt;C&gt;1&lt;/C&gt;&lt;D xsi:type="xsd:double"&gt;1.20115&lt;/D&gt;&lt;/FQL&gt;&lt;FQL&gt;&lt;Q&gt;EURUSD^FG_PRICE(45408)&lt;/Q&gt;&lt;R&gt;1&lt;/R&gt;&lt;C&gt;1&lt;/C&gt;&lt;D xsi:type="xsd:double"&gt;1.0673&lt;/D&gt;&lt;/FQL&gt;&lt;FQL&gt;&lt;Q&gt;GBPUSD^FG_PRICE(45407)&lt;/Q&gt;&lt;R&gt;1&lt;/R&gt;&lt;C&gt;1&lt;/C&gt;&lt;D xsi:type="xsd:double"&gt;1.20115&lt;/D&gt;&lt;/FQL&gt;&lt;FQL&gt;&lt;Q&gt;EURUSD^FG_PRICE(45407)&lt;/Q&gt;&lt;R&gt;1&lt;/R&gt;&lt;C&gt;1&lt;/C&gt;&lt;D xsi:type="xsd:double"&gt;1.0673&lt;/D&gt;&lt;/FQL&gt;&lt;FQL&gt;&lt;Q&gt;GBPUSD^FG_PRICE(45406)&lt;/Q&gt;&lt;R&gt;1&lt;/R&gt;&lt;C&gt;1&lt;/C&gt;&lt;D xsi:type="xsd:double"&gt;1.20115&lt;/D&gt;&lt;/FQL&gt;&lt;FQL&gt;&lt;Q&gt;EURUSD^FG_PRICE(45406)&lt;/Q&gt;&lt;R&gt;1&lt;/R&gt;&lt;C&gt;1&lt;/C&gt;&lt;D xsi:type="xsd:double"&gt;1.0673&lt;/D&gt;&lt;/FQL&gt;&lt;FQL&gt;&lt;Q&gt;GBPUSD^FG_PRICE(45405)&lt;/Q&gt;&lt;R&gt;1&lt;/R&gt;&lt;C&gt;1&lt;/C&gt;&lt;D xsi:type="xsd:double"&gt;1.20115&lt;/D&gt;&lt;/FQL&gt;&lt;FQL&gt;&lt;Q&gt;EURUSD^FG_PRICE(45405)&lt;/Q&gt;&lt;R&gt;1&lt;/R&gt;&lt;C&gt;1&lt;/C&gt;&lt;D xsi:type="xsd:double"&gt;1.0673&lt;/D&gt;&lt;/FQL&gt;&lt;FQL&gt;&lt;Q&gt;GBPUSD^FG_PRICE(45404)&lt;/Q&gt;&lt;R&gt;1&lt;/R&gt;&lt;C&gt;1&lt;/C&gt;&lt;D xsi:type="xsd:double"&gt;1.20115&lt;/D&gt;&lt;/FQL&gt;&lt;FQL&gt;&lt;Q&gt;EURUSD^FG_PRICE(45404)&lt;/Q&gt;&lt;R&gt;1&lt;/R&gt;&lt;C&gt;1&lt;/C&gt;&lt;D xsi:type="xsd:double"&gt;1.0673&lt;/D&gt;&lt;/FQL&gt;&lt;FQL&gt;&lt;Q&gt;GBPUSD^FG_PRICE(45403)&lt;/Q&gt;&lt;R&gt;1&lt;/R&gt;&lt;C&gt;1&lt;/C&gt;&lt;D xsi:type="xsd:double"&gt;1.20115&lt;/D&gt;&lt;/FQL&gt;&lt;FQL&gt;&lt;Q&gt;EURUSD^FG_PRICE(45403)&lt;/Q&gt;&lt;R&gt;1&lt;/R&gt;&lt;C&gt;1&lt;/C&gt;&lt;D xsi:type="xsd:double"&gt;1.0673&lt;/D&gt;&lt;/FQL&gt;&lt;FQL&gt;&lt;Q&gt;GBPUSD^FG_PRICE(45402)&lt;/Q&gt;&lt;R&gt;1&lt;/R&gt;&lt;C&gt;1&lt;/C&gt;&lt;D xsi:type="xsd:double"&gt;1.20115&lt;/D&gt;&lt;/FQL&gt;&lt;FQL&gt;&lt;Q&gt;EURUSD^FG_PRICE(45402)&lt;/Q&gt;&lt;R&gt;1&lt;/R&gt;&lt;C&gt;1&lt;/C&gt;&lt;D xsi:type="xsd:double"&gt;1.0673&lt;/D&gt;&lt;/FQL&gt;&lt;FQL&gt;&lt;Q&gt;GBPUSD^FG_PRICE(45401)&lt;/Q&gt;&lt;R&gt;1&lt;/R&gt;&lt;C&gt;1&lt;/C&gt;&lt;D xsi:type="xsd:double"&gt;1.20115&lt;/D&gt;&lt;/FQL&gt;&lt;FQL&gt;&lt;Q&gt;EURUSD^FG_PRICE(45401)&lt;/Q&gt;&lt;R&gt;1&lt;/R&gt;&lt;C&gt;1&lt;/C&gt;&lt;D xsi:type="xsd:double"&gt;1.0673&lt;/D&gt;&lt;/FQL&gt;&lt;FQL&gt;&lt;Q&gt;GBPUSD^FG_PRICE(45400)&lt;/Q&gt;&lt;R&gt;1&lt;/R&gt;&lt;C&gt;1&lt;/C&gt;&lt;D xsi:type="xsd:double"&gt;1.20115&lt;/D&gt;&lt;/FQL&gt;&lt;FQL&gt;&lt;Q&gt;EURUSD^FG_PRICE(45400)&lt;/Q&gt;&lt;R&gt;1&lt;/R&gt;&lt;C&gt;1&lt;/C&gt;&lt;D xsi:type="xsd:double"&gt;1.0673&lt;/D&gt;&lt;/FQL&gt;&lt;FQL&gt;&lt;Q&gt;GBPUSD^FG_PRICE(45399)&lt;/Q&gt;&lt;R&gt;1&lt;/R&gt;&lt;C&gt;1&lt;/C&gt;&lt;D xsi:type="xsd:double"&gt;1.20115&lt;/D&gt;&lt;/FQL&gt;&lt;FQL&gt;&lt;Q&gt;EURUSD^FG_PRICE(45399)&lt;/Q&gt;&lt;R&gt;1&lt;/R&gt;&lt;C&gt;1&lt;/C&gt;&lt;D xsi:type="xsd:double"&gt;1.0673&lt;/D&gt;&lt;/FQL&gt;&lt;FQL&gt;&lt;Q&gt;GBPUSD^FG_PRICE(45398)&lt;/Q&gt;&lt;R&gt;1&lt;/R&gt;&lt;C&gt;1&lt;/C&gt;&lt;D xsi:type="xsd:double"&gt;1.20115&lt;/D&gt;&lt;/FQL&gt;&lt;FQL&gt;&lt;Q&gt;EURUSD^FG_PRICE(45398)&lt;/Q&gt;&lt;R&gt;1&lt;/R&gt;&lt;C&gt;1&lt;/C&gt;&lt;D xsi:type="xsd:double"&gt;1.0673&lt;/D&gt;&lt;/FQL&gt;&lt;FQL&gt;&lt;Q&gt;GBPUSD^FG_PRICE(45397)&lt;/Q&gt;&lt;R&gt;1&lt;/R&gt;&lt;C&gt;1&lt;/C&gt;&lt;D xsi:type="xsd:double"&gt;1.20115&lt;/D&gt;&lt;/FQL&gt;&lt;FQL&gt;&lt;Q&gt;EURUSD^FG_PRICE(45397)&lt;/Q&gt;&lt;R&gt;1&lt;/R&gt;&lt;C&gt;1&lt;/C&gt;&lt;D xsi:type="xsd:double"&gt;1.0673&lt;/D&gt;&lt;/FQL&gt;&lt;FQL&gt;&lt;Q&gt;GBPUSD^FG_PRICE(45396)&lt;/Q&gt;&lt;R&gt;1&lt;/R&gt;&lt;C&gt;1&lt;/C&gt;&lt;D xsi:type="xsd:double"&gt;1.20115&lt;/D&gt;&lt;/FQL&gt;&lt;FQL&gt;&lt;Q&gt;EURUSD^FG_PRICE(45396)&lt;/Q&gt;&lt;R&gt;1&lt;/R&gt;&lt;C&gt;1&lt;/C&gt;&lt;D xsi:type="xsd:double"&gt;1.0673&lt;/D&gt;&lt;/FQL&gt;&lt;FQL&gt;&lt;Q&gt;GBPUSD^FG_PRICE(45395)&lt;/Q&gt;&lt;R&gt;1&lt;/R&gt;&lt;C&gt;1&lt;/C&gt;&lt;D xsi:type="xsd:double"&gt;1.20115&lt;/D&gt;&lt;/FQL&gt;&lt;FQL&gt;&lt;Q&gt;EURUSD^FG_PRICE(45395)&lt;/Q&gt;&lt;R&gt;1&lt;/R&gt;&lt;C&gt;1&lt;/C&gt;&lt;D xsi:type="xsd:double"&gt;1.0673&lt;/D&gt;&lt;/FQL&gt;&lt;FQL&gt;&lt;Q&gt;GBPUSD^FG_PRICE(45394)&lt;/Q&gt;&lt;R&gt;1&lt;/R&gt;&lt;C&gt;1&lt;/C&gt;&lt;D xsi:type="xsd:double"&gt;1.20115&lt;/D&gt;&lt;/FQL&gt;&lt;FQL&gt;&lt;Q&gt;EURUSD^FG_PRICE(45394)&lt;/Q&gt;&lt;R&gt;1&lt;/R&gt;&lt;C&gt;1&lt;/C&gt;&lt;D xsi:type="xsd:double"&gt;1.0673&lt;/D&gt;&lt;/FQL&gt;&lt;FQL&gt;&lt;Q&gt;GBPUSD^FG_PRICE(45393)&lt;/Q&gt;&lt;R&gt;1&lt;/R&gt;&lt;C&gt;1&lt;/C&gt;&lt;D xsi:type="xsd:double"&gt;1.20115&lt;/D&gt;&lt;/FQL&gt;&lt;FQL&gt;&lt;Q&gt;EURUSD^FG_PRICE(45393)&lt;/Q&gt;&lt;R&gt;1&lt;/R&gt;&lt;C&gt;1&lt;/C&gt;&lt;D xsi:type="xsd:double"&gt;1.0673&lt;/D&gt;&lt;/FQL&gt;&lt;FQL&gt;&lt;Q&gt;GBPUSD^FG_PRICE(45392)&lt;/Q&gt;&lt;R&gt;1&lt;/R&gt;&lt;C&gt;1&lt;/C&gt;&lt;D xsi:type="xsd:double"&gt;1.20115&lt;/D&gt;&lt;/FQL&gt;&lt;FQL&gt;&lt;Q&gt;EURUSD^FG_PRICE(45392)&lt;/Q&gt;&lt;R&gt;1&lt;/R&gt;&lt;C&gt;1&lt;/C&gt;&lt;D xsi:type="xsd:double"&gt;1.0673&lt;/D&gt;&lt;/FQL&gt;&lt;FQL&gt;&lt;Q&gt;GBPUSD^FG_PRICE(45391)&lt;/Q&gt;&lt;R&gt;1&lt;/R&gt;&lt;C&gt;1&lt;/C&gt;&lt;D xsi:type="xsd:double"&gt;1.20115&lt;/D&gt;&lt;/FQL&gt;&lt;FQL&gt;&lt;Q&gt;EURUSD^FG_PRICE(45391)&lt;/Q&gt;&lt;R&gt;1&lt;/R&gt;&lt;C&gt;1&lt;/C&gt;&lt;D xsi:type="xsd:double"&gt;1.0673&lt;/D&gt;&lt;/FQL&gt;&lt;FQL&gt;&lt;Q&gt;GBPUSD^FG_PRICE(45390)&lt;/Q&gt;&lt;R&gt;1&lt;/R&gt;&lt;C&gt;1&lt;/C&gt;&lt;D xsi:type="xsd:double"&gt;1.20115&lt;/D&gt;&lt;/FQL&gt;&lt;FQL&gt;&lt;Q&gt;EURUSD^FG_PRICE(45390)&lt;/Q&gt;&lt;R&gt;1&lt;/R&gt;&lt;C&gt;1&lt;/C&gt;&lt;D xsi:type="xsd:double"&gt;1.0673&lt;/D&gt;&lt;/FQL&gt;&lt;FQL&gt;&lt;Q&gt;GBPUSD^FG_PRICE(45389)&lt;/Q&gt;&lt;R&gt;1&lt;/R&gt;&lt;C&gt;1&lt;/C&gt;&lt;D xsi:type="xsd:double"&gt;1.20115&lt;/D&gt;&lt;/FQL&gt;&lt;FQL&gt;&lt;Q&gt;EURUSD^FG_PRICE(45389)&lt;/Q&gt;&lt;R&gt;1&lt;/R&gt;&lt;C&gt;1&lt;/C&gt;&lt;D xsi:type="xsd:double"&gt;1.0673&lt;/D&gt;&lt;/FQL&gt;&lt;FQL&gt;&lt;Q&gt;GBPUSD^FG_PRICE(45388)&lt;/Q&gt;&lt;R&gt;1&lt;/R&gt;&lt;C&gt;1&lt;/C&gt;&lt;D xsi:type="xsd:double"&gt;1.20115&lt;/D&gt;&lt;/FQL&gt;&lt;FQL&gt;&lt;Q&gt;EURUSD^FG_PRICE(45388)&lt;/Q&gt;&lt;R&gt;1&lt;/R&gt;&lt;C&gt;1&lt;/C&gt;&lt;D xsi:type="xsd:double"&gt;1.0673&lt;/D&gt;&lt;/FQL&gt;&lt;FQL&gt;&lt;Q&gt;GBPUSD^FG_PRICE(45387)&lt;/Q&gt;&lt;R&gt;1&lt;/R&gt;&lt;C&gt;1&lt;/C&gt;&lt;D xsi:type="xsd:double"&gt;1.20115&lt;/D&gt;&lt;/FQL&gt;&lt;FQL&gt;&lt;Q&gt;EURUSD^FG_PRICE(45387)&lt;/Q&gt;&lt;R&gt;1&lt;/R&gt;&lt;C&gt;1&lt;/C&gt;&lt;D xsi:type="xsd:double"&gt;1.0673&lt;/D&gt;&lt;/FQL&gt;&lt;FQL&gt;&lt;Q&gt;GBPUSD^FG_PRICE(45386)&lt;/Q&gt;&lt;R&gt;1&lt;/R&gt;&lt;C&gt;1&lt;/C&gt;&lt;D xsi:type="xsd:double"&gt;1.20115&lt;/D&gt;&lt;/FQL&gt;&lt;FQL&gt;&lt;Q&gt;EURUSD^FG_PRICE(45386)&lt;/Q&gt;&lt;R&gt;1&lt;/R&gt;&lt;C&gt;1&lt;/C&gt;&lt;D xsi:type="xsd:double"&gt;1.0673&lt;/D&gt;&lt;/FQL&gt;&lt;FQL&gt;&lt;Q&gt;GBPUSD^FG_PRICE(45385)&lt;/Q&gt;&lt;R&gt;1&lt;/R&gt;&lt;C&gt;1&lt;/C&gt;&lt;D xsi:type="xsd:double"&gt;1.20115&lt;/D&gt;&lt;/FQL&gt;&lt;FQL&gt;&lt;Q&gt;EURUSD^FG_PRICE(45385)&lt;/Q&gt;&lt;R&gt;1&lt;/R&gt;&lt;C&gt;1&lt;/C&gt;&lt;D xsi:type="xsd:double"&gt;1.0673&lt;/D&gt;&lt;/FQL&gt;&lt;FQL&gt;&lt;Q&gt;GBPUSD^FG_PRICE(45384)&lt;/Q&gt;&lt;R&gt;1&lt;/R&gt;&lt;C&gt;1&lt;/C&gt;&lt;D xsi:type="xsd:double"&gt;1.20115&lt;/D&gt;&lt;/FQL&gt;&lt;FQL&gt;&lt;Q&gt;EURUSD^FG_PRICE(45384)&lt;/Q&gt;&lt;R&gt;1&lt;/R&gt;&lt;C&gt;1&lt;/C&gt;&lt;D xsi:type="xsd:double"&gt;1.0673&lt;/D&gt;&lt;/FQL&gt;&lt;FQL&gt;&lt;Q&gt;GBPUSD^FG_PRICE(45383)&lt;/Q&gt;&lt;R&gt;1&lt;/R&gt;&lt;C&gt;1&lt;/C&gt;&lt;D xsi:type="xsd:double"&gt;1.20115&lt;/D&gt;&lt;/FQL&gt;&lt;FQL&gt;&lt;Q&gt;EURUSD^FG_PRICE(45383)&lt;/Q&gt;&lt;R&gt;1&lt;/R&gt;&lt;C&gt;1&lt;/C&gt;&lt;D xsi:type="xsd:double"&gt;1.0673&lt;/D&gt;&lt;/FQL&gt;&lt;FQL&gt;&lt;Q&gt;GBPUSD^FG_PRICE(45382)&lt;/Q&gt;&lt;R&gt;1&lt;/R&gt;&lt;C&gt;1&lt;/C&gt;&lt;D xsi:type="xsd:double"&gt;1.20115&lt;/D&gt;&lt;/FQL&gt;&lt;FQL&gt;&lt;Q&gt;EURUSD^FG_PRICE(45382)&lt;/Q&gt;&lt;R&gt;1&lt;/R&gt;&lt;C&gt;1&lt;/C&gt;&lt;D xsi:type="xsd:double"&gt;1.0673&lt;/D&gt;&lt;/FQL&gt;&lt;FQL&gt;&lt;Q&gt;GBPUSD^FG_PRICE(45381)&lt;/Q&gt;&lt;R&gt;1&lt;/R&gt;&lt;C&gt;1&lt;/C&gt;&lt;D xsi:type="xsd:double"&gt;1.20115&lt;/D&gt;&lt;/FQL&gt;&lt;FQL&gt;&lt;Q&gt;EURUSD^FG_PRICE(45381)&lt;/Q&gt;&lt;R&gt;1&lt;/R&gt;&lt;C&gt;1&lt;/C&gt;&lt;D xsi:type="xsd:double"&gt;1.0673&lt;/D&gt;&lt;/FQL&gt;&lt;FQL&gt;&lt;Q&gt;GBPUSD^FG_PRICE(45380)&lt;/Q&gt;&lt;R&gt;1&lt;/R&gt;&lt;C&gt;1&lt;/C&gt;&lt;D xsi:type="xsd:double"&gt;1.20115&lt;/D&gt;&lt;/FQL&gt;&lt;FQL&gt;&lt;Q&gt;EURUSD^FG_PRICE(45380)&lt;/Q&gt;&lt;R&gt;1&lt;/R&gt;&lt;C&gt;1&lt;/C&gt;&lt;D xsi:type="xsd:double"&gt;1.0673&lt;/D&gt;&lt;/FQL&gt;&lt;FQL&gt;&lt;Q&gt;GBPUSD^FG_PRICE(45379)&lt;/Q&gt;&lt;R&gt;1&lt;/R&gt;&lt;C&gt;1&lt;/C&gt;&lt;D xsi:type="xsd:double"&gt;1.20115&lt;/D&gt;&lt;/FQL&gt;&lt;FQL&gt;&lt;Q&gt;EURUSD^FG_PRICE(45379)&lt;/Q&gt;&lt;R&gt;1&lt;/R&gt;&lt;C&gt;1&lt;/C&gt;&lt;D xsi:type="xsd:double"&gt;1.0673&lt;/D&gt;&lt;/FQL&gt;&lt;FQL&gt;&lt;Q&gt;GBPUSD^FG_PRICE(45378)&lt;/Q&gt;&lt;R&gt;1&lt;/R&gt;&lt;C&gt;1&lt;/C&gt;&lt;D xsi:type="xsd:double"&gt;1.20115&lt;/D&gt;&lt;/FQL&gt;&lt;FQL&gt;&lt;Q&gt;EURUSD^FG_PRICE(45378)&lt;/Q&gt;&lt;R&gt;1&lt;/R&gt;&lt;C&gt;1&lt;/C&gt;&lt;D xsi:type="xsd:double"&gt;1.0673&lt;/D&gt;&lt;/FQL&gt;&lt;FQL&gt;&lt;Q&gt;GBPUSD^FG_PRICE(45377)&lt;/Q&gt;&lt;R&gt;1&lt;/R&gt;&lt;C&gt;1&lt;/C&gt;&lt;D xsi:type="xsd:double"&gt;1.20115&lt;/D&gt;&lt;/FQL&gt;&lt;FQL&gt;&lt;Q&gt;EURUSD^FG_PRICE(45377)&lt;/Q&gt;&lt;R&gt;1&lt;/R&gt;&lt;C&gt;1&lt;/C&gt;&lt;D xsi:type="xsd:double"&gt;1.0673&lt;/D&gt;&lt;/FQL&gt;&lt;FQL&gt;&lt;Q&gt;GBPUSD^FG_PRICE(45376)&lt;/Q&gt;&lt;R&gt;1&lt;/R&gt;&lt;C&gt;1&lt;/C&gt;&lt;D xsi:type="xsd:double"&gt;1.20115&lt;/D&gt;&lt;/FQL&gt;&lt;FQL&gt;&lt;Q&gt;EURUSD^FG_PRICE(45376)&lt;/Q&gt;&lt;R&gt;1&lt;/R&gt;&lt;C&gt;1&lt;/C&gt;&lt;D xsi:type="xsd:double"&gt;1.0673&lt;/D&gt;&lt;/FQL&gt;&lt;FQL&gt;&lt;Q&gt;GBPUSD^FG_PRICE(45375)&lt;/Q&gt;&lt;R&gt;1&lt;/R&gt;&lt;C&gt;1&lt;/C&gt;&lt;D xsi:type="xsd:double"&gt;1.20115&lt;/D&gt;&lt;/FQL&gt;&lt;FQL&gt;&lt;Q&gt;EURUSD^FG_PRICE(45375)&lt;/Q&gt;&lt;R&gt;1&lt;/R&gt;&lt;C&gt;1&lt;/C&gt;&lt;D xsi:type="xsd:double"&gt;1.0673&lt;/D&gt;&lt;/FQL&gt;&lt;FQL&gt;&lt;Q&gt;GBPUSD^FG_PRICE(45374)&lt;/Q&gt;&lt;R&gt;1&lt;/R&gt;&lt;C&gt;1&lt;/C&gt;&lt;D xsi:type="xsd:double"&gt;1.20115&lt;/D&gt;&lt;/FQL&gt;&lt;FQL&gt;&lt;Q&gt;EURUSD^FG_PRICE(45374)&lt;/Q&gt;&lt;R&gt;1&lt;/R&gt;&lt;C&gt;1&lt;/C&gt;&lt;D xsi:type="xsd:double"&gt;1.0673&lt;/D&gt;&lt;/FQL&gt;&lt;FQL&gt;&lt;Q&gt;GBPUSD^FG_PRICE(45373)&lt;/Q&gt;&lt;R&gt;1&lt;/R&gt;&lt;C&gt;1&lt;/C&gt;&lt;D xsi:type="xsd:double"&gt;1.20115&lt;/D&gt;&lt;/FQL&gt;&lt;FQL&gt;&lt;Q&gt;EURUSD^FG_PRICE(45373)&lt;/Q&gt;&lt;R&gt;1&lt;/R&gt;&lt;C&gt;1&lt;/C&gt;&lt;D xsi:type="xsd:double"&gt;1.0673&lt;/D&gt;&lt;/FQL&gt;&lt;FQL&gt;&lt;Q&gt;GBPUSD^FG_PRICE(45372)&lt;/Q&gt;&lt;R&gt;1&lt;/R&gt;&lt;C&gt;1&lt;/C&gt;&lt;D xsi:type="xsd:double"&gt;1.20115&lt;/D&gt;&lt;/FQL&gt;&lt;FQL&gt;&lt;Q&gt;EURUSD^FG_PRICE(45372)&lt;/Q&gt;&lt;R&gt;1&lt;/R&gt;&lt;C&gt;1&lt;/C&gt;&lt;D xsi:type="xsd:double"&gt;1.0673&lt;/D&gt;&lt;/FQL&gt;&lt;FQL&gt;&lt;Q&gt;GBPUSD^FG_PRICE(45371)&lt;/Q&gt;&lt;R&gt;1&lt;/R&gt;&lt;C&gt;1&lt;/C&gt;&lt;D xsi:type="xsd:double"&gt;1.20115&lt;/D&gt;&lt;/FQL&gt;&lt;FQL&gt;&lt;Q&gt;EURUSD^FG_PRICE(45371)&lt;/Q&gt;&lt;R&gt;1&lt;/R&gt;&lt;C&gt;1&lt;/C&gt;&lt;D xsi:type="xsd:double"&gt;1.0673&lt;/D&gt;&lt;/FQL&gt;&lt;FQL&gt;&lt;Q&gt;GBPUSD^FG_PRICE(45370)&lt;/Q&gt;&lt;R&gt;1&lt;/R&gt;&lt;C&gt;1&lt;/C&gt;&lt;D xsi:type="xsd:double"&gt;1.20115&lt;/D&gt;&lt;/FQL&gt;&lt;FQL&gt;&lt;Q&gt;EURUSD^FG_PRICE(45370)&lt;/Q&gt;&lt;R&gt;1&lt;/R&gt;&lt;C&gt;1&lt;/C&gt;&lt;D xsi:type="xsd:double"&gt;1.0673&lt;/D&gt;&lt;/FQL&gt;&lt;FQL&gt;&lt;Q&gt;GBPUSD^FG_PRICE(45369)&lt;/Q&gt;&lt;R&gt;1&lt;/R&gt;&lt;C&gt;1&lt;/C&gt;&lt;D xsi:type="xsd:double"&gt;1.20115&lt;/D&gt;&lt;/FQL&gt;&lt;FQL&gt;&lt;Q&gt;EURUSD^FG_PRICE(45369)&lt;/Q&gt;&lt;R&gt;1&lt;/R&gt;&lt;C&gt;1&lt;/C&gt;&lt;D xsi:type="xsd:double"&gt;1.0673&lt;/D&gt;&lt;/FQL&gt;&lt;FQL&gt;&lt;Q&gt;GBPUSD^FG_PRICE(45368)&lt;/Q&gt;&lt;R&gt;1&lt;/R&gt;&lt;C&gt;1&lt;/C&gt;&lt;D xsi:type="xsd:double"&gt;1.20115&lt;/D&gt;&lt;/FQL&gt;&lt;FQL&gt;&lt;Q&gt;EURUSD^FG_PRICE(45368)&lt;/Q&gt;&lt;R&gt;1&lt;/R&gt;&lt;C&gt;1&lt;/C&gt;&lt;D xsi:type="xsd:double"&gt;1.0673&lt;/D&gt;&lt;/FQL&gt;&lt;FQL&gt;&lt;Q&gt;GBPUSD^FG_PRICE(45367)&lt;/Q&gt;&lt;R&gt;1&lt;/R&gt;&lt;C&gt;1&lt;/C&gt;&lt;D xsi:type="xsd:double"&gt;1.20115&lt;/D&gt;&lt;/FQL&gt;&lt;FQL&gt;&lt;Q&gt;EURUSD^FG_PRICE(45367)&lt;/Q&gt;&lt;R&gt;1&lt;/R&gt;&lt;C&gt;1&lt;/C&gt;&lt;D xsi:type="xsd:double"&gt;1.0673&lt;/D&gt;&lt;/FQL&gt;&lt;FQL&gt;&lt;Q&gt;GBPUSD^FG_PRICE(45366)&lt;/Q&gt;&lt;R&gt;1&lt;/R&gt;&lt;C&gt;1&lt;/C&gt;&lt;D xsi:type="xsd:double"&gt;1.20115&lt;/D&gt;&lt;/FQL&gt;&lt;FQL&gt;&lt;Q&gt;EURUSD^FG_PRICE(45366)&lt;/Q&gt;&lt;R&gt;1&lt;/R&gt;&lt;C&gt;1&lt;/C&gt;&lt;D xsi:type="xsd:double"&gt;1.0673&lt;/D&gt;&lt;/FQL&gt;&lt;FQL&gt;&lt;Q&gt;GBPUSD^FG_PRICE(45365)&lt;/Q&gt;&lt;R&gt;1&lt;/R&gt;&lt;C&gt;1&lt;/C&gt;&lt;D xsi:type="xsd:double"&gt;1.20115&lt;/D&gt;&lt;/FQL&gt;&lt;FQL&gt;&lt;Q&gt;EURUSD^FG_PRICE(45365)&lt;/Q&gt;&lt;R&gt;1&lt;/R&gt;&lt;C&gt;1&lt;/C&gt;&lt;D xsi:type="xsd:double"&gt;1.0673&lt;/D&gt;&lt;/FQL&gt;&lt;FQL&gt;&lt;Q&gt;GBPUSD^FG_PRICE(45364)&lt;/Q&gt;&lt;R&gt;1&lt;/R&gt;&lt;C&gt;1&lt;/C&gt;&lt;D xsi:type="xsd:double"&gt;1.20115&lt;/D&gt;&lt;/FQL&gt;&lt;FQL&gt;&lt;Q&gt;EURUSD^FG_PRICE(45364)&lt;/Q&gt;&lt;R&gt;1&lt;/R&gt;&lt;C&gt;1&lt;/C&gt;&lt;D xsi:type="xsd:double"&gt;1.0673&lt;/D&gt;&lt;/FQL&gt;&lt;FQL&gt;&lt;Q&gt;GBPUSD^FG_PRICE(45363)&lt;/Q&gt;&lt;R&gt;1&lt;/R&gt;&lt;C&gt;1&lt;/C&gt;&lt;D xsi:type="xsd:double"&gt;1.20115&lt;/D&gt;&lt;/FQL&gt;&lt;FQL&gt;&lt;Q&gt;EURUSD^FG_PRICE(45363)&lt;/Q&gt;&lt;R&gt;1&lt;/R&gt;&lt;C&gt;1&lt;/C&gt;&lt;D xsi:type="xsd:double"&gt;1.0673&lt;/D&gt;&lt;/FQL&gt;&lt;FQL&gt;&lt;Q&gt;GBPUSD^FG_PRICE(45362)&lt;/Q&gt;&lt;R&gt;1&lt;/R&gt;&lt;C&gt;1&lt;/C&gt;&lt;D xsi:type="xsd:double"&gt;1.20115&lt;/D&gt;&lt;/FQL&gt;&lt;FQL&gt;&lt;Q&gt;EURUSD^FG_PRICE(45362)&lt;/Q&gt;&lt;R&gt;1&lt;/R&gt;&lt;C&gt;1&lt;/C&gt;&lt;D xsi:type="xsd:double"&gt;1.0673&lt;/D&gt;&lt;/FQL&gt;&lt;FQL&gt;&lt;Q&gt;GBPUSD^FG_PRICE(45361)&lt;/Q&gt;&lt;R&gt;1&lt;/R&gt;&lt;C&gt;1&lt;/C&gt;&lt;D xsi:type="xsd:double"&gt;1.20115&lt;/D&gt;&lt;/FQL&gt;&lt;FQL&gt;&lt;Q&gt;EURUSD^FG_PRICE(45361)&lt;/Q&gt;&lt;R&gt;1&lt;/R&gt;&lt;C&gt;1&lt;/C&gt;&lt;D xsi:type="xsd:double"&gt;1.0673&lt;/D&gt;&lt;/FQL&gt;&lt;FQL&gt;&lt;Q&gt;GBPUSD^FG_PRICE(45360)&lt;/Q&gt;&lt;R&gt;1&lt;/R&gt;&lt;C&gt;1&lt;/C&gt;&lt;D xsi:type="xsd:double"&gt;1.20115&lt;/D&gt;&lt;/FQL&gt;&lt;FQL&gt;&lt;Q&gt;EURUSD^FG_PRICE(45360)&lt;/Q&gt;&lt;R&gt;1&lt;/R&gt;&lt;C&gt;1&lt;/C&gt;&lt;D xsi:type="xsd:double"&gt;1.0673&lt;/D&gt;&lt;/FQL&gt;&lt;FQL&gt;&lt;Q&gt;GBPUSD^FG_PRICE(45359)&lt;/Q&gt;&lt;R&gt;1&lt;/R&gt;&lt;C&gt;1&lt;/C&gt;&lt;D xsi:type="xsd:double"&gt;1.20115&lt;/D&gt;&lt;/FQL&gt;&lt;FQL&gt;&lt;Q&gt;EURUSD^FG_PRICE(45359)&lt;/Q&gt;&lt;R&gt;1&lt;/R&gt;&lt;C&gt;1&lt;/C&gt;&lt;D xsi:type="xsd:double"&gt;1.0673&lt;/D&gt;&lt;/FQL&gt;&lt;FQL&gt;&lt;Q&gt;GBPUSD^FG_PRICE(45358)&lt;/Q&gt;&lt;R&gt;1&lt;/R&gt;&lt;C&gt;1&lt;/C&gt;&lt;D xsi:type="xsd:double"&gt;1.20115&lt;/D&gt;&lt;/FQL&gt;&lt;FQL&gt;&lt;Q&gt;EURUSD^FG_PRICE(45358)&lt;/Q&gt;&lt;R&gt;1&lt;/R&gt;&lt;C&gt;1&lt;/C&gt;&lt;D xsi:type="xsd:double"&gt;1.0673&lt;/D&gt;&lt;/FQL&gt;&lt;FQL&gt;&lt;Q&gt;GBPUSD^FG_PRICE(45357)&lt;/Q&gt;&lt;R&gt;1&lt;/R&gt;&lt;C&gt;1&lt;/C&gt;&lt;D xsi:type="xsd:double"&gt;1.20115&lt;/D&gt;&lt;/FQL&gt;&lt;FQL&gt;&lt;Q&gt;EURUSD^FG_PRICE(45357)&lt;/Q&gt;&lt;R&gt;1&lt;/R&gt;&lt;C&gt;1&lt;/C&gt;&lt;D xsi:type="xsd:double"&gt;1.0673&lt;/D&gt;&lt;/FQL&gt;&lt;FQL&gt;&lt;Q&gt;GBPUSD^FG_PRICE(45356)&lt;/Q&gt;&lt;R&gt;1&lt;/R&gt;&lt;C&gt;1&lt;/C&gt;&lt;D xsi:type="xsd:double"&gt;1.20115&lt;/D&gt;&lt;/FQL&gt;&lt;FQL&gt;&lt;Q&gt;EURUSD^FG_PRICE(45356)&lt;/Q&gt;&lt;R&gt;1&lt;/R&gt;&lt;C&gt;1&lt;/C&gt;&lt;D xsi:type="xsd:double"&gt;1.0673&lt;/D&gt;&lt;/FQL&gt;&lt;FQL&gt;&lt;Q&gt;GBPUSD^FG_PRICE(45355)&lt;/Q&gt;&lt;R&gt;1&lt;/R&gt;&lt;C&gt;1&lt;/C&gt;&lt;D xsi:type="xsd:double"&gt;1.20115&lt;/D&gt;&lt;/FQL&gt;&lt;FQL&gt;&lt;Q&gt;EURUSD^FG_PRICE(45355)&lt;/Q&gt;&lt;R&gt;1&lt;/R&gt;&lt;C&gt;1&lt;/C&gt;&lt;D xsi:type="xsd:double"&gt;1.0673&lt;/D&gt;&lt;/FQL&gt;&lt;FQL&gt;&lt;Q&gt;GBPUSD^FG_PRICE(45354)&lt;/Q&gt;&lt;R&gt;1&lt;/R&gt;&lt;C&gt;1&lt;/C&gt;&lt;D xsi:type="xsd:double"&gt;1.20115&lt;/D&gt;&lt;/FQL&gt;&lt;FQL&gt;&lt;Q&gt;EURUSD^FG_PRICE(45354)&lt;/Q&gt;&lt;R&gt;1&lt;/R&gt;&lt;C&gt;1&lt;/C&gt;&lt;D xsi:type="xsd:double"&gt;1.0673&lt;/D&gt;&lt;/FQL&gt;&lt;FQL&gt;&lt;Q&gt;GBPUSD^FG_PRICE(45353)&lt;/Q&gt;&lt;R&gt;1&lt;/R&gt;&lt;C&gt;1&lt;/C&gt;&lt;D xsi:type="xsd:double"&gt;1.20115&lt;/D&gt;&lt;/FQL&gt;&lt;FQL&gt;&lt;Q&gt;EURUSD^FG_PRICE(45353)&lt;/Q&gt;&lt;R&gt;1&lt;/R&gt;&lt;C&gt;1&lt;/C&gt;&lt;D xsi:type="xsd:double"&gt;1.0673&lt;/D&gt;&lt;/FQL&gt;&lt;FQL&gt;&lt;Q&gt;GBPUSD^FG_PRICE(45352)&lt;/Q&gt;&lt;R&gt;1&lt;/R&gt;&lt;C&gt;1&lt;/C&gt;&lt;D xsi:type="xsd:double"&gt;1.20115&lt;/D&gt;&lt;/FQL&gt;&lt;FQL&gt;&lt;Q&gt;EURUSD^FG_PRICE(45352)&lt;/Q&gt;&lt;R&gt;1&lt;/R&gt;&lt;C&gt;1&lt;/C&gt;&lt;D xsi:type="xsd:double"&gt;1.0673&lt;/D&gt;&lt;/FQL&gt;&lt;FQL&gt;&lt;Q&gt;GBPUSD^FG_PRICE(45351)&lt;/Q&gt;&lt;R&gt;1&lt;/R&gt;&lt;C&gt;1&lt;/C&gt;&lt;D xsi:type="xsd:double"&gt;1.20115&lt;/D&gt;&lt;/FQL&gt;&lt;FQL&gt;&lt;Q&gt;EURUSD^FG_PRICE(45351)&lt;/Q&gt;&lt;R&gt;1&lt;/R&gt;&lt;C&gt;1&lt;/C&gt;&lt;D xsi:type="xsd:double"&gt;1.0673&lt;/D&gt;&lt;/FQL&gt;&lt;FQL&gt;&lt;Q&gt;GBPUSD^FG_PRICE(45350)&lt;/Q&gt;&lt;R&gt;1&lt;/R&gt;&lt;C&gt;1&lt;/C&gt;&lt;D xsi:type="xsd:double"&gt;1.20115&lt;/D&gt;&lt;/FQL&gt;&lt;FQL&gt;&lt;Q&gt;EURUSD^FG_PRICE(45350)&lt;/Q&gt;&lt;R&gt;1&lt;/R&gt;&lt;C&gt;1&lt;/C&gt;&lt;D xsi:type="xsd:double"&gt;1.0673&lt;/D&gt;&lt;/FQL&gt;&lt;FQL&gt;&lt;Q&gt;GBPUSD^FG_PRICE(45349)&lt;/Q&gt;&lt;R&gt;1&lt;/R&gt;&lt;C&gt;1&lt;/C&gt;&lt;D xsi:type="xsd:double"&gt;1.20115&lt;/D&gt;&lt;/FQL&gt;&lt;FQL&gt;&lt;Q&gt;EURUSD^FG_PRICE(45349)&lt;/Q&gt;&lt;R&gt;1&lt;/R&gt;&lt;C&gt;1&lt;/C&gt;&lt;D xsi:type="xsd:double"&gt;1.0673&lt;/D&gt;&lt;/FQL&gt;&lt;FQL&gt;&lt;Q&gt;GBPUSD^FG_PRICE(45348)&lt;/Q&gt;&lt;R&gt;1&lt;/R&gt;&lt;C&gt;1&lt;/C&gt;&lt;D xsi:type="xsd:double"&gt;1.20115&lt;/D&gt;&lt;/FQL&gt;&lt;FQL&gt;&lt;Q&gt;EURUSD^FG_PRICE(45348)&lt;/Q&gt;&lt;R&gt;1&lt;/R&gt;&lt;C&gt;1&lt;/C&gt;&lt;D xsi:type="xsd:double"&gt;1.0673&lt;/D&gt;&lt;/FQL&gt;&lt;FQL&gt;&lt;Q&gt;GBPUSD^FG_PRICE(45347)&lt;/Q&gt;&lt;R&gt;1&lt;/R&gt;&lt;C&gt;1&lt;/C&gt;&lt;D xsi:type="xsd:double"&gt;1.20115&lt;/D&gt;&lt;/FQL&gt;&lt;FQL&gt;&lt;Q&gt;EURUSD^FG_PRICE(45347)&lt;/Q&gt;&lt;R&gt;1&lt;/R&gt;&lt;C&gt;1&lt;/C&gt;&lt;D xsi:type="xsd:double"&gt;1.0673&lt;/D&gt;&lt;/FQL&gt;&lt;FQL&gt;&lt;Q&gt;GBPUSD^FG_PRICE(45346)&lt;/Q&gt;&lt;R&gt;1&lt;/R&gt;&lt;C&gt;1&lt;/C&gt;&lt;D xsi:type="xsd:double"&gt;1.20115&lt;/D&gt;&lt;/FQL&gt;&lt;FQL&gt;&lt;Q&gt;EURUSD^FG_PRICE(45346)&lt;/Q&gt;&lt;R&gt;1&lt;/R&gt;&lt;C&gt;1&lt;/C&gt;&lt;D xsi:type="xsd:double"&gt;1.0673&lt;/D&gt;&lt;/FQL&gt;&lt;FQL&gt;&lt;Q&gt;GBPUSD^FG_PRICE(45345)&lt;/Q&gt;&lt;R&gt;1&lt;/R&gt;&lt;C&gt;1&lt;/C&gt;&lt;D xsi:type="xsd:double"&gt;1.20115&lt;/D&gt;&lt;/FQL&gt;&lt;FQL&gt;&lt;Q&gt;EURUSD^FG_PRICE(45345)&lt;/Q&gt;&lt;R&gt;1&lt;/R&gt;&lt;C&gt;1&lt;/C&gt;&lt;D xsi:type="xsd:double"&gt;1.0673&lt;/D&gt;&lt;/FQL&gt;&lt;FQL&gt;&lt;Q&gt;GBPUSD^FG_PRICE(45344)&lt;/Q&gt;&lt;R&gt;1&lt;/R&gt;&lt;C&gt;1&lt;/C&gt;&lt;D xsi:type="xsd:double"&gt;1.20115&lt;/D&gt;&lt;/FQL&gt;&lt;FQL&gt;&lt;Q&gt;EURUSD^FG_PRICE(45344)&lt;/Q&gt;&lt;R&gt;1&lt;/R&gt;&lt;C&gt;1&lt;/C&gt;&lt;D xsi:type="xsd:double"&gt;1.0673&lt;/D&gt;&lt;/FQL&gt;&lt;FQL&gt;&lt;Q&gt;GBPUSD^FG_PRICE(45343)&lt;/Q&gt;&lt;R&gt;1&lt;/R&gt;&lt;C&gt;1&lt;/C&gt;&lt;D xsi:type="xsd:double"&gt;1.20115&lt;/D&gt;&lt;/FQL&gt;&lt;FQL&gt;&lt;Q&gt;EURUSD^FG_PRICE(45343)&lt;/Q&gt;&lt;R&gt;1&lt;/R&gt;&lt;C&gt;1&lt;/C&gt;&lt;D xsi:type="xsd:double"&gt;1.0673&lt;/D&gt;&lt;/FQL&gt;&lt;FQL&gt;&lt;Q&gt;GBPUSD^FG_PRICE(45342)&lt;/Q&gt;&lt;R&gt;1&lt;/R&gt;&lt;C&gt;1&lt;/C&gt;&lt;D xsi:type="xsd:double"&gt;1.20115&lt;/D&gt;&lt;/FQL&gt;&lt;FQL&gt;&lt;Q&gt;EURUSD^FG_PRICE(45342)&lt;/Q&gt;&lt;R&gt;1&lt;/R&gt;&lt;C&gt;1&lt;/C&gt;&lt;D xsi:type="xsd:double"&gt;1.0673&lt;/D&gt;&lt;/FQL&gt;&lt;FQL&gt;&lt;Q&gt;GBPUSD^FG_PRICE(45341)&lt;/Q&gt;&lt;R&gt;1&lt;/R&gt;&lt;C&gt;1&lt;/C&gt;&lt;D xsi:type="xsd:double"&gt;1.20115&lt;/D&gt;&lt;/FQL&gt;&lt;FQL&gt;&lt;Q&gt;EURUSD^FG_PRICE(45341)&lt;/Q&gt;&lt;R&gt;1&lt;/R&gt;&lt;C&gt;1&lt;/C&gt;&lt;D xsi:type="xsd:double"&gt;1.0673&lt;/D&gt;&lt;/FQL&gt;&lt;FQL&gt;&lt;Q&gt;GBPUSD^FG_PRICE(45340)&lt;/Q&gt;&lt;R&gt;1&lt;/R&gt;&lt;C&gt;1&lt;/C&gt;&lt;D xsi:type="xsd:double"&gt;1.20115&lt;/D&gt;&lt;/FQL&gt;&lt;FQL&gt;&lt;Q&gt;EURUSD^FG_PRICE(45340)&lt;/Q&gt;&lt;R&gt;1&lt;/R&gt;&lt;C&gt;1&lt;/C&gt;&lt;D xsi:type="xsd:double"&gt;1.0673&lt;/D&gt;&lt;/FQL&gt;&lt;FQL&gt;&lt;Q&gt;GBPUSD^FG_PRICE(45339)&lt;/Q&gt;&lt;R&gt;1&lt;/R&gt;&lt;C&gt;1&lt;/C&gt;&lt;D xsi:type="xsd:double"&gt;1.20115&lt;/D&gt;&lt;/FQL&gt;&lt;FQL&gt;&lt;Q&gt;EURUSD^FG_PRICE(45339)&lt;/Q&gt;&lt;R&gt;1&lt;/R&gt;&lt;C&gt;1&lt;/C&gt;&lt;D xsi:type="xsd:double"&gt;1.0673&lt;/D&gt;&lt;/FQL&gt;&lt;FQL&gt;&lt;Q&gt;GBPUSD^FG_PRICE(45338)&lt;/Q&gt;&lt;R&gt;1&lt;/R&gt;&lt;C&gt;1&lt;/C&gt;&lt;D xsi:type="xsd:double"&gt;1.20115&lt;/D&gt;&lt;/FQL&gt;&lt;FQL&gt;&lt;Q&gt;EURUSD^FG_PRICE(45338)&lt;/Q&gt;&lt;R&gt;1&lt;/R&gt;&lt;C&gt;1&lt;/C&gt;&lt;D xsi:type="xsd:double"&gt;1.0673&lt;/D&gt;&lt;/FQL&gt;&lt;FQL&gt;&lt;Q&gt;GBPUSD^FG_PRICE(45337)&lt;/Q&gt;&lt;R&gt;1&lt;/R&gt;&lt;C&gt;1&lt;/C&gt;&lt;D xsi:type="xsd:double"&gt;1.20115&lt;/D&gt;&lt;/FQL&gt;&lt;FQL&gt;&lt;Q&gt;EURUSD^FG_PRICE(45337)&lt;/Q&gt;&lt;R&gt;1&lt;/R&gt;&lt;C&gt;1&lt;/C&gt;&lt;D xsi:type="xsd:double"&gt;1.0673&lt;/D&gt;&lt;/FQL&gt;&lt;FQL&gt;&lt;Q&gt;GBPUSD^FG_PRICE(45336)&lt;/Q&gt;&lt;R&gt;1&lt;/R&gt;&lt;C&gt;1&lt;/C&gt;&lt;D xsi:type="xsd:double"&gt;1.20115&lt;/D&gt;&lt;/FQL&gt;&lt;FQL&gt;&lt;Q&gt;EURUSD^FG_PRICE(45336)&lt;/Q&gt;&lt;R&gt;1&lt;/R&gt;&lt;C&gt;1&lt;/C&gt;&lt;D xsi:type="xsd:double"&gt;1.0673&lt;/D&gt;&lt;/FQL&gt;&lt;FQL&gt;&lt;Q&gt;GBPUSD^FG_PRICE(45335)&lt;/Q&gt;&lt;R&gt;1&lt;/R&gt;&lt;C&gt;1&lt;/C&gt;&lt;D xsi:type="xsd:double"&gt;1.20115&lt;/D&gt;&lt;/FQL&gt;&lt;FQL&gt;&lt;Q&gt;EURUSD^FG_PRICE(45335)&lt;/Q&gt;&lt;R&gt;1&lt;/R&gt;&lt;C&gt;1&lt;/C&gt;&lt;D xsi:type="xsd:double"&gt;1.0673&lt;/D&gt;&lt;/FQL&gt;&lt;FQL&gt;&lt;Q&gt;GBPUSD^FG_PRICE(45334)&lt;/Q&gt;&lt;R&gt;1&lt;/R&gt;&lt;C&gt;1&lt;/C&gt;&lt;D xsi:type="xsd:double"&gt;1.20115&lt;/D&gt;&lt;/FQL&gt;&lt;FQL&gt;&lt;Q&gt;EURUSD^FG_PRICE(45334)&lt;/Q&gt;&lt;R&gt;1&lt;/R&gt;&lt;C&gt;1&lt;/C&gt;&lt;D xsi:type="xsd:double"&gt;1.0673&lt;/D&gt;&lt;/FQL&gt;&lt;FQL&gt;&lt;Q&gt;GBPUSD^FG_PRICE(45333)&lt;/Q&gt;&lt;R&gt;1&lt;/R&gt;&lt;C&gt;1&lt;/C&gt;&lt;D xsi:type="xsd:double"&gt;1.20115&lt;/D&gt;&lt;/FQL&gt;&lt;FQL&gt;&lt;Q&gt;EURUSD^FG_PRICE(45333)&lt;/Q&gt;&lt;R&gt;1&lt;/R&gt;&lt;C&gt;1&lt;/C&gt;&lt;D xsi:type="xsd:double"&gt;1.0673&lt;/D&gt;&lt;/FQL&gt;&lt;FQL&gt;&lt;Q&gt;GBPUSD^FG_PRICE(45332)&lt;/Q&gt;&lt;R&gt;1&lt;/R&gt;&lt;C&gt;1&lt;/C&gt;&lt;D xsi:type="xsd:double"&gt;1.20115&lt;/D&gt;&lt;/FQL&gt;&lt;FQL&gt;&lt;Q&gt;EURUSD^FG_PRICE(45332)&lt;/Q&gt;&lt;R&gt;1&lt;/R&gt;&lt;C&gt;1&lt;/C&gt;&lt;D xsi:type="xsd:double"&gt;1.0673&lt;/D&gt;&lt;/FQL&gt;&lt;FQL&gt;&lt;Q&gt;GBPUSD^FG_PRICE(45331)&lt;/Q&gt;&lt;R&gt;1&lt;/R&gt;&lt;C&gt;1&lt;/C&gt;&lt;D xsi:type="xsd:double"&gt;1.20115&lt;/D&gt;&lt;/FQL&gt;&lt;FQL&gt;&lt;Q&gt;EURUSD^FG_PRICE(45331)&lt;/Q&gt;&lt;R&gt;1&lt;/R&gt;&lt;C&gt;1&lt;/C&gt;&lt;D xsi:type="xsd:double"&gt;1.0673&lt;/D&gt;&lt;/FQL&gt;&lt;FQL&gt;&lt;Q&gt;GBPUSD^FG_PRICE(45330)&lt;/Q&gt;&lt;R&gt;1&lt;/R&gt;&lt;C&gt;1&lt;/C&gt;&lt;D xsi:type="xsd:double"&gt;1.20115&lt;/D&gt;&lt;/FQL&gt;&lt;FQL&gt;&lt;Q&gt;EURUSD^FG_PRICE(45330)&lt;/Q&gt;&lt;R&gt;1&lt;/R&gt;&lt;C&gt;1&lt;/C&gt;&lt;D xsi:type="xsd:double"&gt;1.0673&lt;/D&gt;&lt;/FQL&gt;&lt;FQL&gt;&lt;Q&gt;GBPUSD^FG_PRICE(45329)&lt;/Q&gt;&lt;R&gt;1&lt;/R&gt;&lt;C&gt;1&lt;/C&gt;&lt;D xsi:type="xsd:double"&gt;1.20115&lt;/D&gt;&lt;/FQL&gt;&lt;FQL&gt;&lt;Q&gt;EURUSD^FG_PRICE(45329)&lt;/Q&gt;&lt;R&gt;1&lt;/R&gt;&lt;C&gt;1&lt;/C&gt;&lt;D xsi:type="xsd:double"&gt;1.0673&lt;/D&gt;&lt;/FQL&gt;&lt;FQL&gt;&lt;Q&gt;GBPUSD^FG_PRICE(45328)&lt;/Q&gt;&lt;R&gt;1&lt;/R&gt;&lt;C&gt;1&lt;/C&gt;&lt;D xsi:type="xsd:double"&gt;1.20115&lt;/D&gt;&lt;/FQL&gt;&lt;FQL&gt;&lt;Q&gt;EURUSD^FG_PRICE(45328)&lt;/Q&gt;&lt;R&gt;1&lt;/R&gt;&lt;C&gt;1&lt;/C&gt;&lt;D xsi:type="xsd:double"&gt;1.0673&lt;/D&gt;&lt;/FQL&gt;&lt;FQL&gt;&lt;Q&gt;GBPUSD^FG_PRICE(45327)&lt;/Q&gt;&lt;R&gt;1&lt;/R&gt;&lt;C&gt;1&lt;/C&gt;&lt;D xsi:type="xsd:double"&gt;1.20115&lt;/D&gt;&lt;/FQL&gt;&lt;FQL&gt;&lt;Q&gt;EURUSD^FG_PRICE(45327)&lt;/Q&gt;&lt;R&gt;1&lt;/R&gt;&lt;C&gt;1&lt;/C&gt;&lt;D xsi:type="xsd:double"&gt;1.0673&lt;/D&gt;&lt;/FQL&gt;&lt;FQL&gt;&lt;Q&gt;GBPUSD^FG_PRICE(45326)&lt;/Q&gt;&lt;R&gt;1&lt;/R&gt;&lt;C&gt;1&lt;/C&gt;&lt;D xsi:type="xsd:double"&gt;1.20115&lt;/D&gt;&lt;/FQL&gt;&lt;FQL&gt;&lt;Q&gt;EURUSD^FG_PRICE(45326)&lt;/Q&gt;&lt;R&gt;1&lt;/R&gt;&lt;C&gt;1&lt;/C&gt;&lt;D xsi:type="xsd:double"&gt;1.0673&lt;/D&gt;&lt;/FQL&gt;&lt;FQL&gt;&lt;Q&gt;GBPUSD^FG_PRICE(45325)&lt;/Q&gt;&lt;R&gt;1&lt;/R&gt;&lt;C&gt;1&lt;/C&gt;&lt;D xsi:type="xsd:double"&gt;1.20115&lt;/D&gt;&lt;/FQL&gt;&lt;FQL&gt;&lt;Q&gt;EURUSD^FG_PRICE(45325)&lt;/Q&gt;&lt;R&gt;1&lt;/R&gt;&lt;C&gt;1&lt;/C&gt;&lt;D xsi:type="xsd:double"&gt;1.0673&lt;/D&gt;&lt;/FQL&gt;&lt;FQL&gt;&lt;Q&gt;GBPUSD^FG_PRICE(45324)&lt;/Q&gt;&lt;R&gt;1&lt;/R&gt;&lt;C&gt;1&lt;/C&gt;&lt;D xsi:type="xsd:double"&gt;1.20115&lt;/D&gt;&lt;/FQL&gt;&lt;FQL&gt;&lt;Q&gt;EURUSD^FG_PRICE(45324)&lt;/Q&gt;&lt;R&gt;1&lt;/R&gt;&lt;C&gt;1&lt;/C&gt;&lt;D xsi:type="xsd:double"&gt;1.0673&lt;/D&gt;&lt;/FQL&gt;&lt;FQL&gt;&lt;Q&gt;GBPUSD^FG_PRICE(45323)&lt;/Q&gt;&lt;R&gt;1&lt;/R&gt;&lt;C&gt;1&lt;/C&gt;&lt;D xsi:type="xsd:double"&gt;1.20115&lt;/D&gt;&lt;/FQL&gt;&lt;FQL&gt;&lt;Q&gt;EURUSD^FG_PRICE(45323)&lt;/Q&gt;&lt;R&gt;1&lt;/R&gt;&lt;C&gt;1&lt;/C&gt;&lt;D xsi:type="xsd:double"&gt;1.0673&lt;/D&gt;&lt;/FQL&gt;&lt;FQL&gt;&lt;Q&gt;GBPUSD^FG_PRICE(45322)&lt;/Q&gt;&lt;R&gt;1&lt;/R&gt;&lt;C&gt;1&lt;/C&gt;&lt;D xsi:type="xsd:double"&gt;1.20115&lt;/D&gt;&lt;/FQL&gt;&lt;FQL&gt;&lt;Q&gt;EURUSD^FG_PRICE(45322)&lt;/Q&gt;&lt;R&gt;1&lt;/R&gt;&lt;C&gt;1&lt;/C&gt;&lt;D xsi:type="xsd:double"&gt;1.0673&lt;/D&gt;&lt;/FQL&gt;&lt;FQL&gt;&lt;Q&gt;GBPUSD^FG_PRICE(45321)&lt;/Q&gt;&lt;R&gt;1&lt;/R&gt;&lt;C&gt;1&lt;/C&gt;&lt;D xsi:type="xsd:double"&gt;1.20115&lt;/D&gt;&lt;/FQL&gt;&lt;FQL&gt;&lt;Q&gt;EURUSD^FG_PRICE(45321)&lt;/Q&gt;&lt;R&gt;1&lt;/R&gt;&lt;C&gt;1&lt;/C&gt;&lt;D xsi:type="xsd:double"&gt;1.0673&lt;/D&gt;&lt;/FQL&gt;&lt;FQL&gt;&lt;Q&gt;GBPUSD^FG_PRICE(45320)&lt;/Q&gt;&lt;R&gt;1&lt;/R&gt;&lt;C&gt;1&lt;/C&gt;&lt;D xsi:type="xsd:double"&gt;1.20115&lt;/D&gt;&lt;/FQL&gt;&lt;FQL&gt;&lt;Q&gt;EURUSD^FG_PRICE(45320)&lt;/Q&gt;&lt;R&gt;1&lt;/R&gt;&lt;C&gt;1&lt;/C&gt;&lt;D xsi:type="xsd:double"&gt;1.0673&lt;/D&gt;&lt;/FQL&gt;&lt;FQL&gt;&lt;Q&gt;GBPUSD^FG_PRICE(45319)&lt;/Q&gt;&lt;R&gt;1&lt;/R&gt;&lt;C&gt;1&lt;/C&gt;&lt;D xsi:type="xsd:double"&gt;1.20115&lt;/D&gt;&lt;/FQL&gt;&lt;FQL&gt;&lt;Q&gt;EURUSD^FG_PRICE(45319)&lt;/Q&gt;&lt;R&gt;1&lt;/R&gt;&lt;C&gt;1&lt;/C&gt;&lt;D xsi:type="xsd:double"&gt;1.0673&lt;/D&gt;&lt;/FQL&gt;&lt;FQL&gt;&lt;Q&gt;GBPUSD^FG_PRICE(45318)&lt;/Q&gt;&lt;R&gt;1&lt;/R&gt;&lt;C&gt;1&lt;/C&gt;&lt;D xsi:type="xsd:double"&gt;1.20115&lt;/D&gt;&lt;/FQL&gt;&lt;FQL&gt;&lt;Q&gt;EURUSD^FG_PRICE(45318)&lt;/Q&gt;&lt;R&gt;1&lt;/R&gt;&lt;C&gt;1&lt;/C&gt;&lt;D xsi:type="xsd:double"&gt;1.0673&lt;/D&gt;&lt;/FQL&gt;&lt;FQL&gt;&lt;Q&gt;GBPUSD^FG_PRICE(45317)&lt;/Q&gt;&lt;R&gt;1&lt;/R&gt;&lt;C&gt;1&lt;/C&gt;&lt;D xsi:type="xsd:double"&gt;1.20115&lt;/D&gt;&lt;/FQL&gt;&lt;FQL&gt;&lt;Q&gt;EURUSD^FG_PRICE(45317)&lt;/Q&gt;&lt;R&gt;1&lt;/R&gt;&lt;C&gt;1&lt;/C&gt;&lt;D xsi:type="xsd:double"&gt;1.0673&lt;/D&gt;&lt;/FQL&gt;&lt;FQL&gt;&lt;Q&gt;GBPUSD^FG_PRICE(45316)&lt;/Q&gt;&lt;R&gt;1&lt;/R&gt;&lt;C&gt;1&lt;/C&gt;&lt;D xsi:type="xsd:double"&gt;1.20115&lt;/D&gt;&lt;/FQL&gt;&lt;FQL&gt;&lt;Q&gt;EURUSD^FG_PRICE(45316)&lt;/Q&gt;&lt;R&gt;1&lt;/R&gt;&lt;C&gt;1&lt;/C&gt;&lt;D xsi:type="xsd:double"&gt;1.0673&lt;/D&gt;&lt;/FQL&gt;&lt;FQL&gt;&lt;Q&gt;GBPUSD^FG_PRICE(45315)&lt;/Q&gt;&lt;R&gt;1&lt;/R&gt;&lt;C&gt;1&lt;/C&gt;&lt;D xsi:type="xsd:double"&gt;1.20115&lt;/D&gt;&lt;/FQL&gt;&lt;FQL&gt;&lt;Q&gt;EURUSD^FG_PRICE(45315)&lt;/Q&gt;&lt;R&gt;1&lt;/R&gt;&lt;C&gt;1&lt;/C&gt;&lt;D xsi:type="xsd:double"&gt;1.0673&lt;/D&gt;&lt;/FQL&gt;&lt;FQL&gt;&lt;Q&gt;GBPUSD^FG_PRICE(45314)&lt;/Q&gt;&lt;R&gt;1&lt;/R&gt;&lt;C&gt;1&lt;/C&gt;&lt;D xsi:type="xsd:double"&gt;1.20115&lt;/D&gt;&lt;/FQL&gt;&lt;FQL&gt;&lt;Q&gt;EURUSD^FG_PRICE(45314)&lt;/Q&gt;&lt;R&gt;1&lt;/R&gt;&lt;C&gt;1&lt;/C&gt;&lt;D xsi:type="xsd:double"&gt;1.0673&lt;/D&gt;&lt;/FQL&gt;&lt;FQL&gt;&lt;Q&gt;GBPUSD^FG_PRICE(45313)&lt;/Q&gt;&lt;R&gt;1&lt;/R&gt;&lt;C&gt;1&lt;/C&gt;&lt;D xsi:type="xsd:double"&gt;1.20115&lt;/D&gt;&lt;/FQL&gt;&lt;FQL&gt;&lt;Q&gt;EURUSD^FG_PRICE(45313)&lt;/Q&gt;&lt;R&gt;1&lt;/R&gt;&lt;C&gt;1&lt;/C&gt;&lt;D xsi:type="xsd:double"&gt;1.0673&lt;/D&gt;&lt;/FQL&gt;&lt;FQL&gt;&lt;Q&gt;GBPUSD^FG_PRICE(45312)&lt;/Q&gt;&lt;R&gt;1&lt;/R&gt;&lt;C&gt;1&lt;/C&gt;&lt;D xsi:type="xsd:double"&gt;1.20115&lt;/D&gt;&lt;/FQL&gt;&lt;FQL&gt;&lt;Q&gt;EURUSD^FG_PRICE(45312)&lt;/Q&gt;&lt;R&gt;1&lt;/R&gt;&lt;C&gt;1&lt;/C&gt;&lt;D xsi:type="xsd:double"&gt;1.0673&lt;/D&gt;&lt;/FQL&gt;&lt;FQL&gt;&lt;Q&gt;GBPUSD^FG_PRICE(45311)&lt;/Q&gt;&lt;R&gt;1&lt;/R&gt;&lt;C&gt;1&lt;/C&gt;&lt;D xsi:type="xsd:double"&gt;1.20115&lt;/D&gt;&lt;/FQL&gt;&lt;FQL&gt;&lt;Q&gt;EURUSD^FG_PRICE(45311)&lt;/Q&gt;&lt;R&gt;1&lt;/R&gt;&lt;C&gt;1&lt;/C&gt;&lt;D xsi:type="xsd:double"&gt;1.0673&lt;/D&gt;&lt;/FQL&gt;&lt;FQL&gt;&lt;Q&gt;GBPUSD^FG_PRICE(45310)&lt;/Q&gt;&lt;R&gt;1&lt;/R&gt;&lt;C&gt;1&lt;/C&gt;&lt;D xsi:type="xsd:double"&gt;1.20115&lt;/D&gt;&lt;/FQL&gt;&lt;FQL&gt;&lt;Q&gt;EURUSD^FG_PRICE(45310)&lt;/Q&gt;&lt;R&gt;1&lt;/R&gt;&lt;C&gt;1&lt;/C&gt;&lt;D xsi:type="xsd:double"&gt;1.0673&lt;/D&gt;&lt;/FQL&gt;&lt;FQL&gt;&lt;Q&gt;GBPUSD^FG_PRICE(45309)&lt;/Q&gt;&lt;R&gt;1&lt;/R&gt;&lt;C&gt;1&lt;/C&gt;&lt;D xsi:type="xsd:double"&gt;1.20115&lt;/D&gt;&lt;/FQL&gt;&lt;FQL&gt;&lt;Q&gt;EURUSD^FG_PRICE(45309)&lt;/Q&gt;&lt;R&gt;1&lt;/R&gt;&lt;C&gt;1&lt;/C&gt;&lt;D xsi:type="xsd:double"&gt;1.0673&lt;/D&gt;&lt;/FQL&gt;&lt;FQL&gt;&lt;Q&gt;GBPUSD^FG_PRICE(45308)&lt;/Q&gt;&lt;R&gt;1&lt;/R&gt;&lt;C&gt;1&lt;/C&gt;&lt;D xsi:type="xsd:double"&gt;1.20115&lt;/D&gt;&lt;/FQL&gt;&lt;FQL&gt;&lt;Q&gt;EURUSD^FG_PRICE(45308)&lt;/Q&gt;&lt;R&gt;1&lt;/R&gt;&lt;C&gt;1&lt;/C&gt;&lt;D xsi:type="xsd:double"&gt;1.0673&lt;/D&gt;&lt;/FQL&gt;&lt;FQL&gt;&lt;Q&gt;GBPUSD^FG_PRICE(45307)&lt;/Q&gt;&lt;R&gt;1&lt;/R&gt;&lt;C&gt;1&lt;/C&gt;&lt;D xsi:type="xsd:double"&gt;1.20115&lt;/D&gt;&lt;/FQL&gt;&lt;FQL&gt;&lt;Q&gt;EURUSD^FG_PRICE(45307)&lt;/Q&gt;&lt;R&gt;1&lt;/R&gt;&lt;C&gt;1&lt;/C&gt;&lt;D xsi:type="xsd:double"&gt;1.0673&lt;/D&gt;&lt;/FQL&gt;&lt;FQL&gt;&lt;Q&gt;GBPUSD^FG_PRICE(45306)&lt;/Q&gt;&lt;R&gt;1&lt;/R&gt;&lt;C&gt;1&lt;/C&gt;&lt;D xsi:type="xsd:double"&gt;1.20115&lt;/D&gt;&lt;/FQL&gt;&lt;FQL&gt;&lt;Q&gt;EURUSD^FG_PRICE(45306)&lt;/Q&gt;&lt;R&gt;1&lt;/R&gt;&lt;C&gt;1&lt;/C&gt;&lt;D xsi:type="xsd:double"&gt;1.0673&lt;/D&gt;&lt;/FQL&gt;&lt;FQL&gt;&lt;Q&gt;GBPUSD^FG_PRICE(45305)&lt;/Q&gt;&lt;R&gt;1&lt;/R&gt;&lt;C&gt;1&lt;/C&gt;&lt;D xsi:type="xsd:double"&gt;1.20115&lt;/D&gt;&lt;/FQL&gt;&lt;FQL&gt;&lt;Q&gt;EURUSD^FG_PRICE(45305)&lt;/Q&gt;&lt;R&gt;1&lt;/R&gt;&lt;C&gt;1&lt;/C&gt;&lt;D xsi:type="xsd:double"&gt;1.0673&lt;/D&gt;&lt;/FQL&gt;&lt;FQL&gt;&lt;Q&gt;GBPUSD^FG_PRICE(45304)&lt;/Q&gt;&lt;R&gt;1&lt;/R&gt;&lt;C&gt;1&lt;/C&gt;&lt;D xsi:type="xsd:double"&gt;1.20115&lt;/D&gt;&lt;/FQL&gt;&lt;FQL&gt;&lt;Q&gt;EURUSD^FG_PRICE(45304)&lt;/Q&gt;&lt;R&gt;1&lt;/R&gt;&lt;C&gt;1&lt;/C&gt;&lt;D xsi:type="xsd:double"&gt;1.0673&lt;/D&gt;&lt;/FQL&gt;&lt;FQL&gt;&lt;Q&gt;GBPUSD^FG_PRICE(45303)&lt;/Q&gt;&lt;R&gt;1&lt;/R&gt;&lt;C&gt;1&lt;/C&gt;&lt;D xsi:type="xsd:double"&gt;1.20115&lt;/D&gt;&lt;/FQL&gt;&lt;FQL&gt;&lt;Q&gt;EURUSD^FG_PRICE(45303)&lt;/Q&gt;&lt;R&gt;1&lt;/R&gt;&lt;C&gt;1&lt;/C&gt;&lt;D xsi:type="xsd:double"&gt;1.0673&lt;/D&gt;&lt;/FQL&gt;&lt;FQL&gt;&lt;Q&gt;GBPUSD^FG_PRICE(45302)&lt;/Q&gt;&lt;R&gt;1&lt;/R&gt;&lt;C&gt;1&lt;/C&gt;&lt;D xsi:type="xsd:double"&gt;1.20115&lt;/D&gt;&lt;/FQL&gt;&lt;FQL&gt;&lt;Q&gt;EURUSD^FG_PRICE(45302)&lt;/Q&gt;&lt;R&gt;1&lt;/R&gt;&lt;C&gt;1&lt;/C&gt;&lt;D xsi:type="xsd:double"&gt;1.0673&lt;/D&gt;&lt;/FQL&gt;&lt;FQL&gt;&lt;Q&gt;GBPUSD^FG_PRICE(45301)&lt;/Q&gt;&lt;R&gt;1&lt;/R&gt;&lt;C&gt;1&lt;/C&gt;&lt;D xsi:type="xsd:double"&gt;1.20115&lt;/D&gt;&lt;/FQL&gt;&lt;FQL&gt;&lt;Q&gt;EURUSD^FG_PRICE(45301)&lt;/Q&gt;&lt;R&gt;1&lt;/R&gt;&lt;C&gt;1&lt;/C&gt;&lt;D xsi:type="xsd:double"&gt;1.0673&lt;/D&gt;&lt;/FQL&gt;&lt;FQL&gt;&lt;Q&gt;GBPUSD^FG_PRICE(45300)&lt;/Q&gt;&lt;R&gt;1&lt;/R&gt;&lt;C&gt;1&lt;/C&gt;&lt;D xsi:type="xsd:double"&gt;1.20115&lt;/D&gt;&lt;/FQL&gt;&lt;FQL&gt;&lt;Q&gt;EURUSD^FG_PRICE(45300)&lt;/Q&gt;&lt;R&gt;1&lt;/R&gt;&lt;C&gt;1&lt;/C&gt;&lt;D xsi:type="xsd:double"&gt;1.0673&lt;/D&gt;&lt;/FQL&gt;&lt;FQL&gt;&lt;Q&gt;GBPUSD^FG_PRICE(45299)&lt;/Q&gt;&lt;R&gt;1&lt;/R&gt;&lt;C&gt;1&lt;/C&gt;&lt;D xsi:type="xsd:double"&gt;1.20115&lt;/D&gt;&lt;/FQL&gt;&lt;FQL&gt;&lt;Q&gt;EURUSD^FG_PRICE(45299)&lt;/Q&gt;&lt;R&gt;1&lt;/R&gt;&lt;C&gt;1&lt;/C&gt;&lt;D xsi:type="xsd:double"&gt;1.0673&lt;/D&gt;&lt;/FQL&gt;&lt;FQL&gt;&lt;Q&gt;GBPUSD^FG_PRICE(45298)&lt;/Q&gt;&lt;R&gt;1&lt;/R&gt;&lt;C&gt;1&lt;/C&gt;&lt;D xsi:type="xsd:double"&gt;1.20115&lt;/D&gt;&lt;/FQL&gt;&lt;FQL&gt;&lt;Q&gt;EURUSD^FG_PRICE(45298)&lt;/Q&gt;&lt;R&gt;1&lt;/R&gt;&lt;C&gt;1&lt;/C&gt;&lt;D xsi:type="xsd:double"&gt;1.0673&lt;/D&gt;&lt;/FQL&gt;&lt;FQL&gt;&lt;Q&gt;GBPUSD^FG_PRICE(45297)&lt;/Q&gt;&lt;R&gt;1&lt;/R&gt;&lt;C&gt;1&lt;/C&gt;&lt;D xsi:type="xsd:double"&gt;1.20115&lt;/D&gt;&lt;/FQL&gt;&lt;FQL&gt;&lt;Q&gt;EURUSD^FG_PRICE(45297)&lt;/Q&gt;&lt;R&gt;1&lt;/R&gt;&lt;C&gt;1&lt;/C&gt;&lt;D xsi:type="xsd:double"&gt;1.0673&lt;/D&gt;&lt;/FQL&gt;&lt;FQL&gt;&lt;Q&gt;GBPUSD^FG_PRICE(45296)&lt;/Q&gt;&lt;R&gt;1&lt;/R&gt;&lt;C&gt;1&lt;/C&gt;&lt;D xsi:type="xsd:double"&gt;1.20115&lt;/D&gt;&lt;/FQL&gt;&lt;FQL&gt;&lt;Q&gt;EURUSD^FG_PRICE(45296)&lt;/Q&gt;&lt;R&gt;1&lt;/R&gt;&lt;C&gt;1&lt;/C&gt;&lt;D xsi:type="xsd:double"&gt;1.0673&lt;/D&gt;&lt;/FQL&gt;&lt;FQL&gt;&lt;Q&gt;GBPUSD^FG_PRICE(45295)&lt;/Q&gt;&lt;R&gt;1&lt;/R&gt;&lt;C&gt;1&lt;/C&gt;&lt;D xsi:type="xsd:double"&gt;1.20115&lt;/D&gt;&lt;/FQL&gt;&lt;FQL&gt;&lt;Q&gt;EURUSD^FG_PRICE(45295)&lt;/Q&gt;&lt;R&gt;1&lt;/R&gt;&lt;C&gt;1&lt;/C&gt;&lt;D xsi:type="xsd:double"&gt;1.0673&lt;/D&gt;&lt;/FQL&gt;&lt;FQL&gt;&lt;Q&gt;GBPUSD^FG_PRICE(45294)&lt;/Q&gt;&lt;R&gt;1&lt;/R&gt;&lt;C&gt;1&lt;/C&gt;&lt;D xsi:type="xsd:double"&gt;1.20115&lt;/D&gt;&lt;/FQL&gt;&lt;FQL&gt;&lt;Q&gt;EURUSD^FG_PRICE(45294)&lt;/Q&gt;&lt;R&gt;1&lt;/R&gt;&lt;C&gt;1&lt;/C&gt;&lt;D xsi:type="xsd:double"&gt;1.0673&lt;/D&gt;&lt;/FQL&gt;&lt;FQL&gt;&lt;Q&gt;GBPUSD^FG_PRICE(45293)&lt;/Q&gt;&lt;R&gt;1&lt;/R&gt;</t>
        </r>
      </text>
    </comment>
    <comment ref="A9" authorId="0" shapeId="0" xr:uid="{A637B270-284F-4B00-A5D9-C39A0D4EF190}">
      <text>
        <r>
          <rPr>
            <b/>
            <sz val="9"/>
            <color indexed="81"/>
            <rFont val="Tahoma"/>
            <family val="2"/>
          </rPr>
          <t>&lt;C&gt;1&lt;/C&gt;&lt;D xsi:type="xsd:double"&gt;1.20115&lt;/D&gt;&lt;/FQL&gt;&lt;FQL&gt;&lt;Q&gt;EURUSD^FG_PRICE(45293)&lt;/Q&gt;&lt;R&gt;1&lt;/R&gt;&lt;C&gt;1&lt;/C&gt;&lt;D xsi:type="xsd:double"&gt;1.0673&lt;/D&gt;&lt;/FQL&gt;&lt;FQL&gt;&lt;Q&gt;GBPUSD^FG_PRICE(45292)&lt;/Q&gt;&lt;R&gt;1&lt;/R&gt;&lt;C&gt;1&lt;/C&gt;&lt;D xsi:type="xsd:double"&gt;1.20115&lt;/D&gt;&lt;/FQL&gt;&lt;FQL&gt;&lt;Q&gt;EURUSD^FG_PRICE(45292)&lt;/Q&gt;&lt;R&gt;1&lt;/R&gt;&lt;C&gt;1&lt;/C&gt;&lt;D xsi:type="xsd:double"&gt;1.0673&lt;/D&gt;&lt;/FQL&gt;&lt;FQL&gt;&lt;Q&gt;GBPUSD^FG_PRICE(45291)&lt;/Q&gt;&lt;R&gt;1&lt;/R&gt;&lt;C&gt;1&lt;/C&gt;&lt;D xsi:type="xsd:double"&gt;1.20115&lt;/D&gt;&lt;/FQL&gt;&lt;FQL&gt;&lt;Q&gt;EURUSD^FG_PRICE(45291)&lt;/Q&gt;&lt;R&gt;1&lt;/R&gt;&lt;C&gt;1&lt;/C&gt;&lt;D xsi:type="xsd:double"&gt;1.0673&lt;/D&gt;&lt;/FQL&gt;&lt;FQL&gt;&lt;Q&gt;GBPUSD^FG_PRICE(45290)&lt;/Q&gt;&lt;R&gt;1&lt;/R&gt;&lt;C&gt;1&lt;/C&gt;&lt;D xsi:type="xsd:double"&gt;1.20115&lt;/D&gt;&lt;/FQL&gt;&lt;FQL&gt;&lt;Q&gt;EURUSD^FG_PRICE(45290)&lt;/Q&gt;&lt;R&gt;1&lt;/R&gt;&lt;C&gt;1&lt;/C&gt;&lt;D xsi:type="xsd:double"&gt;1.0673&lt;/D&gt;&lt;/FQL&gt;&lt;FQL&gt;&lt;Q&gt;GBPUSD^FG_PRICE(45289)&lt;/Q&gt;&lt;R&gt;1&lt;/R&gt;&lt;C&gt;1&lt;/C&gt;&lt;D xsi:type="xsd:double"&gt;1.20115&lt;/D&gt;&lt;/FQL&gt;&lt;FQL&gt;&lt;Q&gt;EURUSD^FG_PRICE(45289)&lt;/Q&gt;&lt;R&gt;1&lt;/R&gt;&lt;C&gt;1&lt;/C&gt;&lt;D xsi:type="xsd:double"&gt;1.0673&lt;/D&gt;&lt;/FQL&gt;&lt;FQL&gt;&lt;Q&gt;GBPUSD^FG_PRICE(45288)&lt;/Q&gt;&lt;R&gt;1&lt;/R&gt;&lt;C&gt;1&lt;/C&gt;&lt;D xsi:type="xsd:double"&gt;1.20115&lt;/D&gt;&lt;/FQL&gt;&lt;FQL&gt;&lt;Q&gt;EURUSD^FG_PRICE(45288)&lt;/Q&gt;&lt;R&gt;1&lt;/R&gt;&lt;C&gt;1&lt;/C&gt;&lt;D xsi:type="xsd:double"&gt;1.0673&lt;/D&gt;&lt;/FQL&gt;&lt;FQL&gt;&lt;Q&gt;GBPUSD^FG_PRICE(45287)&lt;/Q&gt;&lt;R&gt;1&lt;/R&gt;&lt;C&gt;1&lt;/C&gt;&lt;D xsi:type="xsd:double"&gt;1.20115&lt;/D&gt;&lt;/FQL&gt;&lt;FQL&gt;&lt;Q&gt;EURUSD^FG_PRICE(45287)&lt;/Q&gt;&lt;R&gt;1&lt;/R&gt;&lt;C&gt;1&lt;/C&gt;&lt;D xsi:type="xsd:double"&gt;1.0673&lt;/D&gt;&lt;/FQL&gt;&lt;FQL&gt;&lt;Q&gt;GBPUSD^FG_PRICE(45286)&lt;/Q&gt;&lt;R&gt;1&lt;/R&gt;&lt;C&gt;1&lt;/C&gt;&lt;D xsi:type="xsd:double"&gt;1.20115&lt;/D&gt;&lt;/FQL&gt;&lt;FQL&gt;&lt;Q&gt;EURUSD^FG_PRICE(45286)&lt;/Q&gt;&lt;R&gt;1&lt;/R&gt;&lt;C&gt;1&lt;/C&gt;&lt;D xsi:type="xsd:double"&gt;1.0673&lt;/D&gt;&lt;/FQL&gt;&lt;FQL&gt;&lt;Q&gt;GBPUSD^FG_PRICE(45285)&lt;/Q&gt;&lt;R&gt;1&lt;/R&gt;&lt;C&gt;1&lt;/C&gt;&lt;D xsi:type="xsd:double"&gt;1.20115&lt;/D&gt;&lt;/FQL&gt;&lt;FQL&gt;&lt;Q&gt;EURUSD^FG_PRICE(45285)&lt;/Q&gt;&lt;R&gt;1&lt;/R&gt;&lt;C&gt;1&lt;/C&gt;&lt;D xsi:type="xsd:double"&gt;1.0673&lt;/D&gt;&lt;/FQL&gt;&lt;FQL&gt;&lt;Q&gt;GBPUSD^FG_PRICE(45284)&lt;/Q&gt;&lt;R&gt;1&lt;/R&gt;&lt;C&gt;1&lt;/C&gt;&lt;D xsi:type="xsd:double"&gt;1.20115&lt;/D&gt;&lt;/FQL&gt;&lt;FQL&gt;&lt;Q&gt;EURUSD^FG_PRICE(45284)&lt;/Q&gt;&lt;R&gt;1&lt;/R&gt;&lt;C&gt;1&lt;/C&gt;&lt;D xsi:type="xsd:double"&gt;1.0673&lt;/D&gt;&lt;/FQL&gt;&lt;FQL&gt;&lt;Q&gt;GBPUSD^FG_PRICE(45283)&lt;/Q&gt;&lt;R&gt;1&lt;/R&gt;&lt;C&gt;1&lt;/C&gt;&lt;D xsi:type="xsd:double"&gt;1.20115&lt;/D&gt;&lt;/FQL&gt;&lt;FQL&gt;&lt;Q&gt;EURUSD^FG_PRICE(45283)&lt;/Q&gt;&lt;R&gt;1&lt;/R&gt;&lt;C&gt;1&lt;/C&gt;&lt;D xsi:type="xsd:double"&gt;1.0673&lt;/D&gt;&lt;/FQL&gt;&lt;FQL&gt;&lt;Q&gt;GBPUSD^FG_PRICE(45282)&lt;/Q&gt;&lt;R&gt;1&lt;/R&gt;&lt;C&gt;1&lt;/C&gt;&lt;D xsi:type="xsd:double"&gt;1.20115&lt;/D&gt;&lt;/FQL&gt;&lt;FQL&gt;&lt;Q&gt;EURUSD^FG_PRICE(45282)&lt;/Q&gt;&lt;R&gt;1&lt;/R&gt;&lt;C&gt;1&lt;/C&gt;&lt;D xsi:type="xsd:double"&gt;1.0673&lt;/D&gt;&lt;/FQL&gt;&lt;FQL&gt;&lt;Q&gt;GBPUSD^FG_PRICE(45281)&lt;/Q&gt;&lt;R&gt;1&lt;/R&gt;&lt;C&gt;1&lt;/C&gt;&lt;D xsi:type="xsd:double"&gt;1.20115&lt;/D&gt;&lt;/FQL&gt;&lt;FQL&gt;&lt;Q&gt;EURUSD^FG_PRICE(45281)&lt;/Q&gt;&lt;R&gt;1&lt;/R&gt;&lt;C&gt;1&lt;/C&gt;&lt;D xsi:type="xsd:double"&gt;1.0673&lt;/D&gt;&lt;/FQL&gt;&lt;FQL&gt;&lt;Q&gt;GBPUSD^FG_PRICE(45280)&lt;/Q&gt;&lt;R&gt;1&lt;/R&gt;&lt;C&gt;1&lt;/C&gt;&lt;D xsi:type="xsd:double"&gt;1.20115&lt;/D&gt;&lt;/FQL&gt;&lt;FQL&gt;&lt;Q&gt;EURUSD^FG_PRICE(45280)&lt;/Q&gt;&lt;R&gt;1&lt;/R&gt;&lt;C&gt;1&lt;/C&gt;&lt;D xsi:type="xsd:double"&gt;1.0673&lt;/D&gt;&lt;/FQL&gt;&lt;FQL&gt;&lt;Q&gt;GBPUSD^FG_PRICE(45279)&lt;/Q&gt;&lt;R&gt;1&lt;/R&gt;&lt;C&gt;1&lt;/C&gt;&lt;D xsi:type="xsd:double"&gt;1.20115&lt;/D&gt;&lt;/FQL&gt;&lt;FQL&gt;&lt;Q&gt;EURUSD^FG_PRICE(45279)&lt;/Q&gt;&lt;R&gt;1&lt;/R&gt;&lt;C&gt;1&lt;/C&gt;&lt;D xsi:type="xsd:double"&gt;1.0673&lt;/D&gt;&lt;/FQL&gt;&lt;FQL&gt;&lt;Q&gt;GBPUSD^FG_PRICE(45278)&lt;/Q&gt;&lt;R&gt;1&lt;/R&gt;&lt;C&gt;1&lt;/C&gt;&lt;D xsi:type="xsd:double"&gt;1.20115&lt;/D&gt;&lt;/FQL&gt;&lt;FQL&gt;&lt;Q&gt;EURUSD^FG_PRICE(45278)&lt;/Q&gt;&lt;R&gt;1&lt;/R&gt;&lt;C&gt;1&lt;/C&gt;&lt;D xsi:type="xsd:double"&gt;1.0673&lt;/D&gt;&lt;/FQL&gt;&lt;FQL&gt;&lt;Q&gt;GBPUSD^FG_PRICE(45277)&lt;/Q&gt;&lt;R&gt;1&lt;/R&gt;&lt;C&gt;1&lt;/C&gt;&lt;D xsi:type="xsd:double"&gt;1.20115&lt;/D&gt;&lt;/FQL&gt;&lt;FQL&gt;&lt;Q&gt;EURUSD^FG_PRICE(45277)&lt;/Q&gt;&lt;R&gt;1&lt;/R&gt;&lt;C&gt;1&lt;/C&gt;&lt;D xsi:type="xsd:double"&gt;1.0673&lt;/D&gt;&lt;/FQL&gt;&lt;FQL&gt;&lt;Q&gt;GBPUSD^FG_PRICE(45276)&lt;/Q&gt;&lt;R&gt;1&lt;/R&gt;&lt;C&gt;1&lt;/C&gt;&lt;D xsi:type="xsd:double"&gt;1.20115&lt;/D&gt;&lt;/FQL&gt;&lt;FQL&gt;&lt;Q&gt;EURUSD^FG_PRICE(45276)&lt;/Q&gt;&lt;R&gt;1&lt;/R&gt;&lt;C&gt;1&lt;/C&gt;&lt;D xsi:type="xsd:double"&gt;1.0673&lt;/D&gt;&lt;/FQL&gt;&lt;FQL&gt;&lt;Q&gt;GBPUSD^FG_PRICE(45275)&lt;/Q&gt;&lt;R&gt;1&lt;/R&gt;&lt;C&gt;1&lt;/C&gt;&lt;D xsi:type="xsd:double"&gt;1.20115&lt;/D&gt;&lt;/FQL&gt;&lt;FQL&gt;&lt;Q&gt;EURUSD^FG_PRICE(45275)&lt;/Q&gt;&lt;R&gt;1&lt;/R&gt;&lt;C&gt;1&lt;/C&gt;&lt;D xsi:type="xsd:double"&gt;1.0673&lt;/D&gt;&lt;/FQL&gt;&lt;FQL&gt;&lt;Q&gt;GBPUSD^FG_PRICE(45274)&lt;/Q&gt;&lt;R&gt;1&lt;/R&gt;&lt;C&gt;1&lt;/C&gt;&lt;D xsi:type="xsd:double"&gt;1.20115&lt;/D&gt;&lt;/FQL&gt;&lt;FQL&gt;&lt;Q&gt;EURUSD^FG_PRICE(45274)&lt;/Q&gt;&lt;R&gt;1&lt;/R&gt;&lt;C&gt;1&lt;/C&gt;&lt;D xsi:type="xsd:double"&gt;1.0673&lt;/D&gt;&lt;/FQL&gt;&lt;FQL&gt;&lt;Q&gt;GBPUSD^FG_PRICE(45273)&lt;/Q&gt;&lt;R&gt;1&lt;/R&gt;&lt;C&gt;1&lt;/C&gt;&lt;D xsi:type="xsd:double"&gt;1.20115&lt;/D&gt;&lt;/FQL&gt;&lt;FQL&gt;&lt;Q&gt;EURUSD^FG_PRICE(45273)&lt;/Q&gt;&lt;R&gt;1&lt;/R&gt;&lt;C&gt;1&lt;/C&gt;&lt;D xsi:type="xsd:double"&gt;1.0673&lt;/D&gt;&lt;/FQL&gt;&lt;FQL&gt;&lt;Q&gt;GBPUSD^FG_PRICE(45272)&lt;/Q&gt;&lt;R&gt;1&lt;/R&gt;&lt;C&gt;1&lt;/C&gt;&lt;D xsi:type="xsd:double"&gt;1.20115&lt;/D&gt;&lt;/FQL&gt;&lt;FQL&gt;&lt;Q&gt;EURUSD^FG_PRICE(45272)&lt;/Q&gt;&lt;R&gt;1&lt;/R&gt;&lt;C&gt;1&lt;/C&gt;&lt;D xsi:type="xsd:double"&gt;1.0673&lt;/D&gt;&lt;/FQL&gt;&lt;FQL&gt;&lt;Q&gt;GBPUSD^FG_PRICE(45271)&lt;/Q&gt;&lt;R&gt;1&lt;/R&gt;&lt;C&gt;1&lt;/C&gt;&lt;D xsi:type="xsd:double"&gt;1.20115&lt;/D&gt;&lt;/FQL&gt;&lt;FQL&gt;&lt;Q&gt;EURUSD^FG_PRICE(45271)&lt;/Q&gt;&lt;R&gt;1&lt;/R&gt;&lt;C&gt;1&lt;/C&gt;&lt;D xsi:type="xsd:double"&gt;1.0673&lt;/D&gt;&lt;/FQL&gt;&lt;FQL&gt;&lt;Q&gt;GBPUSD^FG_PRICE(45270)&lt;/Q&gt;&lt;R&gt;1&lt;/R&gt;&lt;C&gt;1&lt;/C&gt;&lt;D xsi:type="xsd:double"&gt;1.20115&lt;/D&gt;&lt;/FQL&gt;&lt;FQL&gt;&lt;Q&gt;EURUSD^FG_PRICE(45270)&lt;/Q&gt;&lt;R&gt;1&lt;/R&gt;&lt;C&gt;1&lt;/C&gt;&lt;D xsi:type="xsd:double"&gt;1.0673&lt;/D&gt;&lt;/FQL&gt;&lt;FQL&gt;&lt;Q&gt;GBPUSD^FG_PRICE(45269)&lt;/Q&gt;&lt;R&gt;1&lt;/R&gt;&lt;C&gt;1&lt;/C&gt;&lt;D xsi:type="xsd:double"&gt;1.20115&lt;/D&gt;&lt;/FQL&gt;&lt;FQL&gt;&lt;Q&gt;EURUSD^FG_PRICE(45269)&lt;/Q&gt;&lt;R&gt;1&lt;/R&gt;&lt;C&gt;1&lt;/C&gt;&lt;D xsi:type="xsd:double"&gt;1.0673&lt;/D&gt;&lt;/FQL&gt;&lt;FQL&gt;&lt;Q&gt;GBPUSD^FG_PRICE(45268)&lt;/Q&gt;&lt;R&gt;1&lt;/R&gt;&lt;C&gt;1&lt;/C&gt;&lt;D xsi:type="xsd:double"&gt;1.20115&lt;/D&gt;&lt;/FQL&gt;&lt;FQL&gt;&lt;Q&gt;EURUSD^FG_PRICE(45268)&lt;/Q&gt;&lt;R&gt;1&lt;/R&gt;&lt;C&gt;1&lt;/C&gt;&lt;D xsi:type="xsd:double"&gt;1.0673&lt;/D&gt;&lt;/FQL&gt;&lt;FQL&gt;&lt;Q&gt;GBPUSD^FG_PRICE(45267)&lt;/Q&gt;&lt;R&gt;1&lt;/R&gt;&lt;C&gt;1&lt;/C&gt;&lt;D xsi:type="xsd:double"&gt;1.20115&lt;/D&gt;&lt;/FQL&gt;&lt;FQL&gt;&lt;Q&gt;EURUSD^FG_PRICE(45267)&lt;/Q&gt;&lt;R&gt;1&lt;/R&gt;&lt;C&gt;1&lt;/C&gt;&lt;D xsi:type="xsd:double"&gt;1.0673&lt;/D&gt;&lt;/FQL&gt;&lt;FQL&gt;&lt;Q&gt;GBPUSD^FG_PRICE(45266)&lt;/Q&gt;&lt;R&gt;1&lt;/R&gt;&lt;C&gt;1&lt;/C&gt;&lt;D xsi:type="xsd:double"&gt;1.20115&lt;/D&gt;&lt;/FQL&gt;&lt;FQL&gt;&lt;Q&gt;EURUSD^FG_PRICE(45266)&lt;/Q&gt;&lt;R&gt;1&lt;/R&gt;&lt;C&gt;1&lt;/C&gt;&lt;D xsi:type="xsd:double"&gt;1.0673&lt;/D&gt;&lt;/FQL&gt;&lt;FQL&gt;&lt;Q&gt;GBPUSD^FG_PRICE(45265)&lt;/Q&gt;&lt;R&gt;1&lt;/R&gt;&lt;C&gt;1&lt;/C&gt;&lt;D xsi:type="xsd:double"&gt;1.20115&lt;/D&gt;&lt;/FQL&gt;&lt;FQL&gt;&lt;Q&gt;EURUSD^FG_PRICE(45265)&lt;/Q&gt;&lt;R&gt;1&lt;/R&gt;&lt;C&gt;1&lt;/C&gt;&lt;D xsi:type="xsd:double"&gt;1.0673&lt;/D&gt;&lt;/FQL&gt;&lt;FQL&gt;&lt;Q&gt;GBPUSD^FG_PRICE(45264)&lt;/Q&gt;&lt;R&gt;1&lt;/R&gt;&lt;C&gt;1&lt;/C&gt;&lt;D xsi:type="xsd:double"&gt;1.20115&lt;/D&gt;&lt;/FQL&gt;&lt;FQL&gt;&lt;Q&gt;EURUSD^FG_PRICE(45264)&lt;/Q&gt;&lt;R&gt;1&lt;/R&gt;&lt;C&gt;1&lt;/C&gt;&lt;D xsi:type="xsd:double"&gt;1.0673&lt;/D&gt;&lt;/FQL&gt;&lt;FQL&gt;&lt;Q&gt;GBPUSD^FG_PRICE(45263)&lt;/Q&gt;&lt;R&gt;1&lt;/R&gt;&lt;C&gt;1&lt;/C&gt;&lt;D xsi:type="xsd:double"&gt;1.20115&lt;/D&gt;&lt;/FQL&gt;&lt;FQL&gt;&lt;Q&gt;EURUSD^FG_PRICE(45263)&lt;/Q&gt;&lt;R&gt;1&lt;/R&gt;&lt;C&gt;1&lt;/C&gt;&lt;D xsi:type="xsd:double"&gt;1.0673&lt;/D&gt;&lt;/FQL&gt;&lt;FQL&gt;&lt;Q&gt;GBPUSD^FG_PRICE(45262)&lt;/Q&gt;&lt;R&gt;1&lt;/R&gt;&lt;C&gt;1&lt;/C&gt;&lt;D xsi:type="xsd:double"&gt;1.20115&lt;/D&gt;&lt;/FQL&gt;&lt;FQL&gt;&lt;Q&gt;EURUSD^FG_PRICE(45262)&lt;/Q&gt;&lt;R&gt;1&lt;/R&gt;&lt;C&gt;1&lt;/C&gt;&lt;D xsi:type="xsd:double"&gt;1.0673&lt;/D&gt;&lt;/FQL&gt;&lt;FQL&gt;&lt;Q&gt;GBPUSD^FG_PRICE(45261)&lt;/Q&gt;&lt;R&gt;1&lt;/R&gt;&lt;C&gt;1&lt;/C&gt;&lt;D xsi:type="xsd:double"&gt;1.20115&lt;/D&gt;&lt;/FQL&gt;&lt;FQL&gt;&lt;Q&gt;EURUSD^FG_PRICE(45261)&lt;/Q&gt;&lt;R&gt;1&lt;/R&gt;&lt;C&gt;1&lt;/C&gt;&lt;D xsi:type="xsd:double"&gt;1.0673&lt;/D&gt;&lt;/FQL&gt;&lt;FQL&gt;&lt;Q&gt;GBPUSD^FG_PRICE(45260)&lt;/Q&gt;&lt;R&gt;1&lt;/R&gt;&lt;C&gt;1&lt;/C&gt;&lt;D xsi:type="xsd:double"&gt;1.20115&lt;/D&gt;&lt;/FQL&gt;&lt;FQL&gt;&lt;Q&gt;EURUSD^FG_PRICE(45260)&lt;/Q&gt;&lt;R&gt;1&lt;/R&gt;&lt;C&gt;1&lt;/C&gt;&lt;D xsi:type="xsd:double"&gt;1.0673&lt;/D&gt;&lt;/FQL&gt;&lt;FQL&gt;&lt;Q&gt;GBPUSD^FG_PRICE(45259)&lt;/Q&gt;&lt;R&gt;1&lt;/R&gt;&lt;C&gt;1&lt;/C&gt;&lt;D xsi:type="xsd:double"&gt;1.20115&lt;/D&gt;&lt;/FQL&gt;&lt;FQL&gt;&lt;Q&gt;EURUSD^FG_PRICE(45259)&lt;/Q&gt;&lt;R&gt;1&lt;/R&gt;&lt;C&gt;1&lt;/C&gt;&lt;D xsi:type="xsd:double"&gt;1.0673&lt;/D&gt;&lt;/FQL&gt;&lt;FQL&gt;&lt;Q&gt;GBPUSD^FG_PRICE(45258)&lt;/Q&gt;&lt;R&gt;1&lt;/R&gt;&lt;C&gt;1&lt;/C&gt;&lt;D xsi:type="xsd:double"&gt;1.20115&lt;/D&gt;&lt;/FQL&gt;&lt;FQL&gt;&lt;Q&gt;EURUSD^FG_PRICE(45258)&lt;/Q&gt;&lt;R&gt;1&lt;/R&gt;&lt;C&gt;1&lt;/C&gt;&lt;D xsi:type="xsd:double"&gt;1.0673&lt;/D&gt;&lt;/FQL&gt;&lt;FQL&gt;&lt;Q&gt;GBPUSD^FG_PRICE(45257)&lt;/Q&gt;&lt;R&gt;1&lt;/R&gt;&lt;C&gt;1&lt;/C&gt;&lt;D xsi:type="xsd:double"&gt;1.20115&lt;/D&gt;&lt;/FQL&gt;&lt;FQL&gt;&lt;Q&gt;EURUSD^FG_PRICE(45257)&lt;/Q&gt;&lt;R&gt;1&lt;/R&gt;&lt;C&gt;1&lt;/C&gt;&lt;D xsi:type="xsd:double"&gt;1.0673&lt;/D&gt;&lt;/FQL&gt;&lt;FQL&gt;&lt;Q&gt;GBPUSD^FG_PRICE(45256)&lt;/Q&gt;&lt;R&gt;1&lt;/R&gt;&lt;C&gt;1&lt;/C&gt;&lt;D xsi:type="xsd:double"&gt;1.20115&lt;/D&gt;&lt;/FQL&gt;&lt;FQL&gt;&lt;Q&gt;EURUSD^FG_PRICE(45256)&lt;/Q&gt;&lt;R&gt;1&lt;/R&gt;&lt;C&gt;1&lt;/C&gt;&lt;D xsi:type="xsd:double"&gt;1.0673&lt;/D&gt;&lt;/FQL&gt;&lt;FQL&gt;&lt;Q&gt;GBPUSD^FG_PRICE(45255)&lt;/Q&gt;&lt;R&gt;1&lt;/R&gt;&lt;C&gt;1&lt;/C&gt;&lt;D xsi:type="xsd:double"&gt;1.20115&lt;/D&gt;&lt;/FQL&gt;&lt;FQL&gt;&lt;Q&gt;EURUSD^FG_PRICE(45255)&lt;/Q&gt;&lt;R&gt;1&lt;/R&gt;&lt;C&gt;1&lt;/C&gt;&lt;D xsi:type="xsd:double"&gt;1.0673&lt;/D&gt;&lt;/FQL&gt;&lt;FQL&gt;&lt;Q&gt;GBPUSD^FG_PRICE(45254)&lt;/Q&gt;&lt;R&gt;1&lt;/R&gt;&lt;C&gt;1&lt;/C&gt;&lt;D xsi:type="xsd:double"&gt;1.20115&lt;/D&gt;&lt;/FQL&gt;&lt;FQL&gt;&lt;Q&gt;EURUSD^FG_PRICE(45254)&lt;/Q&gt;&lt;R&gt;1&lt;/R&gt;&lt;C&gt;1&lt;/C&gt;&lt;D xsi:type="xsd:double"&gt;1.0673&lt;/D&gt;&lt;/FQL&gt;&lt;FQL&gt;&lt;Q&gt;GBPUSD^FG_PRICE(45253)&lt;/Q&gt;&lt;R&gt;1&lt;/R&gt;&lt;C&gt;1&lt;/C&gt;&lt;D xsi:type="xsd:double"&gt;1.20115&lt;/D&gt;&lt;/FQL&gt;&lt;FQL&gt;&lt;Q&gt;EURUSD^FG_PRICE(45253)&lt;/Q&gt;&lt;R&gt;1&lt;/R&gt;&lt;C&gt;1&lt;/C&gt;&lt;D xsi:type="xsd:double"&gt;1.0673&lt;/D&gt;&lt;/FQL&gt;&lt;FQL&gt;&lt;Q&gt;GBPUSD^FG_PRICE(45252)&lt;/Q&gt;&lt;R&gt;1&lt;/R&gt;&lt;C&gt;1&lt;/C&gt;&lt;D xsi:type="xsd:double"&gt;1.20115&lt;/D&gt;&lt;/FQL&gt;&lt;FQL&gt;&lt;Q&gt;EURUSD^FG_PRICE(45252)&lt;/Q&gt;&lt;R&gt;1&lt;/R&gt;&lt;C&gt;1&lt;/C&gt;&lt;D xsi:type="xsd:double"&gt;1.0673&lt;/D&gt;&lt;/FQL&gt;&lt;FQL&gt;&lt;Q&gt;GBPUSD^FG_PRICE(45251)&lt;/Q&gt;&lt;R&gt;1&lt;/R&gt;&lt;C&gt;1&lt;/C&gt;&lt;D xsi:type="xsd:double"&gt;1.20115&lt;/D&gt;&lt;/FQL&gt;&lt;FQL&gt;&lt;Q&gt;EURUSD^FG_PRICE(45251)&lt;/Q&gt;&lt;R&gt;1&lt;/R&gt;&lt;C&gt;1&lt;/C&gt;&lt;D xsi:type="xsd:double"&gt;1.0673&lt;/D&gt;&lt;/FQL&gt;&lt;FQL&gt;&lt;Q&gt;GBPUSD^FG_PRICE(45250)&lt;/Q&gt;&lt;R&gt;1&lt;/R&gt;&lt;C&gt;1&lt;/C&gt;&lt;D xsi:type="xsd:double"&gt;1.20115&lt;/D&gt;&lt;/FQL&gt;&lt;FQL&gt;&lt;Q&gt;EURUSD^FG_PRICE(45250)&lt;/Q&gt;&lt;R&gt;1&lt;/R&gt;&lt;C&gt;1&lt;/C&gt;&lt;D xsi:type="xsd:double"&gt;1.0673&lt;/D&gt;&lt;/FQL&gt;&lt;FQL&gt;&lt;Q&gt;GBPUSD^FG_PRICE(45249)&lt;/Q&gt;&lt;R&gt;1&lt;/R&gt;&lt;C&gt;1&lt;/C&gt;&lt;D xsi:type="xsd:double"&gt;1.20115&lt;/D&gt;&lt;/FQL&gt;&lt;FQL&gt;&lt;Q&gt;EURUSD^FG_PRICE(45249)&lt;/Q&gt;&lt;R&gt;1&lt;/R&gt;&lt;C&gt;1&lt;/C&gt;&lt;D xsi:type="xsd:double"&gt;1.0673&lt;/D&gt;&lt;/FQL&gt;&lt;FQL&gt;&lt;Q&gt;GBPUSD^FG_PRICE(45248)&lt;/Q&gt;&lt;R&gt;1&lt;/R&gt;&lt;C&gt;1&lt;/C&gt;&lt;D xsi:type="xsd:double"&gt;1.20115&lt;/D&gt;&lt;/FQL&gt;&lt;FQL&gt;&lt;Q&gt;EURUSD^FG_PRICE(45248)&lt;/Q&gt;&lt;R&gt;1&lt;/R&gt;&lt;C&gt;1&lt;/C&gt;&lt;D xsi:type="xsd:double"&gt;1.0673&lt;/D&gt;&lt;/FQL&gt;&lt;FQL&gt;&lt;Q&gt;GBPUSD^FG_PRICE(45247)&lt;/Q&gt;&lt;R&gt;1&lt;/R&gt;&lt;C&gt;1&lt;/C&gt;&lt;D xsi:type="xsd:double"&gt;1.20115&lt;/D&gt;&lt;/FQL&gt;&lt;FQL&gt;&lt;Q&gt;EURUSD^FG_PRICE(45247)&lt;/Q&gt;&lt;R&gt;1&lt;/R&gt;&lt;C&gt;1&lt;/C&gt;&lt;D xsi:type="xsd:double"&gt;1.0673&lt;/D&gt;&lt;/FQL&gt;&lt;FQL&gt;&lt;Q&gt;GBPUSD^FG_PRICE(45246)&lt;/Q&gt;&lt;R&gt;1&lt;/R&gt;&lt;C&gt;1&lt;/C&gt;&lt;D xsi:type="xsd:double"&gt;1.20115&lt;/D&gt;&lt;/FQL&gt;&lt;FQL&gt;&lt;Q&gt;EURUSD^FG_PRICE(45246)&lt;/Q&gt;&lt;R&gt;1&lt;/R&gt;&lt;C&gt;1&lt;/C&gt;&lt;D xsi:type="xsd:double"&gt;1.0673&lt;/D&gt;&lt;/FQL&gt;&lt;FQL&gt;&lt;Q&gt;GBPUSD^FG_PRICE(45245)&lt;/Q&gt;&lt;R&gt;1&lt;/R&gt;&lt;C&gt;1&lt;/C&gt;&lt;D xsi:type="xsd:double"&gt;1.20115&lt;/D&gt;&lt;/FQL&gt;&lt;FQL&gt;&lt;Q&gt;EURUSD^FG_PRICE(45245)&lt;/Q&gt;&lt;R&gt;1&lt;/R&gt;&lt;C&gt;1&lt;/C&gt;&lt;D xsi:type="xsd:double"&gt;1.0673&lt;/D&gt;&lt;/FQL&gt;&lt;FQL&gt;&lt;Q&gt;GBPUSD^FG_PRICE(45244)&lt;/Q&gt;&lt;R&gt;1&lt;/R&gt;&lt;C&gt;1&lt;/C&gt;&lt;D xsi:type="xsd:double"&gt;1.20115&lt;/D&gt;&lt;/FQL&gt;&lt;FQL&gt;&lt;Q&gt;EURUSD^FG_PRICE(45244)&lt;/Q&gt;&lt;R&gt;1&lt;/R&gt;&lt;C&gt;1&lt;/C&gt;&lt;D xsi:type="xsd:double"&gt;1.0673&lt;/D&gt;&lt;/FQL&gt;&lt;FQL&gt;&lt;Q&gt;GBPUSD^FG_PRICE(45243)&lt;/Q&gt;&lt;R&gt;1&lt;/R&gt;&lt;C&gt;1&lt;/C&gt;&lt;D xsi:type="xsd:double"&gt;1.20115&lt;/D&gt;&lt;/FQL&gt;&lt;FQL&gt;&lt;Q&gt;EURUSD^FG_PRICE(45243)&lt;/Q&gt;&lt;R&gt;1&lt;/R&gt;&lt;C&gt;1&lt;/C&gt;&lt;D xsi:type="xsd:double"&gt;1.0673&lt;/D&gt;&lt;/FQL&gt;&lt;FQL&gt;&lt;Q&gt;GBPUSD^FG_PRICE(45242)&lt;/Q&gt;&lt;R&gt;1&lt;/R&gt;&lt;C&gt;1&lt;/C&gt;&lt;D xsi:type="xsd:double"&gt;1.20115&lt;/D&gt;&lt;/FQL&gt;&lt;FQL&gt;&lt;Q&gt;EURUSD^FG_PRICE(45242)&lt;/Q&gt;&lt;R&gt;1&lt;/R&gt;&lt;C&gt;1&lt;/C&gt;&lt;D xsi:type="xsd:double"&gt;1.0673&lt;/D&gt;&lt;/FQL&gt;&lt;FQL&gt;&lt;Q&gt;GBPUSD^FG_PRICE(45241)&lt;/Q&gt;&lt;R&gt;1&lt;/R&gt;&lt;C&gt;1&lt;/C&gt;&lt;D xsi:type="xsd:double"&gt;1.20115&lt;/D&gt;&lt;/FQL&gt;&lt;FQL&gt;&lt;Q&gt;EURUSD^FG_PRICE(45241)&lt;/Q&gt;&lt;R&gt;1&lt;/R&gt;&lt;C&gt;1&lt;/C&gt;&lt;D xsi:type="xsd:double"&gt;1.0673&lt;/D&gt;&lt;/FQL&gt;&lt;FQL&gt;&lt;Q&gt;GBPUSD^FG_PRICE(45240)&lt;/Q&gt;&lt;R&gt;1&lt;/R&gt;&lt;C&gt;1&lt;/C&gt;&lt;D xsi:type="xsd:double"&gt;1.20115&lt;/D&gt;&lt;/FQL&gt;&lt;FQL&gt;&lt;Q&gt;EURUSD^FG_PRICE(45240)&lt;/Q&gt;&lt;R&gt;1&lt;/R&gt;&lt;C&gt;1&lt;/C&gt;&lt;D xsi:type="xsd:double"&gt;1.0673&lt;/D&gt;&lt;/FQL&gt;&lt;FQL&gt;&lt;Q&gt;GBPUSD^FG_PRICE(45239)&lt;/Q&gt;&lt;R&gt;1&lt;/R&gt;&lt;C&gt;1&lt;/C&gt;&lt;D xsi:type="xsd:double"&gt;1.20115&lt;/D&gt;&lt;/FQL&gt;&lt;FQL&gt;&lt;Q&gt;EURUSD^FG_PRICE(45239)&lt;/Q&gt;&lt;R&gt;1&lt;/R&gt;&lt;C&gt;1&lt;/C&gt;&lt;D xsi:type="xsd:double"&gt;1.0673&lt;/D&gt;&lt;/FQL&gt;&lt;FQL&gt;&lt;Q&gt;GBPUSD^FG_PRICE(45238)&lt;/Q&gt;&lt;R&gt;1&lt;/R&gt;&lt;C&gt;1&lt;/C&gt;&lt;D xsi:type="xsd:double"&gt;1.20115&lt;/D&gt;&lt;/FQL&gt;&lt;FQL&gt;&lt;Q&gt;EURUSD^FG_PRICE(45238)&lt;/Q&gt;&lt;R&gt;1&lt;/R&gt;&lt;C&gt;1&lt;/C&gt;&lt;D xsi:type="xsd:double"&gt;1.0673&lt;/D&gt;&lt;/FQL&gt;&lt;FQL&gt;&lt;Q&gt;GBPUSD^FG_PRICE(45237)&lt;/Q&gt;&lt;R&gt;1&lt;/R&gt;&lt;C&gt;1&lt;/C&gt;&lt;D xsi:type="xsd:double"&gt;1.20115&lt;/D&gt;&lt;/FQL&gt;&lt;FQL&gt;&lt;Q&gt;EURUSD^FG_PRICE(45237)&lt;/Q&gt;&lt;R&gt;1&lt;/R&gt;&lt;C&gt;1&lt;/C&gt;&lt;D xsi:type="xsd:double"&gt;1.0673&lt;/D&gt;&lt;/FQL&gt;&lt;FQL&gt;&lt;Q&gt;GBPUSD^FG_PRICE(45236)&lt;/Q&gt;&lt;R&gt;1&lt;/R&gt;&lt;C&gt;1&lt;/C&gt;&lt;D xsi:type="xsd:double"&gt;1.20115&lt;/D&gt;&lt;/FQL&gt;&lt;FQL&gt;&lt;Q&gt;EURUSD^FG_PRICE(45236)&lt;/Q&gt;&lt;R&gt;1&lt;/R&gt;&lt;C&gt;1&lt;/C&gt;&lt;D xsi:type="xsd:double"&gt;1.0673&lt;/D&gt;&lt;/FQL&gt;&lt;FQL&gt;&lt;Q&gt;GBPUSD^FG_PRICE(45235)&lt;/Q&gt;&lt;R&gt;1&lt;/R&gt;&lt;C&gt;1&lt;/C&gt;&lt;D xsi:type="xsd:double"&gt;1.20115&lt;/D&gt;&lt;/FQL&gt;&lt;FQL&gt;&lt;Q&gt;EURUSD^FG_PRICE(45235)&lt;/Q&gt;&lt;R&gt;1&lt;/R&gt;&lt;C&gt;1&lt;/C&gt;&lt;D xsi:type="xsd:double"&gt;1.0673&lt;/D&gt;&lt;/FQL&gt;&lt;FQL&gt;&lt;Q&gt;GBPUSD^FG_PRICE(45234)&lt;/Q&gt;&lt;R&gt;1&lt;/R&gt;&lt;C&gt;1&lt;/C&gt;&lt;D xsi:type="xsd:double"&gt;1.20115&lt;/D&gt;&lt;/FQL&gt;&lt;FQL&gt;&lt;Q&gt;EURUSD^FG_PRICE(45234)&lt;/Q&gt;&lt;R&gt;1&lt;/R&gt;&lt;C&gt;1&lt;/C&gt;&lt;D xsi:type="xsd:double"&gt;1.0673&lt;/D&gt;&lt;/FQL&gt;&lt;FQL&gt;&lt;Q&gt;GBPUSD^FG_PRICE(45233)&lt;/Q&gt;&lt;R&gt;1&lt;/R&gt;&lt;C&gt;1&lt;/C&gt;&lt;D xsi:type="xsd:double"&gt;1.20115&lt;/D&gt;&lt;/FQL&gt;&lt;FQL&gt;&lt;Q&gt;EURUSD^FG_PRICE(45233)&lt;/Q&gt;&lt;R&gt;1&lt;/R&gt;&lt;C&gt;1&lt;/C&gt;&lt;D xsi:type="xsd:double"&gt;1.0673&lt;/D&gt;&lt;/FQL&gt;&lt;FQL&gt;&lt;Q&gt;GBPUSD^FG_PRICE(45232)&lt;/Q&gt;&lt;R&gt;1&lt;/R&gt;&lt;C&gt;1&lt;/C&gt;&lt;D xsi:type="xsd:double"&gt;1.20115&lt;/D&gt;&lt;/FQL&gt;&lt;FQL&gt;&lt;Q&gt;EURUSD^FG_PRICE(45232)&lt;/Q&gt;&lt;R&gt;1&lt;/R&gt;&lt;C&gt;1&lt;/C&gt;&lt;D xsi:type="xsd:double"&gt;1.0673&lt;/D&gt;&lt;/FQL&gt;&lt;FQL&gt;&lt;Q&gt;GBPUSD^FG_PRICE(45231)&lt;/Q&gt;&lt;R&gt;1&lt;/R&gt;&lt;C&gt;1&lt;/C&gt;&lt;D xsi:type="xsd:double"&gt;1.20115&lt;/D&gt;&lt;/FQL&gt;&lt;FQL&gt;&lt;Q&gt;EURUSD^FG_PRICE(45231)&lt;/Q&gt;&lt;R&gt;1&lt;/R&gt;&lt;C&gt;1&lt;/C&gt;&lt;D xsi:type="xsd:double"&gt;1.0673&lt;/D&gt;&lt;/FQL&gt;&lt;FQL&gt;&lt;Q&gt;GBPUSD^FG_PRICE(45230)&lt;/Q&gt;&lt;R&gt;1&lt;/R&gt;&lt;C&gt;1&lt;/C&gt;&lt;D xsi:type="xsd:double"&gt;1.20115&lt;/D&gt;&lt;/FQL&gt;&lt;FQL&gt;&lt;Q&gt;EURUSD^FG_PRICE(45230)&lt;/Q&gt;&lt;R&gt;1&lt;/R&gt;&lt;C&gt;1&lt;/C&gt;&lt;D xsi:type="xsd:double"&gt;1.0673&lt;/D&gt;&lt;/FQL&gt;&lt;FQL&gt;&lt;Q&gt;GBPUSD^FG_PRICE(45229)&lt;/Q&gt;&lt;R&gt;1&lt;/R&gt;&lt;C&gt;1&lt;/C&gt;&lt;D xsi:type="xsd:double"&gt;1.20115&lt;/D&gt;&lt;/FQL&gt;&lt;FQL&gt;&lt;Q&gt;EURUSD^FG_PRICE(45229)&lt;/Q&gt;&lt;R&gt;1&lt;/R&gt;&lt;C&gt;1&lt;/C&gt;&lt;D xsi:type="xsd:double"&gt;1.0673&lt;/D&gt;&lt;/FQL&gt;&lt;FQL&gt;&lt;Q&gt;GBPUSD^FG_PRICE(45228)&lt;/Q&gt;&lt;R&gt;1&lt;/R&gt;&lt;C&gt;1&lt;/C&gt;&lt;D xsi:type="xsd:double"&gt;1.20115&lt;/D&gt;&lt;/FQL&gt;&lt;FQL&gt;&lt;Q&gt;EURUSD^FG_PRICE(45228)&lt;/Q&gt;&lt;R&gt;1&lt;/R&gt;&lt;C&gt;1&lt;/C&gt;&lt;D xsi:type="xsd:double"&gt;1.0673&lt;/D&gt;&lt;/FQL&gt;&lt;FQL&gt;&lt;Q&gt;GBPUSD^FG_PRICE(45227)&lt;/Q&gt;&lt;R&gt;1&lt;/R&gt;&lt;C&gt;1&lt;/C&gt;&lt;D xsi:type="xsd:double"&gt;1.20115&lt;/D&gt;&lt;/FQL&gt;&lt;FQL&gt;&lt;Q&gt;EURUSD^FG_PRICE(45227)&lt;/Q&gt;&lt;R&gt;1&lt;/R&gt;&lt;C&gt;1&lt;/C&gt;&lt;D xsi:type="xsd:double"&gt;1.0673&lt;/D&gt;&lt;/FQL&gt;&lt;FQL&gt;&lt;Q&gt;GBPUSD^FG_PRICE(45226)&lt;/Q&gt;&lt;R&gt;1&lt;/R&gt;&lt;C&gt;1&lt;/C&gt;&lt;D xsi:type="xsd:double"&gt;1.20115&lt;/D&gt;&lt;/FQL&gt;&lt;FQL&gt;&lt;Q&gt;EURUSD^FG_PRICE(45226)&lt;/Q&gt;&lt;R&gt;1&lt;/R&gt;&lt;C&gt;1&lt;/C&gt;&lt;D xsi:type="xsd:double"&gt;1.0673&lt;/D&gt;&lt;/FQL&gt;&lt;FQL&gt;&lt;Q&gt;GBPUSD^FG_PRICE(45225)&lt;/Q&gt;&lt;R&gt;1&lt;/R&gt;&lt;C&gt;1&lt;/C&gt;&lt;D xsi:type="xsd:double"&gt;1.20115&lt;/D&gt;&lt;/FQL&gt;&lt;FQL&gt;&lt;Q&gt;EURUSD^FG_PRICE(45225)&lt;/Q&gt;&lt;R&gt;1&lt;/R&gt;&lt;C&gt;1&lt;/C&gt;&lt;D xsi:type="xsd:double"&gt;1.0673&lt;/D&gt;&lt;/FQL&gt;&lt;FQL&gt;&lt;Q&gt;GBPUSD^FG_PRICE(45224)&lt;/Q&gt;&lt;R&gt;1&lt;/R&gt;&lt;C&gt;1&lt;/C&gt;&lt;D xsi:type="xsd:double"&gt;1.20115&lt;/D&gt;&lt;/FQL&gt;&lt;FQL&gt;&lt;Q&gt;EURUSD^FG_PRICE(45224)&lt;/Q&gt;&lt;R&gt;1&lt;/R&gt;&lt;C&gt;1&lt;/C&gt;&lt;D xsi:type="xsd:double"&gt;1.0673&lt;/D&gt;&lt;/FQL&gt;&lt;FQL&gt;&lt;Q&gt;GBPUSD^FG_PRICE(45223)&lt;/Q&gt;&lt;R&gt;1&lt;/R&gt;&lt;C&gt;1&lt;/C&gt;&lt;D xsi:type="xsd:double"&gt;1.20115&lt;/D&gt;&lt;/FQL&gt;&lt;FQL&gt;&lt;Q&gt;EURUSD^FG_PRICE(45223)&lt;/Q&gt;&lt;R&gt;1&lt;/R&gt;&lt;C&gt;1&lt;/C&gt;&lt;D xsi:type="xsd:double"&gt;1.0673&lt;/D&gt;&lt;/FQL&gt;&lt;FQL&gt;&lt;Q&gt;GBPUSD^FG_PRICE(45222)&lt;/Q&gt;&lt;R&gt;1&lt;/R&gt;&lt;C&gt;1&lt;/C&gt;&lt;D xsi:type="xsd:double"&gt;1.20115&lt;/D&gt;&lt;/FQL&gt;&lt;FQL&gt;&lt;Q&gt;EURUSD^FG_PRICE(45222)&lt;/Q&gt;&lt;R&gt;1&lt;/R&gt;&lt;C&gt;1&lt;/C&gt;&lt;D xsi:type="xsd:double"&gt;1.0673&lt;/D&gt;&lt;/FQL&gt;&lt;FQL&gt;&lt;Q&gt;GBPUSD^FG_PRICE(45221)&lt;/Q&gt;&lt;R&gt;1&lt;/R&gt;&lt;C&gt;1&lt;/C&gt;&lt;D xsi:type="xsd:double"&gt;1.20115&lt;/D&gt;&lt;/FQL&gt;&lt;FQL&gt;&lt;Q&gt;EURUSD^FG_PRICE(45221)&lt;/Q&gt;&lt;R&gt;1&lt;/R&gt;&lt;C&gt;1&lt;/C&gt;&lt;D xsi:type="xsd:double"&gt;1.0673&lt;/D&gt;&lt;/FQL&gt;&lt;FQL&gt;&lt;Q&gt;GBPUSD^FG_PRICE(45220)&lt;/Q&gt;&lt;R&gt;1&lt;/R&gt;&lt;C&gt;1&lt;/C&gt;&lt;D xsi:type="xsd:double"&gt;1.20115&lt;/D&gt;&lt;/FQL&gt;&lt;FQL&gt;&lt;Q&gt;EURUSD^FG_PRICE(45220)&lt;/Q&gt;&lt;R&gt;1&lt;/R&gt;&lt;C&gt;1&lt;/C&gt;&lt;D xsi:type="xsd:double"&gt;1.0673&lt;/D&gt;&lt;/FQL&gt;&lt;FQL&gt;&lt;Q&gt;GBPUSD^FG_PRICE(45219)&lt;/Q&gt;&lt;R&gt;1&lt;/R&gt;&lt;C&gt;1&lt;/C&gt;&lt;D xsi:type="xsd:double"&gt;1.20115&lt;/D&gt;&lt;/FQL&gt;&lt;FQL&gt;&lt;Q&gt;EURUSD^FG_PRICE(45219)&lt;/Q&gt;&lt;R&gt;1&lt;/R&gt;&lt;C&gt;1&lt;/C&gt;&lt;D xsi:type="xsd:double"&gt;1.0673&lt;/D&gt;&lt;/FQL&gt;&lt;FQL&gt;&lt;Q&gt;GBPUSD^FG_PRICE(45218)&lt;/Q&gt;&lt;R&gt;1&lt;/R&gt;&lt;C&gt;1&lt;/C&gt;&lt;D xsi:type="xsd:double"&gt;1.20115&lt;/D&gt;&lt;/FQL&gt;&lt;FQL&gt;&lt;Q&gt;EURUSD^FG_PRICE(45218)&lt;/Q&gt;&lt;R&gt;1&lt;/R&gt;&lt;C&gt;1&lt;/C&gt;&lt;D xsi:type="xsd:double"&gt;1.0673&lt;/D&gt;&lt;/FQL&gt;&lt;FQL&gt;&lt;Q&gt;GBPUSD^FG_PRICE(45217)&lt;/Q&gt;&lt;R&gt;1&lt;/R&gt;&lt;C&gt;1&lt;/C&gt;&lt;D xsi:type="xsd:double"&gt;1.20115&lt;/D&gt;&lt;/FQL&gt;&lt;FQL&gt;&lt;Q&gt;EURUSD^FG_PRICE(45217)&lt;/Q&gt;&lt;R&gt;1&lt;/R&gt;&lt;C&gt;1&lt;/C&gt;&lt;D xsi:type="xsd:double"&gt;1.0673&lt;/D&gt;&lt;/FQL&gt;&lt;FQL&gt;&lt;Q&gt;GBPUSD^FG_PRICE(45216)&lt;/Q&gt;&lt;R&gt;1&lt;/R&gt;&lt;C&gt;1&lt;/C&gt;&lt;D xsi:type="xsd:double"&gt;1.20115&lt;/D&gt;&lt;/FQL&gt;&lt;FQL&gt;&lt;Q&gt;EURUSD^FG_PRICE(45216)&lt;/Q&gt;&lt;R&gt;1&lt;/R&gt;&lt;C&gt;1&lt;/C&gt;&lt;D xsi:type="xsd:double"&gt;1.0673&lt;/D&gt;&lt;/FQL&gt;&lt;FQL&gt;&lt;Q&gt;GBPUSD^FG_PRICE(45215)&lt;/Q&gt;&lt;R&gt;1&lt;/R&gt;&lt;C&gt;1&lt;/C&gt;&lt;D xsi:type="xsd:double"&gt;1.20115&lt;/D&gt;&lt;/FQL&gt;&lt;FQL&gt;&lt;Q&gt;EURUSD^FG_PRICE(45215)&lt;/Q&gt;&lt;R&gt;1&lt;/R&gt;&lt;C&gt;1&lt;/C&gt;&lt;D xsi:type="xsd:double"&gt;1.0673&lt;/D&gt;&lt;/FQL&gt;&lt;FQL&gt;&lt;Q&gt;GBPUSD^FG_PRICE(45214)&lt;/Q&gt;&lt;R&gt;1&lt;/R&gt;&lt;C&gt;1&lt;/C&gt;&lt;D xsi:type="xsd:double"&gt;1.20115&lt;/D&gt;&lt;/FQL&gt;&lt;FQL&gt;&lt;Q&gt;EURUSD^FG_PRICE(45214)&lt;/Q&gt;&lt;R&gt;1&lt;/R&gt;&lt;C&gt;1&lt;/C&gt;&lt;D xsi:type="xsd:double"&gt;1.0673&lt;/D&gt;&lt;/FQL&gt;&lt;FQL&gt;&lt;Q&gt;GBPUSD^FG_PRICE(45213)&lt;/Q&gt;&lt;R&gt;1&lt;/R&gt;&lt;C&gt;1&lt;/C&gt;&lt;D xsi:type="xsd:double"&gt;1.20115&lt;/D&gt;&lt;/FQL&gt;&lt;FQL&gt;&lt;Q&gt;EURUSD^FG_PRICE(45213)&lt;/Q&gt;&lt;R&gt;1&lt;/R&gt;&lt;C&gt;1&lt;/C&gt;&lt;D xsi:type="xsd:double"&gt;1.0673&lt;/D&gt;&lt;/FQL&gt;&lt;FQL&gt;&lt;Q&gt;GBPUSD^FG_PRICE(45212)&lt;/Q&gt;&lt;R&gt;1&lt;/R&gt;&lt;C&gt;1&lt;/C&gt;&lt;D xsi:type="xsd:double"&gt;1.20115&lt;/D&gt;&lt;/FQL&gt;&lt;FQL&gt;&lt;Q&gt;EURUSD^FG_PRICE(45212)&lt;/Q&gt;&lt;R&gt;1&lt;/R&gt;&lt;C&gt;1&lt;/C&gt;&lt;D xsi:type="xsd:double"&gt;1.0673&lt;/D&gt;&lt;/FQL&gt;&lt;FQL&gt;&lt;Q&gt;GBPUSD^FG_PRICE(45211)&lt;/Q&gt;&lt;R&gt;1&lt;/R&gt;&lt;C&gt;1&lt;/C&gt;&lt;D xsi:type="xsd:double"&gt;1.20115&lt;/D&gt;&lt;/FQL&gt;&lt;FQL&gt;&lt;Q&gt;EURUSD^FG_PRICE(45211)&lt;/Q&gt;&lt;R&gt;1&lt;/R&gt;&lt;C&gt;1&lt;/C&gt;&lt;D xsi:type="xsd:double"&gt;1.0673&lt;/D&gt;&lt;/FQL&gt;&lt;FQL&gt;&lt;Q&gt;GBPUSD^FG_PRICE(45210)&lt;/Q&gt;&lt;R&gt;1&lt;/R&gt;&lt;C&gt;1&lt;/C&gt;&lt;D xsi:type="xsd:double"&gt;1.20115&lt;/D&gt;&lt;/FQL&gt;&lt;FQL&gt;&lt;Q&gt;EURUSD^FG_PRICE(45210)&lt;/Q&gt;&lt;R&gt;1&lt;/R&gt;&lt;C&gt;1&lt;/C&gt;&lt;D xsi:type="xsd:double"&gt;1.0673&lt;/D&gt;&lt;/FQL&gt;&lt;FQL&gt;&lt;Q&gt;GBPUSD^FG_PRICE(45209)&lt;/Q&gt;&lt;R&gt;1&lt;/R&gt;&lt;C&gt;1&lt;/C&gt;&lt;D xsi:type="xsd:double"&gt;1.20115&lt;/D&gt;&lt;/FQL&gt;&lt;FQL&gt;&lt;Q&gt;EURUSD^FG_PRICE(45209)&lt;/Q&gt;&lt;R&gt;1&lt;/R&gt;&lt;C&gt;1&lt;/C&gt;&lt;D xsi:type="xsd:double"&gt;1.0673&lt;/D&gt;&lt;/FQL&gt;&lt;FQL&gt;&lt;Q&gt;GBPUSD^FG_PRICE(45208)&lt;/Q&gt;&lt;R&gt;1&lt;/R&gt;&lt;C&gt;1&lt;/C&gt;&lt;D xsi:type="xsd:double"&gt;1.20115&lt;/D&gt;&lt;/FQL&gt;&lt;FQL&gt;&lt;Q&gt;EURUSD^FG_PRICE(45208)&lt;/Q&gt;&lt;R&gt;1&lt;/R&gt;&lt;C&gt;1&lt;/C&gt;&lt;D xsi:type="xsd:double"&gt;1.0673&lt;/D&gt;&lt;/FQL&gt;&lt;FQL&gt;&lt;Q&gt;GBPUSD^FG_PRICE(45207)&lt;/Q&gt;&lt;R&gt;1&lt;/R&gt;&lt;C&gt;1&lt;/C&gt;&lt;D xsi:type="xsd:double"&gt;1.20115&lt;/D&gt;&lt;/FQL&gt;&lt;FQL&gt;&lt;Q&gt;EURUSD^FG_PRICE(45207)&lt;/Q&gt;&lt;R&gt;1&lt;/R&gt;&lt;C&gt;1&lt;/C&gt;&lt;D xsi:type="xsd:double"&gt;1.0673&lt;/D&gt;&lt;/FQL&gt;&lt;FQL&gt;&lt;Q&gt;GBPUSD^FG_PRICE(45206)&lt;/Q&gt;&lt;R&gt;1&lt;/R&gt;&lt;C&gt;1&lt;/C&gt;&lt;D xsi:type="xsd:double"&gt;1.20115&lt;/D&gt;&lt;/FQL&gt;&lt;FQL&gt;&lt;Q&gt;EURUSD^FG_PRICE(45206)&lt;/Q&gt;&lt;R&gt;1&lt;/R&gt;&lt;C&gt;1&lt;/C&gt;&lt;D xsi:type="xsd:double"&gt;1.0673&lt;/D&gt;&lt;/FQL&gt;&lt;FQL&gt;&lt;Q&gt;GBPUSD^FG_PRICE(45205)&lt;/Q&gt;&lt;R&gt;1&lt;/R&gt;&lt;C&gt;1&lt;/C&gt;&lt;D xsi:type="xsd:double"&gt;1.20115&lt;/D&gt;&lt;/FQL&gt;&lt;FQL&gt;&lt;Q&gt;EURUSD^FG_PRICE(45205)&lt;/Q&gt;&lt;R&gt;1&lt;/R&gt;&lt;C&gt;1&lt;/C&gt;&lt;D xsi:type="xsd:double"&gt;1.0673&lt;/D&gt;&lt;/FQL&gt;&lt;FQL&gt;&lt;Q&gt;GBPUSD^FG_PRICE(45204)&lt;/Q&gt;&lt;R&gt;1&lt;/R&gt;&lt;C&gt;1&lt;/C&gt;&lt;D xsi:type="xsd:double"&gt;1.20115&lt;/D&gt;&lt;/FQL&gt;&lt;FQL&gt;&lt;Q&gt;EURUSD^FG_PRICE(45204)&lt;/Q&gt;&lt;R&gt;1&lt;/R&gt;&lt;C&gt;1&lt;/C&gt;&lt;D xsi:type="xsd:double"&gt;1.0673&lt;/D&gt;&lt;/FQL&gt;&lt;FQL&gt;&lt;Q&gt;GBPUSD^FG_PRICE(45203)&lt;/Q&gt;&lt;R&gt;1&lt;/R&gt;&lt;C&gt;1&lt;/C&gt;&lt;D xsi:type="xsd:double"&gt;1.20115&lt;/D&gt;&lt;/FQL&gt;&lt;FQL&gt;&lt;Q&gt;EURUSD^FG_PRICE(45203)&lt;/Q&gt;&lt;R&gt;1&lt;/R&gt;&lt;C&gt;1&lt;/C&gt;&lt;D xsi:type="xsd:double"&gt;1.0673&lt;/D&gt;&lt;/FQL&gt;&lt;FQL&gt;&lt;Q&gt;GBPUSD^FG_PRICE(45202)&lt;/Q&gt;&lt;R&gt;1&lt;/R&gt;&lt;C&gt;1&lt;/C&gt;&lt;D xsi:type="xsd:double"&gt;1.20115&lt;/D&gt;&lt;/FQL&gt;&lt;FQL&gt;&lt;Q&gt;EURUSD^FG_PRICE(45202)&lt;/Q&gt;&lt;R&gt;1&lt;/R&gt;&lt;C&gt;1&lt;/C&gt;&lt;D xsi:type="xsd:double"&gt;1.0673&lt;/D&gt;&lt;/FQL&gt;&lt;FQL&gt;&lt;Q&gt;GBPUSD^FG_PRICE(45201)&lt;/Q&gt;&lt;R&gt;1&lt;/R&gt;&lt;C&gt;1&lt;/C&gt;&lt;D xsi:type="xsd:double"&gt;1.20115&lt;/D&gt;&lt;/FQL&gt;&lt;FQL&gt;&lt;Q&gt;EURUSD^FG_PRICE(45201)&lt;/Q&gt;&lt;R&gt;1&lt;/R&gt;&lt;C&gt;1&lt;/C&gt;&lt;D xsi:type="xsd:double"&gt;1.0673&lt;/D&gt;&lt;/FQL&gt;&lt;FQL&gt;&lt;Q&gt;GBPUSD^FG_PRICE(45200)&lt;/Q&gt;&lt;R&gt;1&lt;/R&gt;&lt;C&gt;1&lt;/C&gt;&lt;D xsi:type="xsd:double"&gt;1.20115&lt;/D&gt;&lt;/FQL&gt;&lt;FQL&gt;&lt;Q&gt;EURUSD^FG_PRICE(45200)&lt;/Q&gt;&lt;R&gt;1&lt;/R&gt;&lt;C&gt;1&lt;/C&gt;&lt;D xsi:type="xsd:double"&gt;1.0673&lt;/D&gt;&lt;/FQL&gt;&lt;FQL&gt;&lt;Q&gt;GBPUSD^FG_PRICE(45199)&lt;/Q&gt;&lt;R&gt;1&lt;/R&gt;&lt;C&gt;1&lt;/C&gt;&lt;D xsi:type="xsd:double"&gt;1.20115&lt;/D&gt;&lt;/FQL&gt;&lt;FQL&gt;&lt;Q&gt;EURUSD^FG_PRICE(45199)&lt;/Q&gt;&lt;R&gt;1&lt;/R&gt;&lt;C&gt;1&lt;/C&gt;&lt;D xsi:type="xsd:double"&gt;1.0673&lt;/D&gt;&lt;/FQL&gt;&lt;FQL&gt;&lt;Q&gt;GBPUSD^FG_PRICE(45198)&lt;/Q&gt;&lt;R&gt;1&lt;/R&gt;&lt;C&gt;1&lt;/C&gt;&lt;D xsi:type="xsd:double"&gt;1.20115&lt;/D&gt;&lt;/FQL&gt;&lt;FQL&gt;&lt;Q&gt;EURUSD^FG_PRICE(45198)&lt;/Q&gt;&lt;R&gt;1&lt;/R&gt;&lt;C&gt;1&lt;/C&gt;&lt;D xsi:type="xsd:double"&gt;1.0673&lt;/D&gt;&lt;/FQL&gt;&lt;FQL&gt;&lt;Q&gt;GBPUSD^FG_PRICE(45197)&lt;/Q&gt;&lt;R&gt;1&lt;/R&gt;&lt;C&gt;1&lt;/C&gt;&lt;D xsi:type="xsd:double"&gt;1.20115&lt;/D&gt;&lt;/FQL&gt;&lt;FQL&gt;&lt;Q&gt;EURUSD^FG_PRICE(45197)&lt;/Q&gt;&lt;R&gt;1&lt;/R&gt;&lt;C&gt;1&lt;/C&gt;&lt;D xsi:type="xsd:double"&gt;1.0673&lt;/D&gt;&lt;/FQL&gt;&lt;FQL&gt;&lt;Q&gt;GBPUSD^FG_PRICE(45196)&lt;/Q&gt;&lt;R&gt;1&lt;/R&gt;&lt;C&gt;1&lt;/C&gt;&lt;D xsi:type="xsd:double"&gt;1.20115&lt;/D&gt;&lt;/FQL&gt;&lt;FQL&gt;&lt;Q&gt;EURUSD^FG_PRICE(45196)&lt;/Q&gt;&lt;R&gt;1&lt;/R&gt;&lt;C&gt;1&lt;/C&gt;&lt;D xsi:type="xsd:double"&gt;1.0673&lt;/D&gt;&lt;/FQL&gt;&lt;FQL&gt;&lt;Q&gt;GBPUSD^FG_PRICE(45195)&lt;/Q&gt;&lt;R&gt;1&lt;/R&gt;&lt;C&gt;1&lt;/C&gt;&lt;D xsi:type="xsd:double"&gt;1.20115&lt;/D&gt;&lt;/FQL&gt;&lt;FQL&gt;&lt;Q&gt;EURUSD^FG_PRICE(45195)&lt;/Q&gt;&lt;R&gt;1&lt;/R&gt;&lt;C&gt;1&lt;/C&gt;&lt;D xsi:type="xsd:double"&gt;1.0673&lt;/D&gt;&lt;/FQL&gt;&lt;FQL&gt;&lt;Q&gt;GBPUSD^FG_PRICE(45194)&lt;/Q&gt;&lt;R&gt;1&lt;/R&gt;&lt;C&gt;1&lt;/C&gt;&lt;D xsi:type="xsd:double"&gt;1.20115&lt;/D&gt;&lt;/FQL&gt;&lt;FQL&gt;&lt;Q&gt;EURUSD^FG_PRICE(45194)&lt;/Q&gt;&lt;R&gt;1&lt;/R&gt;&lt;C&gt;1&lt;/C&gt;&lt;D xsi:type="xsd:double"&gt;1.0673&lt;/D&gt;&lt;/FQL&gt;&lt;FQL&gt;&lt;Q&gt;GBPUSD^FG_PRICE(45193)&lt;/Q&gt;&lt;R&gt;1&lt;/R&gt;&lt;C&gt;1&lt;/C&gt;&lt;D xsi:type="xsd:double"&gt;1.20115&lt;/D&gt;&lt;/FQL&gt;&lt;FQL&gt;&lt;Q&gt;EURUSD^FG_PRICE(45193)&lt;/Q&gt;&lt;R&gt;1&lt;/R&gt;&lt;C&gt;1&lt;/C&gt;&lt;D xsi:type="xsd:double"&gt;1.0673&lt;/D&gt;&lt;/FQL&gt;&lt;FQL&gt;&lt;Q&gt;GBPUSD^FG_PRICE(45192)&lt;/Q&gt;&lt;R&gt;1&lt;/R&gt;&lt;C&gt;1&lt;/C&gt;&lt;D xsi:type="xsd:double"&gt;1.20115&lt;/D&gt;&lt;/FQL&gt;&lt;FQL&gt;&lt;Q&gt;EURUSD^FG_PRICE(45192)&lt;/Q&gt;&lt;R&gt;1&lt;/R&gt;&lt;C&gt;1&lt;/C&gt;&lt;D xsi:type="xsd:double"&gt;1.0673&lt;/D&gt;&lt;/FQL&gt;&lt;FQL&gt;&lt;Q&gt;GBPUSD^FG_PRICE(45191)&lt;/Q&gt;&lt;R&gt;1&lt;/R&gt;&lt;C&gt;1&lt;/C&gt;&lt;D xsi:type="xsd:double"&gt;1.20115&lt;/D&gt;&lt;/FQL&gt;&lt;FQL&gt;&lt;Q&gt;EURUSD^FG_PRICE(45191)&lt;/Q&gt;&lt;R&gt;1&lt;/R&gt;&lt;C&gt;1&lt;/C&gt;&lt;D xsi:type="xsd:double"&gt;1.0673&lt;/D&gt;&lt;/FQL&gt;&lt;FQL&gt;&lt;Q&gt;GBPUSD^FG_PRICE(45190)&lt;/Q&gt;&lt;R&gt;1&lt;/R&gt;&lt;C&gt;1&lt;/C&gt;&lt;D xsi:type="xsd:double"&gt;1.20115&lt;/D&gt;&lt;/FQL&gt;&lt;FQL&gt;&lt;Q&gt;EURUSD^FG_PRICE(45190)&lt;/Q&gt;&lt;R&gt;1&lt;/R&gt;&lt;C&gt;1&lt;/C&gt;&lt;D xsi:type="xsd:double"&gt;1.0673&lt;/D&gt;&lt;/FQL&gt;&lt;FQL&gt;&lt;Q&gt;GBPUSD^FG_PRICE(45189)&lt;/Q&gt;&lt;R&gt;1&lt;/R&gt;&lt;C&gt;1&lt;/C&gt;&lt;D xsi:type="xsd:double"&gt;1.20115&lt;/D&gt;&lt;/FQL&gt;&lt;FQL&gt;&lt;Q&gt;EURUSD^FG_PRICE(45189)&lt;/Q&gt;&lt;R&gt;1&lt;/R&gt;&lt;C&gt;1&lt;/C&gt;&lt;D xsi:type="xsd:double"&gt;1.0673&lt;/D&gt;&lt;/FQL&gt;&lt;FQL&gt;&lt;Q&gt;GBPUSD^FG_PRICE(45188)&lt;/Q&gt;&lt;R&gt;1&lt;/R&gt;&lt;C&gt;1&lt;/C&gt;&lt;D xsi:type="xsd:double"&gt;1.20115&lt;/D&gt;&lt;/FQL&gt;&lt;FQL&gt;&lt;Q&gt;EURUSD^FG_PRICE(45188)&lt;/Q&gt;&lt;R&gt;1&lt;/R&gt;&lt;C&gt;1&lt;/C&gt;&lt;D xsi:type="xsd:double"&gt;1.0673&lt;/D&gt;&lt;/FQL&gt;&lt;FQL&gt;&lt;Q&gt;GBPUSD^FG_PRICE(45187)&lt;/Q&gt;&lt;R&gt;1&lt;/R&gt;&lt;C&gt;1&lt;/C&gt;&lt;D xsi:type="xsd:double"&gt;1.20115&lt;/D&gt;&lt;/FQL&gt;&lt;FQL&gt;&lt;Q&gt;EURUSD^FG_PRICE(45187)&lt;/Q&gt;&lt;R&gt;1&lt;/R&gt;&lt;C&gt;1&lt;/C&gt;&lt;D xsi:type="xsd:double"&gt;1.0673&lt;/D&gt;&lt;/FQL&gt;&lt;FQL&gt;&lt;Q&gt;GBPUSD^FG_PRICE(45186)&lt;/Q&gt;&lt;R&gt;1&lt;/R&gt;&lt;C&gt;1&lt;/C&gt;&lt;D xsi:type="xsd:double"&gt;1.20115&lt;/D&gt;&lt;/FQL&gt;&lt;FQL&gt;&lt;Q&gt;EURUSD^FG_PRICE(45186)&lt;/Q&gt;&lt;R&gt;1&lt;/R&gt;&lt;C&gt;1&lt;/C&gt;&lt;D xsi:type="xsd:double"&gt;1.0673&lt;/D&gt;&lt;/FQL&gt;&lt;FQL&gt;&lt;Q&gt;GBPUSD^FG_PRICE(45185)&lt;/Q&gt;&lt;R&gt;1&lt;/R&gt;&lt;C&gt;1&lt;/C&gt;&lt;D xsi:type="xsd:double"&gt;1.20115&lt;/D&gt;&lt;/FQL&gt;&lt;FQL&gt;&lt;Q&gt;EURUSD^FG_PRICE(45185)&lt;/Q&gt;&lt;R&gt;1&lt;/R&gt;&lt;C&gt;1&lt;/C&gt;&lt;D xsi:type="xsd:double"&gt;1.0673&lt;/D&gt;&lt;/FQL&gt;&lt;FQL&gt;&lt;Q&gt;GBPUSD^FG_PRICE(45184)&lt;/Q&gt;&lt;R&gt;1&lt;/R&gt;&lt;C&gt;1&lt;/C&gt;&lt;D xsi:type="xsd:double"&gt;1.20115&lt;/D&gt;&lt;/FQL&gt;&lt;FQL&gt;&lt;Q&gt;EURUSD^FG_PRICE(45184)&lt;/Q&gt;&lt;R&gt;1&lt;/R&gt;&lt;C&gt;1&lt;/C&gt;&lt;D xsi:type="xsd:double"&gt;1.0673&lt;/D&gt;&lt;/FQL&gt;&lt;FQL&gt;&lt;Q&gt;GBPUSD^FG_PRICE(45183)&lt;/Q&gt;&lt;R&gt;1&lt;/R&gt;&lt;C&gt;1&lt;/C&gt;&lt;D xsi:type="xsd:double"&gt;1.20115&lt;/D&gt;&lt;/FQL&gt;&lt;FQL&gt;&lt;Q&gt;EURUSD^FG_PRICE(45183)&lt;/Q&gt;&lt;R&gt;1&lt;/R&gt;&lt;C&gt;1&lt;/C&gt;&lt;D xsi:type="xsd:double"&gt;1.0673&lt;/D&gt;&lt;/FQL&gt;&lt;FQL&gt;&lt;Q&gt;GBPUSD^FG_PRICE(45182)&lt;/Q&gt;&lt;R&gt;1&lt;/R&gt;&lt;C&gt;1&lt;/C&gt;&lt;D xsi:type="xsd:double"&gt;1.20115&lt;/D&gt;&lt;/FQL&gt;&lt;FQL&gt;&lt;Q&gt;EURUSD^FG_PRICE(45182)&lt;/Q&gt;&lt;R&gt;1&lt;/R&gt;&lt;C&gt;1&lt;/C&gt;&lt;D xsi:type="xsd:double"&gt;1.0673&lt;/D&gt;&lt;/FQL&gt;&lt;FQL&gt;&lt;Q&gt;GBPUSD^FG_PRICE(45181)&lt;/Q&gt;&lt;R&gt;1&lt;/R&gt;&lt;C&gt;1&lt;/C&gt;&lt;D xsi:type="xsd:double"&gt;1.20115&lt;/D&gt;&lt;/FQL&gt;&lt;FQL&gt;&lt;Q&gt;EURUSD^FG_PRICE(45181)&lt;/Q&gt;&lt;R&gt;1&lt;/R&gt;&lt;C&gt;1&lt;/C&gt;&lt;D xsi:type="xsd:double"&gt;1.0673&lt;/D&gt;&lt;/FQL&gt;&lt;FQL&gt;&lt;Q&gt;GBPUSD^FG_PRICE(45180)&lt;/Q&gt;&lt;R&gt;1&lt;/R&gt;&lt;C&gt;1&lt;/C&gt;&lt;D xsi:type="xsd:double"&gt;1.20115&lt;/D&gt;&lt;/FQL&gt;&lt;FQL&gt;&lt;Q&gt;EURUSD^FG_PRICE(45180)&lt;/Q&gt;&lt;R&gt;1&lt;/R&gt;&lt;C&gt;1&lt;/C&gt;&lt;D xsi:type="xsd:double"&gt;1.0673&lt;/D&gt;&lt;/FQL&gt;&lt;FQL&gt;&lt;Q&gt;GBPUSD^FG_PRICE(45179)&lt;/Q&gt;&lt;R&gt;1&lt;/R&gt;&lt;C&gt;1&lt;/C&gt;&lt;D xsi:type="xsd:double"&gt;1.20115&lt;/D&gt;&lt;/FQL&gt;&lt;FQL&gt;&lt;Q&gt;EURUSD^FG_PRICE(45179)&lt;/Q&gt;&lt;R&gt;1&lt;/R&gt;&lt;C&gt;1&lt;/C&gt;&lt;D xsi:type="xsd:double"&gt;1.0673&lt;/D&gt;&lt;/FQL&gt;&lt;FQL&gt;&lt;Q&gt;GBPUSD^FG_PRICE(45178)&lt;/Q&gt;&lt;R&gt;1&lt;/R&gt;&lt;C&gt;1&lt;/C&gt;&lt;D xsi:type="xsd:double"&gt;1.20115&lt;/D&gt;&lt;/FQL&gt;&lt;FQL&gt;&lt;Q&gt;EURUSD^FG_PRICE(45178)&lt;/Q&gt;&lt;R&gt;1&lt;/R&gt;&lt;C&gt;1&lt;/C&gt;&lt;D xsi:type="xsd:double"&gt;1.0673&lt;/D&gt;&lt;/FQL&gt;&lt;FQL&gt;&lt;Q&gt;GBPUSD^FG_PRICE(45177)&lt;/Q&gt;&lt;R&gt;1&lt;/R&gt;&lt;C&gt;1&lt;/C&gt;&lt;D xsi:type="xsd:double"&gt;1.20115&lt;/D&gt;&lt;/FQL&gt;&lt;FQL&gt;&lt;Q&gt;EURUSD^FG_PRICE(45177)&lt;/Q&gt;&lt;R&gt;1&lt;/R&gt;&lt;C&gt;1&lt;/C&gt;&lt;D xsi:type="xsd:double"&gt;1.0673&lt;/D&gt;&lt;/FQL&gt;&lt;FQL&gt;&lt;Q&gt;GBPUSD^FG_PRICE(45176)&lt;/Q&gt;&lt;R&gt;1&lt;/R&gt;&lt;C&gt;1&lt;/C&gt;&lt;D xsi:type="xsd:double"&gt;1.20115&lt;/D&gt;&lt;/FQL&gt;&lt;FQL&gt;&lt;Q&gt;EURUSD^FG_PRICE(45176)&lt;/Q&gt;&lt;R&gt;1&lt;/R&gt;&lt;C&gt;1&lt;/C&gt;&lt;D xsi:type="xsd:double"&gt;1.0673&lt;/D&gt;&lt;/FQL&gt;&lt;FQL&gt;&lt;Q&gt;GBPUSD^FG_PRICE(45175)&lt;/Q&gt;&lt;R&gt;1&lt;/R&gt;&lt;C&gt;1&lt;/C&gt;&lt;D xsi:type="xsd:double"&gt;1.20115&lt;/D&gt;&lt;/FQL&gt;&lt;FQL&gt;&lt;Q&gt;EURUSD^FG_PRICE(45175)&lt;/Q&gt;&lt;R&gt;1&lt;/R&gt;&lt;C&gt;1&lt;/C&gt;&lt;D xsi:type="xsd:double"&gt;1.0673&lt;/D&gt;&lt;/FQL&gt;&lt;FQL&gt;&lt;Q&gt;GBPUSD^FG_PRICE(45174)&lt;/Q&gt;&lt;R&gt;1&lt;/R&gt;&lt;C&gt;1&lt;/C&gt;&lt;D xsi:type="xsd:double"&gt;1.20115&lt;/D&gt;&lt;/FQL&gt;&lt;FQL&gt;&lt;Q&gt;EURUSD^FG_PRICE(45174)&lt;/Q&gt;&lt;R&gt;1&lt;/R&gt;&lt;C&gt;1&lt;/C&gt;&lt;D xsi:type="xsd:double"&gt;1.0673&lt;/D&gt;&lt;/FQL&gt;&lt;FQL&gt;&lt;Q&gt;GBPUSD^FG_PRICE(45173)&lt;/Q&gt;&lt;R&gt;1&lt;/R&gt;&lt;C&gt;1&lt;/C&gt;&lt;D xsi:type="xsd:double"&gt;1.20115&lt;/D&gt;&lt;/FQL&gt;&lt;FQL&gt;&lt;Q&gt;EURUSD^FG_PRICE(45173)&lt;/Q&gt;&lt;R&gt;1&lt;/R&gt;&lt;C&gt;1&lt;/C&gt;&lt;D xsi:type="xsd:double"&gt;1.0673&lt;/D&gt;&lt;/FQL&gt;&lt;FQL&gt;&lt;Q&gt;GBPUSD^FG_PRICE(45172)&lt;/Q&gt;&lt;R&gt;1&lt;/R&gt;&lt;C&gt;1&lt;/C&gt;&lt;D xsi:type="xsd:double"&gt;1.20115&lt;/D&gt;&lt;/FQL&gt;&lt;FQL&gt;&lt;Q&gt;EURUSD^FG_PRICE(45172)&lt;/Q&gt;&lt;R&gt;1&lt;/R&gt;&lt;C&gt;1&lt;/C&gt;&lt;D xsi:type="xsd:double"&gt;1.0673&lt;/D&gt;&lt;/FQL&gt;&lt;FQL&gt;&lt;Q&gt;GBPUSD^FG_PRICE(45171)&lt;/Q&gt;&lt;R&gt;1&lt;/R&gt;&lt;C&gt;1&lt;/C&gt;&lt;D xsi:type="xsd:double"&gt;1.20115&lt;/D&gt;&lt;/FQL&gt;&lt;FQL&gt;&lt;Q&gt;EURUSD^FG_PRICE(45171)&lt;/Q&gt;&lt;R&gt;1&lt;/R&gt;&lt;C&gt;1&lt;/C&gt;&lt;D xsi:type="xsd:double"&gt;1.0673&lt;/D&gt;&lt;/FQL&gt;&lt;FQL&gt;&lt;Q&gt;GBPUSD^FG_PRICE(45170)&lt;/Q&gt;&lt;R&gt;1&lt;/R&gt;&lt;C&gt;1&lt;/C&gt;&lt;D xsi:type="xsd:double"&gt;1.20115&lt;/D&gt;&lt;/FQL&gt;&lt;FQL&gt;&lt;Q&gt;EURUSD^FG_PRICE(45170)&lt;/Q&gt;&lt;R&gt;1&lt;/R&gt;&lt;C&gt;1&lt;/C&gt;&lt;D xsi:type="xsd:double"&gt;1.0673&lt;/D&gt;&lt;/FQL&gt;&lt;FQL&gt;&lt;Q&gt;GBPUSD^FG_PRICE(45169)&lt;/Q&gt;&lt;R&gt;1&lt;/R&gt;&lt;C&gt;1&lt;/C&gt;&lt;D xsi:type="xsd:double"&gt;1.20115&lt;/D&gt;&lt;/FQL&gt;&lt;FQL&gt;&lt;Q&gt;EURUSD^FG_PRICE(45169)&lt;/Q&gt;&lt;R&gt;1&lt;/R&gt;&lt;C&gt;1&lt;/C&gt;&lt;D xsi:type="xsd:double"&gt;1.0673&lt;/D&gt;&lt;/FQL&gt;&lt;FQL&gt;&lt;Q&gt;GBPUSD^FG_PRICE(45168)&lt;/Q&gt;&lt;R&gt;1&lt;/R&gt;&lt;C&gt;1&lt;/C&gt;&lt;D xsi:type="xsd:double"&gt;1.20115&lt;/D&gt;&lt;/FQL&gt;&lt;FQL&gt;&lt;Q&gt;EURUSD^FG_PRICE(45168)&lt;/Q&gt;&lt;R&gt;1&lt;/R&gt;&lt;C&gt;1&lt;/C&gt;&lt;D xsi:type="xsd:double"&gt;1.0673&lt;/D&gt;&lt;/FQL&gt;&lt;FQL&gt;&lt;Q&gt;GBPUSD^FG_PRICE(45167)&lt;/Q&gt;&lt;R&gt;1&lt;/R&gt;&lt;C&gt;1&lt;/C&gt;&lt;D xsi:type="xsd:double"&gt;1.20115&lt;/D&gt;&lt;/FQL&gt;&lt;FQL&gt;&lt;Q&gt;EURUSD^FG_PRICE(45167)&lt;/Q&gt;&lt;R&gt;1&lt;/R&gt;&lt;C&gt;1&lt;/C&gt;&lt;D xsi:type="xsd:double"&gt;1.0673&lt;/D&gt;&lt;/FQL&gt;&lt;FQL&gt;&lt;Q&gt;GBPUSD^FG_PRICE(45166)&lt;/Q&gt;&lt;R&gt;1&lt;/R&gt;&lt;C&gt;1&lt;/C&gt;&lt;D xsi:type="xsd:double"&gt;1.20115&lt;/D&gt;&lt;/FQL&gt;&lt;FQL&gt;&lt;Q&gt;EURUSD^FG_PRICE(45166)&lt;/Q&gt;&lt;R&gt;1&lt;/R&gt;&lt;C&gt;1&lt;/C&gt;&lt;D xsi:type="xsd:double"&gt;1.0673&lt;/D&gt;&lt;/FQL&gt;&lt;FQL&gt;&lt;Q&gt;GBPUSD^FG_PRICE(45165)&lt;/Q&gt;&lt;R&gt;1&lt;/R&gt;&lt;C&gt;1&lt;/C&gt;&lt;D xsi:type="xsd:double"&gt;1.20115&lt;/D&gt;&lt;/FQL&gt;&lt;FQL&gt;&lt;Q&gt;EURUSD^FG_PRICE(45165)&lt;/Q&gt;&lt;R&gt;1&lt;/R&gt;&lt;C&gt;1&lt;/C&gt;&lt;D xsi:type="xsd:double"&gt;1.0673&lt;/D&gt;&lt;/FQL&gt;&lt;FQL&gt;&lt;Q&gt;GBPUSD^FG_PRICE(45164)&lt;/Q&gt;&lt;R&gt;1&lt;/R&gt;&lt;C&gt;1&lt;/C&gt;&lt;D xsi:type="xsd:double"&gt;1.20115&lt;/D&gt;&lt;/FQL&gt;&lt;FQL&gt;&lt;Q&gt;EURUSD^FG_PRICE(45164)&lt;/Q&gt;&lt;R&gt;1&lt;/R&gt;&lt;C&gt;1&lt;/C&gt;&lt;D xsi:type="xsd:double"&gt;1.0673&lt;/D&gt;&lt;/FQL&gt;&lt;FQL&gt;&lt;Q&gt;GBPUSD^FG_PRICE(45163)&lt;/Q&gt;&lt;R&gt;1&lt;/R&gt;&lt;C&gt;1&lt;/C&gt;&lt;D xsi:type="xsd:double"&gt;1.20115&lt;/D&gt;&lt;/FQL&gt;&lt;FQL&gt;&lt;Q&gt;EURUSD^FG_PRICE(45163)&lt;/Q&gt;&lt;R&gt;1&lt;/R&gt;&lt;C&gt;1&lt;/C&gt;&lt;D xsi:type="xsd:double"&gt;1.0673&lt;/D&gt;&lt;/FQL&gt;&lt;FQL&gt;&lt;Q&gt;GBPUSD^FG_PRICE(45162)&lt;/Q&gt;&lt;R&gt;1&lt;/R&gt;&lt;C&gt;1&lt;/C&gt;&lt;D xsi:type="xsd:double"&gt;1.20115&lt;/D&gt;&lt;/FQL&gt;&lt;FQL&gt;&lt;Q&gt;EURUSD^FG_PRICE(45162)&lt;/Q&gt;&lt;R&gt;1&lt;/R&gt;&lt;C&gt;1&lt;/C&gt;&lt;D xsi:type="xsd:double"&gt;1.0673&lt;/D&gt;&lt;/FQL&gt;&lt;FQL&gt;&lt;Q&gt;GBPUSD^FG_PRICE(45161)&lt;/Q&gt;&lt;R&gt;1&lt;/R&gt;&lt;C&gt;1&lt;/C&gt;&lt;D xsi:type="xsd:double"&gt;1.20115&lt;/D&gt;&lt;/FQL&gt;&lt;FQL&gt;&lt;Q&gt;EURUSD^FG_PRICE(45161)&lt;/Q&gt;&lt;R&gt;1&lt;/R&gt;&lt;C&gt;1&lt;/C&gt;&lt;D xsi:type="xsd:double"&gt;1.0673&lt;/D&gt;&lt;/FQL&gt;&lt;FQL&gt;&lt;Q&gt;GBPUSD^FG_PRICE(45160)&lt;/Q&gt;&lt;R&gt;1&lt;/R&gt;&lt;C&gt;1&lt;/C&gt;&lt;D xsi:type="xsd:double"&gt;1.20115&lt;/D&gt;&lt;/FQL&gt;&lt;FQL&gt;&lt;Q&gt;EURUSD^FG_PRICE(45160)&lt;/Q&gt;&lt;R&gt;1&lt;/R&gt;&lt;C&gt;1&lt;/C&gt;&lt;D xsi:type="xsd:double"&gt;1.0673&lt;/D&gt;&lt;/FQL&gt;&lt;FQL&gt;&lt;Q&gt;GBPUSD^FG_PRICE(45159)&lt;/Q&gt;&lt;R&gt;1&lt;/R&gt;&lt;C&gt;1&lt;/C&gt;&lt;D xsi:type="xsd:double"&gt;1.20115&lt;/D&gt;&lt;/FQL&gt;&lt;FQL&gt;&lt;Q&gt;EURUSD^FG_PRICE(45159)&lt;/Q&gt;&lt;R&gt;1&lt;/R&gt;&lt;C&gt;1&lt;/C&gt;&lt;D xsi:type="xsd:double"&gt;1.0673&lt;/D&gt;&lt;/FQL&gt;&lt;FQL&gt;&lt;Q&gt;GBPUSD^FG_PRICE(45158)&lt;/Q&gt;&lt;R&gt;1&lt;/R&gt;&lt;C&gt;1&lt;/C&gt;&lt;D xsi:type="xsd:double"&gt;1.20115&lt;/D&gt;&lt;/FQL&gt;&lt;FQL&gt;&lt;Q&gt;EURUSD^FG_PRICE(45158)&lt;/Q&gt;&lt;R&gt;1&lt;/R&gt;&lt;C&gt;1&lt;/C&gt;&lt;D xsi:type="xsd:double"&gt;1.0673&lt;/D&gt;&lt;/FQL&gt;&lt;FQL&gt;&lt;Q&gt;GBPUSD^FG_PRICE(45157)&lt;/Q&gt;&lt;R&gt;1&lt;/R&gt;&lt;C&gt;1&lt;/C&gt;&lt;D xsi:type="xsd:double"&gt;1.20115&lt;/D&gt;&lt;/FQL&gt;&lt;FQL&gt;&lt;Q&gt;EURUSD^FG_PRICE(45157)&lt;/Q&gt;&lt;R&gt;1&lt;/R&gt;&lt;C&gt;1&lt;/C&gt;&lt;D xsi:type="xsd:double"&gt;1.0673&lt;/D&gt;&lt;/FQL&gt;&lt;FQL&gt;&lt;Q&gt;GBPUSD^FG_PRICE(45156)&lt;/Q&gt;&lt;R&gt;1&lt;/R&gt;&lt;C&gt;1&lt;/C&gt;&lt;D xsi:type="xsd:double"&gt;1.20115&lt;/D&gt;&lt;/FQL&gt;&lt;FQL&gt;&lt;Q&gt;EURUSD^FG_PRICE(45156)&lt;/Q&gt;&lt;R&gt;1&lt;/R&gt;&lt;C&gt;1&lt;/C&gt;&lt;D xsi:type="xsd:double"&gt;1.0673&lt;/D&gt;&lt;/FQL&gt;&lt;FQL&gt;&lt;Q&gt;GBPUSD^FG_PRICE(45155)&lt;/Q&gt;&lt;R&gt;1&lt;/R&gt;&lt;C&gt;1&lt;/C&gt;&lt;D xsi:type="xsd:double"&gt;1.20115&lt;/D&gt;&lt;/FQL&gt;&lt;FQL&gt;&lt;Q&gt;EURUSD^FG_PRICE(45155)&lt;/Q&gt;&lt;R&gt;1&lt;/R&gt;&lt;C&gt;1&lt;/C&gt;&lt;D xsi:type="xsd:double"&gt;1.0673&lt;/D&gt;&lt;/FQL&gt;&lt;FQL&gt;&lt;Q&gt;GBPUSD^FG_PRICE(45154)&lt;/Q&gt;&lt;R&gt;1&lt;/R&gt;&lt;C&gt;1&lt;/C&gt;&lt;D xsi:type="xsd:double"&gt;1.20115&lt;/D&gt;&lt;/FQL&gt;&lt;FQL&gt;&lt;Q&gt;EURUSD^FG_PRICE(45154)&lt;/Q&gt;&lt;R&gt;1&lt;/R&gt;&lt;C&gt;1&lt;/C&gt;&lt;D xsi:type="xsd:double"&gt;1.0673&lt;/D&gt;&lt;/FQL&gt;&lt;FQL&gt;&lt;Q&gt;GBPUSD^FG_PRICE(45153)&lt;/Q&gt;&lt;R&gt;1&lt;/R&gt;&lt;C&gt;1&lt;/C&gt;&lt;D xsi:type="xsd:double"&gt;1.20115&lt;/D&gt;&lt;/FQL&gt;&lt;FQL&gt;&lt;Q&gt;EURUSD^FG_PRICE(45153)&lt;/Q&gt;&lt;R&gt;1&lt;/R&gt;&lt;C&gt;1&lt;/C&gt;&lt;D xsi:type="xsd:double"&gt;1.0673&lt;/D&gt;&lt;/FQL&gt;&lt;FQL&gt;&lt;Q&gt;GBPUSD^FG_PRICE(45152)&lt;/Q&gt;&lt;R&gt;1&lt;/R&gt;&lt;C&gt;1&lt;/C&gt;&lt;D xsi:type="xsd:double"&gt;1.20115&lt;/D&gt;&lt;/FQL&gt;&lt;FQL&gt;&lt;Q&gt;EURUSD^FG_PRICE(45152)&lt;/Q&gt;&lt;R&gt;1&lt;/R&gt;&lt;C&gt;1&lt;/C&gt;&lt;D xsi:type="xsd:double"&gt;1.0673&lt;/D&gt;&lt;/FQL&gt;&lt;FQL&gt;&lt;Q&gt;GBPUSD^FG_PRICE(45151)&lt;/Q&gt;&lt;R&gt;1&lt;/R&gt;&lt;C&gt;1&lt;/C&gt;&lt;D xsi:type="xsd:double"&gt;1.20115&lt;/D&gt;&lt;/FQL&gt;&lt;FQL&gt;&lt;Q&gt;EURUSD^FG_PRICE(45151)&lt;/Q&gt;&lt;R&gt;1&lt;/R&gt;&lt;C&gt;1&lt;/C&gt;&lt;D xsi:type="xsd:double"&gt;1.0673&lt;/D&gt;&lt;/FQL&gt;&lt;FQL&gt;&lt;Q&gt;GBPUSD^FG_PRICE(45150)&lt;/Q&gt;&lt;R&gt;1&lt;/R&gt;&lt;C&gt;1&lt;/C&gt;&lt;D xsi:type="xsd:double"&gt;1.20115&lt;/D&gt;&lt;/FQL&gt;&lt;FQL&gt;&lt;Q&gt;EURUSD^FG_PRICE(45150)&lt;/Q&gt;&lt;R&gt;1&lt;/R&gt;&lt;C&gt;1&lt;/C&gt;&lt;D xsi:type="xsd:double"&gt;1.0673&lt;/D&gt;&lt;/FQL&gt;&lt;FQL&gt;&lt;Q&gt;GBPUSD^FG_PRICE(45149)&lt;/Q&gt;&lt;R&gt;1&lt;/R&gt;&lt;C&gt;1&lt;/C&gt;&lt;D xsi:type="xsd:double"&gt;1.20115&lt;/D&gt;&lt;/FQL&gt;&lt;FQL&gt;&lt;Q&gt;EURUSD^FG_PRICE(45149)&lt;/Q&gt;&lt;R&gt;1&lt;/R&gt;&lt;C&gt;1&lt;/C&gt;&lt;D xsi:type="xsd:double"&gt;1.0673&lt;/D&gt;&lt;/FQL&gt;&lt;FQL&gt;&lt;Q&gt;GBPUSD^FG_PRICE(45148)&lt;/Q&gt;&lt;R&gt;1&lt;/R&gt;&lt;C&gt;1&lt;/C&gt;&lt;D xsi:type="xsd:double"&gt;1.20115&lt;/D&gt;&lt;/FQL&gt;&lt;FQL&gt;&lt;Q&gt;EURUSD^FG_PRICE(45148)&lt;/Q&gt;&lt;R&gt;1&lt;/R&gt;&lt;C&gt;1&lt;/C&gt;&lt;D xsi:type="xsd:double"&gt;1.0673&lt;/D&gt;&lt;/FQL&gt;&lt;FQL&gt;&lt;Q&gt;GBPUSD^FG_PRICE(45147)&lt;/Q&gt;&lt;R&gt;1&lt;/R&gt;&lt;C&gt;1&lt;/C&gt;&lt;D xsi:type="xsd:double"&gt;1.20115&lt;/D&gt;&lt;/FQL&gt;&lt;FQL&gt;&lt;Q&gt;EURUSD^FG_PRICE(45147)&lt;/Q&gt;&lt;R&gt;1&lt;/R&gt;&lt;C&gt;1&lt;/C&gt;&lt;D xsi:type="xsd:double"&gt;1.0673&lt;/D&gt;&lt;/FQL&gt;&lt;FQL&gt;&lt;Q&gt;GBPUSD^FG_PRICE(45146)&lt;/Q&gt;&lt;R&gt;1&lt;/R&gt;&lt;C&gt;1&lt;/C&gt;&lt;D xsi:type="xsd:double"&gt;1.20115&lt;/D&gt;&lt;/FQL&gt;&lt;FQL&gt;&lt;Q&gt;EURUSD^FG_PRICE(45146)&lt;/Q&gt;&lt;R&gt;1&lt;/R&gt;&lt;C&gt;1&lt;/C&gt;&lt;D xsi:type="xsd:double"&gt;1.0673&lt;/D&gt;&lt;/FQL&gt;&lt;FQL&gt;&lt;Q&gt;GBPUSD^FG_PRICE(45145)&lt;/Q&gt;&lt;R&gt;1&lt;/R&gt;&lt;C&gt;1&lt;/C&gt;&lt;D xsi:type="xsd:double"&gt;1.20115&lt;/D&gt;&lt;/FQL&gt;&lt;FQL&gt;&lt;Q&gt;EURUSD^FG_PRICE(45145)&lt;/Q&gt;&lt;R&gt;1&lt;/R&gt;&lt;C&gt;1&lt;/C&gt;&lt;D xsi:type="xsd:double"&gt;1.0673&lt;/D&gt;&lt;/FQL&gt;&lt;FQL&gt;&lt;Q&gt;GBPUSD^FG_PRICE(45144)&lt;/Q&gt;&lt;R&gt;1&lt;/R&gt;&lt;C&gt;1&lt;/C&gt;&lt;D xsi:type="xsd:double"&gt;1.20115&lt;/D&gt;&lt;/FQL&gt;&lt;FQL&gt;&lt;Q&gt;EURUSD^FG_PRICE(45144)&lt;/Q&gt;&lt;R&gt;1&lt;/R&gt;&lt;C&gt;1&lt;/C&gt;&lt;D xsi:type="xsd:double"&gt;1.0673&lt;/D&gt;&lt;/FQL&gt;&lt;FQL&gt;&lt;Q&gt;GBPUSD^FG_PRICE(45143)&lt;/Q&gt;&lt;R&gt;1&lt;/R&gt;&lt;C&gt;1&lt;/C&gt;&lt;D xsi:type="xsd:double"&gt;1.20115&lt;/D&gt;&lt;/FQL&gt;&lt;FQL&gt;&lt;Q&gt;EURUSD^FG_PRICE(45143)&lt;/Q&gt;&lt;R&gt;1&lt;/R&gt;&lt;C&gt;1&lt;/C&gt;&lt;D xsi:type="xsd:double"&gt;1.0673&lt;/D&gt;&lt;/FQL&gt;&lt;FQL&gt;&lt;Q&gt;GBPUSD^FG_PRICE(45142)&lt;/Q&gt;&lt;R&gt;1&lt;/R&gt;&lt;C&gt;1&lt;/C&gt;&lt;D xsi:type="xsd:double"&gt;1.20115&lt;/D&gt;&lt;/FQL&gt;&lt;FQL&gt;&lt;Q&gt;EURUSD^FG_PRICE(45142)&lt;/Q&gt;&lt;R&gt;1&lt;/R&gt;&lt;C&gt;1&lt;/C&gt;&lt;D xsi:type="xsd:double"&gt;1.0673&lt;/D&gt;&lt;/FQL&gt;&lt;FQL&gt;&lt;Q&gt;GBPUSD^FG_PRICE(45141)&lt;/Q&gt;&lt;R&gt;1&lt;/R&gt;&lt;C&gt;1&lt;/C&gt;&lt;D xsi:type="xsd:double"&gt;1.20115&lt;/D&gt;&lt;/FQL&gt;&lt;FQL&gt;&lt;Q&gt;EURUSD^FG_PRICE(45141)&lt;/Q&gt;&lt;R&gt;1&lt;/R&gt;&lt;C&gt;1&lt;/C&gt;&lt;D xsi:type="xsd:double"&gt;1.0673&lt;/D&gt;&lt;/FQL&gt;&lt;FQL&gt;&lt;Q&gt;GBPUSD^FG_PRICE(45140)&lt;/Q&gt;&lt;R&gt;1&lt;/R&gt;&lt;C&gt;1&lt;/C&gt;&lt;D xsi:type="xsd:double"&gt;1.20115&lt;/D&gt;&lt;/FQL&gt;&lt;FQL&gt;&lt;Q&gt;EURUSD^FG_PRICE(45140)&lt;/Q&gt;&lt;R&gt;1&lt;/R&gt;&lt;C&gt;1&lt;/C&gt;&lt;D xsi:type="xsd:double"&gt;1.0673&lt;/D&gt;&lt;/FQL&gt;&lt;FQL&gt;&lt;Q&gt;GBPUSD^FG_PRICE(45139)&lt;/Q&gt;&lt;R&gt;1&lt;/R&gt;&lt;C&gt;1&lt;/C&gt;&lt;D xsi:type="xsd:double"&gt;1.20115&lt;/D&gt;&lt;/FQL&gt;&lt;FQL&gt;&lt;Q&gt;EURUSD^FG_PRICE(45139)&lt;/Q&gt;&lt;R&gt;1&lt;/R&gt;&lt;C&gt;1&lt;/C&gt;&lt;D xsi:type="xsd:double"&gt;1.0673&lt;/D&gt;&lt;/FQL&gt;&lt;FQL&gt;&lt;Q&gt;GBPUSD^FG_PRICE(45138)&lt;/Q&gt;&lt;R&gt;1&lt;/R&gt;&lt;C&gt;1&lt;/C&gt;&lt;D xsi:type="xsd:double"&gt;1.20115&lt;/D&gt;&lt;/FQL&gt;&lt;FQL&gt;&lt;Q&gt;EURUSD^FG_PRICE(45138)&lt;/Q&gt;&lt;R&gt;1&lt;/R&gt;&lt;C&gt;1&lt;/C&gt;&lt;D xsi:type="xsd:double"&gt;1.0673&lt;/D&gt;&lt;/FQL&gt;&lt;FQL&gt;&lt;Q&gt;GBPUSD^FG_PRICE(45137)&lt;/Q&gt;&lt;R&gt;1&lt;/R&gt;&lt;C&gt;1&lt;/C&gt;&lt;D xsi:type="xsd:double"&gt;1.20115&lt;/D&gt;&lt;/FQL&gt;&lt;FQL&gt;&lt;Q&gt;EURUSD^FG_PRICE(45137)&lt;/Q&gt;&lt;R&gt;1&lt;/R&gt;&lt;C&gt;1&lt;/C&gt;&lt;D xsi:type="xsd:double"&gt;1.0673&lt;/D&gt;&lt;/FQL&gt;&lt;FQL&gt;&lt;Q&gt;GBPUSD^FG_PRICE(45136)&lt;/Q&gt;&lt;R&gt;1&lt;/R&gt;&lt;C&gt;1&lt;/C&gt;&lt;D xsi:type="xsd:double"&gt;1.20115&lt;/D&gt;&lt;/FQL&gt;&lt;FQL&gt;&lt;Q&gt;EURUSD^FG_PRICE(45136)&lt;/Q&gt;&lt;R&gt;1&lt;/R&gt;&lt;C&gt;1&lt;/C&gt;&lt;D xsi:type="xsd:double"&gt;1.0673&lt;/D&gt;&lt;/FQL&gt;&lt;FQL&gt;&lt;Q&gt;GBPUSD^FG_PRICE(45135)&lt;/Q&gt;&lt;R&gt;1&lt;/R&gt;&lt;C&gt;1&lt;/C&gt;&lt;D xsi:type="xsd:double"&gt;1.20115&lt;/D&gt;&lt;/FQL&gt;&lt;FQL&gt;&lt;Q&gt;EURUSD^FG_PRICE(45135)&lt;/Q&gt;&lt;R&gt;1&lt;/R&gt;&lt;C&gt;1&lt;/C&gt;&lt;D xsi:type="xsd:double"&gt;1.0673&lt;/D&gt;&lt;/FQL&gt;&lt;FQL&gt;&lt;Q&gt;GBPUSD^FG_PRICE(45134)&lt;/Q&gt;&lt;R&gt;1&lt;/R&gt;&lt;C&gt;1&lt;/C&gt;&lt;D xsi:type="xsd:double"&gt;1.20115&lt;/D&gt;&lt;/FQL&gt;&lt;FQL&gt;&lt;Q&gt;EURUSD^FG_PRICE(45134)&lt;/Q&gt;&lt;R&gt;1&lt;/R&gt;&lt;C&gt;1&lt;/C&gt;&lt;D xsi:type="xsd:double"&gt;1.0673&lt;/D&gt;&lt;/FQL&gt;&lt;FQL&gt;&lt;Q&gt;GBPUSD^FG_PRICE(45133)&lt;/Q&gt;&lt;R&gt;1&lt;/R&gt;&lt;C&gt;1&lt;/C&gt;&lt;D xsi:type="xsd:double"&gt;1.20115&lt;/D&gt;&lt;/FQL&gt;&lt;FQL&gt;&lt;Q&gt;EURUSD^FG_PRICE(45133)&lt;/Q&gt;&lt;R&gt;1&lt;/R&gt;&lt;C&gt;1&lt;/C&gt;&lt;D xsi:type="xsd:double"&gt;1.0673&lt;/D&gt;&lt;/FQL&gt;&lt;FQL&gt;&lt;Q&gt;GBPUSD^FG_PRICE(45132)&lt;/Q&gt;&lt;R&gt;1&lt;/R&gt;&lt;C&gt;1&lt;/C&gt;&lt;D xsi:type="xsd:double"&gt;1.20115&lt;/D&gt;&lt;/FQL&gt;&lt;FQL&gt;&lt;Q&gt;EURUSD^FG_PRICE(45132)&lt;/Q&gt;&lt;R&gt;1&lt;/R&gt;&lt;C&gt;1&lt;/C&gt;&lt;D xsi:type="xsd:double"&gt;1.0673&lt;/D&gt;&lt;/FQL&gt;&lt;FQL&gt;&lt;Q&gt;GBPUSD^FG_PRICE(45131)&lt;/Q&gt;&lt;R&gt;1&lt;/R&gt;&lt;C&gt;1&lt;/C&gt;&lt;D xsi:type="xsd:double"&gt;1.20115&lt;/D&gt;&lt;/FQL&gt;&lt;FQL&gt;&lt;Q&gt;EURUSD^FG_PRICE(45131)&lt;/Q&gt;&lt;R&gt;1&lt;/R&gt;&lt;C&gt;1&lt;/C&gt;&lt;D xsi:type="xsd:double"&gt;1.0673&lt;/D&gt;&lt;/FQL&gt;&lt;FQL&gt;&lt;Q&gt;GBPUSD^FG_PRICE(45130)&lt;/Q&gt;&lt;R&gt;1&lt;/R&gt;&lt;C&gt;1&lt;/C&gt;&lt;D xsi:type="xsd:double"&gt;1.20115&lt;/D&gt;&lt;/FQL&gt;&lt;FQL&gt;&lt;Q&gt;EURUSD^FG_PRICE(45130)&lt;/Q&gt;&lt;R&gt;1&lt;/R&gt;&lt;C&gt;1&lt;/C&gt;&lt;D xsi:type="xsd:double"&gt;1.0673&lt;/D&gt;&lt;/FQL&gt;&lt;FQL&gt;&lt;Q&gt;GBPUSD^FG_PRICE(45129)&lt;/Q&gt;&lt;R&gt;1&lt;/R&gt;&lt;C&gt;1&lt;/C&gt;&lt;D xsi:type="xsd:double"&gt;1.20115&lt;/D&gt;&lt;/FQL&gt;&lt;FQL&gt;&lt;Q&gt;EURUSD^FG_PRICE(45129)&lt;/Q&gt;&lt;R&gt;1&lt;/R&gt;&lt;C&gt;1&lt;/C&gt;&lt;D xsi:type="xsd:double"&gt;1.0673&lt;/D&gt;&lt;/FQL&gt;&lt;FQL&gt;&lt;Q&gt;GBPUSD^FG_PRICE(45128)&lt;/Q&gt;&lt;R&gt;1&lt;/R&gt;&lt;C&gt;1&lt;/C&gt;&lt;D xsi:type="xsd:double"&gt;1.20115&lt;/D&gt;&lt;/FQL&gt;&lt;FQL&gt;&lt;Q&gt;EURUSD^FG_PRICE(45128)&lt;/Q&gt;&lt;R&gt;1&lt;/R&gt;&lt;C&gt;1&lt;/C&gt;&lt;D xsi:type="xsd:double"&gt;1.0673&lt;/D&gt;&lt;/FQL&gt;&lt;FQL&gt;&lt;Q&gt;GBPUSD^FG_PRICE(45127)&lt;/Q&gt;&lt;R&gt;1&lt;/R&gt;&lt;C&gt;1&lt;/C&gt;&lt;D xsi:type="xsd:double"&gt;1.20115&lt;/D&gt;&lt;/FQL&gt;&lt;FQL&gt;&lt;Q&gt;EURUSD^FG_PRICE(45127)&lt;/Q&gt;&lt;R&gt;1&lt;/R&gt;&lt;C&gt;1&lt;/C&gt;&lt;D xsi:type="xsd:double"&gt;1.0673&lt;/D&gt;&lt;/FQL&gt;&lt;FQL&gt;&lt;Q&gt;GBPUSD^FG_PRICE(45126)&lt;/Q&gt;&lt;R&gt;1&lt;/R&gt;&lt;C&gt;1&lt;/C&gt;&lt;D xsi:type="xsd:double"&gt;1.20115&lt;/D&gt;&lt;/FQL&gt;&lt;FQL&gt;&lt;Q&gt;EURUSD^FG_PRICE(45126)&lt;/Q&gt;&lt;R&gt;1&lt;/R&gt;&lt;C&gt;1&lt;/C&gt;&lt;D xsi:type="xsd:double"&gt;1.0673&lt;/D&gt;&lt;/FQL&gt;&lt;FQL&gt;&lt;Q&gt;GBPUSD^FG_PRICE(45125)&lt;/Q&gt;&lt;R&gt;1&lt;/R&gt;&lt;C&gt;1&lt;/C&gt;&lt;D xsi:type="xsd:double"&gt;1.20115&lt;/D&gt;&lt;/FQL&gt;&lt;FQL&gt;&lt;Q&gt;EURUSD^FG_PRICE(45125)&lt;/Q&gt;&lt;R&gt;1&lt;/R&gt;&lt;C&gt;1&lt;/C&gt;&lt;D xsi:type="xsd:double"&gt;1.0673&lt;/D&gt;&lt;/FQL&gt;&lt;FQL&gt;&lt;Q&gt;GBPUSD^FG_PRICE(45124)&lt;/Q&gt;&lt;R&gt;1&lt;/R&gt;&lt;C&gt;1&lt;/C&gt;&lt;D xsi:type="xsd:double"&gt;1.20115&lt;/D&gt;&lt;/FQL&gt;&lt;FQL&gt;&lt;Q&gt;EURUSD^FG_PRICE(45124)&lt;/Q&gt;&lt;R&gt;1&lt;/R&gt;&lt;C&gt;1&lt;/C&gt;&lt;D xsi:type="xsd:double"&gt;1.0673&lt;/D&gt;&lt;/FQL&gt;&lt;FQL&gt;&lt;Q&gt;GBPUSD^FG_PRICE(45123)&lt;/Q&gt;&lt;R&gt;1&lt;/R&gt;&lt;C&gt;1&lt;/C&gt;&lt;D xsi:type="xsd:double"&gt;1.20115&lt;/D&gt;&lt;/FQL&gt;&lt;FQL&gt;&lt;Q&gt;EURUSD^FG_PRICE(45123)&lt;/Q&gt;&lt;R&gt;1&lt;/R&gt;&lt;C&gt;1&lt;/C&gt;&lt;D xsi:type="xsd:double"&gt;1.0673&lt;/D&gt;&lt;/FQL&gt;&lt;FQL&gt;&lt;Q&gt;GBPUSD^FG_PRICE(45122)&lt;/Q&gt;&lt;R&gt;1&lt;/R&gt;&lt;C&gt;1&lt;/C&gt;&lt;D xsi:type="xsd:double"&gt;1.20115&lt;/D&gt;&lt;/FQL&gt;&lt;FQL&gt;&lt;Q&gt;EURUSD^FG_PRICE(45122)&lt;/Q&gt;&lt;R&gt;1&lt;/R&gt;&lt;C&gt;1&lt;/C&gt;&lt;D xsi:type="xsd:double"&gt;1.0673&lt;/D&gt;&lt;/FQL&gt;&lt;FQL&gt;&lt;Q&gt;GBPUSD^FG_PRICE(45121)&lt;/Q&gt;&lt;R&gt;1&lt;/R&gt;&lt;C&gt;1&lt;/C&gt;&lt;D xsi:type="xsd:double"&gt;1.20115&lt;/D&gt;&lt;/FQL&gt;&lt;FQL&gt;&lt;Q&gt;EURUSD^FG_PRICE(45121)&lt;/Q&gt;&lt;R&gt;1&lt;/R&gt;&lt;C&gt;1&lt;/C&gt;&lt;D xsi:type="xsd:double"&gt;1.0673&lt;/D&gt;&lt;/FQL&gt;&lt;FQL&gt;&lt;Q&gt;GBPUSD^FG_PRICE(45120)&lt;/Q&gt;&lt;R&gt;1&lt;/R&gt;&lt;C&gt;1&lt;/C&gt;&lt;D xsi:type="xsd:double"&gt;1.20115&lt;/D&gt;&lt;/FQL&gt;&lt;FQL&gt;&lt;Q&gt;EURUSD^FG_PRICE(45120)&lt;/Q&gt;&lt;R&gt;1&lt;/R&gt;&lt;C&gt;1&lt;/C&gt;&lt;D xsi:type="xsd:double"&gt;1.0673&lt;/D&gt;&lt;/FQL&gt;&lt;FQL&gt;&lt;Q&gt;GBPUSD^FG_PRICE(45119)&lt;/Q&gt;&lt;R&gt;1&lt;/R&gt;&lt;C&gt;1&lt;/C&gt;&lt;D xsi:type="xsd:double"&gt;1.20115&lt;/D&gt;&lt;/FQL&gt;&lt;FQL&gt;&lt;Q&gt;EURUSD^FG_PRICE(45119)&lt;/Q&gt;&lt;R&gt;1&lt;/R&gt;&lt;C&gt;1&lt;/C&gt;&lt;D xsi:type="xsd:double"&gt;1.0673&lt;/D&gt;&lt;/FQL&gt;&lt;FQL&gt;&lt;Q&gt;GBPUSD^FG_PRICE(45118)&lt;/Q&gt;&lt;R&gt;1&lt;/R&gt;&lt;C&gt;1&lt;/C&gt;&lt;D xsi:type="xsd:double"&gt;1.20115&lt;/D&gt;&lt;/FQL&gt;&lt;FQL&gt;&lt;Q&gt;EURUSD^FG_PRICE(45118)&lt;/Q&gt;&lt;R&gt;1&lt;/R&gt;&lt;C&gt;1&lt;/C&gt;&lt;D xsi:type="xsd:double"&gt;1.0673&lt;/D&gt;&lt;/FQL&gt;&lt;FQL&gt;&lt;Q&gt;GBPUSD^FG_PRICE(45117)&lt;/Q&gt;&lt;R&gt;1&lt;/R&gt;&lt;C&gt;1&lt;/C&gt;&lt;D xsi:type="xsd:double"&gt;1.20115&lt;/D&gt;&lt;/FQL&gt;&lt;FQL&gt;&lt;Q&gt;EURUSD^FG_PRICE(45117)&lt;/Q&gt;&lt;R&gt;1&lt;/R&gt;&lt;C&gt;1&lt;/C&gt;&lt;D xsi:type="xsd:double"&gt;1.0673&lt;/D&gt;&lt;/FQL&gt;&lt;FQL&gt;&lt;Q&gt;GBPUSD^FG_PRICE(45116)&lt;/Q&gt;&lt;R&gt;1&lt;/R&gt;&lt;C&gt;1&lt;/C&gt;&lt;D xsi:type="xsd:double"&gt;1.20115&lt;/D&gt;&lt;/FQL&gt;&lt;FQL&gt;&lt;Q&gt;EURUSD^FG_PRICE(45116)&lt;/Q&gt;&lt;R&gt;1&lt;/R&gt;&lt;C&gt;1&lt;/C&gt;&lt;D xsi:type="xsd:double"&gt;1.0673&lt;/D&gt;&lt;/FQL&gt;&lt;FQL&gt;&lt;Q&gt;GBPUSD^FG_PRICE(45115)&lt;/Q&gt;&lt;R&gt;1&lt;/R&gt;&lt;C&gt;1&lt;/C&gt;&lt;D xsi:type="xsd:double"&gt;1.20115&lt;/D&gt;&lt;/FQL&gt;&lt;FQL&gt;&lt;Q&gt;EURUSD^FG_PRICE(45115)&lt;/Q&gt;&lt;R&gt;1&lt;/R&gt;&lt;C&gt;1&lt;/C&gt;&lt;D xsi:type="xsd:double"&gt;1.0673&lt;/D&gt;&lt;/FQL&gt;&lt;FQL&gt;&lt;Q&gt;GBPUSD^FG_PRICE(45114)&lt;/Q&gt;&lt;R&gt;1&lt;/R&gt;&lt;C&gt;1&lt;/C&gt;&lt;</t>
        </r>
      </text>
    </comment>
    <comment ref="A10" authorId="0" shapeId="0" xr:uid="{8606478F-AF54-4CD6-A198-BB8A4116B851}">
      <text>
        <r>
          <rPr>
            <b/>
            <sz val="9"/>
            <color indexed="81"/>
            <rFont val="Tahoma"/>
            <family val="2"/>
          </rPr>
          <t>D xsi:type="xsd:double"&gt;1.20115&lt;/D&gt;&lt;/FQL&gt;&lt;FQL&gt;&lt;Q&gt;EURUSD^FG_PRICE(45114)&lt;/Q&gt;&lt;R&gt;1&lt;/R&gt;&lt;C&gt;1&lt;/C&gt;&lt;D xsi:type="xsd:double"&gt;1.0673&lt;/D&gt;&lt;/FQL&gt;&lt;FQL&gt;&lt;Q&gt;GBPUSD^FG_PRICE(45113)&lt;/Q&gt;&lt;R&gt;1&lt;/R&gt;&lt;C&gt;1&lt;/C&gt;&lt;D xsi:type="xsd:double"&gt;1.20115&lt;/D&gt;&lt;/FQL&gt;&lt;FQL&gt;&lt;Q&gt;EURUSD^FG_PRICE(45113)&lt;/Q&gt;&lt;R&gt;1&lt;/R&gt;&lt;C&gt;1&lt;/C&gt;&lt;D xsi:type="xsd:double"&gt;1.0673&lt;/D&gt;&lt;/FQL&gt;&lt;FQL&gt;&lt;Q&gt;GBPUSD^FG_PRICE(45112)&lt;/Q&gt;&lt;R&gt;1&lt;/R&gt;&lt;C&gt;1&lt;/C&gt;&lt;D xsi:type="xsd:double"&gt;1.20115&lt;/D&gt;&lt;/FQL&gt;&lt;FQL&gt;&lt;Q&gt;EURUSD^FG_PRICE(45112)&lt;/Q&gt;&lt;R&gt;1&lt;/R&gt;&lt;C&gt;1&lt;/C&gt;&lt;D xsi:type="xsd:double"&gt;1.0673&lt;/D&gt;&lt;/FQL&gt;&lt;FQL&gt;&lt;Q&gt;GBPUSD^FG_PRICE(45111)&lt;/Q&gt;&lt;R&gt;1&lt;/R&gt;&lt;C&gt;1&lt;/C&gt;&lt;D xsi:type="xsd:double"&gt;1.20115&lt;/D&gt;&lt;/FQL&gt;&lt;FQL&gt;&lt;Q&gt;EURUSD^FG_PRICE(45111)&lt;/Q&gt;&lt;R&gt;1&lt;/R&gt;&lt;C&gt;1&lt;/C&gt;&lt;D xsi:type="xsd:double"&gt;1.0673&lt;/D&gt;&lt;/FQL&gt;&lt;FQL&gt;&lt;Q&gt;GBPUSD^FG_PRICE(45110)&lt;/Q&gt;&lt;R&gt;1&lt;/R&gt;&lt;C&gt;1&lt;/C&gt;&lt;D xsi:type="xsd:double"&gt;1.20115&lt;/D&gt;&lt;/FQL&gt;&lt;FQL&gt;&lt;Q&gt;EURUSD^FG_PRICE(45110)&lt;/Q&gt;&lt;R&gt;1&lt;/R&gt;&lt;C&gt;1&lt;/C&gt;&lt;D xsi:type="xsd:double"&gt;1.0673&lt;/D&gt;&lt;/FQL&gt;&lt;FQL&gt;&lt;Q&gt;GBPUSD^FG_PRICE(45109)&lt;/Q&gt;&lt;R&gt;1&lt;/R&gt;&lt;C&gt;1&lt;/C&gt;&lt;D xsi:type="xsd:double"&gt;1.20115&lt;/D&gt;&lt;/FQL&gt;&lt;FQL&gt;&lt;Q&gt;EURUSD^FG_PRICE(45109)&lt;/Q&gt;&lt;R&gt;1&lt;/R&gt;&lt;C&gt;1&lt;/C&gt;&lt;D xsi:type="xsd:double"&gt;1.0673&lt;/D&gt;&lt;/FQL&gt;&lt;FQL&gt;&lt;Q&gt;GBPUSD^FG_PRICE(45108)&lt;/Q&gt;&lt;R&gt;1&lt;/R&gt;&lt;C&gt;1&lt;/C&gt;&lt;D xsi:type="xsd:double"&gt;1.20115&lt;/D&gt;&lt;/FQL&gt;&lt;FQL&gt;&lt;Q&gt;EURUSD^FG_PRICE(45108)&lt;/Q&gt;&lt;R&gt;1&lt;/R&gt;&lt;C&gt;1&lt;/C&gt;&lt;D xsi:type="xsd:double"&gt;1.0673&lt;/D&gt;&lt;/FQL&gt;&lt;FQL&gt;&lt;Q&gt;GBPUSD^FG_PRICE(45107)&lt;/Q&gt;&lt;R&gt;1&lt;/R&gt;&lt;C&gt;1&lt;/C&gt;&lt;D xsi:type="xsd:double"&gt;1.20115&lt;/D&gt;&lt;/FQL&gt;&lt;FQL&gt;&lt;Q&gt;EURUSD^FG_PRICE(45107)&lt;/Q&gt;&lt;R&gt;1&lt;/R&gt;&lt;C&gt;1&lt;/C&gt;&lt;D xsi:type="xsd:double"&gt;1.0673&lt;/D&gt;&lt;/FQL&gt;&lt;FQL&gt;&lt;Q&gt;GBPUSD^FG_PRICE(45106)&lt;/Q&gt;&lt;R&gt;1&lt;/R&gt;&lt;C&gt;1&lt;/C&gt;&lt;D xsi:type="xsd:double"&gt;1.20115&lt;/D&gt;&lt;/FQL&gt;&lt;FQL&gt;&lt;Q&gt;EURUSD^FG_PRICE(45106)&lt;/Q&gt;&lt;R&gt;1&lt;/R&gt;&lt;C&gt;1&lt;/C&gt;&lt;D xsi:type="xsd:double"&gt;1.0673&lt;/D&gt;&lt;/FQL&gt;&lt;FQL&gt;&lt;Q&gt;GBPUSD^FG_PRICE(45105)&lt;/Q&gt;&lt;R&gt;1&lt;/R&gt;&lt;C&gt;1&lt;/C&gt;&lt;D xsi:type="xsd:double"&gt;1.20115&lt;/D&gt;&lt;/FQL&gt;&lt;FQL&gt;&lt;Q&gt;EURUSD^FG_PRICE(45105)&lt;/Q&gt;&lt;R&gt;1&lt;/R&gt;&lt;C&gt;1&lt;/C&gt;&lt;D xsi:type="xsd:double"&gt;1.0673&lt;/D&gt;&lt;/FQL&gt;&lt;FQL&gt;&lt;Q&gt;GBPUSD^FG_PRICE(45104)&lt;/Q&gt;&lt;R&gt;1&lt;/R&gt;&lt;C&gt;1&lt;/C&gt;&lt;D xsi:type="xsd:double"&gt;1.20115&lt;/D&gt;&lt;/FQL&gt;&lt;FQL&gt;&lt;Q&gt;EURUSD^FG_PRICE(45104)&lt;/Q&gt;&lt;R&gt;1&lt;/R&gt;&lt;C&gt;1&lt;/C&gt;&lt;D xsi:type="xsd:double"&gt;1.0673&lt;/D&gt;&lt;/FQL&gt;&lt;FQL&gt;&lt;Q&gt;GBPUSD^FG_PRICE(45103)&lt;/Q&gt;&lt;R&gt;1&lt;/R&gt;&lt;C&gt;1&lt;/C&gt;&lt;D xsi:type="xsd:double"&gt;1.20115&lt;/D&gt;&lt;/FQL&gt;&lt;FQL&gt;&lt;Q&gt;EURUSD^FG_PRICE(45103)&lt;/Q&gt;&lt;R&gt;1&lt;/R&gt;&lt;C&gt;1&lt;/C&gt;&lt;D xsi:type="xsd:double"&gt;1.0673&lt;/D&gt;&lt;/FQL&gt;&lt;FQL&gt;&lt;Q&gt;GBPUSD^FG_PRICE(45102)&lt;/Q&gt;&lt;R&gt;1&lt;/R&gt;&lt;C&gt;1&lt;/C&gt;&lt;D xsi:type="xsd:double"&gt;1.20115&lt;/D&gt;&lt;/FQL&gt;&lt;FQL&gt;&lt;Q&gt;EURUSD^FG_PRICE(45102)&lt;/Q&gt;&lt;R&gt;1&lt;/R&gt;&lt;C&gt;1&lt;/C&gt;&lt;D xsi:type="xsd:double"&gt;1.0673&lt;/D&gt;&lt;/FQL&gt;&lt;FQL&gt;&lt;Q&gt;GBPUSD^FG_PRICE(45101)&lt;/Q&gt;&lt;R&gt;1&lt;/R&gt;&lt;C&gt;1&lt;/C&gt;&lt;D xsi:type="xsd:double"&gt;1.20115&lt;/D&gt;&lt;/FQL&gt;&lt;FQL&gt;&lt;Q&gt;EURUSD^FG_PRICE(45101)&lt;/Q&gt;&lt;R&gt;1&lt;/R&gt;&lt;C&gt;1&lt;/C&gt;&lt;D xsi:type="xsd:double"&gt;1.0673&lt;/D&gt;&lt;/FQL&gt;&lt;FQL&gt;&lt;Q&gt;GBPUSD^FG_PRICE(45100)&lt;/Q&gt;&lt;R&gt;1&lt;/R&gt;&lt;C&gt;1&lt;/C&gt;&lt;D xsi:type="xsd:double"&gt;1.20115&lt;/D&gt;&lt;/FQL&gt;&lt;FQL&gt;&lt;Q&gt;EURUSD^FG_PRICE(45100)&lt;/Q&gt;&lt;R&gt;1&lt;/R&gt;&lt;C&gt;1&lt;/C&gt;&lt;D xsi:type="xsd:double"&gt;1.0673&lt;/D&gt;&lt;/FQL&gt;&lt;FQL&gt;&lt;Q&gt;GBPUSD^FG_PRICE(45099)&lt;/Q&gt;&lt;R&gt;1&lt;/R&gt;&lt;C&gt;1&lt;/C&gt;&lt;D xsi:type="xsd:double"&gt;1.20115&lt;/D&gt;&lt;/FQL&gt;&lt;FQL&gt;&lt;Q&gt;EURUSD^FG_PRICE(45099)&lt;/Q&gt;&lt;R&gt;1&lt;/R&gt;&lt;C&gt;1&lt;/C&gt;&lt;D xsi:type="xsd:double"&gt;1.0673&lt;/D&gt;&lt;/FQL&gt;&lt;FQL&gt;&lt;Q&gt;GBPUSD^FG_PRICE(45098)&lt;/Q&gt;&lt;R&gt;1&lt;/R&gt;&lt;C&gt;1&lt;/C&gt;&lt;D xsi:type="xsd:double"&gt;1.20115&lt;/D&gt;&lt;/FQL&gt;&lt;FQL&gt;&lt;Q&gt;EURUSD^FG_PRICE(45098)&lt;/Q&gt;&lt;R&gt;1&lt;/R&gt;&lt;C&gt;1&lt;/C&gt;&lt;D xsi:type="xsd:double"&gt;1.0673&lt;/D&gt;&lt;/FQL&gt;&lt;FQL&gt;&lt;Q&gt;GBPUSD^FG_PRICE(45097)&lt;/Q&gt;&lt;R&gt;1&lt;/R&gt;&lt;C&gt;1&lt;/C&gt;&lt;D xsi:type="xsd:double"&gt;1.20115&lt;/D&gt;&lt;/FQL&gt;&lt;FQL&gt;&lt;Q&gt;EURUSD^FG_PRICE(45097)&lt;/Q&gt;&lt;R&gt;1&lt;/R&gt;&lt;C&gt;1&lt;/C&gt;&lt;D xsi:type="xsd:double"&gt;1.0673&lt;/D&gt;&lt;/FQL&gt;&lt;FQL&gt;&lt;Q&gt;GBPUSD^FG_PRICE(45096)&lt;/Q&gt;&lt;R&gt;1&lt;/R&gt;&lt;C&gt;1&lt;/C&gt;&lt;D xsi:type="xsd:double"&gt;1.20115&lt;/D&gt;&lt;/FQL&gt;&lt;FQL&gt;&lt;Q&gt;EURUSD^FG_PRICE(45096)&lt;/Q&gt;&lt;R&gt;1&lt;/R&gt;&lt;C&gt;1&lt;/C&gt;&lt;D xsi:type="xsd:double"&gt;1.0673&lt;/D&gt;&lt;/FQL&gt;&lt;FQL&gt;&lt;Q&gt;GBPUSD^FG_PRICE(45095)&lt;/Q&gt;&lt;R&gt;1&lt;/R&gt;&lt;C&gt;1&lt;/C&gt;&lt;D xsi:type="xsd:double"&gt;1.20115&lt;/D&gt;&lt;/FQL&gt;&lt;FQL&gt;&lt;Q&gt;EURUSD^FG_PRICE(45095)&lt;/Q&gt;&lt;R&gt;1&lt;/R&gt;&lt;C&gt;1&lt;/C&gt;&lt;D xsi:type="xsd:double"&gt;1.0673&lt;/D&gt;&lt;/FQL&gt;&lt;FQL&gt;&lt;Q&gt;GBPUSD^FG_PRICE(45094)&lt;/Q&gt;&lt;R&gt;1&lt;/R&gt;&lt;C&gt;1&lt;/C&gt;&lt;D xsi:type="xsd:double"&gt;1.20115&lt;/D&gt;&lt;/FQL&gt;&lt;FQL&gt;&lt;Q&gt;EURUSD^FG_PRICE(45094)&lt;/Q&gt;&lt;R&gt;1&lt;/R&gt;&lt;C&gt;1&lt;/C&gt;&lt;D xsi:type="xsd:double"&gt;1.0673&lt;/D&gt;&lt;/FQL&gt;&lt;FQL&gt;&lt;Q&gt;GBPUSD^FG_PRICE(45093)&lt;/Q&gt;&lt;R&gt;1&lt;/R&gt;&lt;C&gt;1&lt;/C&gt;&lt;D xsi:type="xsd:double"&gt;1.20115&lt;/D&gt;&lt;/FQL&gt;&lt;FQL&gt;&lt;Q&gt;EURUSD^FG_PRICE(45093)&lt;/Q&gt;&lt;R&gt;1&lt;/R&gt;&lt;C&gt;1&lt;/C&gt;&lt;D xsi:type="xsd:double"&gt;1.0673&lt;/D&gt;&lt;/FQL&gt;&lt;FQL&gt;&lt;Q&gt;GBPUSD^FG_PRICE(45092)&lt;/Q&gt;&lt;R&gt;1&lt;/R&gt;&lt;C&gt;1&lt;/C&gt;&lt;D xsi:type="xsd:double"&gt;1.20115&lt;/D&gt;&lt;/FQL&gt;&lt;FQL&gt;&lt;Q&gt;EURUSD^FG_PRICE(45092)&lt;/Q&gt;&lt;R&gt;1&lt;/R&gt;&lt;C&gt;1&lt;/C&gt;&lt;D xsi:type="xsd:double"&gt;1.0673&lt;/D&gt;&lt;/FQL&gt;&lt;FQL&gt;&lt;Q&gt;GBPUSD^FG_PRICE(45091)&lt;/Q&gt;&lt;R&gt;1&lt;/R&gt;&lt;C&gt;1&lt;/C&gt;&lt;D xsi:type="xsd:double"&gt;1.20115&lt;/D&gt;&lt;/FQL&gt;&lt;FQL&gt;&lt;Q&gt;EURUSD^FG_PRICE(45091)&lt;/Q&gt;&lt;R&gt;1&lt;/R&gt;&lt;C&gt;1&lt;/C&gt;&lt;D xsi:type="xsd:double"&gt;1.0673&lt;/D&gt;&lt;/FQL&gt;&lt;FQL&gt;&lt;Q&gt;GBPUSD^FG_PRICE(45090)&lt;/Q&gt;&lt;R&gt;1&lt;/R&gt;&lt;C&gt;1&lt;/C&gt;&lt;D xsi:type="xsd:double"&gt;1.20115&lt;/D&gt;&lt;/FQL&gt;&lt;FQL&gt;&lt;Q&gt;EURUSD^FG_PRICE(45090)&lt;/Q&gt;&lt;R&gt;1&lt;/R&gt;&lt;C&gt;1&lt;/C&gt;&lt;D xsi:type="xsd:double"&gt;1.0673&lt;/D&gt;&lt;/FQL&gt;&lt;FQL&gt;&lt;Q&gt;GBPUSD^FG_PRICE(45089)&lt;/Q&gt;&lt;R&gt;1&lt;/R&gt;&lt;C&gt;1&lt;/C&gt;&lt;D xsi:type="xsd:double"&gt;1.20115&lt;/D&gt;&lt;/FQL&gt;&lt;FQL&gt;&lt;Q&gt;EURUSD^FG_PRICE(45089)&lt;/Q&gt;&lt;R&gt;1&lt;/R&gt;&lt;C&gt;1&lt;/C&gt;&lt;D xsi:type="xsd:double"&gt;1.0673&lt;/D&gt;&lt;/FQL&gt;&lt;FQL&gt;&lt;Q&gt;GBPUSD^FG_PRICE(45088)&lt;/Q&gt;&lt;R&gt;1&lt;/R&gt;&lt;C&gt;1&lt;/C&gt;&lt;D xsi:type="xsd:double"&gt;1.20115&lt;/D&gt;&lt;/FQL&gt;&lt;FQL&gt;&lt;Q&gt;EURUSD^FG_PRICE(45088)&lt;/Q&gt;&lt;R&gt;1&lt;/R&gt;&lt;C&gt;1&lt;/C&gt;&lt;D xsi:type="xsd:double"&gt;1.0673&lt;/D&gt;&lt;/FQL&gt;&lt;FQL&gt;&lt;Q&gt;GBPUSD^FG_PRICE(45087)&lt;/Q&gt;&lt;R&gt;1&lt;/R&gt;&lt;C&gt;1&lt;/C&gt;&lt;D xsi:type="xsd:double"&gt;1.20115&lt;/D&gt;&lt;/FQL&gt;&lt;FQL&gt;&lt;Q&gt;EURUSD^FG_PRICE(45087)&lt;/Q&gt;&lt;R&gt;1&lt;/R&gt;&lt;C&gt;1&lt;/C&gt;&lt;D xsi:type="xsd:double"&gt;1.0673&lt;/D&gt;&lt;/FQL&gt;&lt;FQL&gt;&lt;Q&gt;GBPUSD^FG_PRICE(45086)&lt;/Q&gt;&lt;R&gt;1&lt;/R&gt;&lt;C&gt;1&lt;/C&gt;&lt;D xsi:type="xsd:double"&gt;1.20115&lt;/D&gt;&lt;/FQL&gt;&lt;FQL&gt;&lt;Q&gt;EURUSD^FG_PRICE(45086)&lt;/Q&gt;&lt;R&gt;1&lt;/R&gt;&lt;C&gt;1&lt;/C&gt;&lt;D xsi:type="xsd:double"&gt;1.0673&lt;/D&gt;&lt;/FQL&gt;&lt;FQL&gt;&lt;Q&gt;GBPUSD^FG_PRICE(45085)&lt;/Q&gt;&lt;R&gt;1&lt;/R&gt;&lt;C&gt;1&lt;/C&gt;&lt;D xsi:type="xsd:double"&gt;1.20115&lt;/D&gt;&lt;/FQL&gt;&lt;FQL&gt;&lt;Q&gt;EURUSD^FG_PRICE(45085)&lt;/Q&gt;&lt;R&gt;1&lt;/R&gt;&lt;C&gt;1&lt;/C&gt;&lt;D xsi:type="xsd:double"&gt;1.0673&lt;/D&gt;&lt;/FQL&gt;&lt;FQL&gt;&lt;Q&gt;GBPUSD^FG_PRICE(45084)&lt;/Q&gt;&lt;R&gt;1&lt;/R&gt;&lt;C&gt;1&lt;/C&gt;&lt;D xsi:type="xsd:double"&gt;1.20115&lt;/D&gt;&lt;/FQL&gt;&lt;FQL&gt;&lt;Q&gt;EURUSD^FG_PRICE(45084)&lt;/Q&gt;&lt;R&gt;1&lt;/R&gt;&lt;C&gt;1&lt;/C&gt;&lt;D xsi:type="xsd:double"&gt;1.0673&lt;/D&gt;&lt;/FQL&gt;&lt;FQL&gt;&lt;Q&gt;GBPUSD^FG_PRICE(45083)&lt;/Q&gt;&lt;R&gt;1&lt;/R&gt;&lt;C&gt;1&lt;/C&gt;&lt;D xsi:type="xsd:double"&gt;1.20115&lt;/D&gt;&lt;/FQL&gt;&lt;FQL&gt;&lt;Q&gt;EURUSD^FG_PRICE(45083)&lt;/Q&gt;&lt;R&gt;1&lt;/R&gt;&lt;C&gt;1&lt;/C&gt;&lt;D xsi:type="xsd:double"&gt;1.0673&lt;/D&gt;&lt;/FQL&gt;&lt;FQL&gt;&lt;Q&gt;GBPUSD^FG_PRICE(45082)&lt;/Q&gt;&lt;R&gt;1&lt;/R&gt;&lt;C&gt;1&lt;/C&gt;&lt;D xsi:type="xsd:double"&gt;1.20115&lt;/D&gt;&lt;/FQL&gt;&lt;FQL&gt;&lt;Q&gt;EURUSD^FG_PRICE(45082)&lt;/Q&gt;&lt;R&gt;1&lt;/R&gt;&lt;C&gt;1&lt;/C&gt;&lt;D xsi:type="xsd:double"&gt;1.0673&lt;/D&gt;&lt;/FQL&gt;&lt;FQL&gt;&lt;Q&gt;GBPUSD^FG_PRICE(45081)&lt;/Q&gt;&lt;R&gt;1&lt;/R&gt;&lt;C&gt;1&lt;/C&gt;&lt;D xsi:type="xsd:double"&gt;1.20115&lt;/D&gt;&lt;/FQL&gt;&lt;FQL&gt;&lt;Q&gt;EURUSD^FG_PRICE(45081)&lt;/Q&gt;&lt;R&gt;1&lt;/R&gt;&lt;C&gt;1&lt;/C&gt;&lt;D xsi:type="xsd:double"&gt;1.0673&lt;/D&gt;&lt;/FQL&gt;&lt;FQL&gt;&lt;Q&gt;GBPUSD^FG_PRICE(45080)&lt;/Q&gt;&lt;R&gt;1&lt;/R&gt;&lt;C&gt;1&lt;/C&gt;&lt;D xsi:type="xsd:double"&gt;1.20115&lt;/D&gt;&lt;/FQL&gt;&lt;FQL&gt;&lt;Q&gt;EURUSD^FG_PRICE(45080)&lt;/Q&gt;&lt;R&gt;1&lt;/R&gt;&lt;C&gt;1&lt;/C&gt;&lt;D xsi:type="xsd:double"&gt;1.0673&lt;/D&gt;&lt;/FQL&gt;&lt;FQL&gt;&lt;Q&gt;GBPUSD^FG_PRICE(45079)&lt;/Q&gt;&lt;R&gt;1&lt;/R&gt;&lt;C&gt;1&lt;/C&gt;&lt;D xsi:type="xsd:double"&gt;1.20115&lt;/D&gt;&lt;/FQL&gt;&lt;FQL&gt;&lt;Q&gt;EURUSD^FG_PRICE(45079)&lt;/Q&gt;&lt;R&gt;1&lt;/R&gt;&lt;C&gt;1&lt;/C&gt;&lt;D xsi:type="xsd:double"&gt;1.0673&lt;/D&gt;&lt;/FQL&gt;&lt;FQL&gt;&lt;Q&gt;GBPUSD^FG_PRICE(45078)&lt;/Q&gt;&lt;R&gt;1&lt;/R&gt;&lt;C&gt;1&lt;/C&gt;&lt;D xsi:type="xsd:double"&gt;1.20115&lt;/D&gt;&lt;/FQL&gt;&lt;FQL&gt;&lt;Q&gt;EURUSD^FG_PRICE(45078)&lt;/Q&gt;&lt;R&gt;1&lt;/R&gt;&lt;C&gt;1&lt;/C&gt;&lt;D xsi:type="xsd:double"&gt;1.0673&lt;/D&gt;&lt;/FQL&gt;&lt;FQL&gt;&lt;Q&gt;GBPUSD^FG_PRICE(45077)&lt;/Q&gt;&lt;R&gt;1&lt;/R&gt;&lt;C&gt;1&lt;/C&gt;&lt;D xsi:type="xsd:double"&gt;1.20115&lt;/D&gt;&lt;/FQL&gt;&lt;FQL&gt;&lt;Q&gt;EURUSD^FG_PRICE(45077)&lt;/Q&gt;&lt;R&gt;1&lt;/R&gt;&lt;C&gt;1&lt;/C&gt;&lt;D xsi:type="xsd:double"&gt;1.0673&lt;/D&gt;&lt;/FQL&gt;&lt;FQL&gt;&lt;Q&gt;GBPUSD^FG_PRICE(45076)&lt;/Q&gt;&lt;R&gt;1&lt;/R&gt;&lt;C&gt;1&lt;/C&gt;&lt;D xsi:type="xsd:double"&gt;1.20115&lt;/D&gt;&lt;/FQL&gt;&lt;FQL&gt;&lt;Q&gt;EURUSD^FG_PRICE(45076)&lt;/Q&gt;&lt;R&gt;1&lt;/R&gt;&lt;C&gt;1&lt;/C&gt;&lt;D xsi:type="xsd:double"&gt;1.0673&lt;/D&gt;&lt;/FQL&gt;&lt;FQL&gt;&lt;Q&gt;GBPUSD^FG_PRICE(45075)&lt;/Q&gt;&lt;R&gt;1&lt;/R&gt;&lt;C&gt;1&lt;/C&gt;&lt;D xsi:type="xsd:double"&gt;1.20115&lt;/D&gt;&lt;/FQL&gt;&lt;FQL&gt;&lt;Q&gt;EURUSD^FG_PRICE(45075)&lt;/Q&gt;&lt;R&gt;1&lt;/R&gt;&lt;C&gt;1&lt;/C&gt;&lt;D xsi:type="xsd:double"&gt;1.0673&lt;/D&gt;&lt;/FQL&gt;&lt;FQL&gt;&lt;Q&gt;GBPUSD^FG_PRICE(45074)&lt;/Q&gt;&lt;R&gt;1&lt;/R&gt;&lt;C&gt;1&lt;/C&gt;&lt;D xsi:type="xsd:double"&gt;1.20115&lt;/D&gt;&lt;/FQL&gt;&lt;FQL&gt;&lt;Q&gt;EURUSD^FG_PRICE(45074)&lt;/Q&gt;&lt;R&gt;1&lt;/R&gt;&lt;C&gt;1&lt;/C&gt;&lt;D xsi:type="xsd:double"&gt;1.0673&lt;/D&gt;&lt;/FQL&gt;&lt;FQL&gt;&lt;Q&gt;GBPUSD^FG_PRICE(45073)&lt;/Q&gt;&lt;R&gt;1&lt;/R&gt;&lt;C&gt;1&lt;/C&gt;&lt;D xsi:type="xsd:double"&gt;1.20115&lt;/D&gt;&lt;/FQL&gt;&lt;FQL&gt;&lt;Q&gt;EURUSD^FG_PRICE(45073)&lt;/Q&gt;&lt;R&gt;1&lt;/R&gt;&lt;C&gt;1&lt;/C&gt;&lt;D xsi:type="xsd:double"&gt;1.0673&lt;/D&gt;&lt;/FQL&gt;&lt;FQL&gt;&lt;Q&gt;GBPUSD^FG_PRICE(45072)&lt;/Q&gt;&lt;R&gt;1&lt;/R&gt;&lt;C&gt;1&lt;/C&gt;&lt;D xsi:type="xsd:double"&gt;1.20115&lt;/D&gt;&lt;/FQL&gt;&lt;FQL&gt;&lt;Q&gt;EURUSD^FG_PRICE(45072)&lt;/Q&gt;&lt;R&gt;1&lt;/R&gt;&lt;C&gt;1&lt;/C&gt;&lt;D xsi:type="xsd:double"&gt;1.0673&lt;/D&gt;&lt;/FQL&gt;&lt;FQL&gt;&lt;Q&gt;GBPUSD^FG_PRICE(45071)&lt;/Q&gt;&lt;R&gt;1&lt;/R&gt;&lt;C&gt;1&lt;/C&gt;&lt;D xsi:type="xsd:double"&gt;1.20115&lt;/D&gt;&lt;/FQL&gt;&lt;FQL&gt;&lt;Q&gt;EURUSD^FG_PRICE(45071)&lt;/Q&gt;&lt;R&gt;1&lt;/R&gt;&lt;C&gt;1&lt;/C&gt;&lt;D xsi:type="xsd:double"&gt;1.0673&lt;/D&gt;&lt;/FQL&gt;&lt;FQL&gt;&lt;Q&gt;GBPUSD^FG_PRICE(45070)&lt;/Q&gt;&lt;R&gt;1&lt;/R&gt;&lt;C&gt;1&lt;/C&gt;&lt;D xsi:type="xsd:double"&gt;1.20115&lt;/D&gt;&lt;/FQL&gt;&lt;FQL&gt;&lt;Q&gt;EURUSD^FG_PRICE(45070)&lt;/Q&gt;&lt;R&gt;1&lt;/R&gt;&lt;C&gt;1&lt;/C&gt;&lt;D xsi:type="xsd:double"&gt;1.0673&lt;/D&gt;&lt;/FQL&gt;&lt;FQL&gt;&lt;Q&gt;GBPUSD^FG_PRICE(45069)&lt;/Q&gt;&lt;R&gt;1&lt;/R&gt;&lt;C&gt;1&lt;/C&gt;&lt;D xsi:type="xsd:double"&gt;1.20115&lt;/D&gt;&lt;/FQL&gt;&lt;FQL&gt;&lt;Q&gt;EURUSD^FG_PRICE(45069)&lt;/Q&gt;&lt;R&gt;1&lt;/R&gt;&lt;C&gt;1&lt;/C&gt;&lt;D xsi:type="xsd:double"&gt;1.0673&lt;/D&gt;&lt;/FQL&gt;&lt;FQL&gt;&lt;Q&gt;GBPUSD^FG_PRICE(45068)&lt;/Q&gt;&lt;R&gt;1&lt;/R&gt;&lt;C&gt;1&lt;/C&gt;&lt;D xsi:type="xsd:double"&gt;1.20115&lt;/D&gt;&lt;/FQL&gt;&lt;FQL&gt;&lt;Q&gt;EURUSD^FG_PRICE(45068)&lt;/Q&gt;&lt;R&gt;1&lt;/R&gt;&lt;C&gt;1&lt;/C&gt;&lt;D xsi:type="xsd:double"&gt;1.0673&lt;/D&gt;&lt;/FQL&gt;&lt;FQL&gt;&lt;Q&gt;GBPUSD^FG_PRICE(45067)&lt;/Q&gt;&lt;R&gt;1&lt;/R&gt;&lt;C&gt;1&lt;/C&gt;&lt;D xsi:type="xsd:double"&gt;1.20115&lt;/D&gt;&lt;/FQL&gt;&lt;FQL&gt;&lt;Q&gt;EURUSD^FG_PRICE(45067)&lt;/Q&gt;&lt;R&gt;1&lt;/R&gt;&lt;C&gt;1&lt;/C&gt;&lt;D xsi:type="xsd:double"&gt;1.0673&lt;/D&gt;&lt;/FQL&gt;&lt;FQL&gt;&lt;Q&gt;GBPUSD^FG_PRICE(45066)&lt;/Q&gt;&lt;R&gt;1&lt;/R&gt;&lt;C&gt;1&lt;/C&gt;&lt;D xsi:type="xsd:double"&gt;1.20115&lt;/D&gt;&lt;/FQL&gt;&lt;FQL&gt;&lt;Q&gt;EURUSD^FG_PRICE(45066)&lt;/Q&gt;&lt;R&gt;1&lt;/R&gt;&lt;C&gt;1&lt;/C&gt;&lt;D xsi:type="xsd:double"&gt;1.0673&lt;/D&gt;&lt;/FQL&gt;&lt;FQL&gt;&lt;Q&gt;GBPUSD^FG_PRICE(45065)&lt;/Q&gt;&lt;R&gt;1&lt;/R&gt;&lt;C&gt;1&lt;/C&gt;&lt;D xsi:type="xsd:double"&gt;1.20115&lt;/D&gt;&lt;/FQL&gt;&lt;FQL&gt;&lt;Q&gt;EURUSD^FG_PRICE(45065)&lt;/Q&gt;&lt;R&gt;1&lt;/R&gt;&lt;C&gt;1&lt;/C&gt;&lt;D xsi:type="xsd:double"&gt;1.0673&lt;/D&gt;&lt;/FQL&gt;&lt;FQL&gt;&lt;Q&gt;GBPUSD^FG_PRICE(45064)&lt;/Q&gt;&lt;R&gt;1&lt;/R&gt;&lt;C&gt;1&lt;/C&gt;&lt;D xsi:type="xsd:double"&gt;1.20115&lt;/D&gt;&lt;/FQL&gt;&lt;FQL&gt;&lt;Q&gt;EURUSD^FG_PRICE(45064)&lt;/Q&gt;&lt;R&gt;1&lt;/R&gt;&lt;C&gt;1&lt;/C&gt;&lt;D xsi:type="xsd:double"&gt;1.0673&lt;/D&gt;&lt;/FQL&gt;&lt;FQL&gt;&lt;Q&gt;GBPUSD^FG_PRICE(45063)&lt;/Q&gt;&lt;R&gt;1&lt;/R&gt;&lt;C&gt;1&lt;/C&gt;&lt;D xsi:type="xsd:double"&gt;1.20115&lt;/D&gt;&lt;/FQL&gt;&lt;FQL&gt;&lt;Q&gt;EURUSD^FG_PRICE(45063)&lt;/Q&gt;&lt;R&gt;1&lt;/R&gt;&lt;C&gt;1&lt;/C&gt;&lt;D xsi:type="xsd:double"&gt;1.0673&lt;/D&gt;&lt;/FQL&gt;&lt;FQL&gt;&lt;Q&gt;GBPUSD^FG_PRICE(45062)&lt;/Q&gt;&lt;R&gt;1&lt;/R&gt;&lt;C&gt;1&lt;/C&gt;&lt;D xsi:type="xsd:double"&gt;1.20115&lt;/D&gt;&lt;/FQL&gt;&lt;FQL&gt;&lt;Q&gt;EURUSD^FG_PRICE(45062)&lt;/Q&gt;&lt;R&gt;1&lt;/R&gt;&lt;C&gt;1&lt;/C&gt;&lt;D xsi:type="xsd:double"&gt;1.0673&lt;/D&gt;&lt;/FQL&gt;&lt;FQL&gt;&lt;Q&gt;GBPUSD^FG_PRICE(45061)&lt;/Q&gt;&lt;R&gt;1&lt;/R&gt;&lt;C&gt;1&lt;/C&gt;&lt;D xsi:type="xsd:double"&gt;1.20115&lt;/D&gt;&lt;/FQL&gt;&lt;FQL&gt;&lt;Q&gt;EURUSD^FG_PRICE(45061)&lt;/Q&gt;&lt;R&gt;1&lt;/R&gt;&lt;C&gt;1&lt;/C&gt;&lt;D xsi:type="xsd:double"&gt;1.0673&lt;/D&gt;&lt;/FQL&gt;&lt;FQL&gt;&lt;Q&gt;GBPUSD^FG_PRICE(45060)&lt;/Q&gt;&lt;R&gt;1&lt;/R&gt;&lt;C&gt;1&lt;/C&gt;&lt;D xsi:type="xsd:double"&gt;1.20115&lt;/D&gt;&lt;/FQL&gt;&lt;FQL&gt;&lt;Q&gt;EURUSD^FG_PRICE(45060)&lt;/Q&gt;&lt;R&gt;1&lt;/R&gt;&lt;C&gt;1&lt;/C&gt;&lt;D xsi:type="xsd:double"&gt;1.0673&lt;/D&gt;&lt;/FQL&gt;&lt;FQL&gt;&lt;Q&gt;GBPUSD^FG_PRICE(45059)&lt;/Q&gt;&lt;R&gt;1&lt;/R&gt;&lt;C&gt;1&lt;/C&gt;&lt;D xsi:type="xsd:double"&gt;1.20115&lt;/D&gt;&lt;/FQL&gt;&lt;FQL&gt;&lt;Q&gt;EURUSD^FG_PRICE(45059)&lt;/Q&gt;&lt;R&gt;1&lt;/R&gt;&lt;C&gt;1&lt;/C&gt;&lt;D xsi:type="xsd:double"&gt;1.0673&lt;/D&gt;&lt;/FQL&gt;&lt;FQL&gt;&lt;Q&gt;GBPUSD^FG_PRICE(45058)&lt;/Q&gt;&lt;R&gt;1&lt;/R&gt;&lt;C&gt;1&lt;/C&gt;&lt;D xsi:type="xsd:double"&gt;1.20115&lt;/D&gt;&lt;/FQL&gt;&lt;FQL&gt;&lt;Q&gt;EURUSD^FG_PRICE(45058)&lt;/Q&gt;&lt;R&gt;1&lt;/R&gt;&lt;C&gt;1&lt;/C&gt;&lt;D xsi:type="xsd:double"&gt;1.0673&lt;/D&gt;&lt;/FQL&gt;&lt;FQL&gt;&lt;Q&gt;GBPUSD^FG_PRICE(45057)&lt;/Q&gt;&lt;R&gt;1&lt;/R&gt;&lt;C&gt;1&lt;/C&gt;&lt;D xsi:type="xsd:double"&gt;1.20115&lt;/D&gt;&lt;/FQL&gt;&lt;FQL&gt;&lt;Q&gt;EURUSD^FG_PRICE(45057)&lt;/Q&gt;&lt;R&gt;1&lt;/R&gt;&lt;C&gt;1&lt;/C&gt;&lt;D xsi:type="xsd:double"&gt;1.0673&lt;/D&gt;&lt;/FQL&gt;&lt;FQL&gt;&lt;Q&gt;GBPUSD^FG_PRICE(45056)&lt;/Q&gt;&lt;R&gt;1&lt;/R&gt;&lt;C&gt;1&lt;/C&gt;&lt;D xsi:type="xsd:double"&gt;1.20115&lt;/D&gt;&lt;/FQL&gt;&lt;FQL&gt;&lt;Q&gt;EURUSD^FG_PRICE(45056)&lt;/Q&gt;&lt;R&gt;1&lt;/R&gt;&lt;C&gt;1&lt;/C&gt;&lt;D xsi:type="xsd:double"&gt;1.0673&lt;/D&gt;&lt;/FQL&gt;&lt;FQL&gt;&lt;Q&gt;GBPUSD^FG_PRICE(45055)&lt;/Q&gt;&lt;R&gt;1&lt;/R&gt;&lt;C&gt;1&lt;/C&gt;&lt;D xsi:type="xsd:double"&gt;1.20115&lt;/D&gt;&lt;/FQL&gt;&lt;FQL&gt;&lt;Q&gt;EURUSD^FG_PRICE(45055)&lt;/Q&gt;&lt;R&gt;1&lt;/R&gt;&lt;C&gt;1&lt;/C&gt;&lt;D xsi:type="xsd:double"&gt;1.0673&lt;/D&gt;&lt;/FQL&gt;&lt;FQL&gt;&lt;Q&gt;GBPUSD^FG_PRICE(45054)&lt;/Q&gt;&lt;R&gt;1&lt;/R&gt;&lt;C&gt;1&lt;/C&gt;&lt;D xsi:type="xsd:double"&gt;1.20115&lt;/D&gt;&lt;/FQL&gt;&lt;FQL&gt;&lt;Q&gt;EURUSD^FG_PRICE(45054)&lt;/Q&gt;&lt;R&gt;1&lt;/R&gt;&lt;C&gt;1&lt;/C&gt;&lt;D xsi:type="xsd:double"&gt;1.0673&lt;/D&gt;&lt;/FQL&gt;&lt;FQL&gt;&lt;Q&gt;GBPUSD^FG_PRICE(45053)&lt;/Q&gt;&lt;R&gt;1&lt;/R&gt;&lt;C&gt;1&lt;/C&gt;&lt;D xsi:type="xsd:double"&gt;1.20115&lt;/D&gt;&lt;/FQL&gt;&lt;FQL&gt;&lt;Q&gt;EURUSD^FG_PRICE(45053)&lt;/Q&gt;&lt;R&gt;1&lt;/R&gt;&lt;C&gt;1&lt;/C&gt;&lt;D xsi:type="xsd:double"&gt;1.0673&lt;/D&gt;&lt;/FQL&gt;&lt;FQL&gt;&lt;Q&gt;GBPUSD^FG_PRICE(45052)&lt;/Q&gt;&lt;R&gt;1&lt;/R&gt;&lt;C&gt;1&lt;/C&gt;&lt;D xsi:type="xsd:double"&gt;1.20115&lt;/D&gt;&lt;/FQL&gt;&lt;FQL&gt;&lt;Q&gt;EURUSD^FG_PRICE(45052)&lt;/Q&gt;&lt;R&gt;1&lt;/R&gt;&lt;C&gt;1&lt;/C&gt;&lt;D xsi:type="xsd:double"&gt;1.0673&lt;/D&gt;&lt;/FQL&gt;&lt;FQL&gt;&lt;Q&gt;GBPUSD^FG_PRICE(45051)&lt;/Q&gt;&lt;R&gt;1&lt;/R&gt;&lt;C&gt;1&lt;/C&gt;&lt;D xsi:type="xsd:double"&gt;1.20115&lt;/D&gt;&lt;/FQL&gt;&lt;FQL&gt;&lt;Q&gt;EURUSD^FG_PRICE(45051)&lt;/Q&gt;&lt;R&gt;1&lt;/R&gt;&lt;C&gt;1&lt;/C&gt;&lt;D xsi:type="xsd:double"&gt;1.0673&lt;/D&gt;&lt;/FQL&gt;&lt;FQL&gt;&lt;Q&gt;GBPUSD^FG_PRICE(45050)&lt;/Q&gt;&lt;R&gt;1&lt;/R&gt;&lt;C&gt;1&lt;/C&gt;&lt;D xsi:type="xsd:double"&gt;1.20115&lt;/D&gt;&lt;/FQL&gt;&lt;FQL&gt;&lt;Q&gt;EURUSD^FG_PRICE(45050)&lt;/Q&gt;&lt;R&gt;1&lt;/R&gt;&lt;C&gt;1&lt;/C&gt;&lt;D xsi:type="xsd:double"&gt;1.0673&lt;/D&gt;&lt;/FQL&gt;&lt;FQL&gt;&lt;Q&gt;GBPUSD^FG_PRICE(45049)&lt;/Q&gt;&lt;R&gt;1&lt;/R&gt;&lt;C&gt;1&lt;/C&gt;&lt;D xsi:type="xsd:double"&gt;1.20115&lt;/D&gt;&lt;/FQL&gt;&lt;FQL&gt;&lt;Q&gt;EURUSD^FG_PRICE(45049)&lt;/Q&gt;&lt;R&gt;1&lt;/R&gt;&lt;C&gt;1&lt;/C&gt;&lt;D xsi:type="xsd:double"&gt;1.0673&lt;/D&gt;&lt;/FQL&gt;&lt;FQL&gt;&lt;Q&gt;GBPUSD^FG_PRICE(45048)&lt;/Q&gt;&lt;R&gt;1&lt;/R&gt;&lt;C&gt;1&lt;/C&gt;&lt;D xsi:type="xsd:double"&gt;1.20115&lt;/D&gt;&lt;/FQL&gt;&lt;FQL&gt;&lt;Q&gt;EURUSD^FG_PRICE(45048)&lt;/Q&gt;&lt;R&gt;1&lt;/R&gt;&lt;C&gt;1&lt;/C&gt;&lt;D xsi:type="xsd:double"&gt;1.0673&lt;/D&gt;&lt;/FQL&gt;&lt;FQL&gt;&lt;Q&gt;GBPUSD^FG_PRICE(45047)&lt;/Q&gt;&lt;R&gt;1&lt;/R&gt;&lt;C&gt;1&lt;/C&gt;&lt;D xsi:type="xsd:double"&gt;1.20115&lt;/D&gt;&lt;/FQL&gt;&lt;FQL&gt;&lt;Q&gt;EURUSD^FG_PRICE(45047)&lt;/Q&gt;&lt;R&gt;1&lt;/R&gt;&lt;C&gt;1&lt;/C&gt;&lt;D xsi:type="xsd:double"&gt;1.0673&lt;/D&gt;&lt;/FQL&gt;&lt;FQL&gt;&lt;Q&gt;GBPUSD^FG_PRICE(45046)&lt;/Q&gt;&lt;R&gt;1&lt;/R&gt;&lt;C&gt;1&lt;/C&gt;&lt;D xsi:type="xsd:double"&gt;1.20115&lt;/D&gt;&lt;/FQL&gt;&lt;FQL&gt;&lt;Q&gt;EURUSD^FG_PRICE(45046)&lt;/Q&gt;&lt;R&gt;1&lt;/R&gt;&lt;C&gt;1&lt;/C&gt;&lt;D xsi:type="xsd:double"&gt;1.0673&lt;/D&gt;&lt;/FQL&gt;&lt;FQL&gt;&lt;Q&gt;GBPUSD^FG_PRICE(45045)&lt;/Q&gt;&lt;R&gt;1&lt;/R&gt;&lt;C&gt;1&lt;/C&gt;&lt;D xsi:type="xsd:double"&gt;1.20115&lt;/D&gt;&lt;/FQL&gt;&lt;FQL&gt;&lt;Q&gt;EURUSD^FG_PRICE(45045)&lt;/Q&gt;&lt;R&gt;1&lt;/R&gt;&lt;C&gt;1&lt;/C&gt;&lt;D xsi:type="xsd:double"&gt;1.0673&lt;/D&gt;&lt;/FQL&gt;&lt;FQL&gt;&lt;Q&gt;GBPUSD^FG_PRICE(45044)&lt;/Q&gt;&lt;R&gt;1&lt;/R&gt;&lt;C&gt;1&lt;/C&gt;&lt;D xsi:type="xsd:double"&gt;1.20115&lt;/D&gt;&lt;/FQL&gt;&lt;FQL&gt;&lt;Q&gt;EURUSD^FG_PRICE(45044)&lt;/Q&gt;&lt;R&gt;1&lt;/R&gt;&lt;C&gt;1&lt;/C&gt;&lt;D xsi:type="xsd:double"&gt;1.0673&lt;/D&gt;&lt;/FQL&gt;&lt;FQL&gt;&lt;Q&gt;GBPUSD^FG_PRICE(45043)&lt;/Q&gt;&lt;R&gt;1&lt;/R&gt;&lt;C&gt;1&lt;/C&gt;&lt;D xsi:type="xsd:double"&gt;1.20115&lt;/D&gt;&lt;/FQL&gt;&lt;FQL&gt;&lt;Q&gt;EURUSD^FG_PRICE(45043)&lt;/Q&gt;&lt;R&gt;1&lt;/R&gt;&lt;C&gt;1&lt;/C&gt;&lt;D xsi:type="xsd:double"&gt;1.0673&lt;/D&gt;&lt;/FQL&gt;&lt;FQL&gt;&lt;Q&gt;GBPUSD^FG_PRICE(45042)&lt;/Q&gt;&lt;R&gt;1&lt;/R&gt;&lt;C&gt;1&lt;/C&gt;&lt;D xsi:type="xsd:double"&gt;1.20115&lt;/D&gt;&lt;/FQL&gt;&lt;FQL&gt;&lt;Q&gt;EURUSD^FG_PRICE(45042)&lt;/Q&gt;&lt;R&gt;1&lt;/R&gt;&lt;C&gt;1&lt;/C&gt;&lt;D xsi:type="xsd:double"&gt;1.0673&lt;/D&gt;&lt;/FQL&gt;&lt;FQL&gt;&lt;Q&gt;GBPUSD^FG_PRICE(45041)&lt;/Q&gt;&lt;R&gt;1&lt;/R&gt;&lt;C&gt;1&lt;/C&gt;&lt;D xsi:type="xsd:double"&gt;1.20115&lt;/D&gt;&lt;/FQL&gt;&lt;FQL&gt;&lt;Q&gt;EURUSD^FG_PRICE(45041)&lt;/Q&gt;&lt;R&gt;1&lt;/R&gt;&lt;C&gt;1&lt;/C&gt;&lt;D xsi:type="xsd:double"&gt;1.0673&lt;/D&gt;&lt;/FQL&gt;&lt;FQL&gt;&lt;Q&gt;GBPUSD^FG_PRICE(45040)&lt;/Q&gt;&lt;R&gt;1&lt;/R&gt;&lt;C&gt;1&lt;/C&gt;&lt;D xsi:type="xsd:double"&gt;1.20115&lt;/D&gt;&lt;/FQL&gt;&lt;FQL&gt;&lt;Q&gt;EURUSD^FG_PRICE(45040)&lt;/Q&gt;&lt;R&gt;1&lt;/R&gt;&lt;C&gt;1&lt;/C&gt;&lt;D xsi:type="xsd:double"&gt;1.0673&lt;/D&gt;&lt;/FQL&gt;&lt;FQL&gt;&lt;Q&gt;GBPUSD^FG_PRICE(45039)&lt;/Q&gt;&lt;R&gt;1&lt;/R&gt;&lt;C&gt;1&lt;/C&gt;&lt;D xsi:type="xsd:double"&gt;1.20115&lt;/D&gt;&lt;/FQL&gt;&lt;FQL&gt;&lt;Q&gt;EURUSD^FG_PRICE(45039)&lt;/Q&gt;&lt;R&gt;1&lt;/R&gt;&lt;C&gt;1&lt;/C&gt;&lt;D xsi:type="xsd:double"&gt;1.0673&lt;/D&gt;&lt;/FQL&gt;&lt;FQL&gt;&lt;Q&gt;GBPUSD^FG_PRICE(45038)&lt;/Q&gt;&lt;R&gt;1&lt;/R&gt;&lt;C&gt;1&lt;/C&gt;&lt;D xsi:type="xsd:double"&gt;1.20115&lt;/D&gt;&lt;/FQL&gt;&lt;FQL&gt;&lt;Q&gt;EURUSD^FG_PRICE(45038)&lt;/Q&gt;&lt;R&gt;1&lt;/R&gt;&lt;C&gt;1&lt;/C&gt;&lt;D xsi:type="xsd:double"&gt;1.0673&lt;/D&gt;&lt;/FQL&gt;&lt;FQL&gt;&lt;Q&gt;GBPUSD^FG_PRICE(45037)&lt;/Q&gt;&lt;R&gt;1&lt;/R&gt;&lt;C&gt;1&lt;/C&gt;&lt;D xsi:type="xsd:double"&gt;1.20115&lt;/D&gt;&lt;/FQL&gt;&lt;FQL&gt;&lt;Q&gt;EURUSD^FG_PRICE(45037)&lt;/Q&gt;&lt;R&gt;1&lt;/R&gt;&lt;C&gt;1&lt;/C&gt;&lt;D xsi:type="xsd:double"&gt;1.0673&lt;/D&gt;&lt;/FQL&gt;&lt;FQL&gt;&lt;Q&gt;GBPUSD^FG_PRICE(45036)&lt;/Q&gt;&lt;R&gt;1&lt;/R&gt;&lt;C&gt;1&lt;/C&gt;&lt;D xsi:type="xsd:double"&gt;1.20115&lt;/D&gt;&lt;/FQL&gt;&lt;FQL&gt;&lt;Q&gt;EURUSD^FG_PRICE(45036)&lt;/Q&gt;&lt;R&gt;1&lt;/R&gt;&lt;C&gt;1&lt;/C&gt;&lt;D xsi:type="xsd:double"&gt;1.0673&lt;/D&gt;&lt;/FQL&gt;&lt;FQL&gt;&lt;Q&gt;GBPUSD^FG_PRICE(45035)&lt;/Q&gt;&lt;R&gt;1&lt;/R&gt;&lt;C&gt;1&lt;/C&gt;&lt;D xsi:type="xsd:double"&gt;1.20115&lt;/D&gt;&lt;/FQL&gt;&lt;FQL&gt;&lt;Q&gt;EURUSD^FG_PRICE(45035)&lt;/Q&gt;&lt;R&gt;1&lt;/R&gt;&lt;C&gt;1&lt;/C&gt;&lt;D xsi:type="xsd:double"&gt;1.0673&lt;/D&gt;&lt;/FQL&gt;&lt;FQL&gt;&lt;Q&gt;GBPUSD^FG_PRICE(45034)&lt;/Q&gt;&lt;R&gt;1&lt;/R&gt;&lt;C&gt;1&lt;/C&gt;&lt;D xsi:type="xsd:double"&gt;1.20115&lt;/D&gt;&lt;/FQL&gt;&lt;FQL&gt;&lt;Q&gt;EURUSD^FG_PRICE(45034)&lt;/Q&gt;&lt;R&gt;1&lt;/R&gt;&lt;C&gt;1&lt;/C&gt;&lt;D xsi:type="xsd:double"&gt;1.0673&lt;/D&gt;&lt;/FQL&gt;&lt;FQL&gt;&lt;Q&gt;GBPUSD^FG_PRICE(45033)&lt;/Q&gt;&lt;R&gt;1&lt;/R&gt;&lt;C&gt;1&lt;/C&gt;&lt;D xsi:type="xsd:double"&gt;1.20115&lt;/D&gt;&lt;/FQL&gt;&lt;FQL&gt;&lt;Q&gt;EURUSD^FG_PRICE(45033)&lt;/Q&gt;&lt;R&gt;1&lt;/R&gt;&lt;C&gt;1&lt;/C&gt;&lt;D xsi:type="xsd:double"&gt;1.0673&lt;/D&gt;&lt;/FQL&gt;&lt;FQL&gt;&lt;Q&gt;GBPUSD^FG_PRICE(45032)&lt;/Q&gt;&lt;R&gt;1&lt;/R&gt;&lt;C&gt;1&lt;/C&gt;&lt;D xsi:type="xsd:double"&gt;1.20115&lt;/D&gt;&lt;/FQL&gt;&lt;FQL&gt;&lt;Q&gt;EURUSD^FG_PRICE(45032)&lt;/Q&gt;&lt;R&gt;1&lt;/R&gt;&lt;C&gt;1&lt;/C&gt;&lt;D xsi:type="xsd:double"&gt;1.0673&lt;/D&gt;&lt;/FQL&gt;&lt;FQL&gt;&lt;Q&gt;GBPUSD^FG_PRICE(45031)&lt;/Q&gt;&lt;R&gt;1&lt;/R&gt;&lt;C&gt;1&lt;/C&gt;&lt;D xsi:type="xsd:double"&gt;1.20115&lt;/D&gt;&lt;/FQL&gt;&lt;FQL&gt;&lt;Q&gt;EURUSD^FG_PRICE(45031)&lt;/Q&gt;&lt;R&gt;1&lt;/R&gt;&lt;C&gt;1&lt;/C&gt;&lt;D xsi:type="xsd:double"&gt;1.0673&lt;/D&gt;&lt;/FQL&gt;&lt;FQL&gt;&lt;Q&gt;GBPUSD^FG_PRICE(45030)&lt;/Q&gt;&lt;R&gt;1&lt;/R&gt;&lt;C&gt;1&lt;/C&gt;&lt;D xsi:type="xsd:double"&gt;1.20115&lt;/D&gt;&lt;/FQL&gt;&lt;FQL&gt;&lt;Q&gt;EURUSD^FG_PRICE(45030)&lt;/Q&gt;&lt;R&gt;1&lt;/R&gt;&lt;C&gt;1&lt;/C&gt;&lt;D xsi:type="xsd:double"&gt;1.0673&lt;/D&gt;&lt;/FQL&gt;&lt;FQL&gt;&lt;Q&gt;GBPUSD^FG_PRICE(45029)&lt;/Q&gt;&lt;R&gt;1&lt;/R&gt;&lt;C&gt;1&lt;/C&gt;&lt;D xsi:type="xsd:double"&gt;1.20115&lt;/D&gt;&lt;/FQL&gt;&lt;FQL&gt;&lt;Q&gt;EURUSD^FG_PRICE(45029)&lt;/Q&gt;&lt;R&gt;1&lt;/R&gt;&lt;C&gt;1&lt;/C&gt;&lt;D xsi:type="xsd:double"&gt;1.0673&lt;/D&gt;&lt;/FQL&gt;&lt;FQL&gt;&lt;Q&gt;GBPUSD^FG_PRICE(45028)&lt;/Q&gt;&lt;R&gt;1&lt;/R&gt;&lt;C&gt;1&lt;/C&gt;&lt;D xsi:type="xsd:double"&gt;1.20115&lt;/D&gt;&lt;/FQL&gt;&lt;FQL&gt;&lt;Q&gt;EURUSD^FG_PRICE(45028)&lt;/Q&gt;&lt;R&gt;1&lt;/R&gt;&lt;C&gt;1&lt;/C&gt;&lt;D xsi:type="xsd:double"&gt;1.0673&lt;/D&gt;&lt;/FQL&gt;&lt;FQL&gt;&lt;Q&gt;GBPUSD^FG_PRICE(45027)&lt;/Q&gt;&lt;R&gt;1&lt;/R&gt;&lt;C&gt;1&lt;/C&gt;&lt;D xsi:type="xsd:double"&gt;1.20115&lt;/D&gt;&lt;/FQL&gt;&lt;FQL&gt;&lt;Q&gt;EURUSD^FG_PRICE(45027)&lt;/Q&gt;&lt;R&gt;1&lt;/R&gt;&lt;C&gt;1&lt;/C&gt;&lt;D xsi:type="xsd:double"&gt;1.0673&lt;/D&gt;&lt;/FQL&gt;&lt;FQL&gt;&lt;Q&gt;GBPUSD^FG_PRICE(45026)&lt;/Q&gt;&lt;R&gt;1&lt;/R&gt;&lt;C&gt;1&lt;/C&gt;&lt;D xsi:type="xsd:double"&gt;1.20115&lt;/D&gt;&lt;/FQL&gt;&lt;FQL&gt;&lt;Q&gt;EURUSD^FG_PRICE(45026)&lt;/Q&gt;&lt;R&gt;1&lt;/R&gt;&lt;C&gt;1&lt;/C&gt;&lt;D xsi:type="xsd:double"&gt;1.0673&lt;/D&gt;&lt;/FQL&gt;&lt;FQL&gt;&lt;Q&gt;GBPUSD^FG_PRICE(45025)&lt;/Q&gt;&lt;R&gt;1&lt;/R&gt;&lt;C&gt;1&lt;/C&gt;&lt;D xsi:type="xsd:double"&gt;1.20115&lt;/D&gt;&lt;/FQL&gt;&lt;FQL&gt;&lt;Q&gt;EURUSD^FG_PRICE(45025)&lt;/Q&gt;&lt;R&gt;1&lt;/R&gt;&lt;C&gt;1&lt;/C&gt;&lt;D xsi:type="xsd:double"&gt;1.0673&lt;/D&gt;&lt;/FQL&gt;&lt;FQL&gt;&lt;Q&gt;GBPUSD^FG_PRICE(45024)&lt;/Q&gt;&lt;R&gt;1&lt;/R&gt;&lt;C&gt;1&lt;/C&gt;&lt;D xsi:type="xsd:double"&gt;1.20115&lt;/D&gt;&lt;/FQL&gt;&lt;FQL&gt;&lt;Q&gt;EURUSD^FG_PRICE(45024)&lt;/Q&gt;&lt;R&gt;1&lt;/R&gt;&lt;C&gt;1&lt;/C&gt;&lt;D xsi:type="xsd:double"&gt;1.0673&lt;/D&gt;&lt;/FQL&gt;&lt;FQL&gt;&lt;Q&gt;GBPUSD^FG_PRICE(45023)&lt;/Q&gt;&lt;R&gt;1&lt;/R&gt;&lt;C&gt;1&lt;/C&gt;&lt;D xsi:type="xsd:double"&gt;1.20115&lt;/D&gt;&lt;/FQL&gt;&lt;FQL&gt;&lt;Q&gt;EURUSD^FG_PRICE(45023)&lt;/Q&gt;&lt;R&gt;1&lt;/R&gt;&lt;C&gt;1&lt;/C&gt;&lt;D xsi:type="xsd:double"&gt;1.0673&lt;/D&gt;&lt;/FQL&gt;&lt;FQL&gt;&lt;Q&gt;GBPUSD^FG_PRICE(45022)&lt;/Q&gt;&lt;R&gt;1&lt;/R&gt;&lt;C&gt;1&lt;/C&gt;&lt;D xsi:type="xsd:double"&gt;1.20115&lt;/D&gt;&lt;/FQL&gt;&lt;FQL&gt;&lt;Q&gt;EURUSD^FG_PRICE(45022)&lt;/Q&gt;&lt;R&gt;1&lt;/R&gt;&lt;C&gt;1&lt;/C&gt;&lt;D xsi:type="xsd:double"&gt;1.0673&lt;/D&gt;&lt;/FQL&gt;&lt;FQL&gt;&lt;Q&gt;GBPUSD^FG_PRICE(45021)&lt;/Q&gt;&lt;R&gt;1&lt;/R&gt;&lt;C&gt;1&lt;/C&gt;&lt;D xsi:type="xsd:double"&gt;1.20115&lt;/D&gt;&lt;/FQL&gt;&lt;FQL&gt;&lt;Q&gt;EURUSD^FG_PRICE(45021)&lt;/Q&gt;&lt;R&gt;1&lt;/R&gt;&lt;C&gt;1&lt;/C&gt;&lt;D xsi:type="xsd:double"&gt;1.0673&lt;/D&gt;&lt;/FQL&gt;&lt;FQL&gt;&lt;Q&gt;GBPUSD^FG_PRICE(45020)&lt;/Q&gt;&lt;R&gt;1&lt;/R&gt;&lt;C&gt;1&lt;/C&gt;&lt;D xsi:type="xsd:double"&gt;1.20115&lt;/D&gt;&lt;/FQL&gt;&lt;FQL&gt;&lt;Q&gt;EURUSD^FG_PRICE(45020)&lt;/Q&gt;&lt;R&gt;1&lt;/R&gt;&lt;C&gt;1&lt;/C&gt;&lt;D xsi:type="xsd:double"&gt;1.0673&lt;/D&gt;&lt;/FQL&gt;&lt;FQL&gt;&lt;Q&gt;GBPUSD^FG_PRICE(45019)&lt;/Q&gt;&lt;R&gt;1&lt;/R&gt;&lt;C&gt;1&lt;/C&gt;&lt;D xsi:type="xsd:double"&gt;1.20115&lt;/D&gt;&lt;/FQL&gt;&lt;FQL&gt;&lt;Q&gt;EURUSD^FG_PRICE(45019)&lt;/Q&gt;&lt;R&gt;1&lt;/R&gt;&lt;C&gt;1&lt;/C&gt;&lt;D xsi:type="xsd:double"&gt;1.0673&lt;/D&gt;&lt;/FQL&gt;&lt;FQL&gt;&lt;Q&gt;GBPUSD^FG_PRICE(45018)&lt;/Q&gt;&lt;R&gt;1&lt;/R&gt;&lt;C&gt;1&lt;/C&gt;&lt;D xsi:type="xsd:double"&gt;1.20115&lt;/D&gt;&lt;/FQL&gt;&lt;FQL&gt;&lt;Q&gt;EURUSD^FG_PRICE(45018)&lt;/Q&gt;&lt;R&gt;1&lt;/R&gt;&lt;C&gt;1&lt;/C&gt;&lt;D xsi:type="xsd:double"&gt;1.0673&lt;/D&gt;&lt;/FQL&gt;&lt;FQL&gt;&lt;Q&gt;GBPUSD^FG_PRICE(45017)&lt;/Q&gt;&lt;R&gt;1&lt;/R&gt;&lt;C&gt;1&lt;/C&gt;&lt;D xsi:type="xsd:double"&gt;1.20115&lt;/D&gt;&lt;/FQL&gt;&lt;FQL&gt;&lt;Q&gt;EURUSD^FG_PRICE(45017)&lt;/Q&gt;&lt;R&gt;1&lt;/R&gt;&lt;C&gt;1&lt;/C&gt;&lt;D xsi:type="xsd:double"&gt;1.0673&lt;/D&gt;&lt;/FQL&gt;&lt;FQL&gt;&lt;Q&gt;GBPUSD^FG_PRICE(45016)&lt;/Q&gt;&lt;R&gt;1&lt;/R&gt;&lt;C&gt;1&lt;/C&gt;&lt;D xsi:type="xsd:double"&gt;1.20115&lt;/D&gt;&lt;/FQL&gt;&lt;FQL&gt;&lt;Q&gt;EURUSD^FG_PRICE(45016)&lt;/Q&gt;&lt;R&gt;1&lt;/R&gt;&lt;C&gt;1&lt;/C&gt;&lt;D xsi:type="xsd:double"&gt;1.0673&lt;/D&gt;&lt;/FQL&gt;&lt;FQL&gt;&lt;Q&gt;GBPUSD^FG_PRICE(45015)&lt;/Q&gt;&lt;R&gt;1&lt;/R&gt;&lt;C&gt;1&lt;/C&gt;&lt;D xsi:type="xsd:double"&gt;1.20115&lt;/D&gt;&lt;/FQL&gt;&lt;FQL&gt;&lt;Q&gt;EURUSD^FG_PRICE(45015)&lt;/Q&gt;&lt;R&gt;1&lt;/R&gt;&lt;C&gt;1&lt;/C&gt;&lt;D xsi:type="xsd:double"&gt;1.0673&lt;/D&gt;&lt;/FQL&gt;&lt;FQL&gt;&lt;Q&gt;GBPUSD^FG_PRICE(45014)&lt;/Q&gt;&lt;R&gt;1&lt;/R&gt;&lt;C&gt;1&lt;/C&gt;&lt;D xsi:type="xsd:double"&gt;1.20115&lt;/D&gt;&lt;/FQL&gt;&lt;FQL&gt;&lt;Q&gt;EURUSD^FG_PRICE(45014)&lt;/Q&gt;&lt;R&gt;1&lt;/R&gt;&lt;C&gt;1&lt;/C&gt;&lt;D xsi:type="xsd:double"&gt;1.0673&lt;/D&gt;&lt;/FQL&gt;&lt;FQL&gt;&lt;Q&gt;GBPUSD^FG_PRICE(45013)&lt;/Q&gt;&lt;R&gt;1&lt;/R&gt;&lt;C&gt;1&lt;/C&gt;&lt;D xsi:type="xsd:double"&gt;1.20115&lt;/D&gt;&lt;/FQL&gt;&lt;FQL&gt;&lt;Q&gt;EURUSD^FG_PRICE(45013)&lt;/Q&gt;&lt;R&gt;1&lt;/R&gt;&lt;C&gt;1&lt;/C&gt;&lt;D xsi:type="xsd:double"&gt;1.0673&lt;/D&gt;&lt;/FQL&gt;&lt;FQL&gt;&lt;Q&gt;GBPUSD^FG_PRICE(45012)&lt;/Q&gt;&lt;R&gt;1&lt;/R&gt;&lt;C&gt;1&lt;/C&gt;&lt;D xsi:type="xsd:double"&gt;1.20115&lt;/D&gt;&lt;/FQL&gt;&lt;FQL&gt;&lt;Q&gt;EURUSD^FG_PRICE(45012)&lt;/Q&gt;&lt;R&gt;1&lt;/R&gt;&lt;C&gt;1&lt;/C&gt;&lt;D xsi:type="xsd:double"&gt;1.0673&lt;/D&gt;&lt;/FQL&gt;&lt;FQL&gt;&lt;Q&gt;GBPUSD^FG_PRICE(45011)&lt;/Q&gt;&lt;R&gt;1&lt;/R&gt;&lt;C&gt;1&lt;/C&gt;&lt;D xsi:type="xsd:double"&gt;1.20115&lt;/D&gt;&lt;/FQL&gt;&lt;FQL&gt;&lt;Q&gt;EURUSD^FG_PRICE(45011)&lt;/Q&gt;&lt;R&gt;1&lt;/R&gt;&lt;C&gt;1&lt;/C&gt;&lt;D xsi:type="xsd:double"&gt;1.0673&lt;/D&gt;&lt;/FQL&gt;&lt;FQL&gt;&lt;Q&gt;GBPUSD^FG_PRICE(45010)&lt;/Q&gt;&lt;R&gt;1&lt;/R&gt;&lt;C&gt;1&lt;/C&gt;&lt;D xsi:type="xsd:double"&gt;1.20115&lt;/D&gt;&lt;/FQL&gt;&lt;FQL&gt;&lt;Q&gt;EURUSD^FG_PRICE(45010)&lt;/Q&gt;&lt;R&gt;1&lt;/R&gt;&lt;C&gt;1&lt;/C&gt;&lt;D xsi:type="xsd:double"&gt;1.0673&lt;/D&gt;&lt;/FQL&gt;&lt;FQL&gt;&lt;Q&gt;GBPUSD^FG_PRICE(45009)&lt;/Q&gt;&lt;R&gt;1&lt;/R&gt;&lt;C&gt;1&lt;/C&gt;&lt;D xsi:type="xsd:double"&gt;1.20115&lt;/D&gt;&lt;/FQL&gt;&lt;FQL&gt;&lt;Q&gt;EURUSD^FG_PRICE(45009)&lt;/Q&gt;&lt;R&gt;1&lt;/R&gt;&lt;C&gt;1&lt;/C&gt;&lt;D xsi:type="xsd:double"&gt;1.0673&lt;/D&gt;&lt;/FQL&gt;&lt;FQL&gt;&lt;Q&gt;GBPUSD^FG_PRICE(45008)&lt;/Q&gt;&lt;R&gt;1&lt;/R&gt;&lt;C&gt;1&lt;/C&gt;&lt;D xsi:type="xsd:double"&gt;1.20115&lt;/D&gt;&lt;/FQL&gt;&lt;FQL&gt;&lt;Q&gt;EURUSD^FG_PRICE(45008)&lt;/Q&gt;&lt;R&gt;1&lt;/R&gt;&lt;C&gt;1&lt;/C&gt;&lt;D xsi:type="xsd:double"&gt;1.0673&lt;/D&gt;&lt;/FQL&gt;&lt;FQL&gt;&lt;Q&gt;GBPUSD^FG_PRICE(45007)&lt;/Q&gt;&lt;R&gt;1&lt;/R&gt;&lt;C&gt;1&lt;/C&gt;&lt;D xsi:type="xsd:double"&gt;1.20115&lt;/D&gt;&lt;/FQL&gt;&lt;FQL&gt;&lt;Q&gt;EURUSD^FG_PRICE(45007)&lt;/Q&gt;&lt;R&gt;1&lt;/R&gt;&lt;C&gt;1&lt;/C&gt;&lt;D xsi:type="xsd:double"&gt;1.0673&lt;/D&gt;&lt;/FQL&gt;&lt;FQL&gt;&lt;Q&gt;GBPUSD^FG_PRICE(45006)&lt;/Q&gt;&lt;R&gt;1&lt;/R&gt;&lt;C&gt;1&lt;/C&gt;&lt;D xsi:type="xsd:double"&gt;1.20115&lt;/D&gt;&lt;/FQL&gt;&lt;FQL&gt;&lt;Q&gt;EURUSD^FG_PRICE(45006)&lt;/Q&gt;&lt;R&gt;1&lt;/R&gt;&lt;C&gt;1&lt;/C&gt;&lt;D xsi:type="xsd:double"&gt;1.0673&lt;/D&gt;&lt;/FQL&gt;&lt;FQL&gt;&lt;Q&gt;GBPUSD^FG_PRICE(45005)&lt;/Q&gt;&lt;R&gt;1&lt;/R&gt;&lt;C&gt;1&lt;/C&gt;&lt;D xsi:type="xsd:double"&gt;1.20115&lt;/D&gt;&lt;/FQL&gt;&lt;FQL&gt;&lt;Q&gt;EURUSD^FG_PRICE(45005)&lt;/Q&gt;&lt;R&gt;1&lt;/R&gt;&lt;C&gt;1&lt;/C&gt;&lt;D xsi:type="xsd:double"&gt;1.0673&lt;/D&gt;&lt;/FQL&gt;&lt;FQL&gt;&lt;Q&gt;GBPUSD^FG_PRICE(45004)&lt;/Q&gt;&lt;R&gt;1&lt;/R&gt;&lt;C&gt;1&lt;/C&gt;&lt;D xsi:type="xsd:double"&gt;1.20115&lt;/D&gt;&lt;/FQL&gt;&lt;FQL&gt;&lt;Q&gt;EURUSD^FG_PRICE(45004)&lt;/Q&gt;&lt;R&gt;1&lt;/R&gt;&lt;C&gt;1&lt;/C&gt;&lt;D xsi:type="xsd:double"&gt;1.0673&lt;/D&gt;&lt;/FQL&gt;&lt;FQL&gt;&lt;Q&gt;GBPUSD^FG_PRICE(45003)&lt;/Q&gt;&lt;R&gt;1&lt;/R&gt;&lt;C&gt;1&lt;/C&gt;&lt;D xsi:type="xsd:double"&gt;1.20115&lt;/D&gt;&lt;/FQL&gt;&lt;FQL&gt;&lt;Q&gt;EURUSD^FG_PRICE(45003)&lt;/Q&gt;&lt;R&gt;1&lt;/R&gt;&lt;C&gt;1&lt;/C&gt;&lt;D xsi:type="xsd:double"&gt;1.0673&lt;/D&gt;&lt;/FQL&gt;&lt;FQL&gt;&lt;Q&gt;GBPUSD^FG_PRICE(45002)&lt;/Q&gt;&lt;R&gt;1&lt;/R&gt;&lt;C&gt;1&lt;/C&gt;&lt;D xsi:type="xsd:double"&gt;1.20115&lt;/D&gt;&lt;/FQL&gt;&lt;FQL&gt;&lt;Q&gt;EURUSD^FG_PRICE(45002)&lt;/Q&gt;&lt;R&gt;1&lt;/R&gt;&lt;C&gt;1&lt;/C&gt;&lt;D xsi:type="xsd:double"&gt;1.0673&lt;/D&gt;&lt;/FQL&gt;&lt;FQL&gt;&lt;Q&gt;GBPUSD^FG_PRICE(45001)&lt;/Q&gt;&lt;R&gt;1&lt;/R&gt;&lt;C&gt;1&lt;/C&gt;&lt;D xsi:type="xsd:double"&gt;1.20115&lt;/D&gt;&lt;/FQL&gt;&lt;FQL&gt;&lt;Q&gt;EURUSD^FG_PRICE(45001)&lt;/Q&gt;&lt;R&gt;1&lt;/R&gt;&lt;C&gt;1&lt;/C&gt;&lt;D xsi:type="xsd:double"&gt;1.0673&lt;/D&gt;&lt;/FQL&gt;&lt;FQL&gt;&lt;Q&gt;GBPUSD^FG_PRICE(45000)&lt;/Q&gt;&lt;R&gt;1&lt;/R&gt;&lt;C&gt;1&lt;/C&gt;&lt;D xsi:type="xsd:double"&gt;1.20115&lt;/D&gt;&lt;/FQL&gt;&lt;FQL&gt;&lt;Q&gt;EURUSD^FG_PRICE(45000)&lt;/Q&gt;&lt;R&gt;1&lt;/R&gt;&lt;C&gt;1&lt;/C&gt;&lt;D xsi:type="xsd:double"&gt;1.0673&lt;/D&gt;&lt;/FQL&gt;&lt;FQL&gt;&lt;Q&gt;GBPUSD^FG_PRICE(44999)&lt;/Q&gt;&lt;R&gt;1&lt;/R&gt;&lt;C&gt;1&lt;/C&gt;&lt;D xsi:type="xsd:double"&gt;1.20115&lt;/D&gt;&lt;/FQL&gt;&lt;FQL&gt;&lt;Q&gt;EURUSD^FG_PRICE(44999)&lt;/Q&gt;&lt;R&gt;1&lt;/R&gt;&lt;C&gt;1&lt;/C&gt;&lt;D xsi:type="xsd:double"&gt;1.0673&lt;/D&gt;&lt;/FQL&gt;&lt;FQL&gt;&lt;Q&gt;GBPUSD^FG_PRICE(44998)&lt;/Q&gt;&lt;R&gt;1&lt;/R&gt;&lt;C&gt;1&lt;/C&gt;&lt;D xsi:type="xsd:double"&gt;1.20115&lt;/D&gt;&lt;/FQL&gt;&lt;FQL&gt;&lt;Q&gt;EURUSD^FG_PRICE(44998)&lt;/Q&gt;&lt;R&gt;1&lt;/R&gt;&lt;C&gt;1&lt;/C&gt;&lt;D xsi:type="xsd:double"&gt;1.0673&lt;/D&gt;&lt;/FQL&gt;&lt;FQL&gt;&lt;Q&gt;GBPUSD^FG_PRICE(44997)&lt;/Q&gt;&lt;R&gt;1&lt;/R&gt;&lt;C&gt;1&lt;/C&gt;&lt;D xsi:type="xsd:double"&gt;1.20115&lt;/D&gt;&lt;/FQL&gt;&lt;FQL&gt;&lt;Q&gt;EURUSD^FG_PRICE(44997)&lt;/Q&gt;&lt;R&gt;1&lt;/R&gt;&lt;C&gt;1&lt;/C&gt;&lt;D xsi:type="xsd:double"&gt;1.0673&lt;/D&gt;&lt;/FQL&gt;&lt;FQL&gt;&lt;Q&gt;GBPUSD^FG_PRICE(44996)&lt;/Q&gt;&lt;R&gt;1&lt;/R&gt;&lt;C&gt;1&lt;/C&gt;&lt;D xsi:type="xsd:double"&gt;1.20115&lt;/D&gt;&lt;/FQL&gt;&lt;FQL&gt;&lt;Q&gt;EURUSD^FG_PRICE(44996)&lt;/Q&gt;&lt;R&gt;1&lt;/R&gt;&lt;C&gt;1&lt;/C&gt;&lt;D xsi:type="xsd:double"&gt;1.0673&lt;/D&gt;&lt;/FQL&gt;&lt;FQL&gt;&lt;Q&gt;GBPUSD^FG_PRICE(44995)&lt;/Q&gt;&lt;R&gt;1&lt;/R&gt;&lt;C&gt;1&lt;/C&gt;&lt;D xsi:type="xsd:double"&gt;1.20115&lt;/D&gt;&lt;/FQL&gt;&lt;FQL&gt;&lt;Q&gt;EURUSD^FG_PRICE(44995)&lt;/Q&gt;&lt;R&gt;1&lt;/R&gt;&lt;C&gt;1&lt;/C&gt;&lt;D xsi:type="xsd:double"&gt;1.0673&lt;/D&gt;&lt;/FQL&gt;&lt;FQL&gt;&lt;Q&gt;GBPUSD^FG_PRICE(44994)&lt;/Q&gt;&lt;R&gt;1&lt;/R&gt;&lt;C&gt;1&lt;/C&gt;&lt;D xsi:type="xsd:double"&gt;1.20115&lt;/D&gt;&lt;/FQL&gt;&lt;FQL&gt;&lt;Q&gt;EURUSD^FG_PRICE(44994)&lt;/Q&gt;&lt;R&gt;1&lt;/R&gt;&lt;C&gt;1&lt;/C&gt;&lt;D xsi:type="xsd:double"&gt;1.0673&lt;/D&gt;&lt;/FQL&gt;&lt;FQL&gt;&lt;Q&gt;GBPUSD^FG_PRICE(44993)&lt;/Q&gt;&lt;R&gt;1&lt;/R&gt;&lt;C&gt;1&lt;/C&gt;&lt;D xsi:type="xsd:double"&gt;1.20115&lt;/D&gt;&lt;/FQL&gt;&lt;FQL&gt;&lt;Q&gt;EURUSD^FG_PRICE(44993)&lt;/Q&gt;&lt;R&gt;1&lt;/R&gt;&lt;C&gt;1&lt;/C&gt;&lt;D xsi:type="xsd:double"&gt;1.0673&lt;/D&gt;&lt;/FQL&gt;&lt;FQL&gt;&lt;Q&gt;GBPUSD^FG_PRICE(44992)&lt;/Q&gt;&lt;R&gt;1&lt;/R&gt;&lt;C&gt;1&lt;/C&gt;&lt;D xsi:type="xsd:double"&gt;1.20115&lt;/D&gt;&lt;/FQL&gt;&lt;FQL&gt;&lt;Q&gt;EURUSD^FG_PRICE(44992)&lt;/Q&gt;&lt;R&gt;1&lt;/R&gt;&lt;C&gt;1&lt;/C&gt;&lt;D xsi:type="xsd:double"&gt;1.0673&lt;/D&gt;&lt;/FQL&gt;&lt;FQL&gt;&lt;Q&gt;GBPUSD^FG_PRICE(44991)&lt;/Q&gt;&lt;R&gt;1&lt;/R&gt;&lt;C&gt;1&lt;/C&gt;&lt;D xsi:type="xsd:double"&gt;1.20115&lt;/D&gt;&lt;/FQL&gt;&lt;FQL&gt;&lt;Q&gt;EURUSD^FG_PRICE(44991)&lt;/Q&gt;&lt;R&gt;1&lt;/R&gt;&lt;C&gt;1&lt;/C&gt;&lt;D xsi:type="xsd:double"&gt;1.0673&lt;/D&gt;&lt;/FQL&gt;&lt;FQL&gt;&lt;Q&gt;GBPUSD^FG_PRICE(44990)&lt;/Q&gt;&lt;R&gt;1&lt;/R&gt;&lt;C&gt;1&lt;/C&gt;&lt;D xsi:type="xsd:double"&gt;1.20115&lt;/D&gt;&lt;/FQL&gt;&lt;FQL&gt;&lt;Q&gt;EURUSD^FG_PRICE(44990)&lt;/Q&gt;&lt;R&gt;1&lt;/R&gt;&lt;C&gt;1&lt;/C&gt;&lt;D xsi:type="xsd:double"&gt;1.0673&lt;/D&gt;&lt;/FQL&gt;&lt;FQL&gt;&lt;Q&gt;GBPUSD^FG_PRICE(44989)&lt;/Q&gt;&lt;R&gt;1&lt;/R&gt;&lt;C&gt;1&lt;/C&gt;&lt;D xsi:type="xsd:double"&gt;1.20115&lt;/D&gt;&lt;/FQL&gt;&lt;FQL&gt;&lt;Q&gt;EURUSD^FG_PRICE(44989)&lt;/Q&gt;&lt;R&gt;1&lt;/R&gt;&lt;C&gt;1&lt;/C&gt;&lt;D xsi:type="xsd:double"&gt;1.0673&lt;/D&gt;&lt;/FQL&gt;&lt;FQL&gt;&lt;Q&gt;GBPUSD^FG_PRICE(44988)&lt;/Q&gt;&lt;R&gt;1&lt;/R&gt;&lt;C&gt;1&lt;/C&gt;&lt;D xsi:type="xsd:double"&gt;1.20115&lt;/D&gt;&lt;/FQL&gt;&lt;FQL&gt;&lt;Q&gt;EURUSD^FG_PRICE(44988)&lt;/Q&gt;&lt;R&gt;1&lt;/R&gt;&lt;C&gt;1&lt;/C&gt;&lt;D xsi:type="xsd:double"&gt;1.0673&lt;/D&gt;&lt;/FQL&gt;&lt;FQL&gt;&lt;Q&gt;GBPUSD^FG_PRICE(44987)&lt;/Q&gt;&lt;R&gt;1&lt;/R&gt;&lt;C&gt;1&lt;/C&gt;&lt;D xsi:type="xsd:double"&gt;1.20115&lt;/D&gt;&lt;/FQL&gt;&lt;FQL&gt;&lt;Q&gt;EURUSD^FG_PRICE(44987)&lt;/Q&gt;&lt;R&gt;1&lt;/R&gt;&lt;C&gt;1&lt;/C&gt;&lt;D xsi:type="xsd:double"&gt;1.0673&lt;/D&gt;&lt;/FQL&gt;&lt;FQL&gt;&lt;Q&gt;GBPUSD^FG_PRICE(44986)&lt;/Q&gt;&lt;R&gt;1&lt;/R&gt;&lt;C&gt;1&lt;/C&gt;&lt;D xsi:type="xsd:double"&gt;1.20115&lt;/D&gt;&lt;/FQL&gt;&lt;FQL&gt;&lt;Q&gt;EURUSD^FG_PRICE(44986)&lt;/Q&gt;&lt;R&gt;1&lt;/R&gt;&lt;C&gt;1&lt;/C&gt;&lt;D xsi:type="xsd:double"&gt;1.0673&lt;/D&gt;&lt;/FQL&gt;&lt;FQL&gt;&lt;Q&gt;GBPUSD^FG_PRICE(44985)&lt;/Q&gt;&lt;R&gt;1&lt;/R&gt;&lt;C&gt;1&lt;/C&gt;&lt;D xsi:type="xsd:double"&gt;1.20115&lt;/D&gt;&lt;/FQL&gt;&lt;FQL&gt;&lt;Q&gt;EURUSD^FG_PRICE(44985)&lt;/Q&gt;&lt;R&gt;1&lt;/R&gt;&lt;C&gt;1&lt;/C&gt;&lt;D xsi:type="xsd:double"&gt;1.0673&lt;/D&gt;&lt;/FQL&gt;&lt;FQL&gt;&lt;Q&gt;GBPUSD^FG_PRICE(44984)&lt;/Q&gt;&lt;R&gt;1&lt;/R&gt;&lt;C&gt;1&lt;/C&gt;&lt;D xsi:type="xsd:double"&gt;1.20115&lt;/D&gt;&lt;/FQL&gt;&lt;FQL&gt;&lt;Q&gt;EURUSD^FG_PRICE(44984)&lt;/Q&gt;&lt;R&gt;1&lt;/R&gt;&lt;C&gt;1&lt;/C&gt;&lt;D xsi:type="xsd:double"&gt;1.0673&lt;/D&gt;&lt;/FQL&gt;&lt;FQL&gt;&lt;Q&gt;GBPUSD^FG_PRICE(44983)&lt;/Q&gt;&lt;R&gt;1&lt;/R&gt;&lt;C&gt;1&lt;/C&gt;&lt;D xsi:type="xsd:double"&gt;1.20115&lt;/D&gt;&lt;/FQL&gt;&lt;FQL&gt;&lt;Q&gt;EURUSD^FG_PRICE(44983)&lt;/Q&gt;&lt;R&gt;1&lt;/R&gt;&lt;C&gt;1&lt;/C&gt;&lt;D xsi:type="xsd:double"&gt;1.0673&lt;/D&gt;&lt;/FQL&gt;&lt;FQL&gt;&lt;Q&gt;GBPUSD^FG_PRICE(44982)&lt;/Q&gt;&lt;R&gt;1&lt;/R&gt;&lt;C&gt;1&lt;/C&gt;&lt;D xsi:type="xsd:double"&gt;1.20115&lt;/D&gt;&lt;/FQL&gt;&lt;FQL&gt;&lt;Q&gt;EURUSD^FG_PRICE(44982)&lt;/Q&gt;&lt;R&gt;1&lt;/R&gt;&lt;C&gt;1&lt;/C&gt;&lt;D xsi:type="xsd:double"&gt;1.0673&lt;/D&gt;&lt;/FQL&gt;&lt;FQL&gt;&lt;Q&gt;GBPUSD^FG_PRICE(44981)&lt;/Q&gt;&lt;R&gt;1&lt;/R&gt;&lt;C&gt;1&lt;/C&gt;&lt;D xsi:type="xsd:double"&gt;1.20115&lt;/D&gt;&lt;/FQL&gt;&lt;FQL&gt;&lt;Q&gt;EURUSD^FG_PRICE(44981)&lt;/Q&gt;&lt;R&gt;1&lt;/R&gt;&lt;C&gt;1&lt;/C&gt;&lt;D xsi:type="xsd:double"&gt;1.0673&lt;/D&gt;&lt;/FQL&gt;&lt;FQL&gt;&lt;Q&gt;GBPUSD^FG_PRICE(44980)&lt;/Q&gt;&lt;R&gt;1&lt;/R&gt;&lt;C&gt;1&lt;/C&gt;&lt;D xsi:type="xsd:double"&gt;1.20115&lt;/D&gt;&lt;/FQL&gt;&lt;FQL&gt;&lt;Q&gt;EURUSD^FG_PRICE(44980)&lt;/Q&gt;&lt;R&gt;1&lt;/R&gt;&lt;C&gt;1&lt;/C&gt;&lt;D xsi:type="xsd:double"&gt;1.0673&lt;/D&gt;&lt;/FQL&gt;&lt;FQL&gt;&lt;Q&gt;GBPUSD^FG_PRICE(44979)&lt;/Q&gt;&lt;R&gt;1&lt;/R&gt;&lt;C&gt;1&lt;/C&gt;&lt;D xsi:type="xsd:double"&gt;1.20115&lt;/D&gt;&lt;/FQL&gt;&lt;FQL&gt;&lt;Q&gt;EURUSD^FG_PRICE(44979)&lt;/Q&gt;&lt;R&gt;1&lt;/R&gt;&lt;C&gt;1&lt;/C&gt;&lt;D xsi:type="xsd:double"&gt;1.0673&lt;/D&gt;&lt;/FQL&gt;&lt;FQL&gt;&lt;Q&gt;GBPUSD^FG_PRICE(44978)&lt;/Q&gt;&lt;R&gt;1&lt;/R&gt;&lt;C&gt;1&lt;/C&gt;&lt;D xsi:type="xsd:double"&gt;1.20115&lt;/D&gt;&lt;/FQL&gt;&lt;FQL&gt;&lt;Q&gt;EURUSD^FG_PRICE(44978)&lt;/Q&gt;&lt;R&gt;1&lt;/R&gt;&lt;C&gt;1&lt;/C&gt;&lt;D xsi:type="xsd:double"&gt;1.0673&lt;/D&gt;&lt;/FQL&gt;&lt;FQL&gt;&lt;Q&gt;GBPUSD^FG_PRICE(44977)&lt;/Q&gt;&lt;R&gt;1&lt;/R&gt;&lt;C&gt;1&lt;/C&gt;&lt;D xsi:type="xsd:double"&gt;1.20115&lt;/D&gt;&lt;/FQL&gt;&lt;FQL&gt;&lt;Q&gt;EURUSD^FG_PRICE(44977)&lt;/Q&gt;&lt;R&gt;1&lt;/R&gt;&lt;C&gt;1&lt;/C&gt;&lt;D xsi:type="xsd:double"&gt;1.0673&lt;/D&gt;&lt;/FQL&gt;&lt;FQL&gt;&lt;Q&gt;GBPUSD^FG_PRICE(44976)&lt;/Q&gt;&lt;R&gt;1&lt;/R&gt;&lt;C&gt;1&lt;/C&gt;&lt;D xsi:type="xsd:double"&gt;1.20115&lt;/D&gt;&lt;/FQL&gt;&lt;FQL&gt;&lt;Q&gt;EURUSD^FG_PRICE(44976)&lt;/Q&gt;&lt;R&gt;1&lt;/R&gt;&lt;C&gt;1&lt;/C&gt;&lt;D xsi:type="xsd:double"&gt;1.0673&lt;/D&gt;&lt;/FQL&gt;&lt;FQL&gt;&lt;Q&gt;GBPUSD^FG_PRICE(44975)&lt;/Q&gt;&lt;R&gt;1&lt;/R&gt;&lt;C&gt;1&lt;/C&gt;&lt;D xsi:type="xsd:double"&gt;1.20115&lt;/D&gt;&lt;/FQL&gt;&lt;FQL&gt;&lt;Q&gt;EURUSD^FG_PRICE(44975)&lt;/Q&gt;&lt;R&gt;1&lt;/R&gt;&lt;C&gt;1&lt;/C&gt;&lt;D xsi:type="xsd:double"&gt;1.0673&lt;/D&gt;&lt;/FQL&gt;&lt;FQL&gt;&lt;Q&gt;GBPUSD^FG_PRICE(44974)&lt;/Q&gt;&lt;R&gt;1&lt;/R&gt;&lt;C&gt;1&lt;/C&gt;&lt;D xsi:type="xsd:double"&gt;1.20115&lt;/D&gt;&lt;/FQL&gt;&lt;FQL&gt;&lt;Q&gt;EURUSD^FG_PRICE(44974)&lt;/Q&gt;&lt;R&gt;1&lt;/R&gt;&lt;C&gt;1&lt;/C&gt;&lt;D xsi:type="xsd:double"&gt;1.0673&lt;/D&gt;&lt;/FQL&gt;&lt;FQL&gt;&lt;Q&gt;GBPUSD^FG_PRICE(44973)&lt;/Q&gt;&lt;R&gt;1&lt;/R&gt;&lt;C&gt;1&lt;/C&gt;&lt;D xsi:type="xsd:double"&gt;1.20115&lt;/D&gt;&lt;/FQL&gt;&lt;FQL&gt;&lt;Q&gt;EURUSD^FG_PRICE(44973)&lt;/Q&gt;&lt;R&gt;1&lt;/R&gt;&lt;C&gt;1&lt;/C&gt;&lt;D xsi:type="xsd:double"&gt;1.0673&lt;/D&gt;&lt;/FQL&gt;&lt;FQL&gt;&lt;Q&gt;GBPUSD^FG_PRICE(44972)&lt;/Q&gt;&lt;R&gt;1&lt;/R&gt;&lt;C&gt;1&lt;/C&gt;&lt;D xsi:type="xsd:double"&gt;1.2002&lt;/D&gt;&lt;/FQL&gt;&lt;FQL&gt;&lt;Q&gt;EURUSD^FG_PRICE(44972)&lt;/Q&gt;&lt;R&gt;1&lt;/R&gt;&lt;C&gt;1&lt;/C&gt;&lt;D xsi:type="xsd:double"&gt;1.0676&lt;/D&gt;&lt;/FQL&gt;&lt;FQL&gt;&lt;Q&gt;GBPUSD^FG_PRICE(44971)&lt;/Q&gt;&lt;R&gt;1&lt;/R&gt;&lt;C&gt;1&lt;/C&gt;&lt;D xsi:type="xsd:double"&gt;1.21575&lt;/D&gt;&lt;/FQL&gt;&lt;FQL&gt;&lt;Q&gt;EURUSD^FG_PRICE(44971)&lt;/Q&gt;&lt;R&gt;1&lt;/R&gt;&lt;C&gt;1&lt;/C&gt;&lt;D xsi:type="xsd:double"&gt;1.0718501&lt;/D&gt;&lt;/FQL&gt;&lt;FQL&gt;&lt;Q&gt;GBPUSD^FG_PRICE(44970)&lt;/Q&gt;&lt;R&gt;1&lt;/R&gt;&lt;C&gt;1&lt;/C&gt;&lt;D xsi:type="xsd:double"&gt;1.2135999&lt;/D&gt;&lt;/FQL&gt;&lt;FQL&gt;&lt;Q&gt;EURUSD^FG_PRICE(44970)&lt;/Q&gt;&lt;R&gt;1&lt;/R&gt;&lt;C&gt;1&lt;/C&gt;&lt;D xsi:type="xsd:double"&gt;1.07195&lt;/D&gt;&lt;/FQL&gt;&lt;FQL&gt;&lt;Q&gt;GBPUSD^FG_PRICE(44969)&lt;/Q&gt;&lt;R&gt;1&lt;/R&gt;&lt;C&gt;1&lt;/C&gt;&lt;D xsi:type="xsd:double"&gt;1.2077&lt;/D&gt;&lt;/FQL&gt;&lt;FQL&gt;&lt;Q&gt;EURUSD^FG_PRICE(44969)&lt;/Q&gt;&lt;R&gt;1&lt;/R&gt;&lt;C&gt;1&lt;/C&gt;&lt;D xsi:type="xsd:double"&gt;1.06765&lt;/D&gt;&lt;/FQL&gt;&lt;FQL&gt;&lt;Q&gt;GBPUSD^FG_PRICE(44968)&lt;/Q&gt;&lt;R&gt;1&lt;/R&gt;&lt;C&gt;1&lt;/C&gt;&lt;D xsi:type="xsd:double"&gt;1.2077&lt;/D&gt;&lt;/FQL&gt;&lt;FQL&gt;&lt;Q&gt;EURUSD^FG_PRICE(44968)&lt;/Q&gt;&lt;R&gt;1&lt;/R&gt;&lt;C&gt;1&lt;/C&gt;&lt;D xsi:type="xsd:double"&gt;1.06765&lt;/D&gt;&lt;/FQL&gt;&lt;FQL&gt;&lt;Q&gt;GBPUSD^FG_PRICE(44967)&lt;/Q&gt;&lt;R&gt;1&lt;/R&gt;&lt;C&gt;1&lt;/C&gt;&lt;D xsi:type="xsd:double"&gt;1.2077&lt;/D&gt;&lt;/FQL&gt;&lt;FQL&gt;&lt;Q&gt;EURUSD^FG_PRICE(44967)&lt;/Q&gt;&lt;R&gt;1&lt;/R&gt;&lt;C&gt;1&lt;/C&gt;&lt;D xsi:type="xsd:double"&gt;1.06765&lt;/D&gt;&lt;/FQL&gt;&lt;FQL&gt;&lt;Q&gt;GBPUSD^FG_PRICE(44966)&lt;/Q&gt;&lt;R&gt;1&lt;/R&gt;&lt;C&gt;1&lt;/C&gt;&lt;D xsi:type="xsd:double"&gt;1.2170501&lt;/D&gt;&lt;/FQL&gt;&lt;FQL&gt;&lt;Q&gt;EURUSD^FG_PRICE(44966)&lt;/Q&gt;&lt;R&gt;1&lt;/R&gt;&lt;C&gt;1&lt;/C&gt;&lt;D xsi:type="xsd:double"&gt;1.0762&lt;/D&gt;&lt;/FQL&gt;&lt;FQL&gt;&lt;Q&gt;GBPUSD^FG_PRICE(44965)&lt;/Q&gt;&lt;R&gt;1&lt;/R&gt;&lt;C&gt;1&lt;/C&gt;&lt;D xsi:type="xsd:double"&gt;1.2077999&lt;/D&gt;&lt;/FQL&gt;&lt;FQL&gt;&lt;Q&gt;EURUSD^FG_PRICE(44965)&lt;/Q&gt;&lt;R&gt;1&lt;/R&gt;&lt;C&gt;1&lt;/C&gt;&lt;D xsi:type="xsd:double"&gt;1.07245&lt;/D&gt;&lt;/FQL&gt;&lt;FQL&gt;&lt;Q&gt;GBPUSD^FG_PRICE(44964)&lt;/Q&gt;&lt;R&gt;1&lt;/R&gt;&lt;C&gt;1&lt;/C&gt;&lt;D xsi:type="xsd:double"&gt;1.201&lt;/D&gt;&lt;/FQL&gt;&lt;FQL&gt;&lt;Q&gt;EURUSD^FG_PRICE(44964)&lt;/Q&gt;&lt;R&gt;1&lt;/R&gt;&lt;C&gt;1&lt;/C&gt;&lt;D xsi:type="xsd:double"&gt;1.06925&lt;/D&gt;&lt;/FQL&gt;&lt;FQL&gt;&lt;Q&gt;GBPUSD^FG_PRICE(44963)&lt;/Q&gt;&lt;R&gt;1&lt;/R&gt;&lt;C&gt;1&lt;/C&gt;&lt;D xsi:type="xsd:double"&gt;1.20125&lt;/D&gt;&lt;/FQL&gt;&lt;FQL&gt;&lt;Q&gt;EURUSD^FG_PRICE(44963)&lt;/Q&gt;&lt;R&gt;1&lt;/R&gt;&lt;C&gt;1&lt;/C&gt;&lt;D xsi:type="xsd:double"&gt;1.07315&lt;/D&gt;&lt;/FQL&gt;&lt;FQL&gt;&lt;Q&gt;GBPUSD^FG_PRICE(44962)&lt;/Q&gt;&lt;R&gt;1&lt;/R&gt;&lt;C&gt;1&lt;/C&gt;&lt;D xsi:type="xsd:double"&gt;1.2107&lt;/D&gt;&lt;/FQL&gt;&lt;FQL&gt;&lt;Q&gt;EURUSD^FG_PRICE(44962)&lt;/Q&gt;&lt;R&gt;1&lt;/R&gt;&lt;C&gt;1&lt;/C&gt;&lt;D xsi:type="xsd:double"&gt;1.08575&lt;/D&gt;&lt;/FQL&gt;&lt;FQL&gt;&lt;Q&gt;GBPUSD^FG_PRICE(44961)&lt;/Q&gt;&lt;R&gt;1&lt;/R&gt;&lt;C&gt;1&lt;/C&gt;&lt;D xsi:type="xsd:double"&gt;1.2107&lt;/D&gt;&lt;/FQL&gt;&lt;FQL&gt;&lt;Q&gt;EURUSD^FG_PRICE(44961)&lt;/Q&gt;&lt;R&gt;1&lt;/R&gt;&lt;C&gt;1&lt;/C&gt;&lt;D xsi:type="xsd:double"&gt;1.08575&lt;/D&gt;&lt;/FQL&gt;&lt;FQL&gt;&lt;Q&gt;GBPUSD^FG_PRICE(44960)&lt;/Q&gt;&lt;R&gt;1&lt;/R&gt;&lt;C&gt;1&lt;/C&gt;&lt;D xsi:type="xsd:double"&gt;1.2107&lt;/D&gt;&lt;/FQL&gt;&lt;FQL&gt;&lt;Q&gt;EURUSD^FG_PRICE(44960)&lt;/Q&gt;&lt;R&gt;1&lt;/R&gt;&lt;C&gt;1&lt;/C&gt;&lt;D xsi:type="xsd:double"&gt;1.08575&lt;/D&gt;&lt;/FQL&gt;&lt;FQL&gt;&lt;Q&gt;GBPUSD^FG_PRICE(44959)&lt;/Q&gt;&lt;R&gt;1&lt;/R&gt;&lt;C&gt;1&lt;/C&gt;&lt;D xsi:type="xsd:double"&gt;1.2295&lt;/D&gt;&lt;/FQL&gt;&lt;FQL&gt;&lt;Q&gt;EURUSD^FG_PRICE(44959)&lt;/Q&gt;&lt;R&gt;1&lt;/R&gt;&lt;C&gt;1&lt;/C&gt;&lt;D xsi:type="xsd:double"&gt;1.0940499&lt;/D&gt;&lt;/FQL&gt;&lt;FQL&gt;&lt;Q&gt;GBPUSD^FG_PRICE(44958)&lt;/Q&gt;&lt;R&gt;1&lt;/R&gt;&lt;C&gt;1&lt;/C&gt;&lt;D xsi:type="xsd:double"&gt;1.23255&lt;/D&gt;&lt;/FQL&gt;&lt;FQL&gt;&lt;Q&gt;EURUSD^FG_PRICE(44958)&lt;/Q&gt;&lt;R&gt;1&lt;/R&gt;&lt;C&gt;1&lt;/C&gt;&lt;D xsi:type="xsd:double"&gt;1.09215&lt;/D&gt;&lt;/FQL&gt;&lt;FQL&gt;&lt;Q&gt;GBPUSD^FG_PRICE(44957)&lt;/Q&gt;&lt;R&gt;1&lt;/R&gt;&lt;C&gt;1&lt;/C&gt;&lt;D xsi:type="xsd:double"&gt;1.2311&lt;/D&gt;&lt;/FQL&gt;&lt;FQL&gt;&lt;Q&gt;EURUSD^FG_PRICE(44957)&lt;/Q&gt;&lt;R&gt;1&lt;/R&gt;&lt;C&gt;1&lt;/C&gt;&lt;D xsi:type="xsd:double"&gt;1.08605&lt;/D&gt;&lt;/FQL&gt;&lt;FQL&gt;&lt;Q&gt;GBPUSD^FG_PRICE(44956)&lt;/Q&gt;&lt;R&gt;1&lt;/R&gt;&lt;C&gt;1&lt;/C&gt;&lt;D xsi:type="xsd:double"&gt;1.2381&lt;/D&gt;&lt;/FQL&gt;&lt;FQL&gt;&lt;Q&gt;EURUSD^FG_PRICE(44956)&lt;/Q&gt;&lt;R&gt;1&lt;/R&gt;&lt;C&gt;1&lt;/C&gt;&lt;D xsi:type="xsd:double"&gt;1.0870501&lt;/D&gt;&lt;/FQL&gt;&lt;FQL&gt;&lt;Q&gt;GBPUSD^FG_PRICE(44955)&lt;/Q&gt;&lt;R&gt;1&lt;/R&gt;&lt;C&gt;1&lt;/C&gt;&lt;D xsi:type="xsd:double"&gt;1.2357501&lt;/D&gt;&lt;/FQL&gt;&lt;FQL&gt;&lt;Q&gt;EURUSD^FG_PRICE(44955)&lt;/Q&gt;&lt;R&gt;1&lt;/R&gt;&lt;C&gt;1&lt;/C&gt;&lt;D xsi:type="xsd:double"&gt;1.0840499&lt;/D&gt;&lt;/FQL&gt;&lt;FQL&gt;&lt;Q&gt;GBPUSD^FG_PRICE(44954)&lt;/Q&gt;&lt;R&gt;1&lt;/R&gt;&lt;C&gt;1&lt;/C&gt;&lt;D xsi:type="xsd:double"&gt;1.2357501&lt;/D&gt;&lt;/FQL&gt;&lt;FQL&gt;&lt;Q&gt;EURUSD^FG_PRICE(44954)&lt;/Q&gt;&lt;R&gt;1&lt;/R&gt;&lt;C&gt;1&lt;/C&gt;&lt;D xsi:type="xsd:double"&gt;1.0840499&lt;/D&gt;&lt;/FQL&gt;&lt;FQL&gt;&lt;Q&gt;GBPUSD^FG_PRICE(44953)&lt;/Q&gt;&lt;R&gt;1&lt;/R&gt;&lt;C&gt;1&lt;/C&gt;&lt;D xsi:type="xsd:double"&gt;1.2357501&lt;/D&gt;&lt;/FQL&gt;&lt;FQL&gt;&lt;Q&gt;EURUSD^FG_PRICE(44953)&lt;/Q&gt;&lt;R&gt;1&lt;/R&gt;&lt;C&gt;1&lt;/C&gt;&lt;D xsi:type="xsd:double"&gt;1.0840499&lt;/D&gt;&lt;/FQL&gt;&lt;FQL&gt;&lt;Q&gt;GBPUSD^FG_PRICE(44952)&lt;/Q&gt;&lt;R&gt;1&lt;/R&gt;&lt;C&gt;1&lt;/C&gt;&lt;D xsi:type="xsd:double"&gt;1.23555&lt;/D&gt;&lt;/FQL&gt;&lt;FQL&gt;&lt;Q&gt;EURUSD^FG_PRICE(44952)&lt;/Q&gt;&lt;R&gt;1&lt;/R&gt;&lt;C&gt;1&lt;/C&gt;&lt;D xsi:type="xsd:double"&gt;1.0854&lt;/D&gt;&lt;/FQL&gt;&lt;FQL&gt;&lt;Q&gt;GBPUSD^FG_PRICE(44951)&lt;/Q&gt;&lt;R&gt;1&lt;/R&gt;&lt;C&gt;1&lt;/C&gt;&lt;D xsi:type="xsd:double"&gt;1.23595&lt;/D&gt;&lt;/FQL&gt;&lt;FQL&gt;&lt;Q&gt;EURUSD^FG_PRICE(44951)&lt;/Q&gt;&lt;R&gt;1&lt;/R&gt;&lt;C&gt;1&lt;/C&gt;&lt;D xsi:type="xsd:double"&gt;1.09025&lt;/D&gt;&lt;/FQL&gt;&lt;FQL&gt;&lt;Q&gt;GBPUSD^FG_PRICE(44950)&lt;/Q&gt;&lt;R&gt;1&lt;/R&gt;&lt;C&gt;1&lt;/C&gt;&lt;D xsi:type="xsd:double"&gt;1.2314501&lt;/D&gt;&lt;/FQL&gt;&lt;FQL&gt;&lt;Q&gt;EURUSD^FG_PRICE(44950)&lt;/Q&gt;&lt;R&gt;1&lt;/R&gt;&lt;C&gt;1&lt;/C&gt;&lt;D xsi:type="xsd:double"&gt;1.08755&lt;/D&gt;&lt;/FQL&gt;&lt;FQL&gt;&lt;Q&gt;GBPUSD^FG_PRICE(44949)&lt;/Q&gt;&lt;R&gt;1&lt;/R&gt;&lt;C&gt;1&lt;/C&gt;&lt;D xsi:type="xsd:double"&gt;1.23715&lt;/D&gt;&lt;/FQL&gt;&lt;FQL&gt;&lt;Q&gt;EURUSD^FG_PRICE(44949)&lt;/Q&gt;&lt;R&gt;1&lt;/R&gt;&lt;C&gt;1&lt;/C&gt;&lt;D xsi:type="xsd:double"&gt;1.0865&lt;/D&gt;&lt;/FQL&gt;&lt;FQL&gt;&lt;Q&gt;GBPUSD^FG_PRICE(44948)&lt;/Q&gt;&lt;R&gt;1&lt;/R&gt;&lt;C&gt;1&lt;/C&gt;&lt;D xsi:type="xsd:double"&gt;1.23685&lt;/D&gt;&lt;/FQL&gt;&lt;FQL&gt;&lt;Q&gt;EURUSD^FG_PRICE(44948)&lt;/Q&gt;&lt;R&gt;1&lt;/R&gt;&lt;C&gt;1&lt;/C&gt;&lt;D xsi:type="xsd:double"&gt;1.0831&lt;/D&gt;&lt;/FQL&gt;&lt;FQL&gt;&lt;Q&gt;GBPUSD^FG_PRICE(44947)&lt;/Q&gt;&lt;R&gt;1&lt;/R&gt;&lt;C&gt;1&lt;/C&gt;&lt;D xsi:type="xsd:double"&gt;1.23685&lt;/D&gt;&lt;/FQL&gt;&lt;FQL&gt;&lt;Q&gt;EURUSD^FG_PRICE(44947)&lt;/Q&gt;&lt;R&gt;1&lt;/R&gt;&lt;C&gt;1&lt;/C&gt;&lt;D xsi:type="xsd:double"&gt;1.0831&lt;/D&gt;&lt;/FQL&gt;&lt;FQL&gt;&lt;Q&gt;GBPUSD^FG_PRICE(44946)&lt;/Q&gt;&lt;R&gt;1&lt;/R&gt;&lt;C&gt;1&lt;/C&gt;&lt;D xsi:type="xsd:double"&gt;1.23685&lt;/D&gt;&lt;/FQL&gt;&lt;FQL&gt;&lt;Q&gt;EURUSD^FG_PRICE(44946)&lt;/Q&gt;&lt;R&gt;1&lt;/R&gt;&lt;C&gt;1&lt;/C&gt;&lt;D xsi:type="xsd:double"&gt;1.0831&lt;/D&gt;&lt;/FQL&gt;&lt;FQL&gt;&lt;Q&gt;GBPUSD^FG_PRICE(44945)&lt;/Q&gt;&lt;R&gt;1&lt;/R&gt;&lt;C&gt;1&lt;/C&gt;&lt;D xsi:type="xsd:double"&gt;1.23595&lt;/D&gt;&lt;/FQL&gt;&lt;FQL&gt;&lt;Q&gt;EURUSD^FG_PRICE(44945)&lt;/Q&gt;&lt;R&gt;1&lt;/R&gt;&lt;C&gt;1&lt;/C&gt;&lt;D xsi:type="xsd:double"&gt;1.07895&lt;/D&gt;&lt;/FQL&gt;&lt;FQL&gt;&lt;Q&gt;GBPUSD^FG_PRICE(44944)&lt;/Q&gt;&lt;R&gt;1&lt;/R&gt;&lt;C&gt;1&lt;/C&gt;&lt;D xsi:type="xsd:double"&gt;1.2392&lt;/D&gt;&lt;/FQL&gt;&lt;FQL&gt;&lt;Q&gt;EURUSD^FG_PRICE(44944)&lt;/Q&gt;&lt;R&gt;1&lt;/R&gt;&lt;C&gt;1&lt;/C&gt;&lt;D xsi:type="xsd:double"&gt;1.08315&lt;/D&gt;&lt;/FQL&gt;&lt;FQL&gt;&lt;Q&gt;GBPUSD^FG_PRICE(44943)&lt;/Q&gt;&lt;R&gt;1&lt;/R&gt;&lt;C&gt;1&lt;/C&gt;&lt;D xsi:type="xsd:double"&gt;1.22795&lt;/D&gt;&lt;/FQL&gt;&lt;FQL&gt;&lt;Q&gt;EURUSD^FG_PRICE(44943)&lt;/Q&gt;&lt;R&gt;1&lt;/R&gt;&lt;C&gt;1&lt;/C&gt;&lt;D xsi:type="xsd:double"&gt;1.08015&lt;/D&gt;&lt;/FQL&gt;&lt;FQL&gt;&lt;Q&gt;GBPUSD^FG_PRICE(44942)&lt;/Q&gt;&lt;R&gt;1&lt;/R&gt;&lt;C&gt;1&lt;/C&gt;&lt;D xsi:type="xsd:double"&gt;1.2206&lt;/D&gt;&lt;/FQL&gt;&lt;FQL&gt;&lt;Q&gt;EURUSD^FG_PRICE(44942)&lt;/Q&gt;&lt;R&gt;1&lt;/R&gt;&lt;C&gt;1&lt;/C&gt;&lt;D xsi:type="xsd:double"&gt;1.08255&lt;/D&gt;&lt;/FQL&gt;&lt;FQL&gt;&lt;Q&gt;GBPUSD^FG_PRICE(44941)&lt;/Q&gt;&lt;R&gt;1&lt;/R&gt;&lt;C&gt;1&lt;/C&gt;&lt;D xsi:type="xsd:double"&gt;1.2215&lt;/D&gt;&lt;/FQL&gt;&lt;FQL&gt;&lt;Q&gt;EURUSD^FG_PRICE(44941)&lt;/Q&gt;&lt;R&gt;1&lt;/R&gt;&lt;C&gt;1&lt;/C&gt;&lt;D xsi:type="xsd:double"&gt;1.08295&lt;/D&gt;&lt;/FQL&gt;&lt;FQL&gt;&lt;Q&gt;GBPUSD^FG_PRICE(44940)&lt;/Q&gt;&lt;R&gt;1&lt;/R&gt;&lt;C&gt;1&lt;/C&gt;&lt;D xsi:type="xsd:double"&gt;1.2215&lt;/D&gt;&lt;/FQL&gt;&lt;FQL&gt;&lt;Q&gt;EURUSD^FG_PRICE(44940)&lt;/Q&gt;&lt;R&gt;1&lt;/R&gt;&lt;C&gt;1&lt;/C&gt;&lt;D xsi:type="xsd:double"&gt;1.08295&lt;/D&gt;&lt;/FQL&gt;&lt;FQL&gt;&lt;Q&gt;GBPUSD^FG_PRICE(44939)&lt;/Q&gt;&lt;R&gt;1&lt;/R&gt;&lt;C&gt;1&lt;/C&gt;&lt;D xsi:type="xsd:double"&gt;1.2215&lt;/D&gt;&lt;/FQL&gt;&lt;FQL&gt;&lt;Q&gt;EURUSD^FG_PRICE(44939)&lt;/Q&gt;&lt;R&gt;1&lt;/R&gt;&lt;C&gt;1&lt;/C&gt;&lt;D xsi:type="xsd:double"&gt;1.08295&lt;/D&gt;&lt;/FQL&gt;&lt;FQL&gt;&lt;Q&gt;GBPUSD^FG_PRICE(44938)&lt;/Q&gt;&lt;R&gt;1&lt;/R&gt;&lt;C&gt;1&lt;/C&gt;&lt;D xsi:type="xsd:double"&gt;1.2155501&lt;/D&gt;&lt;/FQL&gt;&lt;FQL&gt;&lt;Q&gt;EURUSD^FG_PRICE(44938)&lt;/Q&gt;&lt;R&gt;1&lt;/R&gt;&lt;C&gt;1&lt;/C&gt;&lt;D xsi:type="xsd:double"&gt;1.08065&lt;/D&gt;&lt;/FQL&gt;&lt;FQL&gt;&lt;Q&gt;GBPUSD^FG_PRICE(44937)&lt;/Q&gt;&lt;R&gt;1&lt;/R&gt;&lt;C&gt;1&lt;/C&gt;&lt;D xsi:type="xsd:double"&gt;1.2125&lt;/D&gt;&lt;/FQL&gt;&lt;FQL&gt;&lt;Q&gt;EURUSD^FG_PRICE(44937)&lt;/Q&gt;&lt;R&gt;1&lt;/R&gt;&lt;C&gt;1&lt;/C&gt;&lt;D xsi:type="xsd:double"&gt;1.07535&lt;/D&gt;&lt;/FQL&gt;&lt;FQL&gt;&lt;Q&gt;GBPUSD^FG_PRICE(44936)&lt;/Q&gt;&lt;R&gt;1&lt;/R&gt;&lt;C&gt;1&lt;/C&gt;&lt;D xsi:type="xsd:double"&gt;1.2147&lt;/D&gt;&lt;/FQL&gt;&lt;FQL&gt;&lt;Q&gt;EURUSD^FG_PRICE(44936)&lt;/Q&gt;&lt;R&gt;1&lt;/R&gt;&lt;C&gt;1&lt;/C&gt;&lt;D xsi:type="xsd:double"&gt;1.0728&lt;/D&gt;&lt;/FQL&gt;&lt;FQL&gt;&lt;Q&gt;GBPUSD^FG_PRIC</t>
        </r>
      </text>
    </comment>
    <comment ref="A11" authorId="0" shapeId="0" xr:uid="{3ABB9126-8AA2-4559-84CF-8C8E810A5BF2}">
      <text>
        <r>
          <rPr>
            <b/>
            <sz val="9"/>
            <color indexed="81"/>
            <rFont val="Tahoma"/>
            <family val="2"/>
          </rPr>
          <t>E(44935)&lt;/Q&gt;&lt;R&gt;1&lt;/R&gt;&lt;C&gt;1&lt;/C&gt;&lt;D xsi:type="xsd:double"&gt;1.2191501&lt;/D&gt;&lt;/FQL&gt;&lt;FQL&gt;&lt;Q&gt;EURUSD^FG_PRICE(44935)&lt;/Q&gt;&lt;R&gt;1&lt;/R&gt;&lt;C&gt;1&lt;/C&gt;&lt;D xsi:type="xsd:double"&gt;1.07415&lt;/D&gt;&lt;/FQL&gt;&lt;FQL&gt;&lt;Q&gt;GBPUSD^FG_PRICE(44934)&lt;/Q&gt;&lt;R&gt;1&lt;/R&gt;&lt;C&gt;1&lt;/C&gt;&lt;D xsi:type="xsd:double"&gt;1.20465&lt;/D&gt;&lt;/FQL&gt;&lt;FQL&gt;&lt;Q&gt;EURUSD^FG_PRICE(44934)&lt;/Q&gt;&lt;R&gt;1&lt;/R&gt;&lt;C&gt;1&lt;/C&gt;&lt;D xsi:type="xsd:double"&gt;1.06025&lt;/D&gt;&lt;/FQL&gt;&lt;FQL&gt;&lt;Q&gt;GBPUSD^FG_PRICE(44933)&lt;/Q&gt;&lt;R&gt;1&lt;/R&gt;&lt;C&gt;1&lt;/C&gt;&lt;D xsi:type="xsd:double"&gt;1.20465&lt;/D&gt;&lt;/FQL&gt;&lt;FQL&gt;&lt;Q&gt;EURUSD^FG_PRICE(44933)&lt;/Q&gt;&lt;R&gt;1&lt;/R&gt;&lt;C&gt;1&lt;/C&gt;&lt;D xsi:type="xsd:double"&gt;1.06025&lt;/D&gt;&lt;/FQL&gt;&lt;FQL&gt;&lt;Q&gt;GBPUSD^FG_PRICE(44932)&lt;/Q&gt;&lt;R&gt;1&lt;/R&gt;&lt;C&gt;1&lt;/C&gt;&lt;D xsi:type="xsd:double"&gt;1.20465&lt;/D&gt;&lt;/FQL&gt;&lt;FQL&gt;&lt;Q&gt;EURUSD^FG_PRICE(44932)&lt;/Q&gt;&lt;R&gt;1&lt;/R&gt;&lt;C&gt;1&lt;/C&gt;&lt;D xsi:type="xsd:double"&gt;1.06025&lt;/D&gt;&lt;/FQL&gt;&lt;FQL&gt;&lt;Q&gt;GBPUSD^FG_PRICE(44931)&lt;/Q&gt;&lt;R&gt;1&lt;/R&gt;&lt;C&gt;1&lt;/C&gt;&lt;D xsi:type="xsd:double"&gt;1.1883&lt;/D&gt;&lt;/FQL&gt;&lt;FQL&gt;&lt;Q&gt;EURUSD^FG_PRICE(44931)&lt;/Q&gt;&lt;R&gt;1&lt;/R&gt;&lt;C&gt;1&lt;/C&gt;&lt;D xsi:type="xsd:double"&gt;1.05195&lt;/D&gt;&lt;/FQL&gt;&lt;FQL&gt;&lt;Q&gt;GBPUSD^FG_PRICE(44930)&lt;/Q&gt;&lt;R&gt;1&lt;/R&gt;&lt;C&gt;1&lt;/C&gt;&lt;D xsi:type="xsd:double"&gt;1.2042999&lt;/D&gt;&lt;/FQL&gt;&lt;FQL&gt;&lt;Q&gt;EURUSD^FG_PRICE(44930)&lt;/Q&gt;&lt;R&gt;1&lt;/R&gt;&lt;C&gt;1&lt;/C&gt;&lt;D xsi:type="xsd:double"&gt;1.06035&lt;/D&gt;&lt;/FQL&gt;&lt;FQL&gt;&lt;Q&gt;GBPUSD^FG_PRICE(44929)&lt;/Q&gt;&lt;R&gt;1&lt;/R&gt;&lt;C&gt;1&lt;/C&gt;&lt;D xsi:type="xsd:double"&gt;1.2007&lt;/D&gt;&lt;/FQL&gt;&lt;FQL&gt;&lt;Q&gt;EURUSD^FG_PRICE(44929)&lt;/Q&gt;&lt;R&gt;1&lt;/R&gt;&lt;C&gt;1&lt;/C&gt;&lt;D xsi:type="xsd:double"&gt;1.05555&lt;/D&gt;&lt;/FQL&gt;&lt;FQL&gt;&lt;Q&gt;GBPUSD^FG_PRICE(44928)&lt;/Q&gt;&lt;R&gt;1&lt;/R&gt;&lt;C&gt;1&lt;/C&gt;&lt;D xsi:type="xsd:double"&gt;1.2029&lt;/D&gt;&lt;/FQL&gt;&lt;FQL&gt;&lt;Q&gt;EURUSD^FG_PRICE(44928)&lt;/Q&gt;&lt;R&gt;1&lt;/R&gt;&lt;C&gt;1&lt;/C&gt;&lt;D xsi:type="xsd:double"&gt;1.0672523&lt;/D&gt;&lt;/FQL&gt;&lt;FQL&gt;&lt;Q&gt;GBPUSD^FG_PRICE(44927)&lt;/Q&gt;&lt;R&gt;1&lt;/R&gt;&lt;C&gt;1&lt;/C&gt;&lt;D xsi:type="xsd:double"&gt;1.2029&lt;/D&gt;&lt;/FQL&gt;&lt;FQL&gt;&lt;Q&gt;EURUSD^FG_PRICE(44927)&lt;/Q&gt;&lt;R&gt;1&lt;/R&gt;&lt;C&gt;1&lt;/C&gt;&lt;D xsi:type="xsd:double"&gt;1.06725&lt;/D&gt;&lt;/FQL&gt;&lt;FQL&gt;&lt;Q&gt;GBPUSD^FG_PRICE(44926)&lt;/Q&gt;&lt;R&gt;1&lt;/R&gt;&lt;C&gt;1&lt;/C&gt;&lt;D xsi:type="xsd:double"&gt;1.2029&lt;/D&gt;&lt;/FQL&gt;&lt;FQL&gt;&lt;Q&gt;EURUSD^FG_PRICE(44926)&lt;/Q&gt;&lt;R&gt;1&lt;/R&gt;&lt;C&gt;1&lt;/C&gt;&lt;D xsi:type="xsd:double"&gt;1.06725&lt;/D&gt;&lt;/FQL&gt;&lt;FQL&gt;&lt;Q&gt;GBPUSD^FG_PRICE(44925)&lt;/Q&gt;&lt;R&gt;1&lt;/R&gt;&lt;C&gt;1&lt;/C&gt;&lt;D xsi:type="xsd:double"&gt;1.2029&lt;/D&gt;&lt;/FQL&gt;&lt;FQL&gt;&lt;Q&gt;EURUSD^FG_PRICE(44925)&lt;/Q&gt;&lt;R&gt;1&lt;/R&gt;&lt;C&gt;1&lt;/C&gt;&lt;D xsi:type="xsd:double"&gt;1.06725&lt;/D&gt;&lt;/FQL&gt;&lt;FQL&gt;&lt;Q&gt;GBPUSD^FG_PRICE(44924)&lt;/Q&gt;&lt;R&gt;1&lt;/R&gt;&lt;C&gt;1&lt;/C&gt;&lt;D xsi:type="xsd:double"&gt;1.20535&lt;/D&gt;&lt;/FQL&gt;&lt;FQL&gt;&lt;Q&gt;EURUSD^FG_PRICE(44924)&lt;/Q&gt;&lt;R&gt;1&lt;/R&gt;&lt;C&gt;1&lt;/C&gt;&lt;D xsi:type="xsd:double"&gt;1.06665&lt;/D&gt;&lt;/FQL&gt;&lt;FQL&gt;&lt;Q&gt;GBPUSD^FG_PRICE(44923)&lt;/Q&gt;&lt;R&gt;1&lt;/R&gt;&lt;C&gt;1&lt;/C&gt;&lt;D xsi:type="xsd:double"&gt;1.20345&lt;/D&gt;&lt;/FQL&gt;&lt;FQL&gt;&lt;Q&gt;EURUSD^FG_PRICE(44923)&lt;/Q&gt;&lt;R&gt;1&lt;/R&gt;&lt;C&gt;1&lt;/C&gt;&lt;D xsi:type="xsd:double"&gt;1.06185&lt;/D&gt;&lt;/FQL&gt;&lt;FQL&gt;&lt;Q&gt;GBPUSD^FG_PRICE(44922)&lt;/Q&gt;&lt;R&gt;1&lt;/R&gt;&lt;C&gt;1&lt;/C&gt;&lt;D xsi:type="xsd:double"&gt;1.2018&lt;/D&gt;&lt;/FQL&gt;&lt;FQL&gt;&lt;Q&gt;EURUSD^FG_PRICE(44922)&lt;/Q&gt;&lt;R&gt;1&lt;/R&gt;&lt;C&gt;1&lt;/C&gt;&lt;D xsi:type="xsd:double"&gt;1.06495&lt;/D&gt;&lt;/FQL&gt;&lt;FQL&gt;&lt;Q&gt;GBPUSD^FG_PRICE(44921)&lt;/Q&gt;&lt;R&gt;1&lt;/R&gt;&lt;C&gt;1&lt;/C&gt;&lt;D xsi:type="xsd:double"&gt;1.20605&lt;/D&gt;&lt;/FQL&gt;&lt;FQL&gt;&lt;Q&gt;EURUSD^FG_PRICE(44921)&lt;/Q&gt;&lt;R&gt;1&lt;/R&gt;&lt;C&gt;1&lt;/C&gt;&lt;D xsi:type="xsd:double"&gt;1.0613835&lt;/D&gt;&lt;/FQL&gt;&lt;FQL&gt;&lt;Q&gt;GBPUSD^FG_PRICE(44920)&lt;/Q&gt;&lt;R&gt;1&lt;/R&gt;&lt;C&gt;1&lt;/C&gt;&lt;D xsi:type="xsd:double"&gt;1.20605&lt;/D&gt;&lt;/FQL&gt;&lt;FQL&gt;&lt;Q&gt;EURUSD^FG_PRICE(44920)&lt;/Q&gt;&lt;R&gt;1&lt;/R&gt;&lt;C&gt;1&lt;/C&gt;&lt;D xsi:type="xsd:double"&gt;1.06135&lt;/D&gt;&lt;/FQL&gt;&lt;FQL&gt;&lt;Q&gt;GBPUSD^FG_PRICE(44919)&lt;/Q&gt;&lt;R&gt;1&lt;/R&gt;&lt;C&gt;1&lt;/C&gt;&lt;D xsi:type="xsd:double"&gt;1.20605&lt;/D&gt;&lt;/FQL&gt;&lt;FQL&gt;&lt;Q&gt;EURUSD^FG_PRICE(44919)&lt;/Q&gt;&lt;R&gt;1&lt;/R&gt;&lt;C&gt;1&lt;/C&gt;&lt;D xsi:type="xsd:double"&gt;1.06135&lt;/D&gt;&lt;/FQL&gt;&lt;FQL&gt;&lt;Q&gt;GBPUSD^FG_PRICE(44918)&lt;/Q&gt;&lt;R&gt;1&lt;/R&gt;&lt;C&gt;1&lt;/C&gt;&lt;D xsi:type="xsd:double"&gt;1.20605&lt;/D&gt;&lt;/FQL&gt;&lt;FQL&gt;&lt;Q&gt;EURUSD^FG_PRICE(44918)&lt;/Q&gt;&lt;R&gt;1&lt;/R&gt;&lt;C&gt;1&lt;/C&gt;&lt;D xsi:type="xsd:double"&gt;1.06135&lt;/D&gt;&lt;/FQL&gt;&lt;FQL&gt;&lt;Q&gt;GBPUSD^FG_PRICE(44917)&lt;/Q&gt;&lt;R&gt;1&lt;/R&gt;&lt;C&gt;1&lt;/C&gt;&lt;D xsi:type="xsd:double"&gt;1.2029&lt;/D&gt;&lt;/FQL&gt;&lt;FQL&gt;&lt;Q&gt;EURUSD^FG_PRICE(44917)&lt;/Q&gt;&lt;R&gt;1&lt;/R&gt;&lt;C&gt;1&lt;/C&gt;&lt;D xsi:type="xsd:double"&gt;1.06005&lt;/D&gt;&lt;/FQL&gt;&lt;FQL&gt;&lt;Q&gt;GBPUSD^FG_PRICE(44916)&lt;/Q&gt;&lt;R&gt;1&lt;/R&gt;&lt;C&gt;1&lt;/C&gt;&lt;D xsi:type="xsd:double"&gt;1.211&lt;/D&gt;&lt;/FQL&gt;&lt;FQL&gt;&lt;Q&gt;EURUSD^FG_PRICE(44916)&lt;/Q&gt;&lt;R&gt;1&lt;/R&gt;&lt;C&gt;1&lt;/C&gt;&lt;D xsi:type="xsd:double"&gt;1.06145&lt;/D&gt;&lt;/FQL&gt;&lt;FQL&gt;&lt;Q&gt;GBPUSD^FG_PRICE(44915)&lt;/Q&gt;&lt;R&gt;1&lt;/R&gt;&lt;C&gt;1&lt;/C&gt;&lt;D xsi:type="xsd:double"&gt;1.2139&lt;/D&gt;&lt;/FQL&gt;&lt;FQL&gt;&lt;Q&gt;EURUSD^FG_PRICE(44915)&lt;/Q&gt;&lt;R&gt;1&lt;/R&gt;&lt;C&gt;1&lt;/C&gt;&lt;D xsi:type="xsd:double"&gt;1.0639501&lt;/D&gt;&lt;/FQL&gt;&lt;FQL&gt;&lt;Q&gt;GBPUSD^FG_PRICE(44914)&lt;/Q&gt;&lt;R&gt;1&lt;/R&gt;&lt;C&gt;1&lt;/C&gt;&lt;D xsi:type="xsd:double"&gt;1.21305&lt;/D&gt;&lt;/FQL&gt;&lt;FQL&gt;&lt;Q&gt;EURUSD^FG_PRICE(44914)&lt;/Q&gt;&lt;R&gt;1&lt;/R&gt;&lt;C&gt;1&lt;/C&gt;&lt;D xsi:type="xsd:double"&gt;1.05795&lt;/D&gt;&lt;/FQL&gt;&lt;FQL&gt;&lt;Q&gt;GBPUSD^FG_PRICE(44913)&lt;/Q&gt;&lt;R&gt;1&lt;/R&gt;&lt;C&gt;1&lt;/C&gt;&lt;D xsi:type="xsd:double"&gt;1.2150999&lt;/D&gt;&lt;/FQL&gt;&lt;FQL&gt;&lt;Q&gt;EURUSD^FG_PRICE(44913)&lt;/Q&gt;&lt;R&gt;1&lt;/R&gt;&lt;C&gt;1&lt;/C&gt;&lt;D xsi:type="xsd:double"&gt;1.06155&lt;/D&gt;&lt;/FQL&gt;&lt;FQL&gt;&lt;Q&gt;GBPUSD^FG_PRICE(44912)&lt;/Q&gt;&lt;R&gt;1&lt;/R&gt;&lt;C&gt;1&lt;/C&gt;&lt;D xsi:type="xsd:double"&gt;1.2150999&lt;/D&gt;&lt;/FQL&gt;&lt;FQL&gt;&lt;Q&gt;EURUSD^FG_PRICE(44912)&lt;/Q&gt;&lt;R&gt;1&lt;/R&gt;&lt;C&gt;1&lt;/C&gt;&lt;D xsi:type="xsd:double"&gt;1.06155&lt;/D&gt;&lt;/FQL&gt;&lt;FQL&gt;&lt;Q&gt;GBPUSD^FG_PRICE(44911)&lt;/Q&gt;&lt;R&gt;1&lt;/R&gt;&lt;C&gt;1&lt;/C&gt;&lt;D xsi:type="xsd:double"&gt;1.2150999&lt;/D&gt;&lt;/FQL&gt;&lt;FQL&gt;&lt;Q&gt;EURUSD^FG_PRICE(44911)&lt;/Q&gt;&lt;R&gt;1&lt;/R&gt;&lt;C&gt;1&lt;/C&gt;&lt;D xsi:type="xsd:double"&gt;1.06155&lt;/D&gt;&lt;/FQL&gt;&lt;FQL&gt;&lt;Q&gt;GBPUSD^FG_PRICE(44910)&lt;/Q&gt;&lt;R&gt;1&lt;/R&gt;&lt;C&gt;1&lt;/C&gt;&lt;D xsi:type="xsd:double"&gt;1.2218&lt;/D&gt;&lt;/FQL&gt;&lt;FQL&gt;&lt;Q&gt;EURUSD^FG_PRICE(44910)&lt;/Q&gt;&lt;R&gt;1&lt;/R&gt;&lt;C&gt;1&lt;/C&gt;&lt;D xsi:type="xsd:double"&gt;1.06505&lt;/D&gt;&lt;/FQL&gt;&lt;FQL&gt;&lt;Q&gt;GBPUSD^FG_PRICE(44909)&lt;/Q&gt;&lt;R&gt;1&lt;/R&gt;&lt;C&gt;1&lt;/C&gt;&lt;D xsi:type="xsd:double"&gt;1.2406&lt;/D&gt;&lt;/FQL&gt;&lt;FQL&gt;&lt;Q&gt;EURUSD^FG_PRICE(44909)&lt;/Q&gt;&lt;R&gt;1&lt;/R&gt;&lt;C&gt;1&lt;/C&gt;&lt;D xsi:type="xsd:double"&gt;1.0647501&lt;/D&gt;&lt;/FQL&gt;&lt;FQL&gt;&lt;Q&gt;GBPUSD^FG_PRICE(44908)&lt;/Q&gt;&lt;R&gt;1&lt;/R&gt;&lt;C&gt;1&lt;/C&gt;&lt;D xsi:type="xsd:double"&gt;1.23965&lt;/D&gt;&lt;/FQL&gt;&lt;FQL&gt;&lt;Q&gt;EURUSD^FG_PRICE(44908)&lt;/Q&gt;&lt;R&gt;1&lt;/R&gt;&lt;C&gt;1&lt;/C&gt;&lt;D xsi:type="xsd:double"&gt;1.06385&lt;/D&gt;&lt;/FQL&gt;&lt;FQL&gt;&lt;Q&gt;GBPUSD^FG_PRICE(44907)&lt;/Q&gt;&lt;R&gt;1&lt;/R&gt;&lt;C&gt;1&lt;/C&gt;&lt;D xsi:type="xsd:double"&gt;1.2253001&lt;/D&gt;&lt;/FQL&gt;&lt;FQL&gt;&lt;Q&gt;EURUSD^FG_PRICE(44907)&lt;/Q&gt;&lt;R&gt;1&lt;/R&gt;&lt;C&gt;1&lt;/C&gt;&lt;D xsi:type="xsd:double"&gt;1.05215&lt;/D&gt;&lt;/FQL&gt;&lt;FQL&gt;&lt;Q&gt;GBPUSD^FG_PRICE(44906)&lt;/Q&gt;&lt;R&gt;1&lt;/R&gt;&lt;C&gt;1&lt;/C&gt;&lt;D xsi:type="xsd:double"&gt;1.2293&lt;/D&gt;&lt;/FQL&gt;&lt;FQL&gt;&lt;Q&gt;EURUSD^FG_PRICE(44906)&lt;/Q&gt;&lt;R&gt;1&lt;/R&gt;&lt;C&gt;1&lt;/C&gt;&lt;D xsi:type="xsd:double"&gt;1.05405&lt;/D&gt;&lt;/FQL&gt;&lt;FQL&gt;&lt;Q&gt;GBPUSD^FG_PRICE(44905)&lt;/Q&gt;&lt;R&gt;1&lt;/R&gt;&lt;C&gt;1&lt;/C&gt;&lt;D xsi:type="xsd:double"&gt;1.2293&lt;/D&gt;&lt;/FQL&gt;&lt;FQL&gt;&lt;Q&gt;EURUSD^FG_PRICE(44905)&lt;/Q&gt;&lt;R&gt;1&lt;/R&gt;&lt;C&gt;1&lt;/C&gt;&lt;D xsi:type="xsd:double"&gt;1.05405&lt;/D&gt;&lt;/FQL&gt;&lt;FQL&gt;&lt;Q&gt;GBPUSD^FG_PRICE(44904)&lt;/Q&gt;&lt;R&gt;1&lt;/R&gt;&lt;C&gt;1&lt;/C&gt;&lt;D xsi:type="xsd:double"&gt;1.2293&lt;/D&gt;&lt;/FQL&gt;&lt;FQL&gt;&lt;Q&gt;EURUSD^FG_PRICE(44904)&lt;/Q&gt;&lt;R&gt;1&lt;/R&gt;&lt;C&gt;1&lt;/C&gt;&lt;D xsi:type="xsd:double"&gt;1.05405&lt;/D&gt;&lt;/FQL&gt;&lt;FQL&gt;&lt;Q&gt;GBPUSD^FG_PRICE(44903)&lt;/Q&gt;&lt;R&gt;1&lt;/R&gt;&lt;C&gt;1&lt;/C&gt;&lt;D xsi:type="xsd:double"&gt;1.22185&lt;/D&gt;&lt;/FQL&gt;&lt;FQL&gt;&lt;Q&gt;EURUSD^FG_PRICE(44903)&lt;/Q&gt;&lt;R&gt;1&lt;/R&gt;&lt;C&gt;1&lt;/C&gt;&lt;D xsi:type="xsd:double"&gt;1.05455&lt;/D&gt;&lt;/FQL&gt;&lt;FQL&gt;&lt;Q&gt;GBPUSD^FG_PRICE(44902)&lt;/Q&gt;&lt;R&gt;1&lt;/R&gt;&lt;C&gt;1&lt;/C&gt;&lt;D xsi:type="xsd:double"&gt;1.21945&lt;/D&gt;&lt;/FQL&gt;&lt;FQL&gt;&lt;Q&gt;EURUSD^FG_PRICE(44902)&lt;/Q&gt;&lt;R&gt;1&lt;/R&gt;&lt;C&gt;1&lt;/C&gt;&lt;D xsi:type="xsd:double"&gt;1.05035&lt;/D&gt;&lt;/FQL&gt;&lt;FQL&gt;&lt;Q&gt;GBPUSD^FG_PRICE(44901)&lt;/Q&gt;&lt;R&gt;1&lt;/R&gt;&lt;C&gt;1&lt;/C&gt;&lt;D xsi:type="xsd:double"&gt;1.2222999&lt;/D&gt;&lt;/FQL&gt;&lt;FQL&gt;&lt;Q&gt;EURUSD^FG_PRICE(44901)&lt;/Q&gt;&lt;R&gt;1&lt;/R&gt;&lt;C&gt;1&lt;/C&gt;&lt;D xsi:type="xsd:double"&gt;1.0502499&lt;/D&gt;&lt;/FQL&gt;&lt;FQL&gt;&lt;Q&gt;GBPUSD^FG_PRICE(44900)&lt;/Q&gt;&lt;R&gt;1&lt;/R&gt;&lt;C&gt;1&lt;/C&gt;&lt;D xsi:type="xsd:double"&gt;1.22185&lt;/D&gt;&lt;/FQL&gt;&lt;FQL&gt;&lt;Q&gt;EURUSD^FG_PRICE(44900)&lt;/Q&gt;&lt;R&gt;1&lt;/R&gt;&lt;C&gt;1&lt;/C&gt;&lt;D xsi:type="xsd:double"&gt;1.05275&lt;/D&gt;&lt;/FQL&gt;&lt;FQL&gt;&lt;Q&gt;GBPUSD^FG_PRICE(44899)&lt;/Q&gt;&lt;R&gt;1&lt;/R&gt;&lt;C&gt;1&lt;/C&gt;&lt;D xsi:type="xsd:double"&gt;1.2215999&lt;/D&gt;&lt;/FQL&gt;&lt;FQL&gt;&lt;Q&gt;EURUSD^FG_PRICE(44899)&lt;/Q&gt;&lt;R&gt;1&lt;/R&gt;&lt;C&gt;1&lt;/C&gt;&lt;D xsi:type="xsd:double"&gt;1.04735&lt;/D&gt;&lt;/FQL&gt;&lt;FQL&gt;&lt;Q&gt;GBPUSD^FG_PRICE(44898)&lt;/Q&gt;&lt;R&gt;1&lt;/R&gt;&lt;C&gt;1&lt;/C&gt;&lt;D xsi:type="xsd:double"&gt;1.2215999&lt;/D&gt;&lt;/FQL&gt;&lt;FQL&gt;&lt;Q&gt;EURUSD^FG_PRICE(44898)&lt;/Q&gt;&lt;R&gt;1&lt;/R&gt;&lt;C&gt;1&lt;/C&gt;&lt;D xsi:type="xsd:double"&gt;1.04735&lt;/D&gt;&lt;/FQL&gt;&lt;FQL&gt;&lt;Q&gt;GBPUSD^FG_PRICE(44897)&lt;/Q&gt;&lt;R&gt;1&lt;/R&gt;&lt;C&gt;1&lt;/C&gt;&lt;D xsi:type="xsd:double"&gt;1.2215999&lt;/D&gt;&lt;/FQL&gt;&lt;FQL&gt;&lt;Q&gt;EURUSD^FG_PRICE(44897)&lt;/Q&gt;&lt;R&gt;1&lt;/R&gt;&lt;C&gt;1&lt;/C&gt;&lt;D xsi:type="xsd:double"&gt;1.04735&lt;/D&gt;&lt;/FQL&gt;&lt;FQL&gt;&lt;Q&gt;GBPUSD^FG_PRICE(44896)&lt;/Q&gt;&lt;R&gt;1&lt;/R&gt;&lt;C&gt;1&lt;/C&gt;&lt;D xsi:type="xsd:double"&gt;1.2267&lt;/D&gt;&lt;/FQL&gt;&lt;FQL&gt;&lt;Q&gt;EURUSD^FG_PRICE(44896)&lt;/Q&gt;&lt;R&gt;1&lt;/R&gt;&lt;C&gt;1&lt;/C&gt;&lt;D xsi:type="xsd:double"&gt;1.04865&lt;/D&gt;&lt;/FQL&gt;&lt;FQL&gt;&lt;Q&gt;GBPUSD^FG_PRICE(44895)&lt;/Q&gt;&lt;R&gt;1&lt;/R&gt;&lt;C&gt;1&lt;/C&gt;&lt;D xsi:type="xsd:double"&gt;1.1909&lt;/D&gt;&lt;/FQL&gt;&lt;FQL&gt;&lt;Q&gt;EURUSD^FG_PRICE(44895)&lt;/Q&gt;&lt;R&gt;1&lt;/R&gt;&lt;C&gt;1&lt;/C&gt;&lt;D xsi:type="xsd:double"&gt;1.02965&lt;/D&gt;&lt;/FQL&gt;&lt;FQL&gt;&lt;Q&gt;GBPUSD^FG_PRICE(44894)&lt;/Q&gt;&lt;R&gt;1&lt;/R&gt;&lt;C&gt;1&lt;/C&gt;&lt;D xsi:type="xsd:double"&gt;1.2&lt;/D&gt;&lt;/FQL&gt;&lt;FQL&gt;&lt;Q&gt;EURUSD^FG_PRICE(44894)&lt;/Q&gt;&lt;R&gt;1&lt;/R&gt;&lt;C&gt;1&lt;/C&gt;&lt;D xsi:type="xsd:double"&gt;1.03565&lt;/D&gt;&lt;/FQL&gt;&lt;FQL&gt;&lt;Q&gt;GBPUSD^FG_PRICE(44893)&lt;/Q&gt;&lt;R&gt;1&lt;/R&gt;&lt;C&gt;1&lt;/C&gt;&lt;D xsi:type="xsd:double"&gt;1.20385&lt;/D&gt;&lt;/FQL&gt;&lt;FQL&gt;&lt;Q&gt;EURUSD^FG_PRICE(44893)&lt;/Q&gt;&lt;R&gt;1&lt;/R&gt;&lt;C&gt;1&lt;/C&gt;&lt;D xsi:type="xsd:double"&gt;1.03975&lt;/D&gt;&lt;/FQL&gt;&lt;FQL&gt;&lt;Q&gt;GBPUSD^FG_PRICE(44892)&lt;/Q&gt;&lt;R&gt;1&lt;/R&gt;&lt;C&gt;1&lt;/C&gt;&lt;D xsi:type="xsd:double"&gt;1.2093999&lt;/D&gt;&lt;/FQL&gt;&lt;FQL&gt;&lt;Q&gt;EURUSD^FG_PRICE(44892)&lt;/Q&gt;&lt;R&gt;1&lt;/R&gt;&lt;C&gt;1&lt;/C&gt;&lt;D xsi:type="xsd:double"&gt;1.04065&lt;/D&gt;&lt;/FQL&gt;&lt;FQL&gt;&lt;Q&gt;GBPUSD^FG_PRICE(44891)&lt;/Q&gt;&lt;R&gt;1&lt;/R&gt;&lt;C&gt;1&lt;/C&gt;&lt;D xsi:type="xsd:double"&gt;1.2093999&lt;/D&gt;&lt;/FQL&gt;&lt;FQL&gt;&lt;Q&gt;EURUSD^FG_PRICE(44891)&lt;/Q&gt;&lt;R&gt;1&lt;/R&gt;&lt;C&gt;1&lt;/C&gt;&lt;D xsi:type="xsd:double"&gt;1.04065&lt;/D&gt;&lt;/FQL&gt;&lt;FQL&gt;&lt;Q&gt;GBPUSD^FG_PRICE(44890)&lt;/Q&gt;&lt;R&gt;1&lt;/R&gt;&lt;C&gt;1&lt;/C&gt;&lt;D xsi:type="xsd:double"&gt;1.2093999&lt;/D&gt;&lt;/FQL&gt;&lt;FQL&gt;&lt;Q&gt;EURUSD^FG_PRICE(44890)&lt;/Q&gt;&lt;R&gt;1&lt;/R&gt;&lt;C&gt;1&lt;/C&gt;&lt;D xsi:type="xsd:double"&gt;1.04065&lt;/D&gt;&lt;/FQL&gt;&lt;FQL&gt;&lt;Q&gt;GBPUSD^FG_PRICE(44889)&lt;/Q&gt;&lt;R&gt;1&lt;/R&gt;&lt;C&gt;1&lt;/C&gt;&lt;D xsi:type="xsd:double"&gt;1.214&lt;/D&gt;&lt;/FQL&gt;&lt;FQL&gt;&lt;Q&gt;EURUSD^FG_PRICE(44889)&lt;/Q&gt;&lt;R&gt;1&lt;/R&gt;&lt;C&gt;1&lt;/C&gt;&lt;D xsi:type="xsd:double"&gt;1.0409501&lt;/D&gt;&lt;/FQL&gt;&lt;FQL&gt;&lt;Q&gt;GBPUSD^FG_PRICE(44888)&lt;/Q&gt;&lt;R&gt;1&lt;/R&gt;&lt;C&gt;1&lt;/C&gt;&lt;D xsi:type="xsd:double"&gt;1.20655&lt;/D&gt;&lt;/FQL&gt;&lt;FQL&gt;&lt;Q&gt;EURUSD^FG_PRICE(44888)&lt;/Q&gt;&lt;R&gt;1&lt;/R&gt;&lt;C&gt;1&lt;/C&gt;&lt;D xsi:type="xsd:double"&gt;1.03745&lt;/D&gt;&lt;/FQL&gt;&lt;FQL&gt;&lt;Q&gt;GBPUSD^FG_PRICE(44887)&lt;/Q&gt;&lt;R&gt;1&lt;/R&gt;&lt;C&gt;1&lt;/C&gt;&lt;D xsi:type="xsd:double"&gt;1.188&lt;/D&gt;&lt;/FQL&gt;&lt;FQL&gt;&lt;Q&gt;EURUSD^FG_PRICE(44887)&lt;/Q&gt;&lt;R&gt;1&lt;/R&gt;&lt;C&gt;1&lt;/C&gt;&lt;D xsi:type="xsd:double"&gt;1.02845&lt;/D&gt;&lt;/FQL&gt;&lt;FQL&gt;&lt;Q&gt;GBPUSD^FG_PRICE(44886)&lt;/Q&gt;&lt;R&gt;1&lt;/R&gt;&lt;C&gt;1&lt;/C&gt;&lt;D xsi:type="xsd:double"&gt;1.17855&lt;/D&gt;&lt;/FQL&gt;&lt;FQL&gt;&lt;Q&gt;EURUSD^FG_PRICE(44886)&lt;/Q&gt;&lt;R&gt;1&lt;/R&gt;&lt;C&gt;1&lt;/C&gt;&lt;D xsi:type="xsd:double"&gt;1.02405&lt;/D&gt;&lt;/FQL&gt;&lt;FQL&gt;&lt;Q&gt;GBPUSD^FG_PRICE(44885)&lt;/Q&gt;&lt;R&gt;1&lt;/R&gt;&lt;C&gt;1&lt;/C&gt;&lt;D xsi:type="xsd:double"&gt;1.1927&lt;/D&gt;&lt;/FQL&gt;&lt;FQL&gt;&lt;Q&gt;EURUSD^FG_PRICE(44885)&lt;/Q&gt;&lt;R&gt;1&lt;/R&gt;&lt;C&gt;1&lt;/C&gt;&lt;D xsi:type="xsd:double"&gt;1.03615&lt;/D&gt;&lt;/FQL&gt;&lt;FQL&gt;&lt;Q&gt;GBPUSD^FG_PRICE(44884)&lt;/Q&gt;&lt;R&gt;1&lt;/R&gt;&lt;C&gt;1&lt;/C&gt;&lt;D xsi:type="xsd:double"&gt;1.1927&lt;/D&gt;&lt;/FQL&gt;&lt;FQL&gt;&lt;Q&gt;EURUSD^FG_PRICE(44884)&lt;/Q&gt;&lt;R&gt;1&lt;/R&gt;&lt;C&gt;1&lt;/C&gt;&lt;D xsi:type="xsd:double"&gt;1.03615&lt;/D&gt;&lt;/FQL&gt;&lt;FQL&gt;&lt;Q&gt;GBPUSD^FG_PRICE(44883)&lt;/Q&gt;&lt;R&gt;1&lt;/R&gt;&lt;C&gt;1&lt;/C&gt;&lt;D xsi:type="xsd:double"&gt;1.1927&lt;/D&gt;&lt;/FQL&gt;&lt;FQL&gt;&lt;Q&gt;EURUSD^FG_PRICE(44883)&lt;/Q&gt;&lt;R&gt;1&lt;/R&gt;&lt;C&gt;1&lt;/C&gt;&lt;D xsi:type="xsd:double"&gt;1.03615&lt;/D&gt;&lt;/FQL&gt;&lt;FQL&gt;&lt;Q&gt;GBPUSD^FG_PRICE(44882)&lt;/Q&gt;&lt;R&gt;1&lt;/R&gt;&lt;C&gt;1&lt;/C&gt;&lt;D xsi:type="xsd:double"&gt;1.1779&lt;/D&gt;&lt;/FQL&gt;&lt;FQL&gt;&lt;Q&gt;EURUSD^FG_PRICE(44882)&lt;/Q&gt;&lt;R&gt;1&lt;/R&gt;&lt;C&gt;1&lt;/C&gt;&lt;D xsi:type="xsd:double"&gt;1.03295&lt;/D&gt;&lt;/FQL&gt;&lt;FQL&gt;&lt;Q&gt;GBPUSD^FG_PRICE(44881)&lt;/Q&gt;&lt;R&gt;1&lt;/R&gt;&lt;C&gt;1&lt;/C&gt;&lt;D xsi:type="xsd:double"&gt;1.1893&lt;/D&gt;&lt;/FQL&gt;&lt;FQL&gt;&lt;Q&gt;EURUSD^FG_PRICE(44881)&lt;/Q&gt;&lt;R&gt;1&lt;/R&gt;&lt;C&gt;1&lt;/C&gt;&lt;D xsi:type="xsd:double"&gt;1.04055&lt;/D&gt;&lt;/FQL&gt;&lt;FQL&gt;&lt;Q&gt;GBPUSD^FG_PRICE(44880)&lt;/Q&gt;&lt;R&gt;1&lt;/R&gt;&lt;C&gt;1&lt;/C&gt;&lt;D xsi:type="xsd:double"&gt;1.1897&lt;/D&gt;&lt;/FQL&gt;&lt;FQL&gt;&lt;Q&gt;EURUSD^FG_PRICE(44880)&lt;/Q&gt;&lt;R&gt;1&lt;/R&gt;&lt;C&gt;1&lt;/C&gt;&lt;D xsi:type="xsd:double"&gt;1.03665&lt;/D&gt;&lt;/FQL&gt;&lt;FQL&gt;&lt;Q&gt;GBPUSD^FG_PRICE(44879)&lt;/Q&gt;&lt;R&gt;1&lt;/R&gt;&lt;C&gt;1&lt;/C&gt;&lt;D xsi:type="xsd:double"&gt;1.1733&lt;/D&gt;&lt;/FQL&gt;&lt;FQL&gt;&lt;Q&gt;EURUSD^FG_PRICE(44879)&lt;/Q&gt;&lt;R&gt;1&lt;/R&gt;&lt;C&gt;1&lt;/C&gt;&lt;D xsi:type="xsd:double"&gt;1.03315&lt;/D&gt;&lt;/FQL&gt;&lt;FQL&gt;&lt;Q&gt;GBPUSD^FG_PRICE(44878)&lt;/Q&gt;&lt;R&gt;1&lt;/R&gt;&lt;C&gt;1&lt;/C&gt;&lt;D xsi:type="xsd:double"&gt;1.1776999&lt;/D&gt;&lt;/FQL&gt;&lt;FQL&gt;&lt;Q&gt;EURUSD^FG_PRICE(44878)&lt;/Q&gt;&lt;R&gt;1&lt;/R&gt;&lt;C&gt;1&lt;/C&gt;&lt;D xsi:type="xsd:double"&gt;1.03265&lt;/D&gt;&lt;/FQL&gt;&lt;FQL&gt;&lt;Q&gt;GBPUSD^FG_PRICE(44877)&lt;/Q&gt;&lt;R&gt;1&lt;/R&gt;&lt;C&gt;1&lt;/C&gt;&lt;D xsi:type="xsd:double"&gt;1.1776999&lt;/D&gt;&lt;/FQL&gt;&lt;FQL&gt;&lt;Q&gt;EURUSD^FG_PRICE(44877)&lt;/Q&gt;&lt;R&gt;1&lt;/R&gt;&lt;C&gt;1&lt;/C&gt;&lt;D xsi:type="xsd:double"&gt;1.03265&lt;/D&gt;&lt;/FQL&gt;&lt;FQL&gt;&lt;Q&gt;GBPUSD^FG_PRICE(44876)&lt;/Q&gt;&lt;R&gt;1&lt;/R&gt;&lt;C&gt;1&lt;/C&gt;&lt;D xsi:type="xsd:double"&gt;1.1776999&lt;/D&gt;&lt;/FQL&gt;&lt;FQL&gt;&lt;Q&gt;EURUSD^FG_PRICE(44876)&lt;/Q&gt;&lt;R&gt;1&lt;/R&gt;&lt;C&gt;1&lt;/C&gt;&lt;D xsi:type="xsd:double"&gt;1.03265&lt;/D&gt;&lt;/FQL&gt;&lt;FQL&gt;&lt;Q&gt;GBPUSD^FG_PRICE(44875)&lt;/Q&gt;&lt;R&gt;1&lt;/R&gt;&lt;C&gt;1&lt;/C&gt;&lt;D xsi:type="xsd:double"&gt;1.1679&lt;/D&gt;&lt;/FQL&gt;&lt;FQL&gt;&lt;Q&gt;EURUSD^FG_PRICE(44875)&lt;/Q&gt;&lt;R&gt;1&lt;/R&gt;&lt;C&gt;1&lt;/C&gt;&lt;D xsi:type="xsd:double"&gt;1.01815&lt;/D&gt;&lt;/FQL&gt;&lt;FQL&gt;&lt;Q&gt;GBPUSD^FG_PRICE(44874)&lt;/Q&gt;&lt;R&gt;1&lt;/R&gt;&lt;C&gt;1&lt;/C&gt;&lt;D xsi:type="xsd:double"&gt;1.13785&lt;/D&gt;&lt;/FQL&gt;&lt;FQL&gt;&lt;Q&gt;EURUSD^FG_PRICE(44874)&lt;/Q&gt;&lt;R&gt;1&lt;/R&gt;&lt;C&gt;1&lt;/C&gt;&lt;D xsi:type="xsd:double"&gt;1.0028499&lt;/D&gt;&lt;/FQL&gt;&lt;FQL&gt;&lt;Q&gt;GBPUSD^FG_PRICE(44873)&lt;/Q&gt;&lt;R&gt;1&lt;/R&gt;&lt;C&gt;1&lt;/C&gt;&lt;D xsi:type="xsd:double"&gt;1.15635&lt;/D&gt;&lt;/FQL&gt;&lt;FQL&gt;&lt;Q&gt;EURUSD^FG_PRICE(44873)&lt;/Q&gt;&lt;R&gt;1&lt;/R&gt;&lt;C&gt;1&lt;/C&gt;&lt;D xsi:type="xsd:double"&gt;1.00665&lt;/D&gt;&lt;/FQL&gt;&lt;FQL&gt;&lt;Q&gt;GBPUSD^FG_PRICE(44872)&lt;/Q&gt;&lt;R&gt;1&lt;/R&gt;&lt;C&gt;1&lt;/C&gt;&lt;D xsi:type="xsd:double"&gt;1.1463&lt;/D&gt;&lt;/FQL&gt;&lt;FQL&gt;&lt;Q&gt;EURUSD^FG_PRICE(44872)&lt;/Q&gt;&lt;R&gt;1&lt;/R&gt;&lt;C&gt;1&lt;/C&gt;&lt;D xsi:type="xsd:double"&gt;0.99995005&lt;/D&gt;&lt;/FQL&gt;&lt;FQL&gt;&lt;Q&gt;GBPUSD^FG_PRICE(44871)&lt;/Q&gt;&lt;R&gt;1&lt;/R&gt;&lt;C&gt;1&lt;/C&gt;&lt;D xsi:type="xsd:double"&gt;1.128&lt;/D&gt;&lt;/FQL&gt;&lt;FQL&gt;&lt;Q&gt;EURUSD^FG_PRICE(44871)&lt;/Q&gt;&lt;R&gt;1&lt;/R&gt;&lt;C&gt;1&lt;/C&gt;&lt;D xsi:type="xsd:double"&gt;0.98954993&lt;/D&gt;&lt;/FQL&gt;&lt;FQL&gt;&lt;Q&gt;GBPUSD^FG_PRICE(44870)&lt;/Q&gt;&lt;R&gt;1&lt;/R&gt;&lt;C&gt;1&lt;/C&gt;&lt;D xsi:type="xsd:double"&gt;1.128&lt;/D&gt;&lt;/FQL&gt;&lt;FQL&gt;&lt;Q&gt;EURUSD^FG_PRICE(44870)&lt;/Q&gt;&lt;R&gt;1&lt;/R&gt;&lt;C&gt;1&lt;/C&gt;&lt;D xsi:type="xsd:double"&gt;0.98954993&lt;/D&gt;&lt;/FQL&gt;&lt;FQL&gt;&lt;Q&gt;GBPUSD^FG_PRICE(44869)&lt;/Q&gt;&lt;R&gt;1&lt;/R&gt;&lt;C&gt;1&lt;/C&gt;&lt;D xsi:type="xsd:double"&gt;1.128&lt;/D&gt;&lt;/FQL&gt;&lt;FQL&gt;&lt;Q&gt;EURUSD^FG_PRICE(44869)&lt;/Q&gt;&lt;R&gt;1&lt;/R&gt;&lt;C&gt;1&lt;/C&gt;&lt;D xsi:type="xsd:double"&gt;0.98954993&lt;/D&gt;&lt;/FQL&gt;&lt;FQL&gt;&lt;Q&gt;GBPUSD^FG_PRICE(44868)&lt;/Q&gt;&lt;R&gt;1&lt;/R&gt;&lt;C&gt;1&lt;/C&gt;&lt;D xsi:type="xsd:double"&gt;1.118&lt;/D&gt;&lt;/FQL&gt;&lt;FQL&gt;&lt;Q&gt;EURUSD^FG_PRICE(44868)&lt;/Q&gt;&lt;R&gt;1&lt;/R&gt;&lt;C&gt;1&lt;/C&gt;&lt;D xsi:type="xsd:double"&gt;0.97585005&lt;/D&gt;&lt;/FQL&gt;&lt;FQL&gt;&lt;Q&gt;GBPUSD^FG_PRICE(44867)&lt;/Q&gt;&lt;R&gt;1&lt;/R&gt;&lt;C&gt;1&lt;/C&gt;&lt;D xsi:type="xsd:double"&gt;1.1463&lt;/D&gt;&lt;/FQL&gt;&lt;FQL&gt;&lt;Q&gt;EURUSD^FG_PRICE(44867)&lt;/Q&gt;&lt;R&gt;1&lt;/R&gt;&lt;C&gt;1&lt;/C&gt;&lt;D xsi:type="xsd:double"&gt;0.9872&lt;/D&gt;&lt;/FQL&gt;&lt;FQL&gt;&lt;Q&gt;GBPUSD^FG_PRICE(44866)&lt;/Q&gt;&lt;R&gt;1&lt;/R&gt;&lt;C&gt;1&lt;/C&gt;&lt;D xsi:type="xsd:double"&gt;1.1461&lt;/D&gt;&lt;/FQL&gt;&lt;FQL&gt;&lt;Q&gt;EURUSD^FG_PRICE(44866)&lt;/Q&gt;&lt;R&gt;1&lt;/R&gt;&lt;C&gt;1&lt;/C&gt;&lt;D xsi:type="xsd:double"&gt;0.98725003&lt;/D&gt;&lt;/FQL&gt;&lt;FQL&gt;&lt;Q&gt;GBPUSD^FG_PRICE(44865)&lt;/Q&gt;&lt;R&gt;1&lt;/R&gt;&lt;C&gt;1&lt;/C&gt;&lt;D xsi:type="xsd:double"&gt;1.15135&lt;/D&gt;&lt;/FQL&gt;&lt;FQL&gt;&lt;Q&gt;EURUSD^FG_PRICE(44865)&lt;/Q&gt;&lt;R&gt;1&lt;/R&gt;&lt;C&gt;1&lt;/C&gt;&lt;D xsi:type="xsd:double"&gt;0.98835003&lt;/D&gt;&lt;/FQL&gt;&lt;FQL&gt;&lt;Q&gt;GBPUSD^FG_PRICE(44864)&lt;/Q&gt;&lt;R&gt;1&lt;/R&gt;&lt;C&gt;1&lt;/C&gt;&lt;D xsi:type="xsd:double"&gt;1.15915&lt;/D&gt;&lt;/FQL&gt;&lt;FQL&gt;&lt;Q&gt;EURUSD^FG_PRICE(44864)&lt;/Q&gt;&lt;R&gt;1&lt;/R&gt;&lt;C&gt;1&lt;/C&gt;&lt;D xsi:type="xsd:double"&gt;0.99495006&lt;/D&gt;&lt;/FQL&gt;&lt;FQL&gt;&lt;Q&gt;GBPUSD^FG_PRICE(44863)&lt;/Q&gt;&lt;R&gt;1&lt;/R&gt;&lt;C&gt;1&lt;/C&gt;&lt;D xsi:type="xsd:double"&gt;1.15915&lt;/D&gt;&lt;/FQL&gt;&lt;FQL&gt;&lt;Q&gt;EURUSD^FG_PRICE(44863)&lt;/Q&gt;&lt;R&gt;1&lt;/R&gt;&lt;C&gt;1&lt;/C&gt;&lt;D xsi:type="xsd:double"&gt;0.99495006&lt;/D&gt;&lt;/FQL&gt;&lt;FQL&gt;&lt;Q&gt;GBPUSD^FG_PRICE(44862)&lt;/Q&gt;&lt;R&gt;1&lt;/R&gt;&lt;C&gt;1&lt;/C&gt;&lt;D xsi:type="xsd:double"&gt;1.15915&lt;/D&gt;&lt;/FQL&gt;&lt;FQL&gt;&lt;Q&gt;EURUSD^FG_PRICE(44862)&lt;/Q&gt;&lt;R&gt;1&lt;/R&gt;&lt;C&gt;1&lt;/C&gt;&lt;D xsi:type="xsd:double"&gt;0.99495006&lt;/D&gt;&lt;/FQL&gt;&lt;FQL&gt;&lt;Q&gt;GBPUSD^FG_PRICE(44861)&lt;/Q&gt;&lt;R&gt;1&lt;/R&gt;&lt;C&gt;1&lt;/C&gt;&lt;D xsi:type="xsd:double"&gt;1.1581&lt;/D&gt;&lt;/FQL&gt;&lt;FQL&gt;&lt;Q&gt;EURUSD^FG_PRICE(44861)&lt;/Q&gt;&lt;R&gt;1&lt;/R&gt;&lt;C&gt;1&lt;/C&gt;&lt;D xsi:type="xsd:double"&gt;0.99974996&lt;/D&gt;&lt;/FQL&gt;&lt;FQL&gt;&lt;Q&gt;GBPUSD^FG_PRICE(44860)&lt;/Q&gt;&lt;R&gt;1&lt;/R&gt;&lt;C&gt;1&lt;/C&gt;&lt;D xsi:type="xsd:double"&gt;1.1604&lt;/D&gt;&lt;/FQL&gt;&lt;FQL&gt;&lt;Q&gt;EURUSD^FG_PRICE(44860)&lt;/Q&gt;&lt;R&gt;1&lt;/R&gt;&lt;C&gt;1&lt;/C&gt;&lt;D xsi:type="xsd:double"&gt;1.00485&lt;/D&gt;&lt;/FQL&gt;&lt;FQL&gt;&lt;Q&gt;GBPUSD^FG_PRICE(44859)&lt;/Q&gt;&lt;R&gt;1&lt;/R&gt;&lt;C&gt;1&lt;/C&gt;&lt;D xsi:type="xsd:double"&gt;1.1461&lt;/D&gt;&lt;/FQL&gt;&lt;FQL&gt;&lt;Q&gt;EURUSD^FG_PRICE(44859)&lt;/Q&gt;&lt;R&gt;1&lt;/R&gt;&lt;C&gt;1&lt;/C&gt;&lt;D xsi:type="xsd:double"&gt;0.99584997&lt;/D&gt;&lt;/FQL&gt;&lt;FQL&gt;&lt;Q&gt;GBPUSD^FG_PRICE(44858)&lt;/Q&gt;&lt;R&gt;1&lt;/R&gt;&lt;C&gt;1&lt;/C&gt;&lt;D xsi:type="xsd:double"&gt;1.1314&lt;/D&gt;&lt;/FQL&gt;&lt;FQL&gt;&lt;Q&gt;EURUSD^FG_PRICE(44858)&lt;/Q&gt;&lt;R&gt;1&lt;/R&gt;&lt;C&gt;1&lt;/C&gt;&lt;D xsi:type="xsd:double"&gt;0.98844993&lt;/D&gt;&lt;/FQL&gt;&lt;FQL&gt;&lt;Q&gt;GBPUSD^FG_PRICE(44857)&lt;/Q&gt;&lt;R&gt;1&lt;/R&gt;&lt;C&gt;1&lt;/C&gt;&lt;D xsi:type="xsd:double"&gt;1.1165999&lt;/D&gt;&lt;/FQL&gt;&lt;FQL&gt;&lt;Q&gt;EURUSD^FG_PRICE(44857)&lt;/Q&gt;&lt;R&gt;1&lt;/R&gt;&lt;C&gt;1&lt;/C&gt;&lt;D xsi:type="xsd:double"&gt;0.97965&lt;/D&gt;&lt;/FQL&gt;&lt;FQL&gt;&lt;Q&gt;GBPUSD^FG_PRICE(44856)&lt;/Q&gt;&lt;R&gt;1&lt;/R&gt;&lt;C&gt;1&lt;/C&gt;&lt;D xsi:type="xsd:double"&gt;1.1165999&lt;/D&gt;&lt;/FQL&gt;&lt;FQL&gt;&lt;Q&gt;EURUSD^FG_PRICE(44856)&lt;/Q&gt;&lt;R&gt;1&lt;/R&gt;&lt;C&gt;1&lt;/C&gt;&lt;D xsi:type="xsd:double"&gt;0.97965&lt;/D&gt;&lt;/FQL&gt;&lt;FQL&gt;&lt;Q&gt;GBPUSD^FG_PRICE(44855)&lt;/Q&gt;&lt;R&gt;1&lt;/R&gt;&lt;C&gt;1&lt;/C&gt;&lt;D xsi:type="xsd:double"&gt;1.1165999&lt;/D&gt;&lt;/FQL&gt;&lt;FQL&gt;&lt;Q&gt;EURUSD^FG_PRICE(44855)&lt;/Q&gt;&lt;R&gt;1&lt;/R&gt;&lt;C&gt;1&lt;/C&gt;&lt;D xsi:type="xsd:double"&gt;0.97965&lt;/D&gt;&lt;/FQL&gt;&lt;FQL&gt;&lt;Q&gt;GBPUSD^FG_PRICE(44854)&lt;/Q&gt;&lt;R&gt;1&lt;/R&gt;&lt;C&gt;1&lt;/C&gt;&lt;D xsi:type="xsd:double"&gt;1.1322&lt;/D&gt;&lt;/FQL&gt;&lt;FQL&gt;&lt;Q&gt;EURUSD^FG_PRICE(44854)&lt;/Q&gt;&lt;R&gt;1&lt;/R&gt;&lt;C&gt;1&lt;/C&gt;&lt;D xsi:type="xsd:double"&gt;0.98434997&lt;/D&gt;&lt;/FQL&gt;&lt;FQL&gt;&lt;Q&gt;GBPUSD^FG_PRICE(44853)&lt;/Q&gt;&lt;R&gt;1&lt;/R&gt;&lt;C&gt;1&lt;/C&gt;&lt;D xsi:type="xsd:double"&gt;1.1259&lt;/D&gt;&lt;/FQL&gt;&lt;FQL&gt;&lt;Q&gt;EURUSD^FG_PRICE(44853)&lt;/Q&gt;&lt;R&gt;1&lt;/R&gt;&lt;C&gt;1&lt;/C&gt;&lt;D xsi:type="xsd:double"&gt;0.97905&lt;/D&gt;&lt;/FQL&gt;&lt;FQL&gt;&lt;Q&gt;GBPUSD^FG_PRICE(44852)&lt;/Q&gt;&lt;R&gt;1&lt;/R&gt;&lt;C&gt;1&lt;/C&gt;&lt;D xsi:type="xsd:double"&gt;1.13185&lt;/D&gt;&lt;/FQL&gt;&lt;FQL&gt;&lt;Q&gt;EURUSD^FG_PRICE(44852)&lt;/Q&gt;&lt;R&gt;1&lt;/R&gt;&lt;C&gt;1&lt;/C&gt;&lt;D xsi:type="xsd:double"&gt;0.98505&lt;/D&gt;&lt;/FQL&gt;&lt;FQL&gt;&lt;Q&gt;GBPUSD^FG_PRICE(44851)&lt;/Q&gt;&lt;R&gt;1&lt;/R&gt;&lt;C&gt;1&lt;/C&gt;&lt;D xsi:type="xsd:double"&gt;1.1431&lt;/D&gt;&lt;/FQL&gt;&lt;FQL&gt;&lt;Q&gt;EURUSD^FG_PRICE(44851)&lt;/Q&gt;&lt;R&gt;1&lt;/R&gt;&lt;C&gt;1&lt;/C&gt;&lt;D xsi:type="xsd:double"&gt;0.98165005&lt;/D&gt;&lt;/FQL&gt;&lt;FQL&gt;&lt;Q&gt;GBPUSD^FG_PRICE(44850)&lt;/Q&gt;&lt;R&gt;1&lt;/R&gt;&lt;C&gt;1&lt;/C&gt;&lt;D xsi:type="xsd:double"&gt;1.12535&lt;/D&gt;&lt;/FQL&gt;&lt;FQL&gt;&lt;Q&gt;EURUSD^FG_PRICE(44850)&lt;/Q&gt;&lt;R&gt;1&lt;/R&gt;&lt;C&gt;1&lt;/C&gt;&lt;D xsi:type="xsd:double"&gt;0.97535&lt;/D&gt;&lt;/FQL&gt;&lt;FQL&gt;&lt;Q&gt;GBPUSD^FG_PRICE(44849)&lt;/Q&gt;&lt;R&gt;1&lt;/R&gt;&lt;C&gt;1&lt;/C&gt;&lt;D xsi:type="xsd:double"&gt;1.12535&lt;/D&gt;&lt;/FQL&gt;&lt;FQL&gt;&lt;Q&gt;EURUSD^FG_PRICE(44849)&lt;/Q&gt;&lt;R&gt;1&lt;/R&gt;&lt;C&gt;1&lt;/C&gt;&lt;D xsi:type="xsd:double"&gt;0.97535&lt;/D&gt;&lt;/FQL&gt;&lt;FQL&gt;&lt;Q&gt;GBPUSD^FG_PRICE(44848)&lt;/Q&gt;&lt;R&gt;1&lt;/R&gt;&lt;C&gt;1&lt;/C&gt;&lt;D xsi:type="xsd:double"&gt;1.12535&lt;/D&gt;&lt;/FQL&gt;&lt;FQL&gt;&lt;Q&gt;EURUSD^FG_PRICE(44848)&lt;/Q&gt;&lt;R&gt;1&lt;/R&gt;&lt;C&gt;1&lt;/C&gt;&lt;D xsi:type="xsd:double"&gt;0.97535&lt;/D&gt;&lt;/FQL&gt;&lt;FQL&gt;&lt;Q&gt;GBPUSD^FG_PRICE(44847)&lt;/Q&gt;&lt;R&gt;1&lt;/R&gt;&lt;C&gt;1&lt;/C&gt;&lt;D xsi:type="xsd:double"&gt;1.1235&lt;/D&gt;&lt;/FQL&gt;&lt;FQL&gt;&lt;Q&gt;EURUSD^FG_PRICE(44847)&lt;/Q&gt;&lt;R&gt;1&lt;/R&gt;&lt;C&gt;1&lt;/C&gt;&lt;D xsi:type="xsd:double"&gt;0.97165&lt;/D&gt;&lt;/FQL&gt;&lt;FQL&gt;&lt;Q&gt;GBPUSD^FG_PRICE(44846)&lt;/Q&gt;&lt;R&gt;1&lt;/R&gt;&lt;C&gt;1&lt;/C&gt;&lt;D xsi:type="xsd:double"&gt;1.1072&lt;/D&gt;&lt;/FQL&gt;&lt;FQL&gt;&lt;Q&gt;EURUSD^FG_PRICE(44846)&lt;/Q&gt;&lt;R&gt;1&lt;/R&gt;&lt;C&gt;1&lt;/C&gt;&lt;D xsi:type="xsd:double"&gt;0.97005&lt;/D&gt;&lt;/FQL&gt;&lt;FQL&gt;&lt;Q&gt;GBPUSD^FG_PRICE(44845)&lt;/Q&gt;&lt;R&gt;1&lt;/R&gt;&lt;C&gt;1&lt;/C&gt;&lt;D xsi:type="xsd:double"&gt;1.1086&lt;/D&gt;&lt;/FQL&gt;&lt;FQL&gt;&lt;Q&gt;EURUSD^FG_PRICE(44845)&lt;/Q&gt;&lt;R&gt;1&lt;/R&gt;&lt;C&gt;1&lt;/C&gt;&lt;D xsi:type="xsd:double"&gt;0.9709&lt;/D&gt;&lt;/FQL&gt;&lt;FQL&gt;&lt;Q&gt;GBPUSD^FG_PRICE(44844)&lt;/Q&gt;&lt;R&gt;1&lt;/R&gt;&lt;C&gt;1&lt;/C&gt;&lt;D xsi:type="xsd:double"&gt;1.1048&lt;/D&gt;&lt;/FQL&gt;&lt;FQL&gt;&lt;Q&gt;EURUSD^FG_PRICE(44844)&lt;/Q&gt;&lt;R&gt;1&lt;/R&gt;&lt;C&gt;1&lt;/C&gt;&lt;D xsi:type="xsd:double"&gt;0.97025&lt;/D&gt;&lt;/FQL&gt;&lt;FQL&gt;&lt;Q&gt;GBPUSD^FG_PRICE(44843)&lt;/Q&gt;&lt;R&gt;1&lt;/R&gt;&lt;C&gt;1&lt;/C&gt;&lt;D xsi:type="xsd:double"&gt;1.11335&lt;/D&gt;&lt;/FQL&gt;&lt;FQL&gt;&lt;Q&gt;EURUSD^FG_PRICE(44843)&lt;/Q&gt;&lt;R&gt;1&lt;/R&gt;&lt;C&gt;1&lt;/C&gt;&lt;D xsi:type="xsd:double"&gt;0.97854996&lt;/D&gt;&lt;/FQL&gt;&lt;FQL&gt;&lt;Q&gt;GBPUSD^FG_PRICE(44842)&lt;/Q&gt;&lt;R&gt;1&lt;/R&gt;&lt;C&gt;1&lt;/C&gt;&lt;D xsi:type="xsd:double"&gt;1.11335&lt;/D&gt;&lt;/FQL&gt;&lt;FQL&gt;&lt;Q&gt;EURUSD^FG_PRICE(44842)&lt;/Q&gt;&lt;R&gt;1&lt;/R&gt;&lt;C&gt;1&lt;/C&gt;&lt;D xsi:type="xsd:double"&gt;0.97854996&lt;/D&gt;&lt;/FQL&gt;&lt;FQL&gt;&lt;Q&gt;GBPUSD^FG_PRICE(44841)&lt;/Q&gt;&lt;R&gt;1&lt;/R&gt;&lt;C&gt;1&lt;/C&gt;&lt;D xsi:type="xsd:double"&gt;1.11335&lt;/D&gt;&lt;/FQL&gt;&lt;FQL&gt;&lt;Q&gt;EURUSD^FG_PRICE(44841)&lt;/Q&gt;&lt;R&gt;1&lt;/R&gt;&lt;C&gt;1&lt;/C&gt;&lt;D xsi:type="xsd:double"&gt;0.97854996&lt;/D&gt;&lt;/FQL&gt;&lt;FQL&gt;&lt;Q&gt;GBPUSD^FG_PRICE(44840)&lt;/Q&gt;&lt;R&gt;1&lt;/R&gt;&lt;C&gt;1&lt;/C&gt;&lt;D xsi:type="xsd:double"&gt;1.1195&lt;/D&gt;&lt;/FQL&gt;&lt;FQL&gt;&lt;Q&gt;EURUSD^FG_PRICE(44840)&lt;/Q&gt;&lt;R&gt;1&lt;/R&gt;&lt;C&gt;1&lt;/C&gt;&lt;D xsi:type="xsd:double"&gt;0.98415&lt;/D&gt;&lt;/FQL&gt;&lt;FQL&gt;&lt;Q&gt;GBPUSD^FG_PRICE(44839)&lt;/Q&gt;&lt;R&gt;1&lt;/R&gt;&lt;C&gt;1&lt;/C&gt;&lt;D xsi:type="xsd:double"&gt;1.1244&lt;/D&gt;&lt;/FQL&gt;&lt;FQL&gt;&lt;Q&gt;EURUSD^FG_PRICE(44839)&lt;/Q&gt;&lt;R&gt;1&lt;/R&gt;&lt;C&gt;1&lt;/C&gt;&lt;D xsi:type="xsd:double"&gt;0.98555&lt;/D&gt;&lt;/FQL&gt;&lt;FQL&gt;&lt;Q&gt;GBPUSD^FG_PRICE(44838)&lt;/Q&gt;&lt;R&gt;1&lt;/R&gt;&lt;C&gt;1&lt;/C&gt;&lt;D xsi:type="xsd:double"&gt;1.1403&lt;/D&gt;&lt;/FQL&gt;&lt;FQL&gt;&lt;Q&gt;EURUSD^FG_PRICE(44838)&lt;/Q&gt;&lt;R&gt;1&lt;/R&gt;&lt;C&gt;1&lt;/C&gt;&lt;D xsi:type="xsd:double"&gt;0.99565&lt;/D&gt;&lt;/FQL&gt;&lt;FQL&gt;&lt;Q&gt;GBPUSD^FG_PRICE(44837)&lt;/Q&gt;&lt;R&gt;1&lt;/R&gt;&lt;C&gt;1&lt;/C&gt;&lt;D xsi:type="xsd:double"&gt;1.128&lt;/D&gt;&lt;/FQL&gt;&lt;FQL&gt;&lt;Q&gt;EURUSD^FG_PRICE(44837)&lt;/Q&gt;&lt;R&gt;1&lt;/R&gt;&lt;C&gt;1&lt;/C&gt;&lt;D xsi:type="xsd:double"&gt;0.98175&lt;/D&gt;&lt;/FQL&gt;&lt;FQL&gt;&lt;Q&gt;GBPUSD^FG_PRICE(44836)&lt;/Q&gt;&lt;R&gt;1&lt;/R&gt;&lt;C&gt;1&lt;/C&gt;&lt;D xsi:type="xsd:double"&gt;1.1163&lt;/D&gt;&lt;/FQL&gt;&lt;FQL&gt;&lt;Q&gt;EURUSD^FG_PRICE(44836)&lt;/Q&gt;&lt;R&gt;1&lt;/R&gt;&lt;C&gt;1&lt;/C&gt;&lt;D xsi:type="xsd:double"&gt;0.97965&lt;/D&gt;&lt;/FQL&gt;&lt;FQL&gt;&lt;Q&gt;GBPUSD^FG_PRICE(44835)&lt;/Q&gt;&lt;R&gt;1&lt;/R&gt;&lt;C&gt;1&lt;/C&gt;&lt;D xsi:type="xsd:double"&gt;1.1163&lt;/D&gt;&lt;/FQL&gt;&lt;FQL&gt;&lt;Q&gt;EURUSD^FG_PRICE(44835)&lt;/Q&gt;&lt;R&gt;1&lt;/R&gt;&lt;C&gt;1&lt;/C&gt;&lt;D xsi:type="xsd:double"&gt;0.97965&lt;/D&gt;&lt;/FQL&gt;&lt;FQL&gt;&lt;Q&gt;GBPUSD^FG_PRICE(44834)&lt;/Q&gt;&lt;R&gt;1&lt;/R&gt;&lt;C&gt;1&lt;/C&gt;&lt;D xsi:type="xsd:double"&gt;1.1163&lt;/D&gt;&lt;/FQL&gt;&lt;FQL&gt;&lt;Q&gt;GBPUSD^FG_PRICE(44830)&lt;/Q&gt;&lt;R&gt;1&lt;/R&gt;&lt;C&gt;1&lt;/C&gt;&lt;D xsi:type="xsd:double"&gt;1.0791&lt;/D&gt;&lt;/FQL&gt;&lt;FQL&gt;&lt;Q&gt;GBPUSD^FG_PRICE(44826)&lt;/Q&gt;&lt;R&gt;1&lt;/R&gt;&lt;C&gt;1&lt;/C&gt;&lt;D xsi:type="xsd:double"&gt;1.1262&lt;/D&gt;&lt;/FQL&gt;&lt;FQL&gt;&lt;Q&gt;GBPUSD^FG_PRICE(44822)&lt;/Q&gt;&lt;R&gt;1&lt;/R&gt;&lt;C&gt;1&lt;/C&gt;&lt;D xsi:type="xsd:double"&gt;1.1432999&lt;/D&gt;&lt;/FQL&gt;&lt;FQL&gt;&lt;Q&gt;GBPUSD^FG_PRICE(44818)&lt;/Q&gt;&lt;R&gt;1&lt;/R&gt;&lt;C&gt;1&lt;/C&gt;&lt;D xsi:type="xsd:double"&gt;1.15795&lt;/D&gt;&lt;/FQL&gt;&lt;FQL&gt;&lt;Q&gt;GBPUSD^FG_PRICE(44814)&lt;/Q&gt;&lt;R&gt;1&lt;/R&gt;&lt;C&gt;1&lt;/C&gt;&lt;D xsi:type="xsd:double"&gt;1.1582&lt;/D&gt;&lt;/FQL&gt;&lt;FQL&gt;&lt;Q&gt;GBPUSD^FG_PRICE(44810)&lt;/Q&gt;&lt;R&gt;1&lt;/R&gt;&lt;C&gt;1&lt;/C&gt;&lt;D xsi:type="xsd:double"&gt;1.1529&lt;/D&gt;&lt;/FQL&gt;&lt;FQL&gt;&lt;Q&gt;GBPUSD^FG_PRICE(44806)&lt;/Q&gt;&lt;R&gt;1&lt;/R&gt;&lt;C&gt;1&lt;/C&gt;&lt;D xsi:type="xsd:double"&gt;1.15835&lt;/D&gt;&lt;/FQL&gt;&lt;FQL&gt;&lt;Q&gt;GBPUSD^FG_PRICE(44802)&lt;/Q&gt;&lt;R&gt;1&lt;/R&gt;&lt;C&gt;1&lt;/C&gt;&lt;D xsi:type="xsd:double"&gt;1.16925&lt;/D&gt;&lt;/FQL&gt;&lt;FQL&gt;&lt;Q&gt;GBPUSD^FG_PRICE(44798)&lt;/Q&gt;&lt;R&gt;1&lt;/R&gt;&lt;C&gt;1&lt;/C&gt;&lt;D xsi:type="xsd:double"&gt;1.1825&lt;/D&gt;&lt;/FQL&gt;&lt;FQL&gt;&lt;Q&gt;GBPUSD^FG_PRICE(44794)&lt;/Q&gt;&lt;R&gt;1&lt;/R&gt;&lt;C&gt;1&lt;/C&gt;&lt;D xsi:type="xsd:double"&gt;1.1803&lt;/D&gt;&lt;/FQL&gt;&lt;FQL&gt;&lt;Q&gt;GBPUSD^FG_PRICE(44790)&lt;/Q&gt;&lt;R&gt;1&lt;/R&gt;&lt;C&gt;1&lt;/C&gt;&lt;D xsi:type="xsd:double"&gt;1.2044&lt;/D&gt;&lt;/FQL&gt;&lt;FQL&gt;&lt;Q&gt;GBPUSD^FG_PRICE(44786)&lt;/Q&gt;&lt;R&gt;1&lt;/R&gt;&lt;C&gt;1&lt;/C&gt;&lt;D xsi:type="xsd:double"&gt;1.21175&lt;/D&gt;&lt;/FQL&gt;&lt;FQL&gt;&lt;Q&gt;GBPUSD^FG_PRICE(44782)&lt;/Q&gt;&lt;R&gt;1&lt;/R&gt;&lt;C&gt;1&lt;/C&gt;&lt;D xsi:type="xsd:double"&gt;1.20875&lt;/D&gt;&lt;/FQL&gt;&lt;FQL&gt;&lt;Q&gt;GBPUSD^FG_PRICE(44778)&lt;/Q&gt;&lt;R&gt;1&lt;/R&gt;&lt;C&gt;1&lt;/C&gt;&lt;D xsi:type="xsd:double"&gt;1.20595&lt;/D&gt;&lt;/FQL&gt;&lt;FQL&gt;&lt;Q&gt;GBPUSD^FG_PRICE(44774)&lt;/Q&gt;&lt;R&gt;1&lt;/R&gt;&lt;C&gt;1&lt;/C&gt;&lt;D xsi:type="xsd:double"&gt;1.2282001&lt;/D&gt;&lt;/FQL&gt;&lt;FQL&gt;&lt;Q&gt;GBPUSD^FG_PRICE(44770)&lt;/Q&gt;&lt;R&gt;1&lt;/R&gt;&lt;C&gt;1&lt;/C&gt;&lt;D xsi:type="xsd:double"&gt;1.2129999&lt;/D&gt;&lt;/FQL&gt;&lt;FQL&gt;&lt;Q&gt;GBPUSD^FG_PRICE(44766)&lt;/Q&gt;&lt;R&gt;1&lt;/R&gt;&lt;C&gt;1&lt;/C&gt;&lt;D xsi:type="xsd:double"&gt;1.20415&lt;/D&gt;&lt;/FQL&gt;&lt;FQL&gt;&lt;Q&gt;GBPUSD^FG_PRICE(44762)&lt;/Q&gt;&lt;R&gt;1&lt;/R&gt;&lt;C&gt;1&lt;/C&gt;&lt;D xsi:type="xsd:double"&gt;1.19965&lt;/D&gt;&lt;/FQL&gt;&lt;FQL&gt;&lt;Q&gt;GBPUSD^FG_PRICE(44758)&lt;/Q&gt;&lt;R&gt;1&lt;/R&gt;&lt;C&gt;1&lt;/C&gt;&lt;D xsi:type="xsd:double"&gt;1.18505&lt;/D&gt;&lt;/FQL&gt;&lt;FQL&gt;&lt;Q&gt;GBPUSD^FG_PRICE(44754)&lt;/Q&gt;&lt;R&gt;1&lt;/R&gt;&lt;C&gt;1&lt;/C&gt;&lt;D xsi:type="xsd:double"&gt;1.1889&lt;/D&gt;&lt;/FQL&gt;&lt;FQL&gt;&lt;Q&gt;GBPUSD^FG_PRICE(44750)&lt;/Q&gt;&lt;R&gt;1&lt;/R&gt;&lt;C&gt;1&lt;/C&gt;&lt;D xsi:type="xsd:double"&gt;1.2026&lt;/D&gt;&lt;/FQL&gt;&lt;FQL&gt;&lt;Q&gt;GBPUSD^FG_PRICE(44746)&lt;/Q&gt;&lt;R&gt;1&lt;/R&gt;&lt;C&gt;1&lt;/C&gt;&lt;D xsi:type="xsd:double"&gt;1.2116001&lt;/D&gt;&lt;/FQL&gt;&lt;FQL&gt;&lt;Q&gt;GBPUSD^FG_PRICE(44742)&lt;/Q&gt;&lt;R&gt;1&lt;/R&gt;&lt;C&gt;1&lt;/C&gt;&lt;D xsi:type="xsd:double"&gt;1.21445&lt;/D&gt;&lt;/FQL&gt;&lt;FQL&gt;&lt;Q&gt;GBPUSD^FG_PRICE(44738)&lt;/Q&gt;&lt;R&gt;1&lt;/R&gt;&lt;C&gt;1&lt;/C&gt;&lt;D xsi:type="xsd:double"&gt;1.2290001&lt;/D&gt;&lt;/FQL&gt;&lt;FQL&gt;&lt;Q&gt;GBPUSD^FG_PRICE(44734)&lt;/Q&gt;&lt;R&gt;1&lt;/R&gt;&lt;C&gt;1&lt;/C&gt;&lt;D xsi:type="xsd:double"&gt;1.2308999&lt;/D&gt;&lt;/FQL&gt;&lt;FQL&gt;&lt;Q&gt;GBPUSD^FG_PRICE(44730)&lt;/Q&gt;&lt;R&gt;1&lt;/R&gt;&lt;C&gt;1&lt;/C&gt;&lt;D xsi:type="xsd:double"&gt;1.21805&lt;/D&gt;&lt;/FQL&gt;&lt;FQL&gt;&lt;Q&gt;GBPUSD^FG_PRICE(44726)&lt;/Q&gt;&lt;R&gt;1&lt;/R&gt;&lt;C&gt;1&lt;/C&gt;&lt;D xsi:type="xsd:double"&gt;1.2004501&lt;/D&gt;&lt;/FQL&gt;&lt;FQL&gt;&lt;Q&gt;GBPUSD^FG_PRICE(44722)&lt;/Q&gt;&lt;R&gt;1&lt;/R&gt;&lt;C&gt;1&lt;/C&gt;&lt;D xsi:type="xsd:double"&gt;1.2342&lt;/D&gt;&lt;/FQL&gt;&lt;FQL&gt;&lt;Q&gt;GBPUSD^FG_PRICE(44718)&lt;/Q&gt;&lt;R&gt;1&lt;/R&gt;&lt;C&gt;1&lt;/C&gt;&lt;D xsi:type="xsd:double"&gt;1.2557&lt;/D&gt;&lt;/FQL&gt;&lt;FQL&gt;&lt;Q&gt;GBPUSD^FG_PRICE(44714)&lt;/Q&gt;&lt;R&gt;1&lt;/R&gt;&lt;C&gt;1&lt;/C&gt;&lt;D xsi:type="xsd:double"&gt;1.2544&lt;/D&gt;&lt;/FQL&gt;&lt;FQL&gt;&lt;Q&gt;GBPUSD^FG_PRICE(44710)&lt;/Q&gt;&lt;R&gt;1&lt;/R&gt;&lt;C&gt;1&lt;/C&gt;&lt;D xsi:type="xsd:double"&gt;1.26145&lt;/D&gt;&lt;/FQL&gt;&lt;FQL&gt;&lt;Q&gt;GBPUSD^FG_PRICE(44706)&lt;/Q&gt;&lt;R&gt;1&lt;/R&gt;&lt;C&gt;1&lt;/C&gt;&lt;D xsi:type="xsd:double"&gt;1.25455&lt;/D&gt;&lt;/FQL&gt;&lt;FQL&gt;&lt;Q&gt;GBPUSD^FG_PRICE(44702)&lt;/Q&gt;&lt;R&gt;1&lt;/R&gt;&lt;C&gt;1&lt;/C&gt;&lt;D xsi:type="xsd:double"&gt;1.2467&lt;/D&gt;&lt;/FQL&gt;&lt;FQL&gt;&lt;Q&gt;GBPUSD^FG_PRICE(44698)&lt;/Q&gt;&lt;R&gt;1&lt;/R&gt;&lt;C&gt;1&lt;/C&gt;&lt;D xsi:type="xsd:double"&gt;1.24705&lt;/D&gt;&lt;/FQL&gt;&lt;FQL&gt;&lt;Q&gt;GBPUSD^FG_PRICE(44694)&lt;/Q&gt;&lt;R&gt;1&lt;/R&gt;&lt;C&gt;1&lt;/C&gt;&lt;D xsi:type="xsd:double"&gt;1.22205&lt;/D&gt;&lt;/FQL&gt;&lt;FQL&gt;&lt;Q&gt;GBPUSD^FG_PRICE(44690)&lt;/Q&gt;&lt;R&gt;1&lt;/R&gt;&lt;C&gt;1&lt;/C&gt;&lt;D xsi:type="xsd:double"&gt;1.23065&lt;/D&gt;&lt;/FQL&gt;&lt;FQL&gt;&lt;Q&gt;GBPUSD^FG_PRICE(44686)&lt;/Q&gt;&lt;R&gt;1&lt;/R&gt;&lt;C&gt;1&lt;/C&gt;&lt;D xsi:type="xsd:double"&gt;1.23735&lt;/D&gt;&lt;/FQL&gt;&lt;FQL&gt;&lt;Q&gt;GBPUSD^FG_PRICE(44682)&lt;/Q&gt;&lt;R&gt;1&lt;/R&gt;&lt;C&gt;1&lt;/C&gt;&lt;D xsi:type="xsd:double"&gt;1.2555&lt;/D&gt;&lt;/FQL&gt;&lt;FQL&gt;&lt;Q&gt;GBPUSD^FG_PRICE(44678)&lt;/Q&gt;&lt;R&gt;1&lt;/R&gt;&lt;C&gt;1&lt;/C&gt;&lt;D xsi:type="xsd:double"&gt;1.25045&lt;/D&gt;&lt;/FQL&gt;&lt;FQL&gt;&lt;Q&gt;GBPUSD^FG_PRICE(44674)&lt;/Q&gt;&lt;R&gt;1&lt;/R&gt;&lt;C&gt;1&lt;/C&gt;&lt;D xsi:type="xsd:double"&gt;1.28425&lt;/D&gt;&lt;/FQL&gt;&lt;FQL&gt;&lt;Q&gt;GBPUSD^FG_PRICE(44670)&lt;/Q&gt;&lt;R&gt;1&lt;/R&gt;&lt;C&gt;1&lt;/C&gt;&lt;D xsi:type="xsd:double"&gt;1.2990999&lt;/D&gt;&lt;/FQL&gt;&lt;FQL&gt;&lt;Q&gt;GBPUSD^FG_PRICE(44666)&lt;/Q&gt;&lt;R&gt;1&lt;/R&gt;&lt;C&gt;1&lt;/C&gt;&lt;D xsi:type="xsd:double"&gt;1.3045499&lt;/D&gt;&lt;/FQL&gt;&lt;FQL&gt;&lt;Q&gt;GBPUSD^FG_PRICE(44662)&lt;/Q&gt;&lt;R&gt;1&lt;/R&gt;&lt;C&gt;1&lt;/C&gt;&lt;D xsi:type="xsd:double"&gt;1.30415&lt;/D&gt;&lt;/FQL&gt;&lt;FQL&gt;&lt;Q&gt;GBPUSD^FG_PRICE(44658)&lt;/Q&gt;&lt;R&gt;1&lt;/R&gt;&lt;C&gt;1&lt;/C&gt;&lt;D xsi:type="xsd:double"&gt;1.30665&lt;/D&gt;&lt;/FQL&gt;&lt;FQL&gt;&lt;Q&gt;GBPUSD^FG_PRICE(44654)&lt;/Q&gt;&lt;R&gt;1&lt;/R&gt;&lt;C&gt;1&lt;/C&gt;&lt;D xsi:type="xsd:double"&gt;1.31075&lt;/D&gt;&lt;/FQL&gt;&lt;FQL&gt;&lt;Q&gt;GBPUSD^FG_PRICE(44650)&lt;/Q&gt;&lt;R&gt;1&lt;/R&gt;&lt;C&gt;1&lt;/C&gt;&lt;D xsi:type="xsd:double"&gt;1.3174001&lt;/D&gt;&lt;/FQL&gt;&lt;FQL&gt;&lt;Q&gt;GBPUSD^FG_PRICE(44646)&lt;/Q&gt;&lt;R&gt;1&lt;/R&gt;&lt;C&gt;1&lt;/C&gt;&lt;D xsi:type="xsd:double"&gt;1.3192999&lt;/D&gt;&lt;/FQL&gt;&lt;FQL&gt;&lt;Q&gt;GBPUSD^FG_PRICE(44642)&lt;/Q&gt;&lt;R&gt;1&lt;/R&gt;&lt;C&gt;1&lt;/C&gt;&lt;D xsi:type="xsd:double"&gt;1.32595&lt;/D&gt;&lt;/FQL&gt;&lt;FQL&gt;&lt;Q&gt;GBPUSD^FG_PRICE(44638)&lt;/Q&gt;&lt;R&gt;1&lt;/R&gt;&lt;C&gt;1&lt;/C&gt;&lt;D xsi:type="xsd:double"&gt;1.31695&lt;/D&gt;&lt;/FQL&gt;&lt;FQL&gt;&lt;Q&gt;GBPUSD^FG_PRICE(44634)&lt;/Q&gt;&lt;R&gt;1&lt;/R&gt;&lt;C&gt;1&lt;/C&gt;&lt;D xsi:type="xsd:double"&gt;1.3048&lt;/D&gt;&lt;/FQL&gt;&lt;FQL&gt;&lt;Q&gt;GBPUSD^FG_PRICE(44630)&lt;/Q&gt;&lt;R&gt;1&lt;/R&gt;&lt;C&gt;1&lt;/C&gt;&lt;D xsi:type="xsd:double"&gt;1.31285&lt;/D&gt;&lt;/FQL&gt;&lt;FQL&gt;&lt;Q&gt;GBPUSD^FG_PRICE(44626)&lt;/Q&gt;&lt;R&gt;1&lt;/R&gt;&lt;C&gt;1&lt;/C&gt;&lt;D xsi:type="xsd:double"&gt;1.3218&lt;/D&gt;&lt;/FQL&gt;&lt;FQL&gt;&lt;Q&gt;GBPUSD^FG_PRICE(44622)&lt;/Q&gt;&lt;R&gt;1&lt;/R&gt;&lt;C&gt;1&lt;/C&gt;&lt;D xsi:type="xsd:double"&gt;1.33135&lt;/D&gt;&lt;/FQL&gt;&lt;FQL&gt;&lt;Q&gt;GBPUSD^FG_PRICE(44618)&lt;/Q&gt;&lt;R&gt;1&lt;/R&gt;&lt;C&gt;1&lt;/C&gt;&lt;D xsi:type="xsd:double"&gt;1.3417499&lt;/D&gt;&lt;/FQL&gt;&lt;FQL&gt;&lt;Q&gt;GBPUSD^FG_PRICE(44614)&lt;/Q&gt;&lt;R&gt;1&lt;/R&gt;&lt;C&gt;1&lt;/C&gt;&lt;D xsi:type="xsd:double"&gt;1.35955&lt;/D&gt;&lt;/FQL&gt;&lt;FQL&gt;&lt;Q&gt;GBPUSD^FG_PRICE(44610)&lt;/Q&gt;&lt;R&gt;1&lt;/R&gt;&lt;C&gt;1&lt;/C&gt;&lt;D xsi:type="xsd:double"&gt;1.35835&lt;/D&gt;&lt;/FQL&gt;&lt;FQL&gt;&lt;Q&gt;GBPUSD^FG_PRICE(44606)&lt;/Q&gt;&lt;R&gt;1&lt;/R&gt;&lt;C&gt;1&lt;/C&gt;&lt;D xsi:type="xsd:double"&gt;1.3512001&lt;/D&gt;&lt;/FQL&gt;&lt;FQL&gt;&lt;Q&gt;GBPUSD^FG_PRICE(44602)&lt;/Q&gt;&lt;R&gt;1&lt;/R&gt;&lt;C&gt;1&lt;/C&gt;&lt;D xsi:type="xsd:double"&gt;1.36165&lt;/D&gt;&lt;/FQL&gt;&lt;FQL&gt;&lt;Q&gt;GBPUSD^FG_PRICE(44598)&lt;/Q&gt;&lt;R&gt;1&lt;/R&gt;&lt;C&gt;1&lt;/C&gt;&lt;D xsi:type="xsd:double"&gt;1.35315&lt;/D&gt;&lt;/FQL&gt;&lt;FQL&gt;&lt;Q&gt;GBPUSD^FG_PRICE(44594)&lt;/Q&gt;&lt;R&gt;1&lt;/R&gt;&lt;C&gt;1&lt;/C&gt;&lt;D xsi:type="xsd:double"&gt;1.35655&lt;/D&gt;&lt;/FQL&gt;&lt;FQL&gt;&lt;Q&gt;GBPUSD^FG_PRICE(44590)&lt;/Q&gt;&lt;R&gt;1&lt;/R&gt;&lt;C&gt;1&lt;/C&gt;&lt;D xsi:type="xsd:double"&gt;1.3414&lt;/D&gt;&lt;/FQL&gt;&lt;FQL&gt;&lt;Q&gt;GBPUSD^FG_PRICE(44586)&lt;/Q&gt;&lt;R&gt;1&lt;/R&gt;&lt;C&gt;1&lt;/C&gt;&lt;D xsi:type="xsd:double"&gt;1.3484501&lt;/D&gt;&lt;/FQL&gt;&lt;FQL&gt;&lt;Q&gt;GBPUSD^FG_PRICE(44582)&lt;/Q&gt;&lt;R&gt;1&lt;/R&gt;&lt;C&gt;1&lt;/C&gt;&lt;D xsi:type="xsd:double"&gt;1.3554499&lt;/D&gt;&lt;/FQL&gt;&lt;FQL&gt;&lt;Q&gt;GBPUSD^FG_PRICE(44578)&lt;/Q&gt;&lt;R&gt;1&lt;/R&gt;&lt;C&gt;1&lt;/C&gt;&lt;D xsi:type="xsd:double"&gt;1.36495&lt;/D&gt;&lt;/FQL&gt;&lt;FQL&gt;&lt;Q&gt;GBPUSD^FG_PRICE(44574)&lt;/Q&gt;&lt;R&gt;1&lt;/R&gt;&lt;C&gt;1&lt;/C&gt;&lt;D xsi:type="xsd:double"&gt;1.3734001&lt;/D&gt;&lt;/FQL&gt;&lt;FQL&gt;&lt;Q&gt;GBPUSD^FG_PRICE(44570)&lt;/Q&gt;&lt;R&gt;1&lt;/R&gt;&lt;C&gt;1&lt;/C&gt;&lt;D xsi:type="xsd:double"&gt;1.35735&lt;/D&gt;&lt;/FQL&gt;&lt;FQL&gt;&lt;Q&gt;GBPUSD^FG_PRICE(44566)&lt;/Q&gt;&lt;R&gt;1&lt;/R&gt;&lt;C&gt;1&lt;/C&gt;&lt;D xsi:type="xsd:double"&gt;1.35665&lt;/D&gt;&lt;/FQL&gt;&lt;FQL&gt;&lt;Q&gt;GBPUSD^FG_PRICE(44562)&lt;/Q&gt;&lt;R&gt;1&lt;/R&gt;&lt;C&gt;1&lt;/C&gt;&lt;D xsi:type="xsd:double"&gt;1.35445&lt;/D&gt;&lt;/FQL&gt;&lt;FQL&gt;&lt;Q&gt;GBPUSD^FG_PRICE(44558)&lt;/Q&gt;&lt;R&gt;1&lt;/R&gt;&lt;C&gt;1&lt;/C&gt;&lt;D xsi:type="xsd:double"&gt;1.3425&lt;/D&gt;&lt;/FQL&gt;&lt;FQL&gt;&lt;Q&gt;GBPUSD^FG_PRICE(44554)&lt;/Q&gt;&lt;R&gt;1&lt;/R&gt;&lt;C&gt;1&lt;/C&gt;&lt;D xsi:type="xsd:double"&gt;1.3411499&lt;/D&gt;&lt;/FQL&gt;&lt;FQL&gt;&lt;Q&gt;GBPUSD^FG_PRICE(44550)&lt;/Q&gt;&lt;R&gt;1&lt;/R&gt;&lt;C&gt;1&lt;/C&gt;&lt;D xsi:type="xsd:double"&gt;1.32205&lt;/D&gt;&lt;/FQL&gt;&lt;FQL&gt;&lt;Q&gt;GBPUSD^FG_PRICE(44546)&lt;/Q&gt;&lt;R&gt;1&lt;/R&gt;&lt;C&gt;1&lt;/C&gt;&lt;D xsi:type="xsd:double"&gt;1.33315&lt;/D&gt;&lt;/FQL&gt;&lt;FQL&gt;&lt;Q&gt;GBPUSD^FG_PRICE(44542)&lt;/Q&gt;&lt;R&gt;1&lt;/R&gt;&lt;C&gt;1&lt;/C&gt;&lt;D xsi:type="xsd:double"&gt;1.3228999&lt;/D&gt;&lt;/FQL&gt;&lt;FQL&gt;&lt;Q&gt;GBPUSD^FG_PRICE(44538)&lt;/Q&gt;&lt;R&gt;1&lt;/R&gt;&lt;C&gt;1&lt;/C&gt;&lt;D xsi:type="xsd:double"&gt;1.32165&lt;/D&gt;&lt;/FQL&gt;&lt;FQL&gt;&lt;Q&gt;GBPUSD^FG_PRICE(44534)&lt;/Q&gt;&lt;R&gt;1&lt;/R&gt;&lt;C&gt;1&lt;/C&gt;&lt;D xsi:type="xsd:double"&gt;1.3219999&lt;/D&gt;&lt;/FQL&gt;&lt;FQL&gt;&lt;Q&gt;GBPUSD^FG_PRICE(44530)&lt;/Q&gt;&lt;R&gt;1&lt;/R&gt;&lt;C&gt;1&lt;/C&gt;&lt;D xsi:type="xsd:double"&gt;1.3230001&lt;/D&gt;&lt;/FQL&gt;&lt;FQL&gt;&lt;Q&gt;GBPUSD^FG_PRICE(44526)&lt;/Q&gt;&lt;R&gt;1&lt;/R&gt;&lt;C&gt;1&lt;/C&gt;&lt;D xsi:type="xsd:double"&gt;1.33365&lt;/D&gt;&lt;/FQL&gt;&lt;FQL&gt;&lt;Q&gt;GBPUSD^FG_PRICE(44522)&lt;/Q&gt;&lt;R&gt;1&lt;/R&gt;&lt;C&gt;1&lt;/C&gt;&lt;D xsi:type="xsd:double"&gt;1.34&lt;/D&gt;&lt;/FQL&gt;&lt;FQL&gt;&lt;Q&gt;GBPUSD^FG_PRICE(44518)&lt;/Q&gt;&lt;R&gt;1&lt;/R&gt;&lt;C&gt;1&lt;/C&gt;&lt;D xsi:type="xsd:double"&gt;1.34775&lt;/D&gt;&lt;/FQL&gt;&lt;FQL&gt;&lt;Q&gt;GBPUSD^FG_PRICE(44514)&lt;/Q&gt;&lt;R&gt;1&lt;/R&gt;&lt;C&gt;1&lt;/C&gt;&lt;D xsi:type="xsd:double"&gt;1.3395&lt;/D&gt;&lt;/FQL&gt;&lt;FQL&gt;&lt;Q&gt;GBPUSD^FG_PRICE(44510)&lt;/Q&gt;&lt;R&gt;1&lt;/R&gt;&lt;C&gt;1&lt;/C&gt;&lt;D xsi:type="xsd:double"&gt;1.34735&lt;/D&gt;&lt;/FQL&gt;&lt;FQL&gt;&lt;Q&gt;GBPUSD^FG_PRICE(44506)&lt;/Q&gt;&lt;R&gt;1&lt;/R&gt;&lt;C&gt;1&lt;/C&gt;&lt;D xsi:type="xsd:double"&gt;1.349&lt;/D&gt;&lt;/FQL&gt;&lt;FQL&gt;&lt;Q&gt;GBPUSD^FG_PRICE(44502)&lt;/Q&gt;&lt;R&gt;1&lt;/R&gt;&lt;C&gt;1&lt;/C&gt;&lt;D xsi:type="xsd:double"&gt;1.3611001&lt;/D&gt;&lt;/FQL&gt;&lt;FQL&gt;&lt;Q&gt;GBPUSD^FG_PRICE(44498)&lt;/Q&gt;&lt;R&gt;1&lt;/R&gt;&lt;C&gt;1&lt;/C&gt;&lt;D xsi:type="xsd:double"&gt;1.37075&lt;/D&gt;&lt;/FQL&gt;&lt;FQL&gt;&lt;Q&gt;GBPUSD^FG_PRICE(44494)&lt;/Q&gt;&lt;R&gt;1&lt;/R&gt;&lt;C&gt;1&lt;/C&gt;&lt;D xsi:type="xsd:double"&gt;1.37695&lt;/D&gt;&lt;/FQL&gt;&lt;FQL&gt;&lt;Q&gt;GBPUSD^FG_PRICE(44490)&lt;/Q&gt;&lt;R&gt;1&lt;/R&gt;&lt;C&gt;1&lt;/C&gt;&lt;D xsi:type="xsd:double"&gt;1.3820499&lt;/D&gt;&lt;/FQL&gt;&lt;FQL&gt;&lt;Q&gt;GBPUSD^FG_PRICE(44486)&lt;/Q&gt;&lt;R&gt;1&lt;/R&gt;&lt;C&gt;1&lt;/C&gt;&lt;D xsi:type="xsd:double"&gt;1.37685&lt;/D&gt;&lt;/FQL&gt;&lt;FQL&gt;&lt;Q&gt;GBPUSD^FG_PRICE(44482)&lt;/Q&gt;&lt;R&gt;1&lt;/R&gt;&lt;C&gt;1&lt;/C&gt;&lt;D xsi:type="xsd:double"&gt;1.36335&lt;/D&gt;&lt;/FQL&gt;&lt;FQL&gt;&lt;Q&gt;GBPUSD^FG_PRICE(44478)&lt;/Q&gt;&lt;R&gt;1&lt;/R&gt;&lt;C&gt;1&lt;/C&gt;&lt;D xsi:type="xsd:double"&gt;1.36375&lt;/D&gt;&lt;/FQL&gt;&lt;FQL&gt;&lt;Q&gt;GBPUSD^FG_PRICE(44474)&lt;/Q&gt;&lt;R&gt;1&lt;/R&gt;&lt;C&gt;1&lt;/C&gt;&lt;D xsi:type="xsd:double"&gt;1.36235&lt;/D&gt;&lt;/FQL&gt;&lt;FQL&gt;&lt;Q&gt;GBPUSD^FG_PRICE(44470)&lt;/Q&gt;&lt;R&gt;1&lt;/R&gt;&lt;C&gt;1&lt;/C&gt;&lt;D xsi:type="xsd:double"&gt;1.3539&lt;/D&gt;&lt;/FQL&gt;&lt;FQL&gt;&lt;Q&gt;GBPUSD^FG_PRICE(44466)&lt;/Q&gt;&lt;R&gt;1&lt;/R&gt;&lt;C&gt;1&lt;/C&gt;&lt;D xsi:type="xsd:double"&gt;1.3705001&lt;/D&gt;&lt;/FQL&gt;&lt;FQL&gt;&lt;Q&gt;GBPUSD^FG_PRICE(44462)&lt;/Q&gt;&lt;R&gt;1&lt;/R&gt;&lt;C&gt;1&lt;/C&gt;&lt;D xsi:type="xsd:double"&gt;1.37445&lt;/D&gt;&lt;/FQL&gt;&lt;FQL&gt;&lt;Q&gt;GBPUSD^FG_PRICE(44458)&lt;/Q&gt;&lt;R&gt;1&lt;/R&gt;&lt;C&gt;1&lt;/C&gt;&lt;D xsi:type="xsd:double"&gt;1.3747001&lt;/D&gt;&lt;/FQL&gt;&lt;FQL&gt;&lt;Q&gt;GBPUSD^FG_PRICE(44454)&lt;/Q&gt;&lt;R&gt;1&lt;/R&gt;&lt;C&gt;1&lt;/C&gt;&lt;D xsi:type="xsd:double"&gt;1.3829&lt;/D&gt;&lt;/FQL&gt;&lt;FQL&gt;&lt;Q&gt;GBPUSD^FG_PRICE(44450)&lt;/Q&gt;&lt;R&gt;1&lt;/R&gt;&lt;C&gt;1&lt;/C&gt;&lt;D xsi:type="xsd:double"&gt;1.38555&lt;/D&gt;&lt;/FQL&gt;&lt;FQL&gt;&lt;Q&gt;GBPUSD^FG_PRICE(44446)&lt;/Q&gt;&lt;R&gt;1&lt;/R&gt;&lt;C&gt;1&lt;/C&gt;&lt;D xsi:type="xsd:double"&gt;1.37855&lt;/D&gt;&lt;/FQL&gt;&lt;FQL&gt;&lt;Q&gt;GBPUSD^FG_PRICE(44442)&lt;/Q&gt;&lt;R&gt;1&lt;/R&gt;&lt;C&gt;1&lt;/C&gt;&lt;D xsi:type="xsd:double"&gt;1.3872&lt;/D&gt;&lt;/FQL&gt;&lt;FQL&gt;&lt;Q&gt;GBPUSD^FG_PRICE(44438)&lt;/Q&gt;&lt;R&gt;1&lt;/R&gt;&lt;C&gt;1&lt;/C&gt;&lt;D xsi:type="xsd:double"&gt;1.37575&lt;/D&gt;&lt;/FQL&gt;&lt;FQL&gt;&lt;Q&gt;GBPUSD^FG_PRICE(44434)&lt;/Q&gt;&lt;R&gt;1&lt;/R&gt;&lt;C&gt;1&lt;/C&gt;&lt;D xsi:type="xsd:double"&gt;1.37155&lt;/D&gt;&lt;/FQL&gt;&lt;FQL&gt;&lt;Q&gt;GBPUSD^FG_PRICE(44430)&lt;/Q&gt;&lt;R&gt;1&lt;/R&gt;&lt;C&gt;1&lt;/C&gt;&lt;D xsi:type="xsd:double"&gt;1.3615&lt;/D&gt;&lt;/FQL&gt;&lt;FQL&gt;&lt;Q&gt;GBPUSD^FG_PRICE(44426)&lt;/Q&gt;&lt;R&gt;1&lt;/R&gt;&lt;C&gt;1&lt;/C&gt;&lt;D xsi:type="xsd:double"&gt;1.3757&lt;/D&gt;&lt;/FQL&gt;&lt;FQL&gt;&lt;Q&gt;GBPUSD^FG_PRICE(44422)&lt;/Q&gt;&lt;R&gt;1&lt;/R&gt;&lt;C&gt;1&lt;/C&gt;&lt;D xsi:type="xsd:double"&gt;1.3853999&lt;/D&gt;&lt;/FQL&gt;&lt;FQL&gt;&lt;Q&gt;GBPUSD^FG_PRICE(44418)&lt;/Q&gt;&lt;R&gt;1&lt;/R&gt;&lt;C&gt;1&lt;/C&gt;&lt;D xsi:type="xsd:double"&gt;1.38475&lt;/D&gt;&lt;/FQL&gt;&lt;FQL&gt;&lt;Q&gt;GBPUSD^FG_PRICE(44414)&lt;/Q&gt;&lt;R&gt;1&lt;/R&gt;&lt;C&gt;1&lt;/C&gt;&lt;D xsi:type="xsd:double"&gt;1.38655&lt;/D&gt;&lt;/FQL&gt;&lt;FQL&gt;&lt;Q&gt;GBPUSD^FG_PRICE(44410)&lt;/Q&gt;&lt;R&gt;1&lt;/R&gt;&lt;C&gt;1&lt;/C&gt;&lt;D xsi:type="xsd:double"&gt;1.3898&lt;/D&gt;&lt;/FQL&gt;&lt;FQL&gt;&lt;Q&gt;GBPUSD^FG_PRICE(44406)&lt;/Q&gt;&lt;R&gt;1&lt;/R&gt;&lt;C&gt;1&lt;/C&gt;&lt;D xsi:type="xsd:double"&gt;1.39755&lt;/D&gt;&lt;/FQL&gt;&lt;FQL&gt;&lt;Q&gt;GBPUSD^FG_PRICE(44402)&lt;/Q&gt;&lt;R&gt;1&lt;/R&gt;&lt;C&gt;1&lt;/C&gt;&lt;D xsi:type="xsd:double"&gt;1.37515&lt;/D&gt;&lt;/FQL&gt;&lt;FQL&gt;&lt;Q&gt;GBPUSD^FG_PRICE(44398)&lt;/Q&gt;&lt;R&gt;1&lt;/R&gt;&lt;C&gt;1&lt;/C&gt;&lt;D xsi:type="xsd:double"&gt;1.36745&lt;/D&gt;&lt;/FQL&gt;&lt;FQL&gt;&lt;Q&gt;GBPUSD^FG_PRICE(44394)&lt;/Q&gt;&lt;R&gt;1&lt;/R&gt;&lt;C&gt;1&lt;/C&gt;&lt;D xsi:type="xsd:double"&gt;1.37915&lt;/D&gt;&lt;/FQL&gt;&lt;FQL&gt;&lt;Q&gt;GBPUSD^FG_PRICE(44390)&lt;/Q&gt;&lt;R&gt;1&lt;/R&gt;&lt;C&gt;1&lt;/C&gt;&lt;D xsi:type="xsd:double"&gt;1.3845&lt;/D&gt;&lt;/FQL&gt;&lt;FQL&gt;&lt;Q&gt;GBPUSD^FG_PRICE(44386)&lt;/Q&gt;&lt;R&gt;1&lt;/R&gt;&lt;C&gt;1&lt;/C&gt;&lt;D xsi:type="xsd:double"&gt;1.38335&lt;/D&gt;&lt;/FQL&gt;&lt;FQL&gt;&lt;Q&gt;GBPUSD^FG_PRICE(44382)&lt;/Q&gt;&lt;R&gt;1&lt;/R&gt;&lt;C&gt;1&lt;/C&gt;&lt;D xsi:type="xsd:double"&gt;1.3841&lt;/D&gt;&lt;/FQL&gt;&lt;FQL&gt;&lt;Q&gt;GBPUSD^FG_PRICE(44378)&lt;/Q&gt;&lt;R&gt;1&lt;/R&gt;&lt;C&gt;1&lt;/C&gt;&lt;D xsi:type="xsd:double"&gt;1.378&lt;/D&gt;&lt;/FQL&gt;&lt;FQL&gt;&lt;Q&gt;GBPUSD^FG_PRICE(44374)&lt;/Q&gt;&lt;R&gt;1&lt;/R&gt;&lt;C&gt;1&lt;/C&gt;&lt;D xsi:type="xsd:double"&gt;1.3914&lt;/D&gt;&lt;/FQL&gt;&lt;FQL&gt;&lt;Q&gt;GBPUSD^FG_PRICE(44370)&lt;/Q&gt;&lt;R&gt;1&lt;/R&gt;&lt;C&gt;1&lt;/C&gt;&lt;D xsi:type="xsd:double"&gt;1.3969&lt;/D&gt;&lt;/FQL&gt;&lt;FQL&gt;&lt;Q&gt;GBPUSD^FG_PRICE(44366)&lt;/Q&gt;&lt;R&gt;1&lt;/R&gt;&lt;C&gt;1&lt;/C&gt;&lt;D xsi:type="xsd:double"&gt;1.3806001&lt;/D&gt;&lt;/FQL&gt;&lt;FQL&gt;&lt;Q&gt;GBPUSD^FG_PRICE(44362)&lt;/Q&gt;&lt;R&gt;1&lt;/R&gt;&lt;C&gt;1&lt;/C&gt;&lt;D xsi:type="xsd:double"&gt;1.4087499&lt;/D&gt;&lt;/FQL&gt;&lt;FQL&gt;&lt;Q&gt;GBPUSD^FG_PRICE(44358)&lt;/Q&gt;&lt;R&gt;1&lt;/R&gt;&lt;C&gt;1&lt;/C&gt;&lt;D xsi:type="xsd:double"&gt;1.41245&lt;/D&gt;&lt;/FQL&gt;&lt;FQL&gt;&lt;Q&gt;GBPUSD^FG_PRICE(44354)&lt;/Q&gt;&lt;R&gt;1&lt;/R&gt;&lt;C&gt;1&lt;/C&gt;&lt;D xsi:type="xsd:double"&gt;1.41675&lt;/D&gt;&lt;/FQL&gt;&lt;FQL&gt;&lt;Q&gt;GBPUSD^FG_PRICE(44350)&lt;/Q&gt;&lt;R&gt;1&lt;/R&gt;&lt;C&gt;1&lt;/C&gt;&lt;D xsi:type="xsd:double"&gt;1.4111999&lt;/D&gt;&lt;/FQL&gt;&lt;FQL&gt;&lt;Q&gt;GBPUSD^FG_PRICE(44346)&lt;/Q&gt;&lt;R&gt;1&lt;/R&gt;&lt;C&gt;1&lt;/C&gt;&lt;D xsi:type="xsd:double"&gt;1.41785&lt;/D&gt;&lt;/FQL&gt;&lt;FQL&gt;&lt;Q&gt;GBPUSD^FG_PRICE(44342)&lt;/Q&gt;&lt;R&gt;1&lt;/R&gt;&lt;C&gt;1&lt;/C&gt;&lt;D xsi:type="xsd:double"&gt;1.4123499&lt;/D&gt;&lt;/FQL&gt;&lt;FQL&gt;&lt;Q&gt;GBPUSD^FG_PRICE(44338)&lt;/Q&gt;&lt;R&gt;1&lt;/R&gt;&lt;C&gt;1&lt;/C&gt;&lt;D xsi:type="xsd:double"&gt;1.4160999&lt;/D&gt;&lt;/FQL&gt;&lt;FQL&gt;&lt;Q&gt;GBPUSD^FG_PRICE(44334)&lt;/Q&gt;&lt;R&gt;1&lt;/R&gt;&lt;C&gt;1&lt;/C&gt;&lt;D xsi:type="xsd:double"&gt;1.42105&lt;/D&gt;&lt;/FQL&gt;&lt;FQL&gt;&lt;Q&gt;GBPUSD^FG_PRICE(44330)&lt;/Q&gt;&lt;R&gt;1&lt;/R&gt;&lt;C&gt;1&lt;/C&gt;&lt;D xsi:type="xsd:double"&gt;1.4088&lt;/D&gt;&lt;/FQL&gt;&lt;FQL&gt;&lt;Q&gt;GBPUSD^FG_PRICE(44326)&lt;/Q&gt;&lt;R&gt;1&lt;/R&gt;&lt;C&gt;1&lt;/C&gt;&lt;D xsi:type="xsd:double"&gt;1.4140501&lt;/D&gt;&lt;/FQL&gt;&lt;FQL&gt;&lt;Q&gt;GBPUSD^FG_PRICE(44322)&lt;/Q&gt;&lt;R&gt;1&lt;/R&gt;&lt;C&gt;1&lt;/C&gt;&lt;D xsi:type="xsd:double"&gt;1.389&lt;/D&gt;&lt;/FQL&gt;&lt;FQL&gt;&lt;Q&gt;GBPUSD^FG_PRICE(44318)&lt;/Q&gt;&lt;R&gt;1&lt;/R&gt;&lt;C&gt;1&lt;/C&gt;&lt;D xsi:type="xsd:double"&gt;1.3845501&lt;/D&gt;&lt;/FQL&gt;&lt;FQL&gt;&lt;Q&gt;GBPUSD^FG_PRICE(44314)&lt;/Q&gt;&lt;R&gt;1&lt;/R&gt;&lt;C&gt;1&lt;/C&gt;&lt;D xsi:type="xsd:double"&gt;1.3906&lt;/D&gt;&lt;/FQL&gt;&lt;FQL&gt;&lt;Q&gt;GBPUSD^FG_PRICE(44310)&lt;/Q&gt;&lt;R&gt;1&lt;/R&gt;&lt;C&gt;1&lt;/C&gt;&lt;D xsi:type="xsd:double"&gt;1.3838999&lt;/D&gt;&lt;/FQL&gt;&lt;FQL&gt;&lt;Q&gt;GBPUSD^FG_PRICE(44306)&lt;/Q&gt;&lt;R&gt;1&lt;/R&gt;&lt;C&gt;1&lt;/C&gt;&lt;D xsi:type="xsd:double"&gt;1.395&lt;/D&gt;&lt;/FQL&gt;&lt;FQL&gt;&lt;Q&gt;GBPUSD^FG_PRICE(44302)&lt;/Q&gt;&lt;R&gt;1&lt;/R&gt;&lt;C&gt;1&lt;/C&gt;&lt;D xsi:type="xsd:double"&gt;1.382&lt;/D&gt;&lt;/FQL&gt;&lt;FQL&gt;&lt;Q&gt;GBPUSD^FG_PRICE(44298)&lt;/Q&gt;&lt;R&gt;1&lt;/R&gt;&lt;C&gt;1&lt;/C&gt;&lt;D xsi:type="xsd:double"&gt;1.3745&lt;/D&gt;&lt;/FQL&gt;&lt;FQL&gt;&lt;Q&gt;GBPUSD^FG_PRICE(44294)&lt;/Q&gt;&lt;R&gt;1&lt;/R&gt;&lt;C&gt;1&lt;/C&gt;&lt;D xsi:type="xsd:double"&gt;1.373&lt;/D&gt;&lt;/FQL&gt;&lt;FQL&gt;&lt;Q&gt;GBPUSD^FG_PRICE(44290)&lt;/Q&gt;&lt;R&gt;1&lt;/R&gt;&lt;C&gt;1&lt;/C&gt;&lt;D xsi:type="xsd:double"&gt;1.3821&lt;/D&gt;&lt;/FQL&gt;&lt;FQL&gt;&lt;Q&gt;GBPUSD^FG_PRICE(44286)&lt;/Q&gt;&lt;R&gt;1&lt;/R&gt;&lt;C&gt;1&lt;/C&gt;&lt;D xsi:type="xsd:double"&gt;1.3797001&lt;/D&gt;&lt;/FQL&gt;&lt;FQL&gt;&lt;Q&gt;GBPUSD^FG_PRICE(44282)&lt;/Q&gt;&lt;R&gt;1&lt;/R&gt;&lt;C&gt;1&lt;/C&gt;&lt;D xsi:type="xsd:double"&gt;1.37915&lt;/D&gt;&lt;/FQL&gt;&lt;FQL&gt;&lt;Q&gt;GBPUSD^FG_PRICE(44278)&lt;/Q&gt;&lt;R&gt;1&lt;/R&gt;&lt;C&gt;1&lt;/C&gt;&lt;D xsi:type="xsd:double"&gt;1.3792&lt;/D&gt;&lt;/FQL&gt;&lt;FQL&gt;&lt;Q&gt;GBPUSD^FG_PRICE(44274)&lt;/Q&gt;&lt;R&gt;1&lt;/R&gt;&lt;C&gt;1&lt;/C&gt;&lt;D xsi:type="xsd:double"&gt;1.38715&lt;/D&gt;&lt;/FQL&gt;&lt;FQL&gt;&lt;Q&gt;GBPUSD^FG_PRICE(44270)&lt;/Q&gt;&lt;R&gt;1&lt;/R&gt;&lt;C&gt;1&lt;/C&gt;&lt;D xsi:type="xsd:double"&gt;1.3863&lt;/D&gt;&lt;/FQL&gt;&lt;FQL&gt;&lt;Q&gt;GBPUSD^FG_PRICE(44266)&lt;/Q&gt;&lt;R&gt;1&lt;/R&gt;&lt;C&gt;1&lt;/C&gt;&lt;D xsi:type="xsd:double"&gt;1.3969&lt;/D&gt;&lt;/FQL&gt;&lt;FQL&gt;&lt;Q&gt;GBPUSD^FG_PRICE(44262)&lt;/Q&gt;&lt;R&gt;1&lt;/R&gt;&lt;C&gt;1&lt;/C&gt;&lt;D xsi:type="xsd:double"&gt;1.382&lt;/D&gt;&lt;/FQL&gt;&lt;FQL&gt;&lt;Q&gt;GBPUSD^FG_PRICE(44258)&lt;/Q&gt;&lt;R&gt;1&lt;/R&gt;&lt;C&gt;1&lt;/C&gt;&lt;D xsi:type="xsd:double"&gt;1.3974999&lt;/D&gt;&lt;/FQL&gt;&lt;FQL&gt;&lt;Q&gt;GBPUSD^FG_PRICE(44254)&lt;/Q&gt;&lt;R&gt;1&lt;/R&gt;&lt;C&gt;1&lt;/C&gt;&lt;D xsi:type="xsd:double"&gt;1.3981&lt;/D&gt;&lt;/FQL&gt;&lt;FQL&gt;&lt;Q&gt;GBPUSD^FG_PRICE(44250)&lt;/Q&gt;&lt;R&gt;1&lt;/R&gt;&lt;C&gt;1&lt;/C&gt;&lt;D xsi:type="xsd:double"&gt;1.4104999&lt;/D&gt;&lt;/FQL&gt;&lt;FQL&gt;&lt;Q&gt;GBPUSD^FG_PRICE(44246)&lt;/Q&gt;&lt;R&gt;1&lt;/R&gt;&lt;C&gt;1&lt;/C&gt;&lt;D xsi:type="xsd:double"&gt;1.40135&lt;/D&gt;&lt;/FQL&gt;&lt;FQL&gt;&lt;Q&gt;GBPUSD^FG_PRICE(44242)&lt;/Q&gt;&lt;R&gt;1&lt;/R&gt;&lt;C&gt;1&lt;/C&gt;&lt;D xsi:type="xsd:double"&gt;1.39115&lt;/D&gt;&lt;/FQL&gt;&lt;FQL&gt;&lt;Q&gt;GBPUSD^FG_PRICE(44238)&lt;/Q&gt;&lt;R&gt;1&lt;/R&gt;&lt;C&gt;1&lt;/C&gt;&lt;D xsi:type="xsd:double"&gt;1.382&lt;/D&gt;&lt;/FQL&gt;&lt;FQL&gt;&lt;Q&gt;GBPUSD^FG_PRICE(44234)&lt;/Q&gt;&lt;R&gt;1&lt;/R&gt;&lt;C&gt;1&lt;/C&gt;&lt;D xsi:type="xsd:double"&gt;1.37255&lt;/D&gt;&lt;/FQL&gt;&lt;FQL&gt;&lt;Q&gt;GBPUSD^FG_PRICE(44230)&lt;/Q&gt;&lt;R&gt;1&lt;/R&gt;&lt;C&gt;1&lt;/C&gt;&lt;D xsi:type="xsd:double"&gt;1.3644999&lt;/D&gt;&lt;/FQL&gt;&lt;FQL&gt;&lt;Q&gt;GBPUSD^FG_PRICE(44226)&lt;/Q&gt;&lt;R&gt;1&lt;/R&gt;&lt;C&gt;1&lt;/C&gt;&lt;D xsi:type="xsd:double"&gt;1.3731999&lt;/D&gt;&lt;/FQL&gt;&lt;FQL&gt;&lt;Q&gt;GBPUSD^FG_PRICE(44222)&lt;/Q&gt;&lt;R&gt;1&lt;/R&gt;&lt;C&gt;1&lt;/C&gt;&lt;D xsi:type="xsd:d</t>
        </r>
      </text>
    </comment>
    <comment ref="A12" authorId="0" shapeId="0" xr:uid="{4DA51E4B-865D-44DA-9F59-D2BB405543D7}">
      <text>
        <r>
          <rPr>
            <b/>
            <sz val="9"/>
            <color indexed="81"/>
            <rFont val="Tahoma"/>
            <family val="2"/>
          </rPr>
          <t>ouble"&gt;1.3742&lt;/D&gt;&lt;/FQL&gt;&lt;FQL&gt;&lt;Q&gt;GBPUSD^FG_PRICE(44218)&lt;/Q&gt;&lt;R&gt;1&lt;/R&gt;&lt;C&gt;1&lt;/C&gt;&lt;D xsi:type="xsd:double"&gt;1.36715&lt;/D&gt;&lt;/FQL&gt;&lt;FQL&gt;&lt;Q&gt;GBPUSD^FG_PRICE(44214)&lt;/Q&gt;&lt;R&gt;1&lt;/R&gt;&lt;C&gt;1&lt;/C&gt;&lt;D xsi:type="xsd:double"&gt;1.3575499&lt;/D&gt;&lt;/FQL&gt;&lt;FQL&gt;&lt;Q&gt;GBPUSD^FG_PRICE(44210)&lt;/Q&gt;&lt;R&gt;1&lt;/R&gt;&lt;C&gt;1&lt;/C&gt;&lt;D xsi:type="xsd:double"&gt;1.3679&lt;/D&gt;&lt;/FQL&gt;&lt;FQL&gt;&lt;Q&gt;GBPUSD^FG_PRICE(44206)&lt;/Q&gt;&lt;R&gt;1&lt;/R&gt;&lt;C&gt;1&lt;/C&gt;&lt;D xsi:type="xsd:double"&gt;1.3593&lt;/D&gt;&lt;/FQL&gt;&lt;FQL&gt;&lt;Q&gt;GBPUSD^FG_PRICE(44202)&lt;/Q&gt;&lt;R&gt;1&lt;/R&gt;&lt;C&gt;1&lt;/C&gt;&lt;D xsi:type="xsd:double"&gt;1.3550999&lt;/D&gt;&lt;/FQL&gt;&lt;FQL&gt;&lt;Q&gt;GBPUSD^FG_PRICE(44198)&lt;/Q&gt;&lt;R&gt;1&lt;/R&gt;&lt;C&gt;1&lt;/C&gt;&lt;D xsi:type="xsd:double"&gt;1.36695&lt;/D&gt;&lt;/FQL&gt;&lt;FQL&gt;&lt;Q&gt;GBPUSD^FG_PRICE(44194)&lt;/Q&gt;&lt;R&gt;1&lt;/R&gt;&lt;C&gt;1&lt;/C&gt;&lt;D xsi:type="xsd:double"&gt;1.3491&lt;/D&gt;&lt;/FQL&gt;&lt;FQL&gt;&lt;Q&gt;GBPUSD^FG_PRICE(44190)&lt;/Q&gt;&lt;R&gt;1&lt;/R&gt;&lt;C&gt;1&lt;/C&gt;&lt;D xsi:type="xsd:double"&gt;1.35365&lt;/D&gt;&lt;/FQL&gt;&lt;FQL&gt;&lt;Q&gt;GBPUSD^FG_PRICE(44186)&lt;/Q&gt;&lt;R&gt;1&lt;/R&gt;&lt;C&gt;1&lt;/C&gt;&lt;D xsi:type="xsd:double"&gt;1.3319501&lt;/D&gt;&lt;/FQL&gt;&lt;FQL&gt;&lt;Q&gt;GBPUSD^FG_PRICE(44182)&lt;/Q&gt;&lt;R&gt;1&lt;/R&gt;&lt;C&gt;1&lt;/C&gt;&lt;D xsi:type="xsd:double"&gt;1.3593&lt;/D&gt;&lt;/FQL&gt;&lt;FQL&gt;&lt;Q&gt;GBPUSD^FG_PRICE(44178)&lt;/Q&gt;&lt;R&gt;1&lt;/R&gt;&lt;C&gt;1&lt;/C&gt;&lt;D xsi:type="xsd:double"&gt;1.3211&lt;/D&gt;&lt;/FQL&gt;&lt;FQL&gt;&lt;Q&gt;GBPUSD^FG_PRICE(44174)&lt;/Q&gt;&lt;R&gt;1&lt;/R&gt;&lt;C&gt;1&lt;/C&gt;&lt;D xsi:type="xsd:double"&gt;1.3395&lt;/D&gt;&lt;/FQL&gt;&lt;FQL&gt;&lt;Q&gt;GBPUSD^FG_PRICE(44170)&lt;/Q&gt;&lt;R&gt;1&lt;/R&gt;&lt;C&gt;1&lt;/C&gt;&lt;D xsi:type="xsd:double"&gt;1.3473&lt;/D&gt;&lt;/FQL&gt;&lt;FQL&gt;&lt;Q&gt;GBPUSD^FG_PRICE(44166)&lt;/Q&gt;&lt;R&gt;1&lt;/R&gt;&lt;C&gt;1&lt;/C&gt;&lt;D xsi:type="xsd:double"&gt;1.3363&lt;/D&gt;&lt;/FQL&gt;&lt;FQL&gt;&lt;Q&gt;GBPUSD^FG_PRICE(44162)&lt;/Q&gt;&lt;R&gt;1&lt;/R&gt;&lt;C&gt;1&lt;/C&gt;&lt;D xsi:type="xsd:double"&gt;1.3345&lt;/D&gt;&lt;/FQL&gt;&lt;FQL&gt;&lt;Q&gt;GBPUSD^FG_PRICE(44158)&lt;/Q&gt;&lt;R&gt;1&lt;/R&gt;&lt;C&gt;1&lt;/C&gt;&lt;D xsi:type="xsd:double"&gt;1.3295&lt;/D&gt;&lt;/FQL&gt;&lt;FQL&gt;&lt;Q&gt;GBPUSD^FG_PRICE(44154)&lt;/Q&gt;&lt;R&gt;1&lt;/R&gt;&lt;C&gt;1&lt;/C&gt;&lt;D xsi:type="xsd:double"&gt;1.3223001&lt;/D&gt;&lt;/FQL&gt;&lt;FQL&gt;&lt;Q&gt;GBPUSD^FG_PRICE(44150)&lt;/Q&gt;&lt;R&gt;1&lt;/R&gt;&lt;C&gt;1&lt;/C&gt;&lt;D xsi:type="xsd:double"&gt;1.3161&lt;/D&gt;&lt;/FQL&gt;&lt;FQL&gt;&lt;Q&gt;GBPUSD^FG_PRICE(44146)&lt;/Q&gt;&lt;R&gt;1&lt;/R&gt;&lt;C&gt;1&lt;/C&gt;&lt;D xsi:type="xsd:double"&gt;1.31965&lt;/D&gt;&lt;/FQL&gt;&lt;FQL&gt;&lt;Q&gt;GBPUSD^FG_PRICE(44142)&lt;/Q&gt;&lt;R&gt;1&lt;/R&gt;&lt;C&gt;1&lt;/C&gt;&lt;D xsi:type="xsd:double"&gt;1.3144499&lt;/D&gt;&lt;/FQL&gt;&lt;FQL&gt;&lt;Q&gt;GBPUSD^FG_PRICE(44138)&lt;/Q&gt;&lt;R&gt;1&lt;/R&gt;&lt;C&gt;1&lt;/C&gt;&lt;D xsi:type="xsd:double"&gt;1.3069999&lt;/D&gt;&lt;/FQL&gt;&lt;FQL&gt;&lt;Q&gt;GBPUSD^FG_PRICE(44134)&lt;/Q&gt;&lt;R&gt;1&lt;/R&gt;&lt;C&gt;1&lt;/C&gt;&lt;D xsi:type="xsd:double"&gt;1.293&lt;/D&gt;&lt;/FQL&gt;&lt;FQL&gt;&lt;Q&gt;GBPUSD^FG_PRICE(44130)&lt;/Q&gt;&lt;R&gt;1&lt;/R&gt;&lt;C&gt;1&lt;/C&gt;&lt;D xsi:type="xsd:double"&gt;1.3023&lt;/D&gt;&lt;/FQL&gt;&lt;FQL&gt;&lt;Q&gt;GBPUSD^FG_PRICE(44126)&lt;/Q&gt;&lt;R&gt;1&lt;/R&gt;&lt;C&gt;1&lt;/C&gt;&lt;D xsi:type="xsd:double"&gt;1.3094&lt;/D&gt;&lt;/FQL&gt;&lt;FQL&gt;&lt;Q&gt;GBPUSD^FG_PRICE(44122)&lt;/Q&gt;&lt;R&gt;1&lt;/R&gt;&lt;C&gt;1&lt;/C&gt;&lt;D xsi:type="xsd:double"&gt;1.29285&lt;/D&gt;&lt;/FQL&gt;&lt;FQL&gt;&lt;Q&gt;GBPUSD^FG_PRICE(44118)&lt;/Q&gt;&lt;R&gt;1&lt;/R&gt;&lt;C&gt;1&lt;/C&gt;&lt;D xsi:type="xsd:double"&gt;1.304&lt;/D&gt;&lt;/FQL&gt;&lt;FQL&gt;&lt;Q&gt;GBPUSD^FG_PRICE(44114)&lt;/Q&gt;&lt;R&gt;1&lt;/R&gt;&lt;C&gt;1&lt;/C&gt;&lt;D xsi:type="xsd:double"&gt;1.2997999&lt;/D&gt;&lt;/FQL&gt;&lt;FQL&gt;&lt;Q&gt;GBPUSD^FG_PRICE(44110)&lt;/Q&gt;&lt;R&gt;1&lt;/R&gt;&lt;C&gt;1&lt;/C&gt;&lt;D xsi:type="xsd:double"&gt;1.2972001&lt;/D&gt;&lt;/FQL&gt;&lt;FQL&gt;&lt;Q&gt;GBPUSD^FG_PRICE(44106)&lt;/Q&gt;&lt;R&gt;1&lt;/R&gt;&lt;C&gt;1&lt;/C&gt;&lt;D xsi:type="xsd:double"&gt;1.29345&lt;/D&gt;&lt;/FQL&gt;&lt;FQL&gt;&lt;Q&gt;GBPUSD^FG_PRICE(44102)&lt;/Q&gt;&lt;R&gt;1&lt;/R&gt;&lt;C&gt;1&lt;/C&gt;&lt;D xsi:type="xsd:double"&gt;1.28415&lt;/D&gt;&lt;/FQL&gt;&lt;FQL&gt;&lt;Q&gt;GBPUSD^FG_PRICE(44098)&lt;/Q&gt;&lt;R&gt;1&lt;/R&gt;&lt;C&gt;1&lt;/C&gt;&lt;D xsi:type="xsd:double"&gt;1.2715&lt;/D&gt;&lt;/FQL&gt;&lt;FQL&gt;&lt;Q&gt;GBPUSD^FG_PRICE(44094)&lt;/Q&gt;&lt;R&gt;1&lt;/R&gt;&lt;C&gt;1&lt;/C&gt;&lt;D xsi:type="xsd:double"&gt;1.2960501&lt;/D&gt;&lt;/FQL&gt;&lt;FQL&gt;&lt;Q&gt;GBPUSD^FG_PRICE(44090)&lt;/Q&gt;&lt;R&gt;1&lt;/R&gt;&lt;C&gt;1&lt;/C&gt;&lt;D xsi:type="xsd:double"&gt;1.3002&lt;/D&gt;&lt;/FQL&gt;&lt;FQL&gt;&lt;Q&gt;GBPUSD^FG_PRICE(44086)&lt;/Q&gt;&lt;R&gt;1&lt;/R&gt;&lt;C&gt;1&lt;/C&gt;&lt;D xsi:type="xsd:double"&gt;1.2783&lt;/D&gt;&lt;/FQL&gt;&lt;FQL&gt;&lt;Q&gt;GBPUSD^FG_PRICE(44082)&lt;/Q&gt;&lt;R&gt;1&lt;/R&gt;&lt;C&gt;1&lt;/C&gt;&lt;D xsi:type="xsd:double"&gt;1.3025&lt;/D&gt;&lt;/FQL&gt;&lt;FQL&gt;&lt;Q&gt;GBPUSD^FG_PRICE(44078)&lt;/Q&gt;&lt;R&gt;1&lt;/R&gt;&lt;C&gt;1&lt;/C&gt;&lt;D xsi:type="xsd:double"&gt;1.3208&lt;/D&gt;&lt;/FQL&gt;&lt;FQL&gt;&lt;Q&gt;GBPUSD^FG_PRICE(44074)&lt;/Q&gt;&lt;R&gt;1&lt;/R&gt;&lt;C&gt;1&lt;/C&gt;&lt;D xsi:type="xsd:double"&gt;1.33895&lt;/D&gt;&lt;/FQL&gt;&lt;FQL&gt;&lt;Q&gt;GBPUSD^FG_PRICE(44070)&lt;/Q&gt;&lt;R&gt;1&lt;/R&gt;&lt;C&gt;1&lt;/C&gt;&lt;D xsi:type="xsd:double"&gt;1.319&lt;/D&gt;&lt;/FQL&gt;&lt;FQL&gt;&lt;Q&gt;GBPUSD^FG_PRICE(44066)&lt;/Q&gt;&lt;R&gt;1&lt;/R&gt;&lt;C&gt;1&lt;/C&gt;&lt;D xsi:type="xsd:double"&gt;1.30725&lt;/D&gt;&lt;/FQL&gt;&lt;FQL&gt;&lt;Q&gt;GBPUSD^FG_PRICE(44062)&lt;/Q&gt;&lt;R&gt;1&lt;/R&gt;&lt;C&gt;1&lt;/C&gt;&lt;D xsi:type="xsd:double"&gt;1.3184&lt;/D&gt;&lt;/FQL&gt;&lt;FQL&gt;&lt;Q&gt;GBPUSD^FG_PRICE(44058)&lt;/Q&gt;&lt;R&gt;1&lt;/R&gt;&lt;C&gt;1&lt;/C&gt;&lt;D xsi:type="xsd:double"&gt;1.3109001&lt;/D&gt;&lt;/FQL&gt;&lt;FQL&gt;&lt;Q&gt;GBPUSD^FG_PRICE(44054)&lt;/Q&gt;&lt;R&gt;1&lt;/R&gt;&lt;C&gt;1&lt;/C&gt;&lt;D xsi:type="xsd:double"&gt;1.3085&lt;/D&gt;&lt;/FQL&gt;&lt;FQL&gt;&lt;Q&gt;GBPUSD^FG_PRICE(44050)&lt;/Q&gt;&lt;R&gt;1&lt;/R&gt;&lt;C&gt;1&lt;/C&gt;&lt;D xsi:type="xsd:double"&gt;1.3051&lt;/D&gt;&lt;/FQL&gt;&lt;FQL&gt;&lt;Q&gt;GBPUSD^FG_PRICE(44046)&lt;/Q&gt;&lt;R&gt;1&lt;/R&gt;&lt;C&gt;1&lt;/C&gt;&lt;D xsi:type="xsd:double"&gt;1.3031&lt;/D&gt;&lt;/FQL&gt;&lt;FQL&gt;&lt;Q&gt;GBPUSD^FG_PRICE(44042)&lt;/Q&gt;&lt;R&gt;1&lt;/R&gt;&lt;C&gt;1&lt;/C&gt;&lt;D xsi:type="xsd:double"&gt;1.3040999&lt;/D&gt;&lt;/FQL&gt;&lt;FQL&gt;&lt;Q&gt;GBPUSD^FG_PRICE(44038)&lt;/Q&gt;&lt;R&gt;1&lt;/R&gt;&lt;C&gt;1&lt;/C&gt;&lt;D xsi:type="xsd:double"&gt;1.2788&lt;/D&gt;&lt;/FQL&gt;&lt;FQL&gt;&lt;Q&gt;GBPUSD^FG_PRICE(44034)&lt;/Q&gt;&lt;R&gt;1&lt;/R&gt;&lt;C&gt;1&lt;/C&gt;&lt;D xsi:type="xsd:double"&gt;1.2731501&lt;/D&gt;&lt;/FQL&gt;&lt;FQL&gt;&lt;Q&gt;GBPUSD^FG_PRICE(44030)&lt;/Q&gt;&lt;R&gt;1&lt;/R&gt;&lt;C&gt;1&lt;/C&gt;&lt;D xsi:type="xsd:double"&gt;1.2535&lt;/D&gt;&lt;/FQL&gt;&lt;FQL&gt;&lt;Q&gt;GBPUSD^FG_PRICE(44026)&lt;/Q&gt;&lt;R&gt;1&lt;/R&gt;&lt;C&gt;1&lt;/C&gt;&lt;D xsi:type="xsd:double"&gt;1.2529&lt;/D&gt;&lt;/FQL&gt;&lt;FQL&gt;&lt;Q&gt;GBPUSD^FG_PRICE(44022)&lt;/Q&gt;&lt;R&gt;1&lt;/R&gt;&lt;C&gt;1&lt;/C&gt;&lt;D xsi:type="xsd:double"&gt;1.2660999&lt;/D&gt;&lt;/FQL&gt;&lt;FQL&gt;&lt;Q&gt;GBPUSD^FG_PRICE(44018)&lt;/Q&gt;&lt;R&gt;1&lt;/R&gt;&lt;C&gt;1&lt;/C&gt;&lt;D xsi:type="xsd:double"&gt;1.251&lt;/D&gt;&lt;/FQL&gt;&lt;FQL&gt;&lt;Q&gt;GBPUSD^FG_PRICE(44014)&lt;/Q&gt;&lt;R&gt;1&lt;/R&gt;&lt;C&gt;1&lt;/C&gt;&lt;D xsi:type="xsd:double"&gt;1.2465999&lt;/D&gt;&lt;/FQL&gt;&lt;FQL&gt;&lt;Q&gt;GBPUSD^FG_PRICE(44010)&lt;/Q&gt;&lt;R&gt;1&lt;/R&gt;&lt;C&gt;1&lt;/C&gt;&lt;D xsi:type="xsd:double"&gt;1.23175&lt;/D&gt;&lt;/FQL&gt;&lt;FQL&gt;&lt;Q&gt;GBPUSD^FG_PRICE(44006)&lt;/Q&gt;&lt;R&gt;1&lt;/R&gt;&lt;C&gt;1&lt;/C&gt;&lt;D xsi:type="xsd:double"&gt;1.2449&lt;/D&gt;&lt;/FQL&gt;&lt;FQL&gt;&lt;Q&gt;GBPUSD^FG_PRICE(44002)&lt;/Q&gt;&lt;R&gt;1&lt;/R&gt;&lt;C&gt;1&lt;/C&gt;&lt;D xsi:type="xsd:double"&gt;1.2364&lt;/D&gt;&lt;/FQL&gt;&lt;FQL&gt;&lt;Q&gt;GBPUSD^FG_PRICE(43998)&lt;/Q&gt;&lt;R&gt;1&lt;/R&gt;&lt;C&gt;1&lt;/C&gt;&lt;D xsi:type="xsd:double"&gt;1.25675&lt;/D&gt;&lt;/FQL&gt;&lt;FQL&gt;&lt;Q&gt;GBPUSD^FG_PRICE(43994)&lt;/Q&gt;&lt;R&gt;1&lt;/R&gt;&lt;C&gt;1&lt;/C&gt;&lt;D xsi:type="xsd:double"&gt;1.2540001&lt;/D&gt;&lt;/FQL&gt;&lt;FQL&gt;&lt;Q&gt;GBPUSD^FG_PRICE(43990)&lt;/Q&gt;&lt;R&gt;1&lt;/R&gt;&lt;C&gt;1&lt;/C&gt;&lt;D xsi:type="xsd:double"&gt;1.2698&lt;/D&gt;&lt;/FQL&gt;&lt;FQL&gt;&lt;Q&gt;GBPUSD^FG_PRICE(43986)&lt;/Q&gt;&lt;R&gt;1&lt;/R&gt;&lt;C&gt;1&lt;/C&gt;&lt;D xsi:type="xsd:double"&gt;1.2607499&lt;/D&gt;&lt;/FQL&gt;&lt;FQL&gt;&lt;Q&gt;GBPUSD^FG_PRICE(43982)&lt;/Q&gt;&lt;R&gt;1&lt;/R&gt;&lt;C&gt;1&lt;/C&gt;&lt;D xsi:type="xsd:double"&gt;1.2363&lt;/D&gt;&lt;/FQL&gt;&lt;FQL&gt;&lt;Q&gt;GBPUSD^FG_PRICE(43978)&lt;/Q&gt;&lt;R&gt;1&lt;/R&gt;&lt;C&gt;1&lt;/C&gt;&lt;D xsi:type="xsd:double"&gt;1.2213&lt;/D&gt;&lt;/FQL&gt;&lt;FQL&gt;&lt;Q&gt;GBPUSD^FG_PRICE(43974)&lt;/Q&gt;&lt;R&gt;1&lt;/R&gt;&lt;C&gt;1&lt;/C&gt;&lt;D xsi:type="xsd:double"&gt;1.21895&lt;/D&gt;&lt;/FQL&gt;&lt;FQL&gt;&lt;Q&gt;GBPUSD^FG_PRICE(43970)&lt;/Q&gt;&lt;R&gt;1&lt;/R&gt;&lt;C&gt;1&lt;/C&gt;&lt;D xsi:type="xsd:double"&gt;1.22505&lt;/D&gt;&lt;/FQL&gt;&lt;FQL&gt;&lt;Q&gt;GBPUSD^FG_PRICE(43966)&lt;/Q&gt;&lt;R&gt;1&lt;/R&gt;&lt;C&gt;1&lt;/C&gt;&lt;D xsi:type="xsd:double"&gt;1.2125&lt;/D&gt;&lt;/FQL&gt;&lt;FQL&gt;&lt;Q&gt;GBPUSD^FG_PRICE(43962)&lt;/Q&gt;&lt;R&gt;1&lt;/R&gt;&lt;C&gt;1&lt;/C&gt;&lt;D xsi:type="xsd:double"&gt;1.2356&lt;/D&gt;&lt;/FQL&gt;&lt;FQL&gt;&lt;Q&gt;GBPUSD^FG_PRICE(43958)&lt;/Q&gt;&lt;R&gt;1&lt;/R&gt;&lt;C&gt;1&lt;/C&gt;&lt;D xsi:type="xsd:double"&gt;1.22855&lt;/D&gt;&lt;/FQL&gt;&lt;FQL&gt;&lt;Q&gt;GBPUSD^FG_PRICE(43954)&lt;/Q&gt;&lt;R&gt;1&lt;/R&gt;&lt;C&gt;1&lt;/C&gt;&lt;D xsi:type="xsd:double"&gt;1.25425&lt;/D&gt;&lt;/FQL&gt;&lt;FQL&gt;&lt;Q&gt;GBPUSD^FG_PRICE(43950)&lt;/Q&gt;&lt;R&gt;1&lt;/R&gt;&lt;C&gt;1&lt;/C&gt;&lt;D xsi:type="xsd:double"&gt;1.24365&lt;/D&gt;&lt;/FQL&gt;&lt;FQL&gt;&lt;Q&gt;GBPUSD^FG_PRICE(43946)&lt;/Q&gt;&lt;R&gt;1&lt;/R&gt;&lt;C&gt;1&lt;/C&gt;&lt;D xsi:type="xsd:double"&gt;1.23375&lt;/D&gt;&lt;/FQL&gt;&lt;FQL&gt;&lt;Q&gt;GBPUSD^FG_PRICE(43942)&lt;/Q&gt;&lt;R&gt;1&lt;/R&gt;&lt;C&gt;1&lt;/C&gt;&lt;D xsi:type="xsd:double"&gt;1.2274&lt;/D&gt;&lt;/FQL&gt;&lt;FQL&gt;&lt;Q&gt;GBPUSD^FG_PRICE(43938)&lt;/Q&gt;&lt;R&gt;1&lt;/R&gt;&lt;C&gt;1&lt;/C&gt;&lt;D xsi:type="xsd:double"&gt;1.2504001&lt;/D&gt;&lt;/FQL&gt;&lt;FQL&gt;&lt;Q&gt;GBPUSD^FG_PRICE(43934)&lt;/Q&gt;&lt;R&gt;1&lt;/R&gt;&lt;C&gt;1&lt;/C&gt;&lt;D xsi:type="xsd:double"&gt;1.25035&lt;/D&gt;&lt;/FQL&gt;&lt;FQL&gt;&lt;Q&gt;GBPUSD^FG_PRICE(43930)&lt;/Q&gt;&lt;R&gt;1&lt;/R&gt;&lt;C&gt;1&lt;/C&gt;&lt;D xsi:type="xsd:double"&gt;1.24685&lt;/D&gt;&lt;/FQL&gt;&lt;FQL&gt;&lt;Q&gt;GBPUSD^FG_PRICE(43926)&lt;/Q&gt;&lt;R&gt;1&lt;/R&gt;&lt;C&gt;1&lt;/C&gt;&lt;D xsi:type="xsd:double"&gt;1.2258999&lt;/D&gt;&lt;/FQL&gt;&lt;FQL&gt;&lt;Q&gt;GBPUSD^FG_PRICE(43922)&lt;/Q&gt;&lt;R&gt;1&lt;/R&gt;&lt;C&gt;1&lt;/C&gt;&lt;D xsi:type="xsd:double"&gt;1.24245&lt;/D&gt;&lt;/FQL&gt;&lt;FQL&gt;&lt;Q&gt;GBPUSD^FG_PRICE(43918)&lt;/Q&gt;&lt;R&gt;1&lt;/R&gt;&lt;C&gt;1&lt;/C&gt;&lt;D xsi:type="xsd:double"&gt;1.2354&lt;/D&gt;&lt;/FQL&gt;&lt;FQL&gt;&lt;Q&gt;GBPUSD^FG_PRICE(43914)&lt;/Q&gt;&lt;R&gt;1&lt;/R&gt;&lt;C&gt;1&lt;/C&gt;&lt;D xsi:type="xsd:double"&gt;1.1781499&lt;/D&gt;&lt;/FQL&gt;&lt;FQL&gt;&lt;Q&gt;GBPUSD^FG_PRICE(43910)&lt;/Q&gt;&lt;R&gt;1&lt;/R&gt;&lt;C&gt;1&lt;/C&gt;&lt;D xsi:type="xsd:double"&gt;1.17435&lt;/D&gt;&lt;/FQL&gt;&lt;FQL&gt;&lt;Q&gt;GBPUSD^FG_PRICE(43906)&lt;/Q&gt;&lt;R&gt;1&lt;/R&gt;&lt;C&gt;1&lt;/C&gt;&lt;D xsi:type="xsd:double"&gt;1.2277&lt;/D&gt;&lt;/FQL&gt;&lt;FQL&gt;&lt;Q&gt;GBPUSD^FG_PRICE(43902)&lt;/Q&gt;&lt;R&gt;1&lt;/R&gt;&lt;C&gt;1&lt;/C&gt;&lt;D xsi:type="xsd:double"&gt;1.25415&lt;/D&gt;&lt;/FQL&gt;&lt;FQL&gt;&lt;Q&gt;GBPUSD^FG_PRICE(43898)&lt;/Q&gt;&lt;R&gt;1&lt;/R&gt;&lt;C&gt;1&lt;/C&gt;&lt;D xsi:type="xsd:double"&gt;1.30335&lt;/D&gt;&lt;/FQL&gt;&lt;FQL&gt;&lt;Q&gt;GBPUSD^FG_PRICE(43894)&lt;/Q&gt;&lt;R&gt;1&lt;/R&gt;&lt;C&gt;1&lt;/C&gt;&lt;D xsi:type="xsd:double"&gt;1.2818&lt;/D&gt;&lt;/FQL&gt;&lt;FQL&gt;&lt;Q&gt;GBPUSD^FG_PRICE(43890)&lt;/Q&gt;&lt;R&gt;1&lt;/R&gt;&lt;C&gt;1&lt;/C&gt;&lt;D xsi:type="xsd:double"&gt;1.2773&lt;/D&gt;&lt;/FQL&gt;&lt;FQL&gt;&lt;Q&gt;GBPUSD^FG_PRICE(43886)&lt;/Q&gt;&lt;R&gt;1&lt;/R&gt;&lt;C&gt;1&lt;/C&gt;&lt;D xsi:type="xsd:double"&gt;1.3016&lt;/D&gt;&lt;/FQL&gt;&lt;FQL&gt;&lt;Q&gt;GBPUSD^FG_PRICE(43882)&lt;/Q&gt;&lt;R&gt;1&lt;/R&gt;&lt;C&gt;1&lt;/C&gt;&lt;D xsi:type="xsd:double"&gt;1.2959&lt;/D&gt;&lt;/FQL&gt;&lt;FQL&gt;&lt;Q&gt;GBPUSD^FG_PRICE(43878)&lt;/Q&gt;&lt;R&gt;1&lt;/R&gt;&lt;C&gt;1&lt;/C&gt;&lt;D xsi:type="xsd:double"&gt;1.3007001&lt;/D&gt;&lt;/FQL&gt;&lt;FQL&gt;&lt;Q&gt;GBPUSD^FG_PRICE(43874)&lt;/Q&gt;&lt;R&gt;1&lt;/R&gt;&lt;C&gt;1&lt;/C&gt;&lt;D xsi:type="xsd:double"&gt;1.3054&lt;/D&gt;&lt;/FQL&gt;&lt;FQL&gt;&lt;Q&gt;GBPUSD^FG_PRICE(43870)&lt;/Q&gt;&lt;R&gt;1&lt;/R&gt;&lt;C&gt;1&lt;/C&gt;&lt;D xsi:type="xsd:double"&gt;1.2938501&lt;/D&gt;&lt;/FQL&gt;&lt;FQL&gt;&lt;Q&gt;GBPUSD^FG_PRICE(43866)&lt;/Q&gt;&lt;R&gt;1&lt;/R&gt;&lt;C&gt;1&lt;/C&gt;&lt;D xsi:type="xsd:double"&gt;1.29825&lt;/D&gt;&lt;/FQL&gt;&lt;FQL&gt;&lt;Q&gt;GBPUSD^FG_PRICE(43862)&lt;/Q&gt;&lt;R&gt;1&lt;/R&gt;&lt;C&gt;1&lt;/C&gt;&lt;D xsi:type="xsd:double"&gt;1.3182&lt;/D&gt;&lt;/FQL&gt;&lt;FQL&gt;&lt;Q&gt;GBPUSD^FG_PRICE(43858)&lt;/Q&gt;&lt;R&gt;1&lt;/R&gt;&lt;C&gt;1&lt;/C&gt;&lt;D xsi:type="xsd:double"&gt;1.2982&lt;/D&gt;&lt;/FQL&gt;&lt;FQL&gt;&lt;Q&gt;GBPUSD^FG_PRICE(43854)&lt;/Q&gt;&lt;R&gt;1&lt;/R&gt;&lt;C&gt;1&lt;/C&gt;&lt;D xsi:type="xsd:double"&gt;1.3068&lt;/D&gt;&lt;/FQL&gt;&lt;FQL&gt;&lt;Q&gt;GBPUSD^FG_PRICE(43850)&lt;/Q&gt;&lt;R&gt;1&lt;/R&gt;&lt;C&gt;1&lt;/C&gt;&lt;D xsi:type="xsd:double"&gt;1.29975&lt;/D&gt;&lt;/FQL&gt;&lt;FQL&gt;&lt;Q&gt;GBPUSD^FG_PRICE(43846)&lt;/Q&gt;&lt;R&gt;1&lt;/R&gt;&lt;C&gt;1&lt;/C&gt;&lt;D xsi:type="xsd:double"&gt;1.3066&lt;/D&gt;&lt;/FQL&gt;&lt;FQL&gt;&lt;Q&gt;GBPUSD^FG_PRICE(43842)&lt;/Q&gt;&lt;R&gt;1&lt;/R&gt;&lt;C&gt;1&lt;/C&gt;&lt;D xsi:type="xsd:double"&gt;1.30605&lt;/D&gt;&lt;/FQL&gt;&lt;FQL&gt;&lt;Q&gt;GBPUSD^FG_PRICE(43838)&lt;/Q&gt;&lt;R&gt;1&lt;/R&gt;&lt;C&gt;1&lt;/C&gt;&lt;D xsi:type="xsd:double"&gt;1.3098999&lt;/D&gt;&lt;/FQL&gt;&lt;FQL&gt;&lt;Q&gt;GBPUSD^FG_PRICE(43834)&lt;/Q&gt;&lt;R&gt;1&lt;/R&gt;&lt;C&gt;1&lt;/C&gt;&lt;D xsi:type="xsd:double"&gt;1.3071&lt;/D&gt;&lt;/FQL&gt;&lt;FQL&gt;&lt;Q&gt;GBPUSD^FG_PRICE(43830)&lt;/Q&gt;&lt;R&gt;1&lt;/R&gt;&lt;C&gt;1&lt;/C&gt;&lt;D xsi:type="xsd:double"&gt;1.3247501&lt;/D&gt;&lt;/FQL&gt;&lt;FQL&gt;&lt;Q&gt;GBPUSD^FG_PRICE(43826)&lt;/Q&gt;&lt;R&gt;1&lt;/R&gt;&lt;C&gt;1&lt;/C&gt;&lt;D xsi:type="xsd:double"&gt;1.309&lt;/D&gt;&lt;/FQL&gt;&lt;FQL&gt;&lt;Q&gt;GBPUSD^FG_PRICE(43822)&lt;/Q&gt;&lt;R&gt;1&lt;/R&gt;&lt;C&gt;1&lt;/C&gt;&lt;D xsi:type="xsd:double"&gt;1.2925&lt;/D&gt;&lt;/FQL&gt;&lt;FQL&gt;&lt;Q&gt;GBPUSD^FG_PRICE(43818)&lt;/Q&gt;&lt;R&gt;1&lt;/R&gt;&lt;C&gt;1&lt;/C&gt;&lt;D xsi:type="xsd:double"&gt;1.3029&lt;/D&gt;&lt;/FQL&gt;&lt;FQL&gt;&lt;Q&gt;EURUSD^FG_PRICE(44834)&lt;/Q&gt;&lt;R&gt;1&lt;/R&gt;&lt;C&gt;1&lt;/C&gt;&lt;D xsi:type="xsd:double"&gt;0.97965&lt;/D&gt;&lt;/FQL&gt;&lt;FQL&gt;&lt;Q&gt;EURUSD^FG_PRICE(44830)&lt;/Q&gt;&lt;R&gt;1&lt;/R&gt;&lt;C&gt;1&lt;/C&gt;&lt;D xsi:type="xsd:double"&gt;0.96485007&lt;/D&gt;&lt;/FQL&gt;&lt;FQL&gt;&lt;Q&gt;EURUSD^FG_PRICE(44826)&lt;/Q&gt;&lt;R&gt;1&lt;/R&gt;&lt;C&gt;1&lt;/C&gt;&lt;D xsi:type="xsd:double"&gt;0.98155&lt;/D&gt;&lt;/FQL&gt;&lt;FQL&gt;&lt;Q&gt;EURUSD^FG_PRICE(44822)&lt;/Q&gt;&lt;R&gt;1&lt;/R&gt;&lt;C&gt;1&lt;/C&gt;&lt;D xsi:type="xsd:double"&gt;1.00305&lt;/D&gt;&lt;/FQL&gt;&lt;FQL&gt;&lt;Q&gt;EURUSD^FG_PRICE(44818)&lt;/Q&gt;&lt;R&gt;1&lt;/R&gt;&lt;C&gt;1&lt;/C&gt;&lt;D xsi:type="xsd:double"&gt;0.99974996&lt;/D&gt;&lt;/FQL&gt;&lt;FQL&gt;&lt;Q&gt;EURUSD^FG_PRICE(44814)&lt;/Q&gt;&lt;R&gt;1&lt;/R&gt;&lt;C&gt;1&lt;/C&gt;&lt;D xsi:type="xsd:double"&gt;1.0042499&lt;/D&gt;&lt;/FQL&gt;&lt;FQL&gt;&lt;Q&gt;EURUSD^FG_PRICE(44810)&lt;/Q&gt;&lt;R&gt;1&lt;/R&gt;&lt;C&gt;1&lt;/C&gt;&lt;D xsi:type="xsd:double"&gt;0.99044997&lt;/D&gt;&lt;/FQL&gt;&lt;FQL&gt;&lt;Q&gt;EURUSD^FG_PRICE(44806)&lt;/Q&gt;&lt;R&gt;1&lt;/R&gt;&lt;C&gt;1&lt;/C&gt;&lt;D xsi:type="xsd:double"&gt;1.00275&lt;/D&gt;&lt;/FQL&gt;&lt;FQL&gt;&lt;Q&gt;EURUSD^FG_PRICE(44802)&lt;/Q&gt;&lt;R&gt;1&lt;/R&gt;&lt;C&gt;1&lt;/C&gt;&lt;D xsi:type="xsd:double"&gt;0.99835&lt;/D&gt;&lt;/FQL&gt;&lt;FQL&gt;&lt;Q&gt;EURUSD^FG_PRICE(44798)&lt;/Q&gt;&lt;R&gt;1&lt;/R&gt;&lt;C&gt;1&lt;/C&gt;&lt;D xsi:type="xsd:double"&gt;0.99815&lt;/D&gt;&lt;/FQL&gt;&lt;FQL&gt;&lt;Q&gt;EURUSD^FG_PRICE(44794)&lt;/Q&gt;&lt;R&gt;1&lt;/R&gt;&lt;C&gt;1&lt;/C&gt;&lt;D xsi:type="xsd:double"&gt;1.00415&lt;/D&gt;&lt;/FQL&gt;&lt;FQL&gt;&lt;Q&gt;EURUSD^FG_PRICE(44790)&lt;/Q&gt;&lt;R&gt;1&lt;/R&gt;&lt;C&gt;1&lt;/C&gt;&lt;D xsi:type="xsd:double"&gt;1.01625&lt;/D&gt;&lt;/FQL&gt;&lt;FQL&gt;&lt;Q&gt;EURUSD^FG_PRICE(44786)&lt;/Q&gt;&lt;R&gt;1&lt;/R&gt;&lt;C&gt;1&lt;/C&gt;&lt;D xsi:type="xsd:double"&gt;1.0244501&lt;/D&gt;&lt;/FQL&gt;&lt;FQL&gt;&lt;Q&gt;EURUSD^FG_PRICE(44782)&lt;/Q&gt;&lt;R&gt;1&lt;/R&gt;&lt;C&gt;1&lt;/C&gt;&lt;D xsi:type="xsd:double"&gt;1.0223&lt;/D&gt;&lt;/FQL&gt;&lt;FQL&gt;&lt;Q&gt;EURUSD^FG_PRICE(44778)&lt;/Q&gt;&lt;R&gt;1&lt;/R&gt;&lt;C&gt;1&lt;/C&gt;&lt;D xsi:type="xsd:double"&gt;1.01655&lt;/D&gt;&lt;/FQL&gt;&lt;FQL&gt;&lt;Q&gt;EURUSD^FG_PRICE(44774)&lt;/Q&gt;&lt;R&gt;1&lt;/R&gt;&lt;C&gt;1&lt;/C&gt;&lt;D xsi:type="xsd:double"&gt;1.0273&lt;/D&gt;&lt;/FQL&gt;&lt;FQL&gt;&lt;Q&gt;EURUSD^FG_PRICE(44770)&lt;/Q&gt;&lt;R&gt;1&lt;/R&gt;&lt;C&gt;1&lt;/C&gt;&lt;D xsi:type="xsd:double"&gt;1.01555&lt;/D&gt;&lt;/FQL&gt;&lt;FQL&gt;&lt;Q&gt;EURUSD^FG_PRICE(44766)&lt;/Q&gt;&lt;R&gt;1&lt;/R&gt;&lt;C&gt;1&lt;/C&gt;&lt;D xsi:type="xsd:double"&gt;1.02305&lt;/D&gt;&lt;/FQL&gt;&lt;FQL&gt;&lt;Q&gt;EURUSD^FG_PRICE(44762)&lt;/Q&gt;&lt;R&gt;1&lt;/R&gt;&lt;C&gt;1&lt;/C&gt;&lt;D xsi:type="xsd:double"&gt;1.02125&lt;/D&gt;&lt;/FQL&gt;&lt;FQL&gt;&lt;Q&gt;EURUSD^FG_PRICE(44758)&lt;/Q&gt;&lt;R&gt;1&lt;/R&gt;&lt;C&gt;1&lt;/C&gt;&lt;D xsi:type="xsd:double"&gt;1.0079501&lt;/D&gt;&lt;/FQL&gt;&lt;FQL&gt;&lt;Q&gt;EURUSD^FG_PRICE(44754)&lt;/Q&gt;&lt;R&gt;1&lt;/R&gt;&lt;C&gt;1&lt;/C&gt;&lt;D xsi:type="xsd:double"&gt;1.00495&lt;/D&gt;&lt;/FQL&gt;&lt;FQL&gt;&lt;Q&gt;EURUSD^FG_PRICE(44750)&lt;/Q&gt;&lt;R&gt;1&lt;/R&gt;&lt;C&gt;1&lt;/C&gt;&lt;D xsi:type="xsd:double"&gt;1.0173501&lt;/D&gt;&lt;/FQL&gt;&lt;FQL&gt;&lt;Q&gt;EURUSD^FG_PRICE(44746)&lt;/Q&gt;&lt;R&gt;1&lt;/R&gt;&lt;C&gt;1&lt;/C&gt;&lt;D xsi:type="xsd:double"&gt;1.0424&lt;/D&gt;&lt;/FQL&gt;&lt;FQL&gt;&lt;Q&gt;EURUSD^FG_PRICE(44742)&lt;/Q&gt;&lt;R&gt;1&lt;/R&gt;&lt;C&gt;1&lt;/C&gt;&lt;D xsi:type="xsd:double"&gt;1.04545&lt;/D&gt;&lt;/FQL&gt;&lt;FQL&gt;&lt;Q&gt;EURUSD^FG_PRICE(44738)&lt;/Q&gt;&lt;R&gt;1&lt;/R&gt;&lt;C&gt;1&lt;/C&gt;&lt;D xsi:type="xsd:double"&gt;1.05445&lt;/D&gt;&lt;/FQL&gt;&lt;FQL&gt;&lt;Q&gt;EURUSD^FG_PRICE(44734)&lt;/Q&gt;&lt;R&gt;1&lt;/R&gt;&lt;C&gt;1&lt;/C&gt;&lt;D xsi:type="xsd:double"&gt;1.0596501&lt;/D&gt;&lt;/FQL&gt;&lt;FQL&gt;&lt;Q&gt;EURUSD^FG_PRICE(44730)&lt;/Q&gt;&lt;R&gt;1&lt;/R&gt;&lt;C&gt;1&lt;/C&gt;&lt;D xsi:type="xsd:double"&gt;1.04575&lt;/D&gt;&lt;/FQL&gt;&lt;FQL&gt;&lt;Q&gt;EURUSD^FG_PRICE(44726)&lt;/Q&gt;&lt;R&gt;1&lt;/R&gt;&lt;C&gt;1&lt;/C&gt;&lt;D xsi:type="xsd:double"&gt;1.04105&lt;/D&gt;&lt;/FQL&gt;&lt;FQL&gt;&lt;Q&gt;EURUSD^FG_PRICE(44722)&lt;/Q&gt;&lt;R&gt;1&lt;/R&gt;&lt;C&gt;1&lt;/C&gt;&lt;D xsi:type="xsd:double"&gt;1.05305&lt;/D&gt;&lt;/FQL&gt;&lt;FQL&gt;&lt;Q&gt;EURUSD^FG_PRICE(44718)&lt;/Q&gt;&lt;R&gt;1&lt;/R&gt;&lt;C&gt;1&lt;/C&gt;&lt;D xsi:type="xsd:double"&gt;1.07205&lt;/D&gt;&lt;/FQL&gt;&lt;FQL&gt;&lt;Q&gt;EURUSD^FG_PRICE(44714)&lt;/Q&gt;&lt;R&gt;1&lt;/R&gt;&lt;C&gt;1&lt;/C&gt;&lt;D xsi:type="xsd:double"&gt;1.07165&lt;/D&gt;&lt;/FQL&gt;&lt;FQL&gt;&lt;Q&gt;EURUSD^FG_PRICE(44710)&lt;/Q&gt;&lt;R&gt;1&lt;/R&gt;&lt;C&gt;1&lt;/C&gt;&lt;D xsi:type="xsd:double"&gt;1.071&lt;/D&gt;&lt;/FQL&gt;&lt;FQL&gt;&lt;Q&gt;EURUSD^FG_PRICE(44706)&lt;/Q&gt;&lt;R&gt;1&lt;/R&gt;&lt;C&gt;1&lt;/C&gt;&lt;D xsi:type="xsd:double"&gt;1.06795&lt;/D&gt;&lt;/FQL&gt;&lt;FQL&gt;&lt;Q&gt;EURUSD^FG_PRICE(44702)&lt;/Q&gt;&lt;R&gt;1&lt;/R&gt;&lt;C&gt;1&lt;/C&gt;&lt;D xsi:type="xsd:double"&gt;1.0558&lt;/D&gt;&lt;/FQL&gt;&lt;FQL&gt;&lt;Q&gt;EURUSD^FG_PRICE(44698)&lt;/Q&gt;&lt;R&gt;1&lt;/R&gt;&lt;C&gt;1&lt;/C&gt;&lt;D xsi:type="xsd:double"&gt;1.05355&lt;/D&gt;&lt;/FQL&gt;&lt;FQL&gt;&lt;Q&gt;EURUSD^FG_PRICE(44694)&lt;/Q&gt;&lt;R&gt;1&lt;/R&gt;&lt;C&gt;1&lt;/C&gt;&lt;D xsi:type="xsd:double"&gt;1.03945&lt;/D&gt;&lt;/FQL&gt;&lt;FQL&gt;&lt;Q&gt;EURUSD^FG_PRICE(44690)&lt;/Q&gt;&lt;R&gt;1&lt;/R&gt;&lt;C&gt;1&lt;/C&gt;&lt;D xsi:type="xsd:double"&gt;1.053&lt;/D&gt;&lt;/FQL&gt;&lt;FQL&gt;&lt;Q&gt;EURUSD^FG_PRICE(44686)&lt;/Q&gt;&lt;R&gt;1&lt;/R&gt;&lt;C&gt;1&lt;/C&gt;&lt;D xsi:type="xsd:double"&gt;1.05305&lt;/D&gt;&lt;/FQL&gt;&lt;FQL&gt;&lt;Q&gt;EURUSD^FG_PRICE(44682)&lt;/Q&gt;&lt;R&gt;1&lt;/R&gt;&lt;C&gt;1&lt;/C&gt;&lt;D xsi:type="xsd:double"&gt;1.05495&lt;/D&gt;&lt;/FQL&gt;&lt;FQL&gt;&lt;Q&gt;EURUSD^FG_PRICE(44678)&lt;/Q&gt;&lt;R&gt;1&lt;/R&gt;&lt;C&gt;1&lt;/C&gt;&lt;D xsi:type="xsd:double"&gt;1.05175&lt;/D&gt;&lt;/FQL&gt;&lt;FQL&gt;&lt;Q&gt;EURUSD^FG_PRICE(44674)&lt;/Q&gt;&lt;R&gt;1&lt;/R&gt;&lt;C&gt;1&lt;/C&gt;&lt;D xsi:type="xsd:double"&gt;1.0775499&lt;/D&gt;&lt;/FQL&gt;&lt;FQL&gt;&lt;Q&gt;EURUSD^FG_PRICE(44670)&lt;/Q&gt;&lt;R&gt;1&lt;/R&gt;&lt;C&gt;1&lt;/C&gt;&lt;D xsi:type="xsd:double"&gt;1.07865&lt;/D&gt;&lt;/FQL&gt;&lt;FQL&gt;&lt;Q&gt;EURUSD^FG_PRICE(44666)&lt;/Q&gt;&lt;R&gt;1&lt;/R&gt;&lt;C&gt;1&lt;/C&gt;&lt;D xsi:type="xsd:double"&gt;1.0776061&lt;/D&gt;&lt;/FQL&gt;&lt;FQL&gt;&lt;Q&gt;EURUSD^FG_PRICE(44662)&lt;/Q&gt;&lt;R&gt;1&lt;/R&gt;&lt;C&gt;1&lt;/C&gt;&lt;D xsi:type="xsd:double"&gt;1.0897&lt;/D&gt;&lt;/FQL&gt;&lt;FQL&gt;&lt;Q&gt;EURUSD^FG_PRICE(44658)&lt;/Q&gt;&lt;R&gt;1&lt;/R&gt;&lt;C&gt;1&lt;/C&gt;&lt;D xsi:type="xsd:double"&gt;1.09115&lt;/D&gt;&lt;/FQL&gt;&lt;FQL&gt;&lt;Q&gt;EURUSD^FG_PRICE(44654)&lt;/Q&gt;&lt;R&gt;1&lt;/R&gt;&lt;C&gt;1&lt;/C&gt;&lt;D xsi:type="xsd:double"&gt;1.10365&lt;/D&gt;&lt;/FQL&gt;&lt;FQL&gt;&lt;Q&gt;EURUSD^FG_PRICE(44650)&lt;/Q&gt;&lt;R&gt;1&lt;/R&gt;&lt;C&gt;1&lt;/C&gt;&lt;D xsi:type="xsd:double"&gt;1.1164501&lt;/D&gt;&lt;/FQL&gt;&lt;FQL&gt;&lt;Q&gt;EURUSD^FG_PRICE(44646)&lt;/Q&gt;&lt;R&gt;1&lt;/R&gt;&lt;C&gt;1&lt;/C&gt;&lt;D xsi:type="xsd:double"&gt;1.0984501&lt;/D&gt;&lt;/FQL&gt;&lt;FQL&gt;&lt;Q&gt;EURUSD^FG_PRICE(44642)&lt;/Q&gt;&lt;R&gt;1&lt;/R&gt;&lt;C&gt;1&lt;/C&gt;&lt;D xsi:type="xsd:double"&gt;1.1022&lt;/D&gt;&lt;/FQL&gt;&lt;FQL&gt;&lt;Q&gt;EURUSD^FG_PRICE(44638)&lt;/Q&gt;&lt;R&gt;1&lt;/R&gt;&lt;C&gt;1&lt;/C&gt;&lt;D xsi:type="xsd:double"&gt;1.10485&lt;/D&gt;&lt;/FQL&gt;&lt;FQL&gt;&lt;Q&gt;EURUSD^FG_PRICE(44634)&lt;/Q&gt;&lt;R&gt;1&lt;/R&gt;&lt;C&gt;1&lt;/C&gt;&lt;D xsi:type="xsd:double"&gt;1.098&lt;/D&gt;&lt;/FQL&gt;&lt;FQL&gt;&lt;Q&gt;EURUSD^FG_PRICE(44630)&lt;/Q&gt;&lt;R&gt;1&lt;/R&gt;&lt;C&gt;1&lt;/C&gt;&lt;D xsi:type="xsd:double"&gt;1.10185&lt;/D&gt;&lt;/FQL&gt;&lt;FQL&gt;&lt;Q&gt;EURUSD^FG_PRICE(44626)&lt;/Q&gt;&lt;R&gt;1&lt;/R&gt;&lt;C&gt;1&lt;/C&gt;&lt;D xsi:type="xsd:double"&gt;1.09195&lt;/D&gt;&lt;/FQL&gt;&lt;FQL&gt;&lt;Q&gt;EURUSD^FG_PRICE(44622)&lt;/Q&gt;&lt;R&gt;1&lt;/R&gt;&lt;C&gt;1&lt;/C&gt;&lt;D xsi:type="xsd:double"&gt;1.10675&lt;/D&gt;&lt;/FQL&gt;&lt;FQL&gt;&lt;Q&gt;EURUSD^FG_PRICE(44618)&lt;/Q&gt;&lt;R&gt;1&lt;/R&gt;&lt;C&gt;1&lt;/C&gt;&lt;D xsi:type="xsd:double"&gt;1.12455&lt;/D&gt;&lt;/FQL&gt;&lt;FQL&gt;&lt;Q&gt;EURUSD^FG_PRICE(44614)&lt;/Q&gt;&lt;R&gt;1&lt;/R&gt;&lt;C&gt;1&lt;/C&gt;&lt;D xsi:type="xsd:double"&gt;1.13345&lt;/D&gt;&lt;/FQL&gt;&lt;FQL&gt;&lt;Q&gt;EURUSD^FG_PRICE(44610)&lt;/Q&gt;&lt;R&gt;1&lt;/R&gt;&lt;C&gt;1&lt;/C&gt;&lt;D xsi:type="xsd:double"&gt;1.13415&lt;/D&gt;&lt;/FQL&gt;&lt;FQL&gt;&lt;Q&gt;EURUSD^FG_PRICE(44606)&lt;/Q&gt;&lt;R&gt;1&lt;/R&gt;&lt;C&gt;1&lt;/C&gt;&lt;D xsi:type="xsd:double"&gt;1.13085&lt;/D&gt;&lt;/FQL&gt;&lt;FQL&gt;&lt;Q&gt;EURUSD^FG_PRICE(44602)&lt;/Q&gt;&lt;R&gt;1&lt;/R&gt;&lt;C&gt;1&lt;/C&gt;&lt;D xsi:type="xsd:double"&gt;1.14675&lt;/D&gt;&lt;/FQL&gt;&lt;FQL&gt;&lt;Q&gt;EURUSD^FG_PRICE(44598)&lt;/Q&gt;&lt;R&gt;1&lt;/R&gt;&lt;C&gt;1&lt;/C&gt;&lt;D xsi:type="xsd:double"&gt;1.1443&lt;/D&gt;&lt;/FQL&gt;&lt;FQL&gt;&lt;Q&gt;EURUSD^FG_PRICE(44594)&lt;/Q&gt;&lt;R&gt;1&lt;/R&gt;&lt;C&gt;1&lt;/C&gt;&lt;D xsi:type="xsd:double"&gt;1.12965&lt;/D&gt;&lt;/FQL&gt;&lt;FQL&gt;&lt;Q&gt;EURUSD^FG_PRICE(44590)&lt;/Q&gt;&lt;R&gt;1&lt;/R&gt;&lt;C&gt;1&lt;/C&gt;&lt;D xsi:type="xsd:double"&gt;1.1165501&lt;/D&gt;&lt;/FQL&gt;&lt;FQL&gt;&lt;Q&gt;EURUSD^FG_PRICE(44586)&lt;/Q&gt;&lt;R&gt;1&lt;/R&gt;&lt;C&gt;1&lt;/C&gt;&lt;D xsi:type="xsd:double"&gt;1.1274&lt;/D&gt;&lt;/FQL&gt;&lt;FQL&gt;&lt;Q&gt;EURUSD^FG_PRICE(44582)&lt;/Q&gt;&lt;R&gt;1&lt;/R&gt;&lt;C&gt;1&lt;/C&gt;&lt;D xsi:type="xsd:double"&gt;1.1347001&lt;/D&gt;&lt;/FQL&gt;&lt;FQL&gt;&lt;Q&gt;EURUSD^FG_PRICE(44578)&lt;/Q&gt;&lt;R&gt;1&lt;/R&gt;&lt;C&gt;1&lt;/C&gt;&lt;D xsi:type="xsd:double"&gt;1.1403&lt;/D&gt;&lt;/FQL&gt;&lt;FQL&gt;&lt;Q&gt;EURUSD^FG_PRICE(44574)&lt;/Q&gt;&lt;R&gt;1&lt;/R&gt;&lt;C&gt;1&lt;/C&gt;&lt;D xsi:type="xsd:double"&gt;1.14605&lt;/D&gt;&lt;/FQL&gt;&lt;FQL&gt;&lt;Q&gt;EURUSD^FG_PRICE(44570)&lt;/Q&gt;&lt;R&gt;1&lt;/R&gt;&lt;C&gt;1&lt;/C&gt;&lt;D xsi:type="xsd:double"&gt;1.1348001&lt;/D&gt;&lt;/FQL&gt;&lt;FQL&gt;&lt;Q&gt;EURUSD^FG_PRICE(44566)&lt;/Q&gt;&lt;R&gt;1&lt;/R&gt;&lt;C&gt;1&lt;/C&gt;&lt;D xsi:type="xsd:double"&gt;1.13365&lt;/D&gt;&lt;/FQL&gt;&lt;FQL&gt;&lt;Q&gt;EURUSD^FG_PRICE(44562)&lt;/Q&gt;&lt;R&gt;1&lt;/R&gt;&lt;C&gt;1&lt;/C&gt;&lt;D xsi:type="xsd:double"&gt;1.1372&lt;/D&gt;&lt;/FQL&gt;&lt;FQL&gt;&lt;Q&gt;EURUSD^FG_PRICE(44558)&lt;/Q&gt;&lt;R&gt;1&lt;/R&gt;&lt;C&gt;1&lt;/C&gt;&lt;D xsi:type="xsd:double"&gt;1.12965&lt;/D&gt;&lt;/FQL&gt;&lt;FQL&gt;&lt;Q&gt;EURUSD^FG_PRICE(44554)&lt;/Q&gt;&lt;R&gt;1&lt;/R&gt;&lt;C&gt;1&lt;/C&gt;&lt;D xsi:type="xsd:double"&gt;1.1329&lt;/D&gt;&lt;/FQL&gt;&lt;FQL&gt;&lt;Q&gt;EURUSD^FG_PRICE(44550)&lt;/Q&gt;&lt;R&gt;1&lt;/R&gt;&lt;C&gt;1&lt;/C&gt;&lt;D xsi:type="xsd:double"&gt;1.12895&lt;/D&gt;&lt;/FQL&gt;&lt;FQL&gt;&lt;Q&gt;EURUSD^FG_PRICE(44546)&lt;/Q&gt;&lt;R&gt;1&lt;/R&gt;&lt;C&gt;1&lt;/C&gt;&lt;D xsi:type="xsd:double"&gt;1.1307&lt;/D&gt;&lt;/FQL&gt;&lt;FQL&gt;&lt;Q&gt;EURUSD^FG_PRICE(44542)&lt;/Q&gt;&lt;R&gt;1&lt;/R&gt;&lt;C&gt;1&lt;/C&gt;&lt;D xsi:type="xsd:double"&gt;1.13045&lt;/D&gt;&lt;/FQL&gt;&lt;FQL&gt;&lt;Q&gt;EURUSD^FG_PRICE(44538)&lt;/Q&gt;&lt;R&gt;1&lt;/R&gt;&lt;C&gt;1&lt;/C&gt;&lt;D xsi:type="xsd:double"&gt;1.13325&lt;/D&gt;&lt;/FQL&gt;&lt;FQL&gt;&lt;Q&gt;EURUSD^FG_PRICE(44534)&lt;/Q&gt;&lt;R&gt;1&lt;/R&gt;&lt;C&gt;1&lt;/C&gt;&lt;D xsi:type="xsd:double"&gt;1.128&lt;/D&gt;&lt;/FQL&gt;&lt;FQL&gt;&lt;Q&gt;EURUSD^FG_PRICE(44530)&lt;/Q&gt;&lt;R&gt;1&lt;/R&gt;&lt;C&gt;1&lt;/C&gt;&lt;D xsi:type="xsd:double"&gt;1.1256&lt;/D&gt;&lt;/FQL&gt;&lt;FQL&gt;&lt;Q&gt;EURUSD^FG_PRICE(44526)&lt;/Q&gt;&lt;R&gt;1&lt;/R&gt;&lt;C&gt;1&lt;/C&gt;&lt;D xsi:type="xsd:double"&gt;1.1315501&lt;/D&gt;&lt;/FQL&gt;&lt;FQL&gt;&lt;Q&gt;EURUSD^FG_PRICE(44522)&lt;/Q&gt;&lt;R&gt;1&lt;/R&gt;&lt;C&gt;1&lt;/C&gt;&lt;D xsi:type="xsd:double"&gt;1.12465&lt;/D&gt;&lt;/FQL&gt;&lt;FQL&gt;&lt;Q&gt;EURUSD^FG_PRICE(44518)&lt;/Q&gt;&lt;R&gt;1&lt;/R&gt;&lt;C&gt;1&lt;/C&gt;&lt;D xsi:type="xsd:double"&gt;1.13485&lt;/D&gt;&lt;/FQL&gt;&lt;FQL&gt;&lt;Q&gt;EURUSD^FG_PRICE(44514)&lt;/Q&gt;&lt;R&gt;1&lt;/R&gt;&lt;C&gt;1&lt;/C&gt;&lt;D xsi:type="xsd:double"&gt;1.1444501&lt;/D&gt;&lt;/FQL&gt;&lt;FQL&gt;&lt;Q&gt;EURUSD^FG_PRICE(44510)&lt;/Q&gt;&lt;R&gt;1&lt;/R&gt;&lt;C&gt;1&lt;/C&gt;&lt;D xsi:type="xsd:double"&gt;1.15185&lt;/D&gt;&lt;/FQL&gt;&lt;FQL&gt;&lt;Q&gt;EURUSD^FG_PRICE(44506)&lt;/Q&gt;&lt;R&gt;1&lt;/R&gt;&lt;C&gt;1&lt;/C&gt;&lt;D xsi:type="xsd:double"&gt;1.15545&lt;/D&gt;&lt;/FQL&gt;&lt;FQL&gt;&lt;Q&gt;EURUSD^FG_PRICE(44502)&lt;/Q&gt;&lt;R&gt;1&lt;/R&gt;&lt;C&gt;1&lt;/C&gt;&lt;D xsi:type="xsd:double"&gt;1.158&lt;/D&gt;&lt;/FQL&gt;&lt;FQL&gt;&lt;Q&gt;EURUSD^FG_PRICE(44498)&lt;/Q&gt;&lt;R&gt;1&lt;/R&gt;&lt;C&gt;1&lt;/C&gt;&lt;D xsi:type="xsd:double"&gt;1.15725&lt;/D&gt;&lt;/FQL&gt;&lt;FQL&gt;&lt;Q&gt;EURUSD^FG_PRICE(44494)&lt;/Q&gt;&lt;R&gt;1&lt;/R&gt;&lt;C&gt;1&lt;/C&gt;&lt;D xsi:type="xsd:double"&gt;1.1613&lt;/D&gt;&lt;/FQL&gt;&lt;FQL&gt;&lt;Q&gt;EURUSD^FG_PRICE(44490)&lt;/Q&gt;&lt;R&gt;1&lt;/R&gt;&lt;C&gt;1&lt;/C&gt;&lt;D xsi:type="xsd:double"&gt;1.1646&lt;/D&gt;&lt;/FQL&gt;&lt;FQL&gt;&lt;Q&gt;EURUSD^FG_PRICE(44486)&lt;/Q&gt;&lt;R&gt;1&lt;/R&gt;&lt;C&gt;1&lt;/C&gt;&lt;D xsi:type="xsd:double"&gt;1.16055&lt;/D&gt;&lt;/FQL&gt;&lt;FQL&gt;&lt;Q&gt;EURUSD^FG_PRICE(44482)&lt;/Q&gt;&lt;R&gt;1&lt;/R&gt;&lt;C&gt;1&lt;/C&gt;&lt;D xsi:type="xsd:double"&gt;1.15745&lt;/D&gt;&lt;/FQL&gt;&lt;FQL&gt;&lt;Q&gt;EURUSD^FG_PRICE(44478)&lt;/Q&gt;&lt;R&gt;1&lt;/R&gt;&lt;C&gt;1&lt;/C&gt;&lt;D xsi:type="xsd:double"&gt;1.1574&lt;/D&gt;&lt;/FQL&gt;&lt;FQL&gt;&lt;Q&gt;EURUSD^FG_PRICE(44474)&lt;/Q&gt;&lt;R&gt;1&lt;/R&gt;&lt;C&gt;1&lt;/C&gt;&lt;D xsi:type="xsd:double"&gt;1.1593&lt;/D&gt;&lt;/FQL&gt;&lt;FQL&gt;&lt;Q&gt;EURUSD^FG_PRICE(44470)&lt;/Q&gt;&lt;R&gt;1&lt;/R&gt;&lt;C&gt;1&lt;/C&gt;&lt;D xsi:type="xsd:double"&gt;1.1596501&lt;/D&gt;&lt;/FQL&gt;&lt;FQL&gt;&lt;Q&gt;EURUSD^FG_PRICE(44466)&lt;/Q&gt;&lt;R&gt;1&lt;/R&gt;&lt;C&gt;1&lt;/C&gt;&lt;D xsi:type="xsd:double"&gt;1.17005&lt;/D&gt;&lt;/FQL&gt;&lt;FQL&gt;&lt;Q&gt;EURUSD^FG_PRICE(44462)&lt;/Q&gt;&lt;R&gt;1&lt;/R&gt;&lt;C&gt;1&lt;/C&gt;&lt;D xsi:type="xsd:double"&gt;1.17495&lt;/D&gt;&lt;/FQL&gt;&lt;FQL&gt;&lt;Q&gt;EURUSD^FG_PRICE(44458)&lt;/Q&gt;&lt;R&gt;1&lt;/R&gt;&lt;C&gt;1&lt;/C&gt;&lt;D xsi:type="xsd:double"&gt;1.1737&lt;/D&gt;&lt;/FQL&gt;&lt;FQL&gt;&lt;Q&gt;EURUSD^FG_PRICE(44454)&lt;/Q&gt;&lt;R&gt;1&lt;/R&gt;&lt;C&gt;1&lt;/C&gt;&lt;D xsi:type="xsd:double"&gt;1.1819&lt;/D&gt;&lt;/FQL&gt;&lt;FQL&gt;&lt;Q&gt;EURUSD^FG_PRICE(44450)&lt;/Q&gt;&lt;R&gt;1&lt;/R&gt;&lt;C&gt;1&lt;/C&gt;&lt;D xsi:type="xsd:double"&gt;1.18345&lt;/D&gt;&lt;/FQL&gt;&lt;FQL&gt;&lt;Q&gt;EURUSD^FG_PRICE(44446)&lt;/Q&gt;&lt;R&gt;1&lt;/R&gt;&lt;C&gt;1&lt;/C&gt;&lt;D xsi:type="xsd:double"&gt;1.1845499&lt;/D&gt;&lt;/FQL&gt;&lt;FQL&gt;&lt;Q&gt;EURUSD^FG_PRICE(44442)&lt;/Q&gt;&lt;R&gt;1&lt;/R&gt;&lt;C&gt;1&lt;/C&gt;&lt;D xsi:type="xsd:double"&gt;1.1881&lt;/D&gt;&lt;/FQL&gt;&lt;FQL&gt;&lt;Q&gt;EURUSD^FG_PRICE(44438)&lt;/Q&gt;&lt;R&gt;1&lt;/R&gt;&lt;C&gt;1&lt;/C&gt;&lt;D xsi:type="xsd:double"&gt;1.1798999&lt;/D&gt;&lt;/FQL&gt;&lt;FQL&gt;&lt;Q&gt;EURUSD^FG_PRICE(44434)&lt;/Q&gt;&lt;R&gt;1&lt;/R&gt;&lt;C&gt;1&lt;/C&gt;&lt;D xsi:type="xsd:double"&gt;1.1754501&lt;/D&gt;&lt;/FQL&gt;&lt;FQL&gt;&lt;Q&gt;EURUSD^FG_PRICE(44430)&lt;/Q&gt;&lt;R&gt;1&lt;/R&gt;&lt;C&gt;1&lt;/C&gt;&lt;D xsi:type="xsd:double"&gt;1.16795&lt;/D&gt;&lt;/FQL&gt;&lt;FQL&gt;&lt;Q&gt;EURUSD^FG_PRICE(44426)&lt;/Q&gt;&lt;R&gt;1&lt;/R&gt;&lt;C&gt;1&lt;/C&gt;&lt;D xsi:type="xsd:double"&gt;1.17115&lt;/D&gt;&lt;/FQL&gt;&lt;FQL&gt;&lt;Q&gt;EURUSD^FG_PRICE(44422)&lt;/Q&gt;&lt;R&gt;1&lt;/R&gt;&lt;C&gt;1&lt;/C&gt;&lt;D xsi:type="xsd:double"&gt;1.1793&lt;/D&gt;&lt;/FQL&gt;&lt;FQL&gt;&lt;Q&gt;EURUSD^FG_PRICE(44418)&lt;/Q&gt;&lt;R&gt;1&lt;/R&gt;&lt;C&gt;1&lt;/C&gt;&lt;D xsi:type="xsd:double"&gt;1.17195&lt;/D&gt;&lt;/FQL&gt;&lt;FQL&gt;&lt;Q&gt;EURUSD^FG_PRICE(44414)&lt;/Q&gt;&lt;R&gt;1&lt;/R&gt;&lt;C&gt;1&lt;/C&gt;&lt;D xsi:type="xsd:double"&gt;1.176&lt;/D&gt;&lt;/FQL&gt;&lt;FQL&gt;&lt;Q&gt;EURUSD^FG_PRICE(44410)&lt;/Q&gt;&lt;R&gt;1&lt;/R&gt;&lt;C&gt;1&lt;/C&gt;&lt;D xsi:type="xsd:double"&gt;1.1881499&lt;/D&gt;&lt;/FQL&gt;&lt;FQL&gt;&lt;Q&gt;EURUSD^FG_PRICE(44406)&lt;/Q&gt;&lt;R&gt;1&lt;/R&gt;&lt;C&gt;1&lt;/C&gt;&lt;D xsi:type="xsd:double"&gt;1.18845&lt;/D&gt;&lt;/FQL&gt;&lt;FQL&gt;&lt;Q&gt;EURUSD^FG_PRICE(44402)&lt;/Q&gt;&lt;R&gt;1&lt;/R&gt;&lt;C&gt;1&lt;/C&gt;&lt;D xsi:type="xsd:double"&gt;1.17615&lt;/D&gt;&lt;/FQL&gt;&lt;FQL&gt;&lt;Q&gt;EURUSD^FG_PRICE(44398)&lt;/Q&gt;&lt;R&gt;1&lt;/R&gt;&lt;C&gt;1&lt;/C&gt;&lt;D xsi:type="xsd:double"&gt;1.1788499&lt;/D&gt;&lt;/FQL&gt;&lt;FQL&gt;&lt;Q&gt;EURUSD^FG_PRICE(44394)&lt;/Q&gt;&lt;R&gt;1&lt;/R&gt;&lt;C&gt;1&lt;/C&gt;&lt;D xsi:type="xsd:double"&gt;1.1809&lt;/D&gt;&lt;/FQL&gt;&lt;FQL&gt;&lt;Q&gt;EURUSD^FG_PRICE(44390)&lt;/Q&gt;&lt;R&gt;1&lt;/R&gt;&lt;C&gt;1&lt;/C&gt;&lt;D xsi:type="xsd:double"&gt;1.18245&lt;/D&gt;&lt;/FQL&gt;&lt;FQL&gt;&lt;Q&gt;EURUSD^FG_PRICE(44386)&lt;/Q&gt;&lt;R&gt;1&lt;/R&gt;&lt;C&gt;1&lt;/C&gt;&lt;D xsi:type="xsd:double"&gt;1.18645&lt;/D&gt;&lt;/FQL&gt;&lt;FQL&gt;&lt;Q&gt;EURUSD^FG_PRICE(44382)&lt;/Q&gt;&lt;R&gt;1&lt;/R&gt;&lt;C&gt;1&lt;/C&gt;&lt;D xsi:type="xsd:double"&gt;1.18615&lt;/D&gt;&lt;/FQL&gt;&lt;FQL&gt;&lt;Q&gt;EURUSD^FG_PRICE(44378)&lt;/Q&gt;&lt;R&gt;1&lt;/R&gt;&lt;C&gt;1&lt;/C&gt;&lt;D xsi:type="xsd:double"&gt;1.1868&lt;/D&gt;&lt;/FQL&gt;&lt;FQL&gt;&lt;Q&gt;EURUSD^FG_PRICE(44374)&lt;/Q&gt;&lt;R&gt;1&lt;/R&gt;&lt;C&gt;1&lt;/C&gt;&lt;D xsi:type="xsd:double"&gt;1.1951&lt;/D&gt;&lt;/FQL&gt;&lt;FQL&gt;&lt;Q&gt;EURUSD^FG_PRICE(44370)&lt;/Q&gt;&lt;R&gt;1&lt;/R&gt;&lt;C&gt;1&lt;/C&gt;&lt;D xsi:type="xsd:double"&gt;1.1948&lt;/D&gt;&lt;/FQL&gt;&lt;FQL&gt;&lt;Q&gt;EURUSD^FG_PRICE(44366)&lt;/Q&gt;&lt;R&gt;1&lt;/R&gt;&lt;C&gt;1&lt;/C&gt;&lt;D xsi:type="xsd:double"&gt;1.1856&lt;/D&gt;&lt;/FQL&gt;&lt;FQL&gt;&lt;Q&gt;EURUSD^FG_PRICE(44362)&lt;/Q&gt;&lt;R&gt;1&lt;/R&gt;&lt;C&gt;1&lt;/C&gt;&lt;D xsi:type="xsd:double"&gt;1.21265&lt;/D&gt;&lt;/FQL&gt;&lt;FQL&gt;&lt;Q&gt;EURUSD^FG_PRICE(44358)&lt;/Q&gt;&lt;R&gt;1&lt;/R&gt;&lt;C&gt;1&lt;/C&gt;&lt;D xsi:type="xsd:double"&gt;1.21105&lt;/D&gt;&lt;/FQL&gt;&lt;FQL&gt;&lt;Q&gt;EURUSD^FG_PRICE(44354)&lt;/Q&gt;&lt;R&gt;1&lt;/R&gt;&lt;C&gt;1&lt;/C&gt;&lt;D xsi:type="xsd:double"&gt;1.2186999&lt;/D&gt;&lt;/FQL&gt;&lt;FQL&gt;&lt;Q&gt;EURUSD^FG_PRICE(44350)&lt;/Q&gt;&lt;R&gt;1&lt;/R&gt;&lt;C&gt;1&lt;/C&gt;&lt;D xsi:type="xsd:double"&gt;1.2137&lt;/D&gt;&lt;/FQL&gt;&lt;FQL&gt;&lt;Q&gt;EURUSD^FG_PRICE(44346)&lt;/Q&gt;&lt;R&gt;1&lt;/R&gt;&lt;C&gt;1&lt;/C&gt;&lt;D xsi:type="xsd:double"&gt;1.21815&lt;/D&gt;&lt;/FQL&gt;&lt;FQL&gt;&lt;Q&gt;EURUSD^FG_PRICE(44342)&lt;/Q&gt;&lt;R&gt;1&lt;/R&gt;&lt;C&gt;1&lt;/C&gt;&lt;D xsi:type="xsd:double"&gt;1.22175&lt;/D&gt;&lt;/FQL&gt;&lt;FQL&gt;&lt;Q&gt;EURUSD^FG_PRICE(44338)&lt;/Q&gt;&lt;R&gt;1&lt;/R&gt;&lt;C&gt;1&lt;/C&gt;&lt;D xsi:type="xsd:double"&gt;1.21885&lt;/D&gt;&lt;/FQL&gt;&lt;FQL&gt;&lt;Q&gt;EURUSD^FG_PRICE(44334)&lt;/Q&gt;&lt;R&gt;1&lt;/R&gt;&lt;C&gt;1&lt;/C&gt;&lt;D xsi:type="xsd:double"&gt;1.22185&lt;/D&gt;&lt;/FQL&gt;&lt;FQL&gt;&lt;Q&gt;EURUSD^FG_PRICE(44330)&lt;/Q&gt;&lt;R&gt;1&lt;/R&gt;&lt;C&gt;1&lt;/C&gt;&lt;D xsi:type="xsd:double"&gt;1.2133499&lt;/D&gt;&lt;/FQL&gt;&lt;FQL&gt;&lt;Q&gt;EURUSD^FG_PRICE(44326)&lt;/Q&gt;&lt;R&gt;1&lt;/R&gt;&lt;C&gt;1&lt;/C&gt;&lt;D xsi:type="xsd:double"&gt;1.216&lt;/D&gt;&lt;/FQL&gt;&lt;FQL&gt;&lt;Q&gt;EURUSD^FG_PRICE(44322)&lt;/Q&gt;&lt;R&gt;1&lt;/R&gt;&lt;C&gt;1&lt;/C&gt;&lt;D xsi:type="xsd:double"&gt;1.2059&lt;/D&gt;&lt;/FQL&gt;&lt;FQL&gt;&lt;Q&gt;EURUSD^FG_PRICE(44318)&lt;/Q&gt;&lt;R&gt;1&lt;/R&gt;&lt;C&gt;1&lt;/C&gt;&lt;D xsi:type="xsd:double"&gt;1.2038&lt;/D&gt;&lt;/FQL&gt;&lt;FQL&gt;&lt;Q&gt;EURUSD^FG_PRICE(44314)&lt;/Q&gt;&lt;R&gt;1&lt;/R&gt;&lt;C&gt;1&lt;/C&gt;&lt;D xsi:type="xsd:double"&gt;1.20895&lt;/D&gt;&lt;/FQL&gt;&lt;FQL&gt;&lt;Q&gt;EURUSD^FG_PRICE(44310)&lt;/Q&gt;&lt;R&gt;1&lt;/R&gt;&lt;C&gt;1&lt;/C&gt;&lt;D xsi:type="xsd:double"&gt;1.20495&lt;/D&gt;&lt;/FQL&gt;&lt;FQL&gt;&lt;Q&gt;EURUSD^FG_PRICE(44306)&lt;/Q&gt;&lt;R&gt;1&lt;/R&gt;&lt;C&gt;1&lt;/C&gt;&lt;D xsi:type="xsd:double"&gt;1.20485&lt;/D&gt;&lt;/FQL&gt;&lt;FQL&gt;&lt;Q&gt;EURUSD^FG_PRICE(44302)&lt;/Q&gt;&lt;R&gt;1&lt;/R&gt;&lt;C&gt;1&lt;/C&gt;&lt;D xsi:type="xsd:double"&gt;1.19795&lt;/D&gt;&lt;/FQL&gt;&lt;FQL&gt;&lt;Q&gt;EURUSD^FG_PRICE(44298)&lt;/Q&gt;&lt;R&gt;1&lt;/R&gt;&lt;C&gt;1&lt;/C&gt;&lt;D xsi:type="xsd:double"&gt;1.19075&lt;/D&gt;&lt;/FQL&gt;&lt;FQL&gt;&lt;Q&gt;EURUSD^FG_PRICE(44294)&lt;/Q&gt;&lt;R&gt;1&lt;/R&gt;&lt;C&gt;1&lt;/C&gt;&lt;D xsi:type="xsd:double"&gt;1.1897501&lt;/D&gt;&lt;/FQL&gt;&lt;FQL&gt;&lt;Q&gt;EURUSD^FG_PRICE(44290)&lt;/Q&gt;&lt;R&gt;1&lt;/R&gt;&lt;C&gt;1&lt;/C&gt;&lt;D xsi:type="xsd:double"&gt;1.1760552&lt;/D&gt;&lt;/FQL&gt;&lt;FQL&gt;&lt;Q&gt;EURUSD^FG_PRICE(44286)&lt;/Q&gt;&lt;R&gt;1&lt;/R&gt;&lt;C&gt;1&lt;/C&gt;&lt;D xsi:type="xsd:double"&gt;1.1753&lt;/D&gt;&lt;/FQL&gt;&lt;FQL&gt;&lt;Q&gt;EURUSD^FG_PRICE(44282)&lt;/Q&gt;&lt;R&gt;1&lt;/R&gt;&lt;C&gt;1&lt;/C&gt;&lt;D xsi:type="xsd:double"&gt;1.1797&lt;/D&gt;&lt;/FQL&gt;&lt;FQL&gt;&lt;Q&gt;EURUSD^FG_PRICE(44278)&lt;/Q&gt;&lt;R&gt;1&lt;/R&gt;&lt;C&gt;1&lt;/C&gt;&lt;D xsi:type="xsd:double"&gt;1.1872&lt;/D&gt;&lt;/FQL&gt;&lt;FQL&gt;&lt;Q&gt;EURUSD^FG_PRICE(44274)&lt;/Q&gt;&lt;R&gt;1&lt;/R&gt;&lt;C&gt;1&lt;/C&gt;&lt;D xsi:type="xsd:double"&gt;1.1909499&lt;/D&gt;&lt;/FQL&gt;&lt;FQL&gt;&lt;Q&gt;EURUSD^FG_PRICE(44270)&lt;/Q&gt;&lt;R&gt;1&lt;/R&gt;&lt;C&gt;1&lt;/C&gt;&lt;D xsi:type="xsd:double"&gt;1.1916499&lt;/D&gt;&lt;/FQL&gt;&lt;FQL&gt;&lt;Q&gt;EURUSD^FG_PRICE(44266)&lt;/Q&gt;&lt;R&gt;1&lt;/R&gt;&lt;C&gt;1&lt;/C&gt;&lt;D xsi:type="xsd:double"&gt;1.19605&lt;/D&gt;&lt;/FQL&gt;&lt;FQL&gt;&lt;Q&gt;EURUSD^FG_PRICE(44262)&lt;/Q&gt;&lt;R&gt;1&lt;/R&gt;&lt;C&gt;1&lt;/C&gt;&lt;D xsi:type="xsd:double"&gt;1.1909&lt;/D&gt;&lt;/FQL&gt;&lt;FQL&gt;&lt;Q&gt;EURUSD^FG_PRICE(44258)&lt;/Q&gt;&lt;R&gt;1&lt;/R&gt;&lt;C&gt;1&lt;/C&gt;&lt;D xsi:type="xsd:double"&gt;1.20745&lt;/D&gt;&lt;/FQL&gt;&lt;FQL&gt;&lt;Q&gt;EURUSD^FG_PRICE(44254)&lt;/Q&gt;&lt;R&gt;1&lt;/R&gt;&lt;C&gt;1&lt;/C&gt;&lt;D xsi:type="xsd:double"&gt;1.2138&lt;/D&gt;&lt;/FQL&gt;&lt;FQL&gt;&lt;Q&gt;EURUSD^FG_PRICE(44250)&lt;/Q&gt;&lt;R&gt;1&lt;/R&gt;&lt;C&gt;1&lt;/C&gt;&lt;D xsi:type="xsd:double"&gt;1.21595&lt;/D&gt;&lt;/FQL&gt;&lt;FQL&gt;&lt;Q&gt;EURUSD^FG_PRICE(44246)&lt;/Q&gt;&lt;R&gt;1&lt;/R&gt;&lt;C&gt;1&lt;/C&gt;&lt;D xsi:type="xsd:double"&gt;1.2127&lt;/D&gt;&lt;/FQL&gt;&lt;FQL&gt;&lt;Q&gt;EURUSD^FG_PRICE(44242)&lt;/Q&gt;&lt;R&gt;1&lt;/R&gt;&lt;C&gt;1&lt;/C&gt;&lt;D xsi:type="xsd:double"&gt;1.2132001&lt;/D&gt;&lt;/FQL&gt;&lt;FQL&gt;&lt;Q&gt;EURUSD^FG_PRICE(44238)&lt;/Q&gt;&lt;R&gt;1&lt;/R&gt;&lt;C&gt;1&lt;/C&gt;&lt;D xsi:type="xsd:double"&gt;1.2132001&lt;/D&gt;&lt;/FQL&gt;&lt;FQL&gt;&lt;Q&gt;EURUSD^FG_PRICE(44234)&lt;/Q&gt;&lt;R&gt;1&lt;/R&gt;&lt;C&gt;1&lt;/C&gt;&lt;D xsi:type="xsd:double"&gt;1.2025499&lt;/D&gt;&lt;/FQL&gt;&lt;FQL&gt;&lt;Q&gt;EURUSD^FG_PRICE(44230)&lt;/Q&gt;&lt;R&gt;1&lt;/R&gt;&lt;C&gt;1&lt;/C&gt;&lt;D xsi:type="xsd:double"&gt;1.20125&lt;/D&gt;&lt;/FQL&gt;&lt;FQL&gt;&lt;Q&gt;EURUSD^FG_PRICE(44226)&lt;/Q&gt;&lt;R&gt;1&lt;/R&gt;&lt;C&gt;1&lt;/C&gt;&lt;D xsi:type="xsd:double"&gt;1.2149&lt;/D&gt;&lt;/FQL&gt;&lt;FQL&gt;&lt;Q&gt;EURUSD^FG_PRICE(44222)&lt;/Q&gt;&lt;R&gt;1&lt;/R&gt;&lt;C&gt;1&lt;/C&gt;&lt;D xsi:type="xsd:double"&gt;1.21665&lt;/D&gt;&lt;/FQL&gt;&lt;FQL&gt;&lt;Q&gt;EURUSD^FG_PRICE(44218)&lt;/Q&gt;&lt;R&gt;1&lt;/R&gt;&lt;C&gt;1&lt;/C&gt;&lt;D xsi:type="xsd:double"&gt;1.21725&lt;/D&gt;&lt;/FQL&gt;&lt;FQL&gt;&lt;Q&gt;EURUSD^FG_PRICE(44214)&lt;/Q&gt;&lt;R&gt;1&lt;/R&gt;&lt;C&gt;1&lt;/C&gt;&lt;D xsi:type="xsd:double"&gt;1.2075&lt;/D&gt;&lt;/FQL&gt;&lt;FQL&gt;&lt;Q&gt;EURUSD^FG_PRICE(44210)&lt;/Q&gt;&lt;R&gt;1&lt;/R&gt;&lt;C&gt;1&lt;/C&gt;&lt;D xsi:type="xsd:double"&gt;1.2135&lt;/D&gt;&lt;/FQL&gt;&lt;FQL&gt;&lt;Q&gt;EURUSD^FG_PRICE(44206)&lt;/Q&gt;&lt;R&gt;1&lt;/R&gt;&lt;C&gt;1&lt;/C&gt;&lt;D xsi:type="xsd:double"&gt;1.2256&lt;/D&gt;&lt;/FQL&gt;&lt;FQL&gt;&lt;Q&gt;EURUSD^FG_PRICE(44202)&lt;/Q&gt;&lt;R&gt;1&lt;/R&gt;&lt;C&gt;1&lt;/C&gt;&lt;D xsi:type="xsd:double"&gt;1.2281&lt;/D&gt;&lt;/FQL&gt;&lt;FQL&gt;&lt;Q&gt;EURUSD^FG_PRICE(44198)&lt;/Q&gt;&lt;R&gt;1&lt;/R&gt;&lt;C&gt;1&lt;/C&gt;&lt;D xsi:type="xsd:double"&gt;1.22355&lt;/D&gt;&lt;/FQL&gt;&lt;FQL&gt;&lt;Q&gt;EURUSD^FG_PRICE(44194)&lt;/Q&gt;&lt;R&gt;1&lt;/R&gt;&lt;C&gt;1&lt;/C&gt;&lt;D xsi:type="xsd:double"&gt;1.2241501&lt;/D&gt;&lt;/FQL&gt;&lt;FQL&gt;&lt;Q&gt;EURUSD^FG_PRICE(44190)&lt;/Q&gt;&lt;R&gt;1&lt;/R&gt;&lt;C&gt;1&lt;/C&gt;&lt;D xsi:type="xsd:double"&gt;1.218352&lt;/D&gt;&lt;/FQL&gt;&lt;FQL&gt;&lt;Q&gt;EURUSD^FG_PRICE(44186)&lt;/Q&gt;&lt;R&gt;1&lt;/R&gt;&lt;C&gt;1&lt;/C&gt;&lt;D xsi:type="xsd:double"&gt;1.2212499&lt;/D&gt;&lt;/FQL&gt;&lt;FQL&gt;&lt;Q&gt;EURUSD^FG_PRICE(44182)&lt;/Q&gt;&lt;R&gt;1&lt;/R&gt;&lt;C&gt;1&lt;/C&gt;&lt;D xsi:type="xsd:double"&gt;1.2245&lt;/D&gt;&lt;/FQL&gt;&lt;FQL&gt;&lt;Q&gt;EURUSD^FG_PRICE(44178)&lt;/Q&gt;&lt;R&gt;1&lt;/R&gt;&lt;C&gt;1&lt;/C&gt;&lt;D xsi:type="xsd:double"&gt;1.21075&lt;/D&gt;&lt;/FQL&gt;&lt;FQL&gt;&lt;Q&gt;EURUSD^FG_PRICE(44174)&lt;/Q&gt;&lt;R&gt;1&lt;/R&gt;&lt;C&gt;1&lt;/C&gt;&lt;D xsi:type="xsd:double"&gt;1.20815&lt;/D&gt;&lt;/FQL&gt;&lt;FQL&gt;&lt;Q&gt;EURUSD^FG_PRICE(44170)&lt;/Q&gt;&lt;R&gt;1&lt;/R&gt;&lt;C&gt;1&lt;/C&gt;&lt;D xsi:type="xsd:double"&gt;1.2141501&lt;/D&gt;&lt;/FQL&gt;&lt;FQL&gt;&lt;Q&gt;EURUSD^FG_PRICE(44166)&lt;/Q&gt;&lt;R&gt;1&lt;/R&gt;&lt;C&gt;1&lt;/C&gt;&lt;D xsi:type="xsd:double"&gt;1.20325&lt;/D&gt;&lt;/FQL&gt;&lt;FQL&gt;&lt;Q&gt;EURUSD^FG_PRICE(44162)&lt;/Q&gt;&lt;R&gt;1&lt;/R&gt;&lt;C&gt;1&lt;/C&gt;&lt;D xsi:type="xsd:double"&gt;1.19485&lt;/D&gt;&lt;/FQL&gt;&lt;FQL&gt;&lt;Q&gt;EURUSD^FG_PRICE(44158)&lt;/Q&gt;&lt;R&gt;1&lt;/R&gt;&lt;C&gt;1&lt;/C&gt;&lt;D xsi:type="xsd:double"&gt;1.18185&lt;/D&gt;&lt;/FQL&gt;&lt;FQL&gt;&lt;Q&gt;EURUSD^FG_PRICE(44154)&lt;/Q&gt;&lt;R&gt;1&lt;/R&gt;&lt;C&gt;1&lt;/C&gt;&lt;D xsi:type="xsd:double"&gt;1.184&lt;/D&gt;&lt;/FQL&gt;&lt;FQL&gt;&lt;Q&gt;EURUSD^FG_PRICE(44150)&lt;/Q&gt;&lt;R&gt;1&lt;/R&gt;&lt;C&gt;1&lt;/C&gt;&lt;D xsi:type="xsd:double"&gt;1.182&lt;/D&gt;&lt;/FQL&gt;&lt;FQL&gt;&lt;Q&gt;EURUSD^FG_PRICE(44146)&lt;/Q&gt;&lt;R&gt;1&lt;/R&gt;&lt;C&gt;1&lt;/C&gt;&lt;D xsi:type="xsd:double"&gt;1.1758&lt;/D&gt;&lt;/FQL&gt;&lt;FQL&gt;&lt;Q&gt;EURUSD^FG_PRICE(44142)&lt;/Q&gt;&lt;R&gt;1&lt;/R&gt;&lt;C&gt;1&lt;/C&gt;&lt;D xsi:type="xsd:double"&gt;1.1874499&lt;/D&gt;&lt;/FQL&gt;&lt;FQL&gt;&lt;Q&gt;EURUSD^FG_PRICE(44138)&lt;/Q&gt;&lt;R&gt;1&lt;/R&gt;&lt;C&gt;1&lt;/C&gt;&lt;D xsi:type="xsd:double"&gt;1.17305&lt;/D&gt;&lt;/FQL&gt;&lt;FQL&gt;&lt;Q&gt;EURUSD^FG_PRICE(44134)&lt;/Q&gt;&lt;R&gt;1&lt;/R&gt;&lt;C&gt;1&lt;/C&gt;&lt;D xsi:type="xsd:double"&gt;1.16485&lt;/D&gt;&lt;/FQL&gt;&lt;FQL&gt;&lt;Q&gt;EURUSD^FG_PRICE(44130)&lt;/Q&gt;&lt;R&gt;1&lt;/R&gt;&lt;C&gt;1&lt;/C&gt;&lt;D xsi:type="xsd:double"&gt;1.1817499&lt;/D&gt;&lt;/FQL&gt;&lt;FQL&gt;&lt;Q&gt;EURUSD^FG_PRICE(44126)&lt;/Q&gt;&lt;R&gt;1&lt;/R&gt;&lt;C&gt;1&lt;/C&gt;&lt;D xsi:type="xsd:double"&gt;1.18275&lt;/D&gt;&lt;/FQL&gt;&lt;FQL&gt;&lt;Q&gt;EURUSD^FG_PRICE(44122)&lt;/Q&gt;&lt;R&gt;1&lt;/R&gt;&lt;C&gt;1&lt;/C&gt;&lt;D xsi:type="xsd:double"&gt;1.1719999&lt;/D&gt;&lt;/FQL&gt;&lt;FQL&gt;&lt;Q&gt;EURUSD^FG_PRICE(44118)&lt;/Q&gt;&lt;R&gt;1&lt;/R&gt;&lt;C&gt;1&lt;/C&gt;&lt;D xsi:type="xsd:double"&gt;1.1759499&lt;/D&gt;&lt;/FQL&gt;&lt;FQL&gt;&lt;Q&gt;EURUSD^FG_PRICE(44114)&lt;/Q&gt;&lt;R&gt;1&lt;/R&gt;&lt;C&gt;1&lt;/C&gt;&lt;D xsi:type="xsd:double"&gt;1.18145&lt;/D&gt;&lt;/FQL&gt;&lt;FQL&gt;&lt;Q&gt;EURUSD^FG_PRICE(44110)&lt;/Q&gt;&lt;R&gt;1&lt;/R&gt;&lt;C&gt;1&lt;/C&gt;&lt;D xsi:type="xsd:double"&gt;1.17915&lt;/D&gt;&lt;/FQL&gt;&lt;FQL&gt;&lt;Q&gt;EURUSD^FG_PRICE(44106)&lt;/Q&gt;&lt;R&gt;1&lt;/R&gt;&lt;C&gt;1&lt;/C&gt;&lt;D xsi:type="xsd:double"&gt;1.17145&lt;/D&gt;&lt;/FQL&gt;&lt;FQL&gt;&lt;Q&gt;EURUSD^FG_PRICE(44102)&lt;/Q&gt;&lt;R&gt;1&lt;/R&gt;&lt;C&gt;1&lt;/C&gt;&lt;D xsi:type="xsd:double"&gt;1.1645&lt;/D&gt;&lt;/FQL&gt;&lt;FQL&gt;&lt;Q&gt;EURUSD^FG_PRICE(44098)&lt;/Q&gt;&lt;R&gt;1&lt;/R&gt;&lt;C&gt;1&lt;/C&gt;&lt;D xsi:type="xsd:double"&gt;1.16405&lt;/D&gt;&lt;/FQL&gt;&lt;FQL&gt;&lt;Q&gt;EURUSD^FG_PRICE(44094)&lt;/Q&gt;&lt;R&gt;1&lt;/R&gt;&lt;C&gt;1&lt;/C&gt;&lt;D xsi:type="xsd:double"&gt;1.186&lt;/D&gt;&lt;/FQL&gt;&lt;FQL&gt;&lt;Q&gt;EURUSD^FG_PRICE(44090)&lt;/Q&gt;&lt;R&gt;1&lt;/R&gt;&lt;C&gt;1&lt;/C&gt;&lt;D xsi:type="xsd:double"&gt;1.18285&lt;/D&gt;&lt;/FQL&gt;&lt;FQL&gt;&lt;Q&gt;EURUSD^FG_PRICE(44086)&lt;/Q&gt;&lt;R&gt;1&lt;/R&gt;&lt;C&gt;1&lt;/C&gt;&lt;D xsi:type="xsd:double"&gt;1.1831&lt;/D&gt;&lt;/FQL&gt;&lt;FQL&gt;&lt;Q&gt;EURUSD^FG_PRICE(44082)&lt;/Q&gt;&lt;R&gt;1&lt;/R&gt;&lt;C&gt;1&lt;/C&gt;&lt;D xsi:type="xsd:double"&gt;1.17925&lt;/D&gt;&lt;/FQL&gt;&lt;FQL&gt;&lt;Q&gt;EURUSD^FG_PRICE(44078)&lt;/Q&gt;&lt;R&gt;1&lt;/R&gt;&lt;C&gt;1&lt;/C&gt;&lt;D xsi:type="xsd:double"&gt;1.17975&lt;/D&gt;&lt;/FQL&gt;&lt;FQL&gt;&lt;Q&gt;EURUSD^FG_PRICE(44074)&lt;/Q&gt;&lt;R&gt;1&lt;/R&gt;&lt;C&gt;1&lt;/C&gt;&lt;D xsi:type="xsd:double"&gt;1.19595&lt;/D&gt;&lt;/FQL&gt;&lt;FQL&gt;&lt;Q&gt;EURUSD^FG_PRICE(44070)&lt;/Q&gt;&lt;R&gt;1&lt;/R&gt;&lt;C&gt;1&lt;/C&gt;&lt;D xsi:type="xsd:double"&gt;1.179&lt;/D&gt;&lt;/FQL&gt;&lt;FQL&gt;&lt;Q&gt;EURUSD^FG_PRICE(44066)&lt;/Q&gt;&lt;R&gt;1&lt;/R&gt;&lt;C&gt;1&lt;/C&gt;&lt;D xsi:type="xsd:double"&gt;1.17795&lt;/D&gt;&lt;/FQL&gt;&lt;FQL&gt;&lt;Q&gt;EURUSD^FG_PRICE(44062)&lt;/Q&gt;&lt;R&gt;1&lt;/R&gt;&lt;C&gt;1&lt;/C&gt;&lt;D xsi:type="xsd:double"&gt;1.19005&lt;/D&gt;&lt;/FQL&gt;&lt;FQL&gt;&lt;Q&gt;EURUSD^FG_PRICE(44058)&lt;/Q&gt;&lt;R&gt;1&lt;/R&gt;&lt;C&gt;1&lt;/C&gt;&lt;D xsi:type="xsd:double"&gt;1.1829&lt;/D&gt;&lt;/FQL&gt;&lt;FQL&gt;&lt;Q&gt;EURUSD^FG_PRICE(44054)&lt;/Q&gt;&lt;R&gt;1&lt;/R&gt;&lt;C&gt;1&lt;/C&gt;&lt;D xsi:type="xsd:double"&gt;1.17655&lt;/D&gt;&lt;/FQL&gt;&lt;FQL&gt;&lt;Q&gt;EURUSD^FG_PRICE(44050)&lt;/Q&gt;&lt;R&gt;1&lt;/R&gt;&lt;C&gt;1&lt;/C&gt;&lt;D xsi:type="xsd:double"&gt;1.1788499&lt;/D&gt;&lt;/FQL&gt;&lt;FQL&gt;&lt;Q&gt;EURUSD^FG_PRICE(44046)&lt;/Q&gt;&lt;R&gt;1&lt;/R&gt;&lt;C&gt;1&lt;/C&gt;&lt;D xsi:type="xsd:double"&gt;1.1738&lt;/D&gt;&lt;/FQL&gt;&lt;FQL&gt;&lt;Q&gt;EURUSD^FG_PRICE(44042)&lt;/Q&gt;&lt;R&gt;1&lt;/R&gt;&lt;C&gt;1&lt;/C&gt;&lt;D xsi:type="xsd:double"&gt;1.17945&lt;/D&gt;&lt;/FQL&gt;&lt;FQL&gt;&lt;Q&gt;EURUSD^FG_PRICE(44038)&lt;/Q&gt;&lt;R&gt;1&lt;/R&gt;&lt;C&gt;1&lt;/C&gt;&lt;D xsi:type="xsd:double"&gt;1.16245&lt;/D&gt;&lt;/FQL&gt;&lt;FQL&gt;&lt;Q&gt;EURUSD^FG_PRICE(44034)&lt;/Q&gt;&lt;R&gt;1&lt;/R&gt;&lt;C&gt;1&lt;/C&gt;&lt;D xsi:type="xsd:double"&gt;1.1593&lt;/D&gt;&lt;/FQL&gt;&lt;FQL&gt;&lt;Q&gt;EURUSD^FG_PRICE(44030)&lt;/Q&gt;&lt;R&gt;1&lt;/R&gt;&lt;C&gt;1&lt;/C&gt;&lt;D xsi:type="xsd:double"&gt;1.1422&lt;/D&gt;&lt;/FQL&gt;&lt;FQL&gt;&lt;Q&gt;EURUSD^FG_PRICE(44026)&lt;/Q&gt;&lt;R&gt;1&lt;/R&gt;&lt;C&gt;1&lt;/C&gt;&lt;D xsi:type="xsd:double"&gt;1.1398001&lt;/D&gt;&lt;/FQL&gt;&lt;FQL&gt;&lt;Q&gt;EURUSD^FG_PRICE(44022)&lt;/Q&gt;&lt;R&gt;1&lt;/R&gt;&lt;C&gt;1&lt;/C&gt;&lt;D xsi:type="xsd:double"&gt;1.13185&lt;/D&gt;&lt;/FQL&gt;&lt;FQL&gt;&lt;Q&gt;EURUSD^FG_PRICE(44018)&lt;/Q&gt;&lt;R&gt;1&lt;/R&gt;&lt;C&gt;1&lt;/C&gt;&lt;D xsi:type="xsd:double"&gt;1.13175&lt;/D&gt;&lt;/FQL&gt;&lt;FQL&gt;&lt;Q&gt;EURUSD^FG_PRICE(44014)&lt;/Q&gt;&lt;R&gt;1&lt;/R&gt;&lt;C&gt;1&lt;/C&gt;&lt;D xsi:type="xsd:double"&gt;1.1228501&lt;/D&gt;&lt;/FQL&gt;&lt;FQL&gt;&lt;Q&gt;EURUSD^FG_PRICE(44010)&lt;/Q&gt;&lt;R&gt;1&lt;/R&gt;&lt;C&gt;1&lt;/C&gt;&lt;D xsi:type="xsd:double"&gt;1.1201999&lt;/D&gt;&lt;/FQL&gt;&lt;FQL&gt;&lt;Q&gt;EURUSD^FG_PRICE(44006)&lt;/Q&gt;&lt;R&gt;1&lt;/R&gt;&lt;C&gt;1&lt;/C&gt;&lt;D xsi:type="xsd:double"&gt;1.12755&lt;/D&gt;&lt;/FQL&gt;&lt;FQL&gt;&lt;Q&gt;EURUSD^FG_PRICE(44002)&lt;/Q&gt;&lt;R&gt;1&lt;/R&gt;&lt;C&gt;1&lt;/C&gt;&lt;D xsi:type="xsd:double"&gt;1.11835&lt;/D&gt;&lt;/FQL&gt;&lt;FQL&gt;&lt;Q&gt;EURUSD^FG_PRICE(43998)&lt;/Q&gt;&lt;R&gt;1&lt;/R&gt;&lt;C&gt;1&lt;/C&gt;&lt;D xsi:type="xsd:double"&gt;1.12375&lt;/D&gt;&lt;/FQL&gt;&lt;FQL&gt;&lt;Q&gt;EURUSD^FG_PRICE(43994)&lt;/Q&gt;&lt;R&gt;1&lt;/R&gt;&lt;C&gt;1&lt;/C&gt;&lt;D xsi:type="xsd:double"&gt;1.12465&lt;/D&gt;&lt;/FQL&gt;&lt;FQL&gt;&lt;Q&gt;EURUSD^FG_PRICE(43990)&lt;/Q&gt;&lt;R&gt;1&lt;/R&gt;&lt;C&gt;1&lt;/C&gt;&lt;D xsi:type="xsd:double"&gt;1.1301&lt;/D&gt;&lt;/FQL&gt;&lt;FQL&gt;&lt;Q&gt;EURUSD^FG_PRICE(43986)&lt;/Q&gt;&lt;R&gt;1&lt;/R&gt;&lt;C&gt;1&lt;/C&gt;&lt;D xsi:type="xsd:double"&gt;1.1344&lt;/D&gt;&lt;/FQL&gt;&lt;FQL&gt;&lt;Q&gt;EURUSD^FG_PRICE(43982)&lt;/Q&gt;&lt;R&gt;1&lt;/R&gt;&lt;C&gt;1&lt;/C&gt;&lt;D xsi:type="xsd:double"&gt;1.11235&lt;/D&gt;&lt;/FQL&gt;&lt;FQL&gt;&lt;Q&gt;EURUSD^FG_PRICE(43978)&lt;/Q&gt;&lt;R&gt;1&lt;/R&gt;&lt;C&gt;1&lt;/C&gt;&lt;D xsi:type="xsd:double"&gt;1.0973&lt;/D&gt;&lt;/FQL&gt;&lt;FQL&gt;&lt;Q&gt;EURUSD^FG_PRICE(43974)&lt;/Q&gt;&lt;R&gt;1&lt;/R&gt;&lt;C&gt;1&lt;/C&gt;&lt;D xsi:type="xsd:double"&gt;1.08905&lt;/D&gt;&lt;/FQL&gt;&lt;FQL&gt;&lt;Q&gt;EURUSD^FG_PRICE(43970)&lt;/Q&gt;&lt;R&gt;1&lt;/R&gt;&lt;C&gt;1&lt;/C&gt;&lt;D xsi:type="xsd:double"&gt;1.09475&lt;/D&gt;&lt;/FQL&gt;&lt;FQL&gt;&lt;Q&gt;EURUSD^FG_PRICE(43966)&lt;/Q&gt;&lt;R&gt;1&lt;/R&gt;&lt;C&gt;1&lt;/C&gt;&lt;D xsi:type="xsd:double"&gt;1.0818499&lt;/D&gt;&lt;/FQL&gt;&lt;FQL&gt;&lt;Q&gt;EURUSD^FG_PRICE(43962)&lt;/Q&gt;&lt;R&gt;1&lt;/R&gt;&lt;C&gt;1&lt;/C&gt;&lt;D xsi:type="xsd:double"&gt;1.0825&lt;/D&gt;&lt;/FQL&gt;&lt;FQL&gt;&lt;Q&gt;EURUSD^FG_PRICE(43958)&lt;/Q&gt;&lt;R&gt;1&lt;/R&gt;&lt;C&gt;1&lt;/C&gt;&lt;D xsi:type="xsd:double"&gt;1.07775&lt;/D&gt;&lt;/FQL&gt;&lt;FQL&gt;&lt;Q&gt;EURUSD^FG_PRICE(43954)&lt;/Q&gt;&lt;R&gt;1&lt;/R&gt;&lt;C&gt;1&lt;/C&gt;&lt;D xsi:type="xsd:double"&gt;1.10085&lt;/D&gt;&lt;/FQL&gt;&lt;FQL&gt;&lt;Q&gt;EURUSD^FG_PRICE(43950)&lt;/Q&gt;&lt;R&gt;1&lt;/R&gt;&lt;C&gt;1&lt;/C&gt;&lt;D xsi:type="xsd:double"&gt;1.08535&lt;/D&gt;&lt;/FQL&gt;&lt;FQL&gt;&lt;Q&gt;EURUSD^FG_PRICE(43946)&lt;/Q&gt;&lt;R&gt;1&lt;/R&gt;&lt;C&gt;1&lt;/C&gt;&lt;D xsi:type="xsd:double"&gt;1.0812501&lt;/D&gt;&lt;/FQL&gt;&lt;FQL&gt;&lt;Q&gt;EURUSD^FG_PRICE(43942)&lt;/Q&gt;&lt;R&gt;1&lt;/R&gt;&lt;C&gt;1&lt;/C&gt;&lt;D xsi:type="xsd:double"&gt;1.08615&lt;/D&gt;&lt;/FQL&gt;&lt;FQL&gt;&lt;Q&gt;EURUSD^FG_PRICE(43938)&lt;/Q&gt;&lt;R&gt;1&lt;/R&gt;&lt;C&gt;1&lt;/C&gt;&lt;D xsi:type="xsd:double"&gt;1.0889&lt;/D&gt;&lt;/FQL&gt;&lt;FQL&gt;&lt;Q&gt;EURUSD^FG_PRICE(43934)&lt;/Q&gt;&lt;R&gt;1&lt;/R&gt;&lt;C&gt;1&lt;/C&gt;&lt;D xsi:type="xsd:double"&gt;1.09005&lt;/D&gt;&lt;/FQL&gt;&lt;FQL&gt;&lt;Q&gt;EURUSD^FG_PRICE(43930)&lt;/Q&gt;&lt;R&gt;1&lt;/R&gt;&lt;C&gt;1&lt;/C&gt;&lt;D xsi:type="xsd:double"&gt;1.09385&lt;/D&gt;&lt;/FQL&gt;&lt;FQL&gt;&lt;Q&gt;EURUSD^FG_PRICE(43926)&lt;/Q&gt;&lt;R&gt;1&lt;/R&gt;&lt;C&gt;1&lt;/C&gt;&lt;D xsi:type="xsd:double"&gt;1.07985&lt;/D&gt;&lt;/FQL&gt;&lt;FQL&gt;&lt;Q&gt;EURUSD^FG_PRICE(43922)&lt;/Q&gt;&lt;R&gt;1&lt;/R&gt;&lt;C&gt;1&lt;/C&gt;&lt;D xsi:type="xsd:double"&gt;1.0924001&lt;/D&gt;&lt;/FQL&gt;&lt;FQL&gt;&lt;Q&gt;EURUSD^FG_PRICE(43918)&lt;/Q&gt;&lt;R&gt;1&lt;/R&gt;&lt;C&gt;1&lt;/C&gt;&lt;D xsi:type="xsd:double"&gt;1.1058&lt;/D&gt;&lt;/FQL&gt;&lt;FQL&gt;&lt;Q&gt;EURUSD^FG_PRICE(43914)&lt;/Q&gt;&lt;R&gt;1&lt;/R&gt;&lt;C&gt;1&lt;/C&gt;&lt;D xsi:type="xsd:double"&gt;1.07965&lt;/D&gt;&lt;/FQL&gt;&lt;FQL&gt;&lt;Q&gt;EURUSD^FG_PRICE(43910)&lt;/Q&gt;&lt;R&gt;1&lt;/R&gt;&lt;C&gt;1&lt;/C&gt;&lt;D xsi:type="xsd:double"&gt;1.0689&lt;/D&gt;&lt;/FQL&gt;&lt;FQL&gt;&lt;Q&gt;EURUSD^FG_PRICE(43906)&lt;/Q&gt;&lt;R&gt;1&lt;/R&gt;&lt;C&gt;1&lt;/C&gt;&lt;D xsi:type="xsd:double"&gt;1.11385&lt;/D&gt;&lt;/FQL&gt;&lt;FQL&gt;&lt;Q&gt;EURUSD^FG_PRICE(43902)&lt;/Q&gt;&lt;R&gt;1&lt;/R&gt;&lt;C&gt;1&lt;/C&gt;&lt;D xsi:type="xsd:double"&gt;1.10815&lt;/D&gt;&lt;/FQL&gt;&lt;FQL&gt;&lt;Q&gt;EURUSD^FG_PRICE(43898)&lt;/Q&gt;&lt;R&gt;1&lt;/R&gt;&lt;C&gt;1&lt;/C&gt;&lt;D xsi:type="xsd:double"&gt;1.13105&lt;/D&gt;&lt;/FQL&gt;&lt;FQL&gt;&lt;Q&gt;EURUSD^FG_PRICE(43894)&lt;/Q&gt;&lt;R&gt;1&lt;/R&gt;&lt;C&gt;1&lt;/C&gt;&lt;D xsi:type="xsd:double"&gt;1.1141&lt;/D&gt;&lt;/FQL&gt;&lt;FQL&gt;&lt;Q&gt;EURUSD^FG_PRICE(43890)&lt;/Q&gt;&lt;R&gt;1&lt;/R&gt;&lt;C&gt;1&lt;/C&gt;&lt;D xsi:type="xsd:double"&gt;1.0984501&lt;/D&gt;&lt;/FQL&gt;&lt;FQL&gt;&lt;Q&gt;EURUSD^FG_PRICE(43886)&lt;/Q&gt;&lt;R&gt;1&lt;/R&gt;&lt;C&gt;1&lt;/C&gt;&lt;D xsi:type="xsd:double"&gt;1.08645&lt;/D&gt;&lt;/FQL&gt;&lt;FQL&gt;&lt;Q&gt;EURUSD^FG_PRICE(43882)&lt;/Q&gt;&lt;R&gt;1&lt;/R&gt;&lt;C&gt;1&lt;/C&gt;&lt;D xsi:type="xsd:double"&gt;1.0852&lt;/D&gt;&lt;/FQL&gt;&lt;FQL&gt;&lt;Q&gt;EURUSD^FG_PRICE(43878)&lt;/Q&gt;&lt;R&gt;1&lt;/R&gt;&lt;C&gt;1&lt;/C&gt;&lt;D xsi:type="xsd:double"&gt;1.08305&lt;/D&gt;&lt;/FQL&gt;&lt;FQL&gt;&lt;Q&gt;EURUSD^FG_PRICE(43874)&lt;/Q&gt;&lt;R&gt;1&lt;/R&gt;&lt;C&gt;1&lt;/C&gt;&lt;D xsi:type="xsd:double"&gt;1.08485&lt;/D&gt;&lt;/FQL&gt;&lt;FQL&gt;&lt;Q&gt;EURUSD^FG_PRICE(43870)&lt;/Q&gt;&lt;R&gt;1&lt;/R&gt;&lt;C&gt;1&lt;/C&gt;&lt;D xsi:type="xsd:double"&gt;1.0964&lt;/D&gt;&lt;/FQL&gt;&lt;FQL&gt;&lt;Q&gt;EURUSD^FG_PRICE(43866)&lt;/Q&gt;&lt;R&gt;1&lt;/R&gt;&lt;C&gt;1&lt;/C&gt;&lt;D xsi:type="xsd:double"&gt;1.1001999&lt;/D&gt;&lt;/FQL&gt;&lt;FQL&gt;&lt;Q&gt;EURUSD^FG_PRICE(43862)&lt;/Q&gt;&lt;R&gt;1&lt;/R&gt;&lt;C&gt;1&lt;/C&gt;&lt;D xsi:type="xsd:double"&gt;1.1082&lt;/D&gt;&lt;/FQL&gt;&lt;FQL&gt;&lt;Q&gt;EURUSD^FG_PRICE(43858)&lt;/Q&gt;&lt;R&gt;1&lt;/R&gt;&lt;C&gt;1&lt;/C&gt;&lt;D xsi:type="xsd:double"&gt;1.10005&lt;/D&gt;&lt;/FQL&gt;&lt;FQL&gt;&lt;Q&gt;EURUSD^FG_PRICE(43854)&lt;/Q&gt;&lt;R&gt;1&lt;/R&gt;&lt;C&gt;1&lt;/C&gt;&lt;D xsi:type="xsd:double"&gt;1.1025001&lt;/D&gt;&lt;/FQL&gt;&lt;FQL&gt;&lt;Q&gt;EURUSD^FG_PRICE(43850)&lt;/Q&gt;&lt;R&gt;1&lt;/R&gt;&lt;C&gt;1&lt;/C&gt;&lt;D xsi:type="xsd:double"&gt;1.10825&lt;/D&gt;&lt;/FQL&gt;&lt;FQL&gt;&lt;Q&gt;EURUSD^FG_PRICE(43846)&lt;/Q&gt;&lt;R&gt;1&lt;/R&gt;&lt;C&gt;1&lt;/C&gt;&lt;D xsi:type="xsd:double"&gt;1.11415&lt;/D&gt;&lt;/FQL&gt;&lt;FQL&gt;&lt;Q&gt;EURUSD^FG_PRICE(43842)&lt;/Q&gt;&lt;R&gt;1&lt;/R&gt;&lt;C&gt;1&lt;/C&gt;&lt;D xsi:type="xsd:double"&gt;1.1113499&lt;/D&gt;&lt;/FQL&gt;&lt;FQL&gt;&lt;Q&gt;EURUSD^FG_PRICE(43838)&lt;/Q&gt;&lt;R&gt;1&lt;/R&gt;&lt;C&gt;1&lt;/C&gt;&lt;D xsi:type="xsd:double"&gt;1.11195&lt;/D&gt;&lt;/FQL&gt;&lt;FQL&gt;&lt;Q&gt;EURUSD^FG_PRICE(43834)&lt;/Q&gt;&lt;R&gt;1&lt;/R&gt;&lt;C&gt;1&lt;/C&gt;&lt;D xsi:type="xsd:double"&gt;1.1165&lt;/D&gt;&lt;/FQL&gt;&lt;FQL&gt;&lt;Q&gt;GBPUSD^FG_PRICE(44833)&lt;/Q&gt;&lt;R&gt;1&lt;/R&gt;&lt;C&gt;1&lt;/C&gt;&lt;D xsi:type="xsd:double"&gt;1.1034501&lt;/D&gt;&lt;/FQL&gt;&lt;FQL&gt;&lt;Q&gt;GBPUSD^FG_PRICE(44829)&lt;/Q&gt;&lt;R&gt;1&lt;/R&gt;&lt;C&gt;1&lt;/C&gt;&lt;D xsi:type="xsd:double"&gt;1.0903&lt;/D&gt;&lt;/FQL&gt;&lt;FQL&gt;&lt;Q&gt;GBPUSD^FG_PRICE(44825)&lt;/Q&gt;&lt;R&gt;1&lt;/R&gt;&lt;C&gt;1&lt;/C&gt;&lt;D xsi:type="xsd:double"&gt;1.13315&lt;/D&gt;&lt;/FQL&gt;&lt;FQL&gt;&lt;Q&gt;GBPUSD^FG_PRICE(44821)&lt;/Q&gt;&lt;R&gt;1&lt;/R&gt;&lt;C&gt;1&lt;/C&gt;&lt;D xsi:type="xsd:doub</t>
        </r>
      </text>
    </comment>
    <comment ref="A13" authorId="0" shapeId="0" xr:uid="{C17DBC5C-51D6-444B-80DE-6AEA0592A4AA}">
      <text>
        <r>
          <rPr>
            <b/>
            <sz val="9"/>
            <color indexed="81"/>
            <rFont val="Tahoma"/>
            <family val="2"/>
          </rPr>
          <t xml:space="preserve">le"&gt;1.1432999&lt;/D&gt;&lt;/FQL&gt;&lt;FQL&gt;&lt;Q&gt;GBPUSD^FG_PRICE(44817)&lt;/Q&gt;&lt;R&gt;1&lt;/R&gt;&lt;C&gt;1&lt;/C&gt;&lt;D xsi:type="xsd:double"&gt;1.1544&lt;/D&gt;&lt;/FQL&gt;&lt;FQL&gt;&lt;Q&gt;GBPUSD^FG_PRICE(44813)&lt;/Q&gt;&lt;R&gt;1&lt;/R&gt;&lt;C&gt;1&lt;/C&gt;&lt;D xsi:type="xsd:double"&gt;1.1582&lt;/D&gt;&lt;/FQL&gt;&lt;FQL&gt;&lt;Q&gt;GBPUSD^FG_PRICE(44809)&lt;/Q&gt;&lt;R&gt;1&lt;/R&gt;&lt;C&gt;1&lt;/C&gt;&lt;D xsi:type="xsd:double"&gt;1.1507&lt;/D&gt;&lt;/FQL&gt;&lt;FQL&gt;&lt;Q&gt;GBPUSD^FG_PRICE(44805)&lt;/Q&gt;&lt;R&gt;1&lt;/R&gt;&lt;C&gt;1&lt;/C&gt;&lt;D xsi:type="xsd:double"&gt;1.1527&lt;/D&gt;&lt;/FQL&gt;&lt;FQL&gt;&lt;Q&gt;GBPUSD^FG_PRICE(44801)&lt;/Q&gt;&lt;R&gt;1&lt;/R&gt;&lt;C&gt;1&lt;/C&gt;&lt;D xsi:type="xsd:double"&gt;1.17915&lt;/D&gt;&lt;/FQL&gt;&lt;FQL&gt;&lt;Q&gt;GBPUSD^FG_PRICE(44797)&lt;/Q&gt;&lt;R&gt;1&lt;/R&gt;&lt;C&gt;1&lt;/C&gt;&lt;D xsi:type="xsd:double"&gt;1.1821&lt;/D&gt;&lt;/FQL&gt;&lt;FQL&gt;&lt;Q&gt;GBPUSD^FG_PRICE(44793)&lt;/Q&gt;&lt;R&gt;1&lt;/R&gt;&lt;C&gt;1&lt;/C&gt;&lt;D xsi:type="xsd:double"&gt;1.1803&lt;/D&gt;&lt;/FQL&gt;&lt;FQL&gt;&lt;Q&gt;GBPUSD^FG_PRICE(44789)&lt;/Q&gt;&lt;R&gt;1&lt;/R&gt;&lt;C&gt;1&lt;/C&gt;&lt;D xsi:type="xsd:double"&gt;1.2093999&lt;/D&gt;&lt;/FQL&gt;&lt;FQL&gt;&lt;Q&gt;GBPUSD^FG_PRICE(44785)&lt;/Q&gt;&lt;R&gt;1&lt;/R&gt;&lt;C&gt;1&lt;/C&gt;&lt;D xsi:type="xsd:double"&gt;1.21175&lt;/D&gt;&lt;/FQL&gt;&lt;FQL&gt;&lt;Q&gt;GBPUSD^FG_PRICE(44781)&lt;/Q&gt;&lt;R&gt;1&lt;/R&gt;&lt;C&gt;1&lt;/C&gt;&lt;D xsi:type="xsd:double"&gt;1.2119&lt;/D&gt;&lt;/FQL&gt;&lt;FQL&gt;&lt;Q&gt;GBPUSD^FG_PRICE(44777)&lt;/Q&gt;&lt;R&gt;1&lt;/R&gt;&lt;C&gt;1&lt;/C&gt;&lt;D xsi:type="xsd:double"&gt;1.21105&lt;/D&gt;&lt;/FQL&gt;&lt;FQL&gt;&lt;Q&gt;GBPUSD^FG_PRICE(44773)&lt;/Q&gt;&lt;R&gt;1&lt;/R&gt;&lt;C&gt;1&lt;/C&gt;&lt;D xsi:type="xsd:double"&gt;1.2169&lt;/D&gt;&lt;/FQL&gt;&lt;FQL&gt;&lt;Q&gt;GBPUSD^FG_PRICE(44769)&lt;/Q&gt;&lt;R&gt;1&lt;/R&gt;&lt;C&gt;1&lt;/C&gt;&lt;D xsi:type="xsd:double"&gt;1.2031&lt;/D&gt;&lt;/FQL&gt;&lt;FQL&gt;&lt;Q&gt;GBPUSD^FG_PRICE(44765)&lt;/Q&gt;&lt;R&gt;1&lt;/R&gt;&lt;C&gt;1&lt;/C&gt;&lt;D xsi:type="xsd:double"&gt;1.20415&lt;/D&gt;&lt;/FQL&gt;&lt;FQL&gt;&lt;Q&gt;GBPUSD^FG_PRICE(44761)&lt;/Q&gt;&lt;R&gt;1&lt;/R&gt;&lt;C&gt;1&lt;/C&gt;&lt;D xsi:type="xsd:double"&gt;1.20325&lt;/D&gt;&lt;/FQL&gt;&lt;FQL&gt;&lt;Q&gt;GBPUSD^FG_PRICE(44757)&lt;/Q&gt;&lt;R&gt;1&lt;/R&gt;&lt;C&gt;1&lt;/C&gt;&lt;D xsi:type="xsd:double"&gt;1.18505&lt;/D&gt;&lt;/FQL&gt;&lt;FQL&gt;&lt;Q&gt;GBPUSD^FG_PRICE(44753)&lt;/Q&gt;&lt;R&gt;1&lt;/R&gt;&lt;C&gt;1&lt;/C&gt;&lt;D xsi:type="xsd:double"&gt;1.1885&lt;/D&gt;&lt;/FQL&gt;&lt;FQL&gt;&lt;Q&gt;GBPUSD^FG_PRICE(44749)&lt;/Q&gt;&lt;R&gt;1&lt;/R&gt;&lt;C&gt;1&lt;/C&gt;&lt;D xsi:type="xsd:double"&gt;1.1998999&lt;/D&gt;&lt;/FQL&gt;&lt;FQL&gt;&lt;Q&gt;GBPUSD^FG_PRICE(44745)&lt;/Q&gt;&lt;R&gt;1&lt;/R&gt;&lt;C&gt;1&lt;/C&gt;&lt;D xsi:type="xsd:double"&gt;1.2005501&lt;/D&gt;&lt;/FQL&gt;&lt;FQL&gt;&lt;Q&gt;GBPUSD^FG_PRICE(44741)&lt;/Q&gt;&lt;R&gt;1&lt;/R&gt;&lt;C&gt;1&lt;/C&gt;&lt;D xsi:type="xsd:double"&gt;1.2121999&lt;/D&gt;&lt;/FQL&gt;&lt;FQL&gt;&lt;Q&gt;GBPUSD^FG_PRICE(44737)&lt;/Q&gt;&lt;R&gt;1&lt;/R&gt;&lt;C&gt;1&lt;/C&gt;&lt;D xsi:type="xsd:double"&gt;1.2290001&lt;/D&gt;&lt;/FQL&gt;&lt;FQL&gt;&lt;Q&gt;GBPUSD^FG_PRICE(44733)&lt;/Q&gt;&lt;R&gt;1&lt;/R&gt;&lt;C&gt;1&lt;/C&gt;&lt;D xsi:type="xsd:double"&gt;1.22835&lt;/D&gt;&lt;/FQL&gt;&lt;FQL&gt;&lt;Q&gt;GBPUSD^FG_PRICE(44729)&lt;/Q&gt;&lt;R&gt;1&lt;/R&gt;&lt;C&gt;1&lt;/C&gt;&lt;D xsi:type="xsd:double"&gt;1.21805&lt;/D&gt;&lt;/FQL&gt;&lt;FQL&gt;&lt;Q&gt;GBPUSD^FG_PRICE(44725)&lt;/Q&gt;&lt;R&gt;1&lt;/R&gt;&lt;C&gt;1&lt;/C&gt;&lt;D xsi:type="xsd:double"&gt;1.2132499&lt;/D&gt;&lt;/FQL&gt;&lt;FQL&gt;&lt;Q&gt;GBPUSD^FG_PRICE(44721)&lt;/Q&gt;&lt;R&gt;1&lt;/R&gt;&lt;C&gt;1&lt;/C&gt;&lt;D xsi:type="xsd:double"&gt;1.2541001&lt;/D&gt;&lt;/FQL&gt;&lt;FQL&gt;&lt;Q&gt;GBPUSD^FG_PRICE(44717)&lt;/Q&gt;&lt;R&gt;1&lt;/R&gt;&lt;C&gt;1&lt;/C&gt;&lt;D xsi:type="xsd:double"&gt;1.2522&lt;/D&gt;&lt;/FQL&gt;&lt;FQL&gt;&lt;Q&gt;GBPUSD^FG_PRICE(44713)&lt;/Q&gt;&lt;R&gt;1&lt;/R&gt;&lt;C&gt;1&lt;/C&gt;&lt;D xsi:type="xsd:double"&gt;1.24965&lt;/D&gt;&lt;/FQL&gt;&lt;FQL&gt;&lt;Q&gt;GBPUSD^FG_PRICE(44709)&lt;/Q&gt;&lt;R&gt;1&lt;/R&gt;&lt;C&gt;1&lt;/C&gt;&lt;D xsi:type="xsd:double"&gt;1.26145&lt;/D&gt;&lt;/FQL&gt;&lt;FQL&gt;&lt;Q&gt;GBPUSD^FG_PRICE(44705)&lt;/Q&gt;&lt;R&gt;1&lt;/R&gt;&lt;C&gt;1&lt;/C&gt;&lt;D xsi:type="xsd:double"&gt;1.2524999&lt;/D&gt;&lt;/FQL&gt;&lt;FQL&gt;&lt;Q&gt;GBPUSD^FG_PRICE(44701)&lt;/Q&gt;&lt;R&gt;1&lt;/R&gt;&lt;C&gt;1&lt;/C&gt;&lt;D xsi:type="xsd:double"&gt;1.2467&lt;/D&gt;&lt;/FQL&gt;&lt;FQL&gt;&lt;Q&gt;GBPUSD^FG_PRICE(44697)&lt;/Q&gt;&lt;R&gt;1&lt;/R&gt;&lt;C&gt;1&lt;/C&gt;&lt;D xsi:type="xsd:double"&gt;1.22525&lt;/D&gt;&lt;/FQL&gt;&lt;FQL&gt;&lt;Q&gt;GBPUSD^FG_PRICE(44693)&lt;/Q&gt;&lt;R&gt;1&lt;/R&gt;&lt;C&gt;1&lt;/C&gt;&lt;D xsi:type="xsd:double"&gt;1.2227501&lt;/D&gt;&lt;/FQL&gt;&lt;FQL&gt;&lt;Q&gt;GBPUSD^FG_PRICE(44689)&lt;/Q&gt;&lt;R&gt;1&lt;/R&gt;&lt;C&gt;1&lt;/C&gt;&lt;D xsi:type="xsd:double"&gt;1.23525&lt;/D&gt;&lt;/FQL&gt;&lt;FQL&gt;&lt;Q&gt;GBPUSD^FG_PRICE(44685)&lt;/Q&gt;&lt;R&gt;1&lt;/R&gt;&lt;C&gt;1&lt;/C&gt;&lt;D xsi:type="xsd:double"&gt;1.2501501&lt;/D&gt;&lt;/FQL&gt;&lt;FQL&gt;&lt;Q&gt;GBPUSD^FG_PRICE(44681)&lt;/Q&gt;&lt;R&gt;1&lt;/R&gt;&lt;C&gt;1&lt;/C&gt;&lt;D xsi:type="xsd:double"&gt;1.2555&lt;/D&gt;&lt;/FQL&gt;&lt;FQL&gt;&lt;Q&gt;GBPUSD^FG_PRICE(44677)&lt;/Q&gt;&lt;R&gt;1&lt;/R&gt;&lt;C&gt;1&lt;/C&gt;&lt;D xsi:type="xsd:double"&gt;1.26205&lt;/D&gt;&lt;/FQL&gt;&lt;FQL&gt;&lt;Q&gt;GBPUSD^FG_PRICE(44673)&lt;/Q&gt;&lt;R&gt;1&lt;/R&gt;&lt;C&gt;1&lt;/C&gt;&lt;D xsi:type="xsd:double"&gt;1.28425&lt;/D&gt;&lt;/FQL&gt;&lt;FQL&gt;&lt;Q&gt;GBPUSD^FG_PRICE(44669)&lt;/Q&gt;&lt;R&gt;1&lt;/R&gt;&lt;C&gt;1&lt;/C&gt;&lt;D xsi:type="xsd:double"&gt;1.3018501&lt;/D&gt;&lt;/FQL&gt;&lt;FQL&gt;&lt;Q&gt;GBPUSD^FG_PRICE(44665)&lt;/Q&gt;&lt;R&gt;1&lt;/R&gt;&lt;C&gt;1&lt;/C&gt;&lt;D xsi:type="xsd:double"&gt;1.3045499&lt;/D&gt;&lt;/FQL&gt;&lt;FQL&gt;&lt;Q&gt;GBPUSD^FG_PRICE(44661)&lt;/Q&gt;&lt;R&gt;1&lt;/R&gt;&lt;C&gt;1&lt;/C&gt;&lt;D xsi:type="xsd:double"&gt;1.30085&lt;/D&gt;&lt;/FQL&gt;&lt;FQL&gt;&lt;Q&gt;GBPUSD^FG_PRICE(44657)&lt;/Q&gt;&lt;R&gt;1&lt;/R&gt;&lt;C&gt;1&lt;/C&gt;&lt;D xsi:type="xsd:double"&gt;1.30895&lt;/D&gt;&lt;/FQL&gt;&lt;FQL&gt;&lt;Q&gt;GBPUSD^FG_PRICE(44653)&lt;/Q&gt;&lt;R&gt;1&lt;/R&gt;&lt;C&gt;1&lt;/C&gt;&lt;D xsi:type="xsd:double"&gt;1.31075&lt;/D&gt;&lt;/FQL&gt;&lt;FQL&gt;&lt;Q&gt;GBPUSD^FG_PRICE(44649)&lt;/Q&gt;&lt;R&gt;1&lt;/R&gt;&lt;C&gt;1&lt;/C&gt;&lt;D xsi:type="xsd:double"&gt;1.3136&lt;/D&gt;&lt;/FQL&gt;&lt;FQL&gt;&lt;Q&gt;GBPUSD^FG_PRICE(44645)&lt;/Q&gt;&lt;R&gt;1&lt;/R&gt;&lt;C&gt;1&lt;/C&gt;&lt;D xsi:type="xsd:double"&gt;1.3192999&lt;/D&gt;&lt;/FQL&gt;&lt;FQL&gt;&lt;Q&gt;GBPUSD^FG_PRICE(44641)&lt;/Q&gt;&lt;R&gt;1&lt;/R&gt;&lt;C&gt;1&lt;/C&gt;&lt;D xsi:type="xsd:double"&gt;1.32045&lt;/D&gt;&lt;/FQL&gt;&lt;FQL&gt;&lt;Q&gt;GBPUSD^FG_PRICE(44637)&lt;/Q&gt;&lt;R&gt;1&lt;/R&gt;&lt;C&gt;1&lt;/C&gt;&lt;D xsi:type="xsd:double"&gt;1.31575&lt;/D&gt;&lt;/FQL&gt;&lt;FQL&gt;&lt;Q&gt;GBPUSD^FG_PRICE(44633)&lt;/Q&gt;&lt;R&gt;1&lt;/R&gt;&lt;C&gt;1&lt;/C&gt;&lt;D xsi:type="xsd:double"&gt;1.30865&lt;/D&gt;&lt;/FQL&gt;&lt;FQL&gt;&lt;Q&gt;GBPUSD^FG_PRICE(44629)&lt;/Q&gt;&lt;R&gt;1&lt;/R&gt;&lt;C&gt;1&lt;/C&gt;&lt;D xsi:type="xsd:double"&gt;1.31565&lt;/D&gt;&lt;/FQL&gt;&lt;FQL&gt;&lt;Q&gt;GBPUSD^FG_PRICE(44625)&lt;/Q&gt;&lt;R&gt;1&lt;/R&gt;&lt;C&gt;1&lt;/C&gt;&lt;D xsi:type="xsd:double"&gt;1.3218&lt;/D&gt;&lt;/FQL&gt;&lt;FQL&gt;&lt;Q&gt;GBPUSD^FG_PRICE(44621)&lt;/Q&gt;&lt;R&gt;1&lt;/R&gt;&lt;C&gt;1&lt;/C&gt;&lt;D xsi:type="xsd:double"&gt;1.3352&lt;/D&gt;&lt;/FQL&gt;&lt;FQL&gt;&lt;Q&gt;GBPUSD^FG_PRICE(44617)&lt;/Q&gt;&lt;R&gt;1&lt;/R&gt;&lt;C&gt;1&lt;/C&gt;&lt;D xsi:type="xsd:double"&gt;1.3417499&lt;/D&gt;&lt;/FQL&gt;&lt;FQL&gt;&lt;Q&gt;GBPUSD^FG_PRICE(44613)&lt;/Q&gt;&lt;R&gt;1&lt;/R&gt;&lt;C&gt;1&lt;/C&gt;&lt;D xsi:type="xsd:double"&gt;1.36075&lt;/D&gt;&lt;/FQL&gt;&lt;FQL&gt;&lt;Q&gt;GBPUSD^FG_PRICE(44609)&lt;/Q&gt;&lt;R&gt;1&lt;/R&gt;&lt;C&gt;1&lt;/C&gt;&lt;D xsi:type="xsd:double"&gt;1.362&lt;/D&gt;&lt;/FQL&gt;&lt;FQL&gt;&lt;Q&gt;GBPUSD^FG_PRICE(44605)&lt;/Q&gt;&lt;R&gt;1&lt;/R&gt;&lt;C&gt;1&lt;/C&gt;&lt;D xsi:type="xsd:double"&gt;1.3603&lt;/D&gt;&lt;/FQL&gt;&lt;FQL&gt;&lt;Q&gt;GBPUSD^FG_PRICE(44601)&lt;/Q&gt;&lt;R&gt;1&lt;/R&gt;&lt;C&gt;1&lt;/C&gt;&lt;D xsi:type="xsd:double"&gt;1.35465&lt;/D&gt;&lt;/FQL&gt;&lt;FQL&gt;&lt;Q&gt;GBPUSD^FG_PRICE(44597)&lt;/Q&gt;&lt;R&gt;1&lt;/R&gt;&lt;C&gt;1&lt;/C&gt;&lt;D xsi:type="xsd:double"&gt;1.35315&lt;/D&gt;&lt;/FQL&gt;&lt;FQL&gt;&lt;Q&gt;GBPUSD^FG_PRICE(44593)&lt;/Q&gt;&lt;R&gt;1&lt;/R&gt;&lt;C&gt;1&lt;/C&gt;&lt;D xsi:type="xsd:double"&gt;1.3508&lt;/D&gt;&lt;/FQL&gt;&lt;FQL&gt;&lt;Q&gt;GBPUSD^FG_PRICE(44589)&lt;/Q&gt;&lt;R&gt;1&lt;/R&gt;&lt;C&gt;1&lt;/C&gt;&lt;D xsi:type="xsd:double"&gt;1.3414&lt;/D&gt;&lt;/FQL&gt;&lt;FQL&gt;&lt;Q&gt;GBPUSD^FG_PRICE(44585)&lt;/Q&gt;&lt;R&gt;1&lt;/R&gt;&lt;C&gt;1&lt;/C&gt;&lt;D xsi:type="xsd:double"&gt;1.3464&lt;/D&gt;&lt;/FQL&gt;&lt;FQL&gt;&lt;Q&gt;GBPUSD^FG_PRICE(44581)&lt;/Q&gt;&lt;R&gt;1&lt;/R&gt;&lt;C&gt;1&lt;/C&gt;&lt;D xsi:type="xsd:double"&gt;1.36555&lt;/D&gt;&lt;/FQL&gt;&lt;FQL&gt;&lt;Q&gt;GBPUSD^FG_PRICE(44577)&lt;/Q&gt;&lt;R&gt;1&lt;/R&gt;&lt;C&gt;1&lt;/C&gt;&lt;D xsi:type="xsd:double"&gt;1.36835&lt;/D&gt;&lt;/FQL&gt;&lt;FQL&gt;&lt;Q&gt;GBPUSD^FG_PRICE(44573)&lt;/Q&gt;&lt;R&gt;1&lt;/R&gt;&lt;C&gt;1&lt;/C&gt;&lt;D xsi:type="xsd:double"&gt;1.3686999&lt;/D&gt;&lt;/FQL&gt;&lt;FQL&gt;&lt;Q&gt;GBPUSD^FG_PRICE(44569)&lt;/Q&gt;&lt;R&gt;1&lt;/R&gt;&lt;C&gt;1&lt;/C&gt;&lt;D xsi:type="xsd:double"&gt;1.35735&lt;/D&gt;&lt;/FQL&gt;&lt;FQL&gt;&lt;Q&gt;GBPUSD^FG_PRICE(44565)&lt;/Q&gt;&lt;R&gt;1&lt;/R&gt;&lt;C&gt;1&lt;/C&gt;&lt;D xsi:type="xsd:double"&gt;1.3553001&lt;/D&gt;&lt;/FQL&gt;&lt;FQL&gt;&lt;Q&gt;GBPUSD^FG_PRICE(44561)&lt;/Q&gt;&lt;R&gt;1&lt;/R&gt;&lt;C&gt;1&lt;/C&gt;&lt;D xsi:type="xsd:double"&gt;1.35445&lt;/D&gt;&lt;/FQL&gt;&lt;FQL&gt;&lt;Q&gt;GBPUSD^FG_PRICE(44557)&lt;/Q&gt;&lt;R&gt;1&lt;/R&gt;&lt;C&gt;1&lt;/C&gt;&lt;D xsi:type="xsd:double"&gt;1.3418&lt;/D&gt;&lt;/FQL&gt;&lt;FQL&gt;&lt;Q&gt;GBPUSD^FG_PRICE(44553)&lt;/Q&gt;&lt;R&gt;1&lt;/R&gt;&lt;C&gt;1&lt;/C&gt;&lt;D xsi:type="xsd:double"&gt;1.3407&lt;/D&gt;&lt;/FQL&gt;&lt;FQL&gt;&lt;Q&gt;GBPUSD^FG_PRICE(44549)&lt;/Q&gt;&lt;R&gt;1&lt;/R&gt;&lt;C&gt;1&lt;/C&gt;&lt;D xsi:type="xsd:double"&gt;1.3264&lt;/D&gt;&lt;/FQL&gt;&lt;FQL&gt;&lt;Q&gt;GBPUSD^FG_PRICE(44545)&lt;/Q&gt;&lt;R&gt;1&lt;/R&gt;&lt;C&gt;1&lt;/C&gt;&lt;D xsi:type="xsd:double"&gt;1.32155&lt;/D&gt;&lt;/FQL&gt;&lt;FQL&gt;&lt;Q&gt;GBPUSD^FG_PRICE(44541)&lt;/Q&gt;&lt;R&gt;1&lt;/R&gt;&lt;C&gt;1&lt;/C&gt;&lt;D xsi:type="xsd:double"&gt;1.3228999&lt;/D&gt;&lt;/FQL&gt;&lt;FQL&gt;&lt;Q&gt;GBPUSD^FG_PRICE(44537)&lt;/Q&gt;&lt;R&gt;1&lt;/R&gt;&lt;C&gt;1&lt;/C&gt;&lt;D xsi:type="xsd:double"&gt;1.32355&lt;/D&gt;&lt;/FQL&gt;&lt;FQL&gt;&lt;Q&gt;GBPUSD^FG_PRICE(44533)&lt;/Q&gt;&lt;R&gt;1&lt;/R&gt;&lt;C&gt;1&lt;/C&gt;&lt;D xsi:type="xsd:double"&gt;1.3219999&lt;/D&gt;&lt;/FQL&gt;&lt;FQL&gt;&lt;Q&gt;GBPUSD^FG_PRICE(44529)&lt;/Q&gt;&lt;R&gt;1&lt;/R&gt;&lt;C&gt;1&lt;/C&gt;&lt;D xsi:type="xsd:double"&gt;1.3296&lt;/D&gt;&lt;/FQL&gt;&lt;FQL&gt;&lt;Q&gt;GBPUSD^FG_PRICE(44525)&lt;/Q&gt;&lt;R&gt;1&lt;/R&gt;&lt;C&gt;1&lt;/C&gt;&lt;D xsi:type="xsd:double"&gt;1.3319999&lt;/D&gt;&lt;/FQL&gt;&lt;FQL&gt;&lt;Q&gt;GBPUSD^FG_PRICE(44521)&lt;/Q&gt;&lt;R&gt;1&lt;/R&gt;&lt;C&gt;1&lt;/C&gt;&lt;D xsi:type="xsd:double"&gt;1.3459&lt;/D&gt;&lt;/FQL&gt;&lt;FQL&gt;&lt;Q&gt;GBPUSD^FG_PRICE(44517)&lt;/Q&gt;&lt;R&gt;1&lt;/R&gt;&lt;C&gt;1&lt;/C&gt;&lt;D xsi:type="xsd:double"&gt;1.3464501&lt;/D&gt;&lt;/FQL&gt;&lt;FQL&gt;&lt;Q&gt;GBPUSD^FG_PRICE(44513)&lt;/Q&gt;&lt;R&gt;1&lt;/R&gt;&lt;C&gt;1&lt;/C&gt;&lt;D xsi:type="xsd:double"&gt;1.3395&lt;/D&gt;&lt;/FQL&gt;&lt;FQL&gt;&lt;Q&gt;GBPUSD^FG_PRICE(44509)&lt;/Q&gt;&lt;R&gt;1&lt;/R&gt;&lt;C&gt;1&lt;/C&gt;&lt;D xsi:type="xsd:double"&gt;1.35515&lt;/D&gt;&lt;/FQL&gt;&lt;FQL&gt;&lt;Q&gt;GBPUSD^FG_PRICE(44505)&lt;/Q&gt;&lt;R&gt;1&lt;/R&gt;&lt;C&gt;1&lt;/C&gt;&lt;D xsi:type="xsd:double"&gt;1.349&lt;/D&gt;&lt;/FQL&gt;&lt;FQL&gt;&lt;Q&gt;GBPUSD^FG_PRICE(44501)&lt;/Q&gt;&lt;R&gt;1&lt;/R&gt;&lt;C&gt;1&lt;/C&gt;&lt;D xsi:type="xsd:double"&gt;1.36765&lt;/D&gt;&lt;/FQL&gt;&lt;FQL&gt;&lt;Q&gt;GBPUSD^FG_PRICE(44497)&lt;/Q&gt;&lt;R&gt;1&lt;/R&gt;&lt;C&gt;1&lt;/C&gt;&lt;D xsi:type="xsd:double"&gt;1.3799&lt;/D&gt;&lt;/FQL&gt;&lt;FQL&gt;&lt;Q&gt;GBPUSD^FG_PRICE(44493)&lt;/Q&gt;&lt;R&gt;1&lt;/R&gt;&lt;C&gt;1&lt;/C&gt;&lt;D xsi:type="xsd:double"&gt;1.37725&lt;/D&gt;&lt;/FQL&gt;&lt;FQL&gt;&lt;Q&gt;GBPUSD^FG_PRICE(44489)&lt;/Q&gt;&lt;R&gt;1&lt;/R&gt;&lt;C&gt;1&lt;/C&gt;&lt;D xsi:type="xsd:double"&gt;1.3815&lt;/D&gt;&lt;/FQL&gt;&lt;FQL&gt;&lt;Q&gt;GBPUSD^FG_PRICE(44485)&lt;/Q&gt;&lt;R&gt;1&lt;/R&gt;&lt;C&gt;1&lt;/C&gt;&lt;D xsi:type="xsd:double"&gt;1.37685&lt;/D&gt;&lt;/FQL&gt;&lt;FQL&gt;&lt;Q&gt;GBPUSD^FG_PRICE(44481)&lt;/Q&gt;&lt;R&gt;1&lt;/R&gt;&lt;C&gt;1&lt;/C&gt;&lt;D xsi:type="xsd:double"&gt;1.36025&lt;/D&gt;&lt;/FQL&gt;&lt;FQL&gt;&lt;Q&gt;GBPUSD^FG_PRICE(44477)&lt;/Q&gt;&lt;R&gt;1&lt;/R&gt;&lt;C&gt;1&lt;/C&gt;&lt;D xsi:type="xsd:double"&gt;1.36375&lt;/D&gt;&lt;/FQL&gt;&lt;FQL&gt;&lt;Q&gt;GBPUSD^FG_PRICE(44473)&lt;/Q&gt;&lt;R&gt;1&lt;/R&gt;&lt;C&gt;1&lt;/C&gt;&lt;D xsi:type="xsd:double"&gt;1.36035&lt;/D&gt;&lt;/FQL&gt;&lt;FQL&gt;&lt;Q&gt;GBPUSD^FG_PRICE(44469)&lt;/Q&gt;&lt;R&gt;1&lt;/R&gt;&lt;C&gt;1&lt;/C&gt;&lt;D xsi:type="xsd:double"&gt;1.34835&lt;/D&gt;&lt;/FQL&gt;&lt;FQL&gt;&lt;Q&gt;GBPUSD^FG_PRICE(44465)&lt;/Q&gt;&lt;R&gt;1&lt;/R&gt;&lt;C&gt;1&lt;/C&gt;&lt;D xsi:type="xsd:double"&gt;1.36755&lt;/D&gt;&lt;/FQL&gt;&lt;FQL&gt;&lt;Q&gt;GBPUSD^FG_PRICE(44461)&lt;/Q&gt;&lt;R&gt;1&lt;/R&gt;&lt;C&gt;1&lt;/C&gt;&lt;D xsi:type="xsd:double"&gt;1.36455&lt;/D&gt;&lt;/FQL&gt;&lt;FQL&gt;&lt;Q&gt;GBPUSD^FG_PRICE(44457)&lt;/Q&gt;&lt;R&gt;1&lt;/R&gt;&lt;C&gt;1&lt;/C&gt;&lt;D xsi:type="xsd:double"&gt;1.3747001&lt;/D&gt;&lt;/FQL&gt;&lt;FQL&gt;&lt;Q&gt;GBPUSD^FG_PRICE(44453)&lt;/Q&gt;&lt;R&gt;1&lt;/R&gt;&lt;C&gt;1&lt;/C&gt;&lt;D xsi:type="xsd:double"&gt;1.3852&lt;/D&gt;&lt;/FQL&gt;&lt;FQL&gt;&lt;Q&gt;GBPUSD^FG_PRICE(44449)&lt;/Q&gt;&lt;R&gt;1&lt;/R&gt;&lt;C&gt;1&lt;/C&gt;&lt;D xsi:type="xsd:double"&gt;1.38555&lt;/D&gt;&lt;/FQL&gt;&lt;FQL&gt;&lt;Q&gt;GBPUSD^FG_PRICE(44445)&lt;/Q&gt;&lt;R&gt;1&lt;/R&gt;&lt;C&gt;1&lt;/C&gt;&lt;D xsi:type="xsd:double"&gt;1.38265&lt;/D&gt;&lt;/FQL&gt;&lt;FQL&gt;&lt;Q&gt;GBPUSD^FG_PRICE(44441)&lt;/Q&gt;&lt;R&gt;1&lt;/R&gt;&lt;C&gt;1&lt;/C&gt;&lt;D xsi:type="xsd:double"&gt;1.3834001&lt;/D&gt;&lt;/FQL&gt;&lt;FQL&gt;&lt;Q&gt;GBPUSD^FG_PRICE(44437)&lt;/Q&gt;&lt;R&gt;1&lt;/R&gt;&lt;C&gt;1&lt;/C&gt;&lt;D xsi:type="xsd:double"&gt;1.3743501&lt;/D&gt;&lt;/FQL&gt;&lt;FQL&gt;&lt;Q&gt;GBPUSD^FG_PRICE(44433)&lt;/Q&gt;&lt;R&gt;1&lt;/R&gt;&lt;C&gt;1&lt;/C&gt;&lt;D xsi:type="xsd:double"&gt;1.3731501&lt;/D&gt;&lt;/FQL&gt;&lt;FQL&gt;&lt;Q&gt;GBPUSD^FG_PRICE(44429)&lt;/Q&gt;&lt;R&gt;1&lt;/R&gt;&lt;C&gt;1&lt;/C&gt;&lt;D xsi:type="xsd:double"&gt;1.3615&lt;/D&gt;&lt;/FQL&gt;&lt;FQL&gt;&lt;Q&gt;GBPUSD^FG_PRICE(44425)&lt;/Q&gt;&lt;R&gt;1&lt;/R&gt;&lt;C&gt;1&lt;/C&gt;&lt;D xsi:type="xsd:double"&gt;1.3737999&lt;/D&gt;&lt;/FQL&gt;&lt;FQL&gt;&lt;Q&gt;GBPUSD^FG_PRICE(44421)&lt;/Q&gt;&lt;R&gt;1&lt;/R&gt;&lt;C&gt;1&lt;/C&gt;&lt;D xsi:type="xsd:double"&gt;1.3853999&lt;/D&gt;&lt;/FQL&gt;&lt;FQL&gt;&lt;Q&gt;GBPUSD^FG_PRICE(44417)&lt;/Q&gt;&lt;R&gt;1&lt;/R&gt;&lt;C&gt;1&lt;/C&gt;&lt;D xsi:type="xsd:double"&gt;1.3848&lt;/D&gt;&lt;/FQL&gt;&lt;FQL&gt;&lt;Q&gt;GBPUSD^FG_PRICE(44413)&lt;/Q&gt;&lt;R&gt;1&lt;/R&gt;&lt;C&gt;1&lt;/C&gt;&lt;D xsi:type="xsd:double"&gt;1.3933&lt;/D&gt;&lt;/FQL&gt;&lt;FQL&gt;&lt;Q&gt;GBPUSD^FG_PRICE(44409)&lt;/Q&gt;&lt;R&gt;1&lt;/R&gt;&lt;C&gt;1&lt;/C&gt;&lt;D xsi:type="xsd:double"&gt;1.39035&lt;/D&gt;&lt;/FQL&gt;&lt;FQL&gt;&lt;Q&gt;GBPUSD^FG_PRICE(44405)&lt;/Q&gt;&lt;R&gt;1&lt;/R&gt;&lt;C&gt;1&lt;/C&gt;&lt;D xsi:type="xsd:double"&gt;1.3869001&lt;/D&gt;&lt;/FQL&gt;&lt;FQL&gt;&lt;Q&gt;GBPUSD^FG_PRICE(44401)&lt;/Q&gt;&lt;R&gt;1&lt;/R&gt;&lt;C&gt;1&lt;/C&gt;&lt;D xsi:type="xsd:double"&gt;1.37515&lt;/D&gt;&lt;/FQL&gt;&lt;FQL&gt;&lt;Q&gt;GBPUSD^FG_PRICE(44397)&lt;/Q&gt;&lt;R&gt;1&lt;/R&gt;&lt;C&gt;1&lt;/C&gt;&lt;D xsi:type="xsd:double"&gt;1.36115&lt;/D&gt;&lt;/FQL&gt;&lt;FQL&gt;&lt;Q&gt;GBPUSD^FG_PRICE(44393)&lt;/Q&gt;&lt;R&gt;1&lt;/R&gt;&lt;C&gt;1&lt;/C&gt;&lt;D xsi:type="xsd:double"&gt;1.37915&lt;/D&gt;&lt;/FQL&gt;&lt;FQL&gt;&lt;Q&gt;GBPUSD^FG_PRICE(44389)&lt;/Q&gt;&lt;R&gt;1&lt;/R&gt;&lt;C&gt;1&lt;/C&gt;&lt;D xsi:type="xsd:double"&gt;1.3894501&lt;/D&gt;&lt;/FQL&gt;&lt;FQL&gt;&lt;Q&gt;GBPUSD^FG_PRICE(44385)&lt;/Q&gt;&lt;R&gt;1&lt;/R&gt;&lt;C&gt;1&lt;/C&gt;&lt;D xsi:type="xsd:double"&gt;1.3761001&lt;/D&gt;&lt;/FQL&gt;&lt;FQL&gt;&lt;Q&gt;GBPUSD^FG_PRICE(44381)&lt;/Q&gt;&lt;R&gt;1&lt;/R&gt;&lt;C&gt;1&lt;/C&gt;&lt;D xsi:type="xsd:double"&gt;1.37835&lt;/D&gt;&lt;/FQL&gt;&lt;FQL&gt;&lt;Q&gt;GBPUSD^FG_PRICE(44377)&lt;/Q&gt;&lt;R&gt;1&lt;/R&gt;&lt;C&gt;1&lt;/C&gt;&lt;D xsi:type="xsd:double"&gt;1.38145&lt;/D&gt;&lt;/FQL&gt;&lt;FQL&gt;&lt;Q&gt;GBPUSD^FG_PRICE(44373)&lt;/Q&gt;&lt;R&gt;1&lt;/R&gt;&lt;C&gt;1&lt;/C&gt;&lt;D xsi:type="xsd:double"&gt;1.3914&lt;/D&gt;&lt;/FQL&gt;&lt;FQL&gt;&lt;Q&gt;GBPUSD^FG_PRICE(44369)&lt;/Q&gt;&lt;R&gt;1&lt;/R&gt;&lt;C&gt;1&lt;/C&gt;&lt;D xsi:type="xsd:double"&gt;1.3917&lt;/D&gt;&lt;/FQL&gt;&lt;FQL&gt;&lt;Q&gt;GBPUSD^FG_PRICE(44365)&lt;/Q&gt;&lt;R&gt;1&lt;/R&gt;&lt;C&gt;1&lt;/C&gt;&lt;D xsi:type="xsd:double"&gt;1.3806001&lt;/D&gt;&lt;/FQL&gt;&lt;FQL&gt;&lt;Q&gt;GBPUSD^FG_PRICE(44361)&lt;/Q&gt;&lt;R&gt;1&lt;/R&gt;&lt;C&gt;1&lt;/C&gt;&lt;D xsi:type="xsd:double"&gt;1.41195&lt;/D&gt;&lt;/FQL&gt;&lt;FQL&gt;&lt;Q&gt;GBPUSD^FG_PRICE(44357)&lt;/Q&gt;&lt;R&gt;1&lt;/R&gt;&lt;C&gt;1&lt;/C&gt;&lt;D xsi:type="xsd:double"&gt;1.4143&lt;/D&gt;&lt;/FQL&gt;&lt;FQL&gt;&lt;Q&gt;GBPUSD^FG_PRICE(44353)&lt;/Q&gt;&lt;R&gt;1&lt;/R&gt;&lt;C&gt;1&lt;/C&gt;&lt;D xsi:type="xsd:double"&gt;1.4172&lt;/D&gt;&lt;/FQL&gt;&lt;FQL&gt;&lt;Q&gt;GBPUSD^FG_PRICE(44349)&lt;/Q&gt;&lt;R&gt;1&lt;/R&gt;&lt;C&gt;1&lt;/C&gt;&lt;D xsi:type="xsd:double"&gt;1.41645&lt;/D&gt;&lt;/FQL&gt;&lt;FQL&gt;&lt;Q&gt;GBPUSD^FG_PRICE(44345)&lt;/Q&gt;&lt;R&gt;1&lt;/R&gt;&lt;C&gt;1&lt;/C&gt;&lt;D xsi:type="xsd:double"&gt;1.41785&lt;/D&gt;&lt;/FQL&gt;&lt;FQL&gt;&lt;Q&gt;GBPUSD^FG_PRICE(44341)&lt;/Q&gt;&lt;R&gt;1&lt;/R&gt;&lt;C&gt;1&lt;/C&gt;&lt;D xsi:type="xsd:double"&gt;1.4132999&lt;/D&gt;&lt;/FQL&gt;&lt;FQL&gt;&lt;Q&gt;GBPUSD^FG_PRICE(44337)&lt;/Q&gt;&lt;R&gt;1&lt;/R&gt;&lt;C&gt;1&lt;/C&gt;&lt;D xsi:type="xsd:double"&gt;1.4160999&lt;/D&gt;&lt;/FQL&gt;&lt;FQL&gt;&lt;Q&gt;GBPUSD^FG_PRICE(44333)&lt;/Q&gt;&lt;R&gt;1&lt;/R&gt;&lt;C&gt;1&lt;/C&gt;&lt;D xsi:type="xsd:double"&gt;1.41195&lt;/D&gt;&lt;/FQL&gt;&lt;FQL&gt;&lt;Q&gt;GBPUSD^FG_PRICE(44329)&lt;/Q&gt;&lt;R&gt;1&lt;/R&gt;&lt;C&gt;1&lt;/C&gt;&lt;D xsi:type="xsd:double"&gt;1.40455&lt;/D&gt;&lt;/FQL&gt;&lt;FQL&gt;&lt;Q&gt;GBPUSD^FG_PRICE(44325)&lt;/Q&gt;&lt;R&gt;1&lt;/R&gt;&lt;C&gt;1&lt;/C&gt;&lt;D xsi:type="xsd:double"&gt;1.3979&lt;/D&gt;&lt;/FQL&gt;&lt;FQL&gt;&lt;Q&gt;GBPUSD^FG_PRICE(44321)&lt;/Q&gt;&lt;R&gt;1&lt;/R&gt;&lt;C&gt;1&lt;/C&gt;&lt;D xsi:type="xsd:double"&gt;1.391&lt;/D&gt;&lt;/FQL&gt;&lt;FQL&gt;&lt;Q&gt;GBPUSD^FG_PRICE(44317)&lt;/Q&gt;&lt;R&gt;1&lt;/R&gt;&lt;C&gt;1&lt;/C&gt;&lt;D xsi:type="xsd:double"&gt;1.3845501&lt;/D&gt;&lt;/FQL&gt;&lt;FQL&gt;&lt;Q&gt;GBPUSD^FG_PRICE(44313)&lt;/Q&gt;&lt;R&gt;1&lt;/R&gt;&lt;C&gt;1&lt;/C&gt;&lt;D xsi:type="xsd:double"&gt;1.3915001&lt;/D&gt;&lt;/FQL&gt;&lt;FQL&gt;&lt;Q&gt;GBPUSD^FG_PRICE(44309)&lt;/Q&gt;&lt;R&gt;1&lt;/R&gt;&lt;C&gt;1&lt;/C&gt;&lt;D xsi:type="xsd:double"&gt;1.3838999&lt;/D&gt;&lt;/FQL&gt;&lt;FQL&gt;&lt;Q&gt;GBPUSD^FG_PRICE(44305)&lt;/Q&gt;&lt;R&gt;1&lt;/R&gt;&lt;C&gt;1&lt;/C&gt;&lt;D xsi:type="xsd:double"&gt;1.3987&lt;/D&gt;&lt;/FQL&gt;&lt;FQL&gt;&lt;Q&gt;GBPUSD^FG_PRICE(44301)&lt;/Q&gt;&lt;R&gt;1&lt;/R&gt;&lt;C&gt;1&lt;/C&gt;&lt;D xsi:type="xsd:double"&gt;1.3793&lt;/D&gt;&lt;/FQL&gt;&lt;FQL&gt;&lt;Q&gt;GBPUSD^FG_PRICE(44297)&lt;/Q&gt;&lt;R&gt;1&lt;/R&gt;&lt;C&gt;1&lt;/C&gt;&lt;D xsi:type="xsd:double"&gt;1.373&lt;/D&gt;&lt;/FQL&gt;&lt;FQL&gt;&lt;Q&gt;GBPUSD^FG_PRICE(44293)&lt;/Q&gt;&lt;R&gt;1&lt;/R&gt;&lt;C&gt;1&lt;/C&gt;&lt;D xsi:type="xsd:double"&gt;1.3787&lt;/D&gt;&lt;/FQL&gt;&lt;FQL&gt;&lt;Q&gt;GBPUSD^FG_PRICE(44289)&lt;/Q&gt;&lt;R&gt;1&lt;/R&gt;&lt;C&gt;1&lt;/C&gt;&lt;D xsi:type="xsd:double"&gt;1.3821&lt;/D&gt;&lt;/FQL&gt;&lt;FQL&gt;&lt;Q&gt;GBPUSD^FG_PRICE(44285)&lt;/Q&gt;&lt;R&gt;1&lt;/R&gt;&lt;C&gt;1&lt;/C&gt;&lt;D xsi:type="xsd:double"&gt;1.37115&lt;/D&gt;&lt;/FQL&gt;&lt;FQL&gt;&lt;Q&gt;GBPUSD^FG_PRICE(44281)&lt;/Q&gt;&lt;R&gt;1&lt;/R&gt;&lt;C&gt;1&lt;/C&gt;&lt;D xsi:type="xsd:double"&gt;1.37915&lt;/D&gt;&lt;/FQL&gt;&lt;FQL&gt;&lt;Q&gt;GBPUSD^FG_PRICE(44277)&lt;/Q&gt;&lt;R&gt;1&lt;/R&gt;&lt;C&gt;1&lt;/C&gt;&lt;D xsi:type="xsd:double"&gt;1.3853999&lt;/D&gt;&lt;/FQL&gt;&lt;FQL&gt;&lt;Q&gt;GBPUSD^FG_PRICE(44273)&lt;/Q&gt;&lt;R&gt;1&lt;/R&gt;&lt;C&gt;1&lt;/C&gt;&lt;D xsi:type="xsd:double"&gt;1.39365&lt;/D&gt;&lt;/FQL&gt;&lt;FQL&gt;&lt;Q&gt;GBPUSD^FG_PRICE(44269)&lt;/Q&gt;&lt;R&gt;1&lt;/R&gt;&lt;C&gt;1&lt;/C&gt;&lt;D xsi:type="xsd:double"&gt;1.3895&lt;/D&gt;&lt;/FQL&gt;&lt;FQL&gt;&lt;Q&gt;GBPUSD^FG_PRICE(44265)&lt;/Q&gt;&lt;R&gt;1&lt;/R&gt;&lt;C&gt;1&lt;/C&gt;&lt;D xsi:type="xsd:double"&gt;1.3904&lt;/D&gt;&lt;/FQL&gt;&lt;FQL&gt;&lt;Q&gt;GBPUSD^FG_PRICE(44261)&lt;/Q&gt;&lt;R&gt;1&lt;/R&gt;&lt;C&gt;1&lt;/C&gt;&lt;D xsi:type="xsd:double"&gt;1.382&lt;/D&gt;&lt;/FQL&gt;&lt;FQL&gt;&lt;Q&gt;GBPUSD^FG_PRICE(44257)&lt;/Q&gt;&lt;R&gt;1&lt;/R&gt;&lt;C&gt;1&lt;/C&gt;&lt;D xsi:type="xsd:double"&gt;1.39495&lt;/D&gt;&lt;/FQL&gt;&lt;FQL&gt;&lt;Q&gt;GBPUSD^FG_PRICE(44253)&lt;/Q&gt;&lt;R&gt;1&lt;/R&gt;&lt;C&gt;1&lt;/C&gt;&lt;D xsi:type="xsd:double"&gt;1.3981&lt;/D&gt;&lt;/FQL&gt;&lt;FQL&gt;&lt;Q&gt;GBPUSD^FG_PRICE(44249)&lt;/Q&gt;&lt;R&gt;1&lt;/R&gt;&lt;C&gt;1&lt;/C&gt;&lt;D xsi:type="xsd:double"&gt;1.4051&lt;/D&gt;&lt;/FQL&gt;&lt;FQL&gt;&lt;Q&gt;GBPUSD^FG_PRICE(44245)&lt;/Q&gt;&lt;R&gt;1&lt;/R&gt;&lt;C&gt;1&lt;/C&gt;&lt;D xsi:type="xsd:double"&gt;1.3948&lt;/D&gt;&lt;/FQL&gt;&lt;FQL&gt;&lt;Q&gt;GBPUSD^FG_PRICE(44241)&lt;/Q&gt;&lt;R&gt;1&lt;/R&gt;&lt;C&gt;1&lt;/C&gt;&lt;D xsi:type="xsd:double"&gt;1.38485&lt;/D&gt;&lt;/FQL&gt;&lt;FQL&gt;&lt;Q&gt;GBPUSD^FG_PRICE(44237)&lt;/Q&gt;&lt;R&gt;1&lt;/R&gt;&lt;C&gt;1&lt;/C&gt;&lt;D xsi:type="xsd:double"&gt;1.3845&lt;/D&gt;&lt;/FQL&gt;&lt;FQL&gt;&lt;Q&gt;GBPUSD^FG_PRICE(44233)&lt;/Q&gt;&lt;R&gt;1&lt;/R&gt;&lt;C&gt;1&lt;/C&gt;&lt;D xsi:type="xsd:double"&gt;1.37255&lt;/D&gt;&lt;/FQL&gt;&lt;FQL&gt;&lt;Q&gt;GBPUSD^FG_PRICE(44229)&lt;/Q&gt;&lt;R&gt;1&lt;/R&gt;&lt;C&gt;1&lt;/C&gt;&lt;D xsi:type="xsd:double"&gt;1.36285&lt;/D&gt;&lt;/FQL&gt;&lt;FQL&gt;&lt;Q&gt;GBPUSD^FG_PRICE(44225)&lt;/Q&gt;&lt;R&gt;1&lt;/R&gt;&lt;C&gt;1&lt;/C&gt;&lt;D xsi:type="xsd:double"&gt;1.3731999&lt;/D&gt;&lt;/FQL&gt;&lt;FQL&gt;&lt;Q&gt;GBPUSD^FG_PRICE(44221)&lt;/Q&gt;&lt;R&gt;1&lt;/R&gt;&lt;C&gt;1&lt;/C&gt;&lt;D xsi:type="xsd:double"&gt;1.3671&lt;/D&gt;&lt;/FQL&gt;&lt;FQL&gt;&lt;Q&gt;GBPUSD^FG_PRICE(44217)&lt;/Q&gt;&lt;R&gt;1&lt;/R&gt;&lt;C&gt;1&lt;/C&gt;&lt;D xsi:type="xsd:double"&gt;1.3726001&lt;/D&gt;&lt;/FQL&gt;&lt;FQL&gt;&lt;Q&gt;GBPUSD^FG_PRICE(44213)&lt;/Q&gt;&lt;R&gt;1&lt;/R&gt;&lt;C&gt;1&lt;/C&gt;&lt;D xsi:type="xsd:double"&gt;1.3580999&lt;/D&gt;&lt;/FQL&gt;&lt;FQL&gt;&lt;Q&gt;GBPUSD^FG_PRICE(44209)&lt;/Q&gt;&lt;R&gt;1&lt;/R&gt;&lt;C&gt;1&lt;/C&gt;&lt;D xsi:type="xsd:double"&gt;1.3637999&lt;/D&gt;&lt;/FQL&gt;&lt;FQL&gt;&lt;Q&gt;GBPUSD^FG_PRICE(44205)&lt;/Q&gt;&lt;R&gt;1&lt;/R&gt;&lt;C&gt;1&lt;/C&gt;&lt;D xsi:type="xsd:double"&gt;1.3593&lt;/D&gt;&lt;/FQL&gt;&lt;FQL&gt;&lt;Q&gt;GBPUSD^FG_PRICE(44201)&lt;/Q&gt;&lt;R&gt;1&lt;/R&gt;&lt;C&gt;1&lt;/C&gt;&lt;D xsi:type="xsd:double"&gt;1.3595&lt;/D&gt;&lt;/FQL&gt;&lt;FQL&gt;&lt;Q&gt;GBPUSD^FG_PRICE(44197)&lt;/Q&gt;&lt;R&gt;1&lt;/R&gt;&lt;C&gt;1&lt;/C&gt;&lt;D xsi:type="xsd:double"&gt;1.36695&lt;/D&gt;&lt;/FQL&gt;&lt;FQL&gt;&lt;Q&gt;GBPUSD^FG_PRICE(44193)&lt;/Q&gt;&lt;R&gt;1&lt;/R&gt;&lt;C&gt;1&lt;/C&gt;&lt;D xsi:type="xsd:double"&gt;1.3445001&lt;/D&gt;&lt;/FQL&gt;&lt;FQL&gt;&lt;Q&gt;GBPUSD^FG_PRICE(44189)&lt;/Q&gt;&lt;R&gt;1&lt;/R&gt;&lt;C&gt;1&lt;/C&gt;&lt;D xsi:type="xsd:double"&gt;1.35365&lt;/D&gt;&lt;/FQL&gt;&lt;FQL&gt;&lt;Q&gt;GBPUSD^FG_PRICE(44185)&lt;/Q&gt;&lt;R&gt;1&lt;/R&gt;&lt;C&gt;1&lt;/C&gt;&lt;D xsi:type="xsd:double"&gt;1.3484&lt;/D&gt;&lt;/FQL&gt;&lt;FQL&gt;&lt;Q&gt;GBPUSD^FG_PRICE(44181)&lt;/Q&gt;&lt;R&gt;1&lt;/R&gt;&lt;C&gt;1&lt;/C&gt;&lt;D xsi:type="xsd:double"&gt;1.3497&lt;/D&gt;&lt;/FQL&gt;&lt;FQL&gt;&lt;Q&gt;GBPUSD^FG_PRICE(44177)&lt;/Q&gt;&lt;R&gt;1&lt;/R&gt;&lt;C&gt;1&lt;/C&gt;&lt;D xsi:type="xsd:double"&gt;1.3211&lt;/D&gt;&lt;/FQL&gt;&lt;FQL&gt;&lt;Q&gt;GBPUSD^FG_PRICE(44173)&lt;/Q&gt;&lt;R&gt;1&lt;/R&gt;&lt;C&gt;1&lt;/C&gt;&lt;D xsi:type="xsd:double"&gt;1.3361499&lt;/D&gt;&lt;/FQL&gt;&lt;FQL&gt;&lt;Q&gt;GBPUSD^FG_PRICE(44169)&lt;/Q&gt;&lt;R&gt;1&lt;/R&gt;&lt;C&gt;1&lt;/C&gt;&lt;D xsi:type="xsd:double"&gt;1.3473&lt;/D&gt;&lt;/FQL&gt;&lt;FQL&gt;&lt;Q&gt;GBPUSD^FG_PRICE(44165)&lt;/Q&gt;&lt;R&gt;1&lt;/R&gt;&lt;C&gt;1&lt;/C&gt;&lt;D xsi:type="xsd:double"&gt;1.33505&lt;/D&gt;&lt;/FQL&gt;&lt;FQL&gt;&lt;Q&gt;GBPUSD^FG_PRICE(44161)&lt;/Q&gt;&lt;R&gt;1&lt;/R&gt;&lt;C&gt;1&lt;/C&gt;&lt;D xsi:type="xsd:double"&gt;1.33295&lt;/D&gt;&lt;/FQL&gt;&lt;FQL&gt;&lt;Q&gt;GBPUSD^FG_PRICE(44157)&lt;/Q&gt;&lt;R&gt;1&lt;/R&gt;&lt;C&gt;1&lt;/C&gt;&lt;D xsi:type="xsd:double"&gt;1.3287001&lt;/D&gt;&lt;/FQL&gt;&lt;FQL&gt;&lt;Q&gt;GBPUSD^FG_PRICE(44153)&lt;/Q&gt;&lt;R&gt;1&lt;/R&gt;&lt;C&gt;1&lt;/C&gt;&lt;D xsi:type="xsd:double"&gt;1.3303001&lt;/D&gt;&lt;/FQL&gt;&lt;FQL&gt;&lt;Q&gt;GBPUSD^FG_PRICE(44149)&lt;/Q&gt;&lt;R&gt;1&lt;/R&gt;&lt;C&gt;1&lt;/C&gt;&lt;D xsi:type="xsd:double"&gt;1.3161&lt;/D&gt;&lt;/FQL&gt;&lt;FQL&gt;&lt;Q&gt;GBPUSD^FG_PRICE(44145)&lt;/Q&gt;&lt;R&gt;1&lt;/R&gt;&lt;C&gt;1&lt;/C&gt;&lt;D xsi:type="xsd:double"&gt;1.3248&lt;/D&gt;&lt;/FQL&gt;&lt;FQL&gt;&lt;Q&gt;GBPUSD^FG_PRICE(44141)&lt;/Q&gt;&lt;R&gt;1&lt;/R&gt;&lt;C&gt;1&lt;/C&gt;&lt;D xsi:type="xsd:double"&gt;1.3144499&lt;/D&gt;&lt;/FQL&gt;&lt;FQL&gt;&lt;Q&gt;GBPUSD^FG_PRICE(44137)&lt;/Q&gt;&lt;R&gt;1&lt;/R&gt;&lt;C&gt;1&lt;/C&gt;&lt;D xsi:type="xsd:double"&gt;1.291&lt;/D&gt;&lt;/FQL&gt;&lt;FQL&gt;&lt;Q&gt;GBPUSD^FG_PRICE(44133)&lt;/Q&gt;&lt;R&gt;1&lt;/R&gt;&lt;C&gt;1&lt;/C&gt;&lt;D xsi:type="xsd:double"&gt;1.289&lt;/D&gt;&lt;/FQL&gt;&lt;FQL&gt;&lt;Q&gt;GBPUSD^FG_PRICE(44129)&lt;/Q&gt;&lt;R&gt;1&lt;/R&gt;&lt;C&gt;1&lt;/C&gt;&lt;D xsi:type="xsd:double"&gt;1.3043&lt;/D&gt;&lt;/FQL&gt;&lt;FQL&gt;&lt;Q&gt;GBPUSD^FG_PRICE(44125)&lt;/Q&gt;&lt;R&gt;1&lt;/R&gt;&lt;C&gt;1&lt;/C&gt;&lt;D xsi:type="xsd:double"&gt;1.31625&lt;/D&gt;&lt;/FQL&gt;&lt;FQL&gt;&lt;Q&gt;GBPUSD^FG_PRICE(44121)&lt;/Q&gt;&lt;R&gt;1&lt;/R&gt;&lt;C&gt;1&lt;/C&gt;&lt;D xsi:type="xsd:double"&gt;1.29285&lt;/D&gt;&lt;/FQL&gt;&lt;FQL&gt;&lt;Q&gt;GBPUSD^FG_PRICE(44117)&lt;/Q&gt;&lt;R&gt;1&lt;/R&gt;&lt;C&gt;1&lt;/C&gt;&lt;D xsi:type="xsd:double"&gt;1.2986&lt;/D&gt;&lt;/FQL&gt;&lt;FQL&gt;&lt;Q&gt;GBPUSD^FG_PRICE(44113)&lt;/Q&gt;&lt;R&gt;1&lt;/R&gt;&lt;C&gt;1&lt;/C&gt;&lt;D xsi:type="xsd:double"&gt;1.2997999&lt;/D&gt;&lt;/FQL&gt;&lt;FQL&gt;&lt;Q&gt;GBPUSD^FG_PRICE(44109)&lt;/Q&gt;&lt;R&gt;1&lt;/R&gt;&lt;C&gt;1&lt;/C&gt;&lt;D xsi:type="xsd:double"&gt;1.2978&lt;/D&gt;&lt;/FQL&gt;&lt;FQL&gt;&lt;Q&gt;GBPUSD^FG_PRICE(44105)&lt;/Q&gt;&lt;R&gt;1&lt;/R&gt;&lt;C&gt;1&lt;/C&gt;&lt;D xsi:type="xsd:double"&gt;1.2867&lt;/D&gt;&lt;/FQL&gt;&lt;FQL&gt;&lt;Q&gt;GBPUSD^FG_PRICE(44101)&lt;/Q&gt;&lt;R&gt;1&lt;/R&gt;&lt;C&gt;1&lt;/C&gt;&lt;D xsi:type="xsd:double"&gt;1.27045&lt;/D&gt;&lt;/FQL&gt;&lt;FQL&gt;&lt;Q&gt;GBPUSD^FG_PRICE(44097)&lt;/Q&gt;&lt;R&gt;1&lt;/R&gt;&lt;C&gt;1&lt;/C&gt;&lt;D xsi:type="xsd:double"&gt;1.2763&lt;/D&gt;&lt;/FQL&gt;&lt;FQL&gt;&lt;Q&gt;GBPUSD^FG_PRICE(44093)&lt;/Q&gt;&lt;R&gt;1&lt;/R&gt;&lt;C&gt;1&lt;/C&gt;&lt;D xsi:type="xsd:double"&gt;1.2960501&lt;/D&gt;&lt;/FQL&gt;&lt;FQL&gt;&lt;Q&gt;GBPUSD^FG_PRICE(44089)&lt;/Q&gt;&lt;R&gt;1&lt;/R&gt;&lt;C&gt;1&lt;/C&gt;&lt;D xsi:type="xsd:double"&gt;1.2853&lt;/D&gt;&lt;/FQL&gt;&lt;FQL&gt;&lt;Q&gt;GBPUSD^FG_PRICE(44085)&lt;/Q&gt;&lt;R&gt;1&lt;/R&gt;&lt;C&gt;1&lt;/C&gt;&lt;D xsi:type="xsd:double"&gt;1.2783&lt;/D&gt;&lt;/FQL&gt;&lt;FQL&gt;&lt;Q&gt;GBPUSD^FG_PRICE(44081)&lt;/Q&gt;&lt;R&gt;1&lt;/R&gt;&lt;C&gt;1&lt;/C&gt;&lt;D xsi:type="xsd:double"&gt;1.31785&lt;/D&gt;&lt;/FQL&gt;&lt;FQL&gt;&lt;Q&gt;GBPUSD^FG_PRICE(44077)&lt;/Q&gt;&lt;R&gt;1&lt;/R&gt;&lt;C&gt;1&lt;/C&gt;&lt;D xsi:type="xsd:double"&gt;1.32725&lt;/D&gt;&lt;/FQL&gt;&lt;FQL&gt;&lt;Q&gt;GBPUSD^FG_PRICE(44073)&lt;/Q&gt;&lt;R&gt;1&lt;/R&gt;&lt;C&gt;1&lt;/C&gt;&lt;D xsi:type="xsd:double"&gt;1.3331001&lt;/D&gt;&lt;/FQL&gt;&lt;FQL&gt;&lt;Q&gt;GBPUSD^FG_PRICE(44069)&lt;/Q&gt;&lt;R&gt;1&lt;/R&gt;&lt;C&gt;1&lt;/C&gt;&lt;D xsi:type="xsd:double"&gt;1.3192&lt;/D&gt;&lt;/FQL&gt;&lt;FQL&gt;&lt;Q&gt;GBPUSD^FG_PRICE(44065)&lt;/Q&gt;&lt;R&gt;1&lt;/R&gt;&lt;C&gt;1&lt;/C&gt;&lt;D xsi:type="xsd:double"&gt;1.30725&lt;/D&gt;&lt;/FQL&gt;&lt;FQL&gt;&lt;Q&gt;GBPUSD^FG_PRICE(44061)&lt;/Q&gt;&lt;R&gt;1&lt;/R&gt;&lt;C&gt;1&lt;/C&gt;&lt;D xsi:type="xsd:double"&gt;1.3218&lt;/D&gt;&lt;/FQL&gt;&lt;FQL&gt;&lt;Q&gt;GBPUSD^FG_PRICE(44057)&lt;/Q&gt;&lt;R&gt;1&lt;/R&gt;&lt;C&gt;1&lt;/C&gt;&lt;D xsi:type="xsd:double"&gt;1.3109001&lt;/D&gt;&lt;/FQL&gt;&lt;FQL&gt;&lt;Q&gt;GBPUSD^FG_PRICE(44053)&lt;/Q&gt;&lt;R&gt;1&lt;/R&gt;&lt;C&gt;1&lt;/C&gt;&lt;D xsi:type="xsd:double"&gt;1.3089&lt;/D&gt;&lt;/FQL&gt;&lt;FQL&gt;&lt;Q&gt;GBPUSD^FG_PRICE(44049)&lt;/Q&gt;&lt;R&gt;1&lt;/R&gt;&lt;C&gt;1&lt;/C&gt;&lt;D xsi:type="xsd:double"&gt;1.3143001&lt;/D&gt;&lt;/FQL&gt;&lt;FQL&gt;&lt;Q&gt;GBPUSD^FG_PRICE(44045)&lt;/Q&gt;&lt;R&gt;1&lt;/R&gt;&lt;C&gt;1&lt;/C&gt;&lt;D xsi:type="xsd:double"&gt;1.3125&lt;/D&gt;&lt;/FQL&gt;&lt;FQL&gt;&lt;Q&gt;GBPUSD^FG_PRICE(44041)&lt;/Q&gt;&lt;R&gt;1&lt;/R&gt;&lt;C&gt;1&lt;/C&gt;&lt;D xsi:type="xsd:double"&gt;1.29635&lt;/D&gt;&lt;/FQL&gt;&lt;FQL&gt;&lt;Q&gt;GBPUSD^FG_PRICE(44037)&lt;/Q&gt;&lt;R&gt;1&lt;/R&gt;&lt;C&gt;1&lt;/C&gt;&lt;D xsi:type="xsd:double"&gt;1.2788&lt;/D&gt;&lt;/FQL&gt;&lt;FQL&gt;&lt;Q&gt;GBPUSD^FG_PRICE(44033)&lt;/Q&gt;&lt;R&gt;1&lt;/R&gt;&lt;C&gt;1&lt;/C&gt;&lt;D xsi:type="xsd:double"&gt;1.275&lt;/D&gt;&lt;/FQL&gt;&lt;FQL&gt;&lt;Q&gt;GBPUSD^FG_PRICE(44029)&lt;/Q&gt;&lt;R&gt;1&lt;/R&gt;&lt;C&gt;1&lt;/C&gt;&lt;D xsi:type="xsd:double"&gt;1.2535&lt;/D&gt;&lt;/FQL&gt;&lt;FQL&gt;&lt;Q&gt;GBPUSD^FG_PRICE(44025)&lt;/Q&gt;&lt;R&gt;1&lt;/R&gt;&lt;C&gt;1&lt;/C&gt;&lt;D xsi:type="xsd:double"&gt;1.26175&lt;/D&gt;&lt;/FQL&gt;&lt;FQL&gt;&lt;Q&gt;GBPUSD^FG_PRICE(44021)&lt;/Q&gt;&lt;R&gt;1&lt;/R&gt;&lt;C&gt;1&lt;/C&gt;&lt;D xsi:type="xsd:double"&gt;1.26155&lt;/D&gt;&lt;/FQL&gt;&lt;FQL&gt;&lt;Q&gt;GBPUSD^FG_PRICE(44017)&lt;/Q&gt;&lt;R&gt;1&lt;/R&gt;&lt;C&gt;1&lt;/C&gt;&lt;D xsi:type="xsd:double"&gt;1.24675&lt;/D&gt;&lt;/FQL&gt;&lt;FQL&gt;&lt;Q&gt;GBPUSD^FG_PRICE(44013)&lt;/Q&gt;&lt;R&gt;1&lt;/R&gt;&lt;C&gt;1&lt;/C&gt;&lt;D xsi:type="xsd:double"&gt;1.2458&lt;/D&gt;&lt;/FQL&gt;&lt;FQL&gt;&lt;Q&gt;GBPUSD^FG_PRICE(44009)&lt;/Q&gt;&lt;R&gt;1&lt;/R&gt;&lt;C&gt;1&lt;/C&gt;&lt;D xsi:type="xsd:double"&gt;1.23175&lt;/D&gt;&lt;/FQL&gt;&lt;FQL&gt;&lt;Q&gt;GBPUSD^FG_PRICE(44005)&lt;/Q&gt;&lt;R&gt;1&lt;/R&gt;&lt;C&gt;1&lt;/C&gt;&lt;D xsi:type="xsd:double"&gt;1.2524&lt;/D&gt;&lt;/FQL&gt;&lt;FQL&gt;&lt;Q&gt;GBPUSD^FG_PRICE(44001)&lt;/Q&gt;&lt;R&gt;1&lt;/R&gt;&lt;C&gt;1&lt;/C&gt;&lt;D xsi:type="xsd:double"&gt;1.2364&lt;/D&gt;&lt;/FQL&gt;&lt;FQL&gt;&lt;Q&gt;GBPUSD^FG_PRICE(43997)&lt;/Q&gt;&lt;R&gt;1&lt;/R&gt;&lt;C&gt;1&lt;/C&gt;&lt;D xsi:type="xsd:double"&gt;1.25665&lt;/D&gt;&lt;/FQL&gt;&lt;FQL&gt;&lt;Q&gt;GBPUSD^FG_PRICE(43993)&lt;/Q&gt;&lt;R&gt;1&lt;/R&gt;&lt;C&gt;1&lt;/C&gt;&lt;D xsi:type="xsd:double"&gt;1.2643&lt;/D&gt;&lt;/FQL&gt;&lt;FQL&gt;&lt;Q&gt;GBPUSD^FG_PRICE(43989)&lt;/Q&gt;&lt;R&gt;1&lt;/R&gt;&lt;C&gt;1&lt;/C&gt;&lt;D xsi:type="xsd:double"&gt;1.27255&lt;/D&gt;&lt;/FQL&gt;&lt;FQL&gt;&lt;Q&gt;GBPUSD^FG_PRICE(43985)&lt;/Q&gt;&lt;R&gt;1&lt;/R&gt;&lt;C&gt;1&lt;/C&gt;&lt;D xsi:type="xsd:double"&gt;1.25965&lt;/D&gt;&lt;/FQL&gt;&lt;FQL&gt;&lt;Q&gt;GBPUSD^FG_PRICE(43981)&lt;/Q&gt;&lt;R&gt;1&lt;/R&gt;&lt;C&gt;1&lt;/C&gt;&lt;D xsi:type="xsd:double"&gt;1.2363&lt;/D&gt;&lt;/FQL&gt;&lt;FQL&gt;&lt;Q&gt;GBPUSD^FG_PRICE(43977)&lt;/Q&gt;&lt;R&gt;1&lt;/R&gt;&lt;C&gt;1&lt;/C&gt;&lt;D xsi:type="xsd:double"&gt;1.23585&lt;/D&gt;&lt;/FQL&gt;&lt;FQL&gt;&lt;Q&gt;GBPUSD^FG_PRICE(43973)&lt;/Q&gt;&lt;R&gt;1&lt;/R&gt;&lt;C&gt;1&lt;/C&gt;&lt;D xsi:type="xsd:double"&gt;1.21895&lt;/D&gt;&lt;/FQL&gt;&lt;FQL&gt;&lt;Q&gt;GBPUSD^FG_PRICE(43969)&lt;/Q&gt;&lt;R&gt;1&lt;/R&gt;&lt;C&gt;1&lt;/C&gt;&lt;D xsi:type="xsd:double"&gt;1.21925&lt;/D&gt;&lt;/FQL&gt;&lt;FQL&gt;&lt;Q&gt;GBPUSD^FG_PRICE(43965)&lt;/Q&gt;&lt;R&gt;1&lt;/R&gt;&lt;C&gt;1&lt;/C&gt;&lt;D xsi:type="xsd:double"&gt;1.21995&lt;/D&gt;&lt;/FQL&gt;&lt;FQL&gt;&lt;Q&gt;GBPUSD^FG_PRICE(43961)&lt;/Q&gt;&lt;R&gt;1&lt;/R&gt;&lt;C&gt;1&lt;/C&gt;&lt;D xsi:type="xsd:double"&gt;1.2453&lt;/D&gt;&lt;/FQL&gt;&lt;FQL&gt;&lt;Q&gt;GBPUSD^FG_PRICE(43957)&lt;/Q&gt;&lt;R&gt;1&lt;/R&gt;&lt;C&gt;1&lt;/C&gt;&lt;D xsi:type="xsd:double"&gt;1.2362&lt;/D&gt;&lt;/FQL&gt;&lt;FQL&gt;&lt;Q&gt;GBPUSD^FG_PRICE(43953)&lt;/Q&gt;&lt;R&gt;1&lt;/R&gt;&lt;C&gt;1&lt;/C&gt;&lt;D xsi:type="xsd:double"&gt;1.25425&lt;/D&gt;&lt;/FQL&gt;&lt;FQL&gt;&lt;Q&gt;GBPUSD^FG_PRICE(43949)&lt;/Q&gt;&lt;R&gt;1&lt;/R&gt;&lt;C&gt;1&lt;/C&gt;&lt;D xsi:type="xsd:double"&gt;1.2437&lt;/D&gt;&lt;/FQL&gt;&lt;FQL&gt;&lt;Q&gt;GBPUSD^FG_PRICE(43945)&lt;/Q&gt;&lt;R&gt;1&lt;/R&gt;&lt;C&gt;1&lt;/C&gt;&lt;D xsi:type="xsd:double"&gt;1.23375&lt;/D&gt;&lt;/FQL&gt;&lt;FQL&gt;&lt;Q&gt;GBPUSD^FG_PRICE(43941)&lt;/Q&gt;&lt;R&gt;1&lt;/R&gt;&lt;C&gt;1&lt;/C&gt;&lt;D xsi:type="xsd:double"&gt;1.2474&lt;/D&gt;&lt;/FQL&gt;&lt;FQL&gt;&lt;Q&gt;GBPUSD^FG_PRICE(43937)&lt;/Q&gt;&lt;R&gt;1&lt;/R&gt;&lt;C&gt;1&lt;/C&gt;&lt;D xsi:type="xsd:double"&gt;1.2446&lt;/D&gt;&lt;/FQL&gt;&lt;FQL&gt;&lt;Q&gt;GBPUSD^FG_PRICE(43933)&lt;/Q&gt;&lt;R&gt;1&lt;/R&gt;&lt;C&gt;1&lt;/C&gt;&lt;D xsi:type="xsd:double"&gt;1.24685&lt;/D&gt;&lt;/FQL&gt;&lt;FQL&gt;&lt;Q&gt;GBPUSD^FG_PRICE(43929)&lt;/Q&gt;&lt;R&gt;1&lt;/R&gt;&lt;C&gt;1&lt;/C&gt;&lt;D xsi:type="xsd:double"&gt;1.23825&lt;/D&gt;&lt;/FQL&gt;&lt;FQL&gt;&lt;Q&gt;GBPUSD^FG_PRICE(43925)&lt;/Q&gt;&lt;R&gt;1&lt;/R&gt;&lt;C&gt;1&lt;/C&gt;&lt;D xsi:type="xsd:double"&gt;1.2258999&lt;/D&gt;&lt;/FQL&gt;&lt;FQL&gt;&lt;Q&gt;GBPUSD^FG_PRICE(43921)&lt;/Q&gt;&lt;R&gt;1&lt;/R&gt;&lt;C&gt;1&lt;/C&gt;&lt;D xsi:type="xsd:double"&gt;1.2399501&lt;/D&gt;&lt;/FQL&gt;&lt;FQL&gt;&lt;Q&gt;GBPUSD^FG_PRICE(43917)&lt;/Q&gt;&lt;R&gt;1&lt;/R&gt;&lt;C&gt;1&lt;/C&gt;&lt;D xsi:type="xsd:double"&gt;1.2354&lt;/D&gt;&lt;/FQL&gt;&lt;FQL&gt;&lt;Q&gt;GBPUSD^FG_PRICE(43913)&lt;/Q&gt;&lt;R&gt;1&lt;/R&gt;&lt;C&gt;1&lt;/C&gt;&lt;D xsi:type="xsd:double"&gt;1.14905&lt;/D&gt;&lt;/FQL&gt;&lt;FQL&gt;&lt;Q&gt;GBPUSD^FG_PRICE(43909)&lt;/Q&gt;&lt;R&gt;1&lt;/R&gt;&lt;C&gt;1&lt;/C&gt;&lt;D xsi:type="xsd:double"&gt;1.16605&lt;/D&gt;&lt;/FQL&gt;&lt;FQL&gt;&lt;Q&gt;GBPUSD^FG_PRICE(43905)&lt;/Q&gt;&lt;R&gt;1&lt;/R&gt;&lt;C&gt;1&lt;/C&gt;&lt;D xsi:type="xsd:double"&gt;1.2401&lt;/D&gt;&lt;/FQL&gt;&lt;FQL&gt;&lt;Q&gt;GBPUSD^FG_PRICE(43901)&lt;/Q&gt;&lt;R&gt;1&lt;/R&gt;&lt;C&gt;1&lt;/C&gt;&lt;D xsi:type="xsd:double"&gt;1.2885001&lt;/D&gt;&lt;/FQL&gt;&lt;FQL&gt;&lt;Q&gt;GBPUSD^FG_PRICE(43897)&lt;/Q&gt;&lt;R&gt;1&lt;/R&gt;&lt;C&gt;1&lt;/C&gt;&lt;D xsi:type="xsd:double"&gt;1.30335&lt;/D&gt;&lt;/FQL&gt;&lt;FQL&gt;&lt;Q&gt;GBPUSD^FG_PRICE(43893)&lt;/Q&gt;&lt;R&gt;1&lt;/R&gt;&lt;C&gt;1&lt;/C&gt;&lt;D xsi:type="xsd:double"&gt;1.2817&lt;/D&gt;&lt;/FQL&gt;&lt;FQL&gt;&lt;Q&gt;GBPUSD^FG_PRICE(43889)&lt;/Q&gt;&lt;R&gt;1&lt;/R&gt;&lt;C&gt;1&lt;/C&gt;&lt;D xsi:type="xsd:double"&gt;1.2773&lt;/D&gt;&lt;/FQL&gt;&lt;FQL&gt;&lt;Q&gt;GBPUSD^FG_PRICE(43885)&lt;/Q&gt;&lt;R&gt;1&lt;/R&gt;&lt;C&gt;1&lt;/C&gt;&lt;D xsi:type="xsd:double"&gt;1.2925&lt;/D&gt;&lt;/FQL&gt;&lt;FQL&gt;&lt;Q&gt;GBPUSD^FG_PRICE(43881)&lt;/Q&gt;&lt;R&gt;1&lt;/R&gt;&lt;C&gt;1&lt;/C&gt;&lt;D xsi:type="xsd:double"&gt;1.28795&lt;/D&gt;&lt;/FQL&gt;&lt;FQL&gt;&lt;Q&gt;GBPUSD^FG_PRICE(43877)&lt;/Q&gt;&lt;R&gt;1&lt;/R&gt;&lt;C&gt;1&lt;/C&gt;&lt;D xsi:type="xsd:double"&gt;1.30145&lt;/D&gt;&lt;/FQL&gt;&lt;FQL&gt;&lt;Q&gt;GBPUSD^FG_PRICE(43873)&lt;/Q&gt;&lt;R&gt;1&lt;/R&gt;&lt;C&gt;1&lt;/C&gt;&lt;D xsi:type="xsd:double"&gt;1.2976&lt;/D&gt;&lt;/FQL&gt;&lt;FQL&gt;&lt;Q&gt;GBPUSD^FG_PRICE(43869)&lt;/Q&gt;&lt;R&gt;1&lt;/R&gt;&lt;C&gt;1&lt;/C&gt;&lt;D xsi:type="xsd:double"&gt;1.2938501&lt;/D&gt;&lt;/FQL&gt;&lt;FQL&gt;&lt;Q&gt;GBPUSD^FG_PRICE(43865)&lt;/Q&gt;&lt;R&gt;1&lt;/R&gt;&lt;C&gt;1&lt;/C&gt;&lt;D xsi:type="xsd:double"&gt;1.30245&lt;/D&gt;&lt;/FQL&gt;&lt;FQL&gt;&lt;Q&gt;GBPUSD^FG_PRICE(43861)&lt;/Q&gt;&lt;R&gt;1&lt;/R&gt;&lt;C&gt;1&lt;/C&gt;&lt;D xsi:type="xsd:double"&gt;1.3182&lt;/D&gt;&lt;/FQL&gt;&lt;FQL&gt;&lt;Q&gt;GBPUSD^FG_PRICE(43857)&lt;/Q&gt;&lt;R&gt;1&lt;/R&gt;&lt;C&gt;1&lt;/C&gt;&lt;D xsi:type="xsd:double"&gt;1.30555&lt;/D&gt;&lt;/FQL&gt;&lt;FQL&gt;&lt;Q&gt;GBPUSD^FG_PRICE(43853)&lt;/Q&gt;&lt;R&gt;1&lt;/R&gt;&lt;C&gt;1&lt;/C&gt;&lt;D xsi:type="xsd:double"&gt;1.31195&lt;/D&gt;&lt;/FQL&gt;&lt;FQL&gt;&lt;Q&gt;GBPUSD^FG_PRICE(43849)&lt;/Q&gt;&lt;R&gt;1&lt;/R&gt;&lt;C&gt;1&lt;/C&gt;&lt;D xsi:type="xsd:double"&gt;1.3031&lt;/D&gt;&lt;/FQL&gt;&lt;FQL&gt;&lt;Q&gt;GBPUSD^FG_PRICE(43845)&lt;/Q&gt;&lt;R&gt;1&lt;/R&gt;&lt;C&gt;1&lt;/C&gt;&lt;D xsi:type="xsd:double"&gt;1.30245&lt;/D&gt;&lt;/FQL&gt;&lt;FQL&gt;&lt;Q&gt;GBPUSD^FG_PRICE(43841)&lt;/Q&gt;&lt;R&gt;1&lt;/R&gt;&lt;C&gt;1&lt;/C&gt;&lt;D xsi:type="xsd:double"&gt;1.30605&lt;/D&gt;&lt;/FQL&gt;&lt;FQL&gt;&lt;Q&gt;GBPUSD^FG_PRICE(43837)&lt;/Q&gt;&lt;R&gt;1&lt;/R&gt;&lt;C&gt;1&lt;/C&gt;&lt;D xsi:type="xsd:double"&gt;1.31205&lt;/D&gt;&lt;/FQL&gt;&lt;FQL&gt;&lt;Q&gt;GBPUSD^FG_PRICE(43833)&lt;/Q&gt;&lt;R&gt;1&lt;/R&gt;&lt;C&gt;1&lt;/C&gt;&lt;D xsi:type="xsd:double"&gt;1.3071&lt;/D&gt;&lt;/FQL&gt;&lt;FQL&gt;&lt;Q&gt;GBPUSD^FG_PRICE(43829)&lt;/Q&gt;&lt;R&gt;1&lt;/R&gt;&lt;C&gt;1&lt;/C&gt;&lt;D xsi:type="xsd:double"&gt;1.31135&lt;/D&gt;&lt;/FQL&gt;&lt;FQL&gt;&lt;Q&gt;GBPUSD^FG_PRICE(43825)&lt;/Q&gt;&lt;R&gt;1&lt;/R&gt;&lt;C&gt;1&lt;/C&gt;&lt;D xsi:type="xsd:double"&gt;1.29995&lt;/D&gt;&lt;/FQL&gt;&lt;FQL&gt;&lt;Q&gt;EURUSD^FG_PRICE(44833)&lt;/Q&gt;&lt;R&gt;1&lt;/R&gt;&lt;C&gt;1&lt;/C&gt;&lt;D xsi:type="xsd:double"&gt;0.97665&lt;/D&gt;&lt;/FQL&gt;&lt;FQL&gt;&lt;Q&gt;GBPUSD^FG_PRICE(44827)&lt;/Q&gt;&lt;R&gt;1&lt;/R&gt;&lt;C&gt;1&lt;/C&gt;&lt;D xsi:type="xsd:double"&gt;1.0903&lt;/D&gt;&lt;/FQL&gt;&lt;FQL&gt;&lt;Q&gt;GBPUSD^FG_PRICE(44820)&lt;/Q&gt;&lt;R&gt;1&lt;/R&gt;&lt;C&gt;1&lt;/C&gt;&lt;D xsi:type="xsd:double"&gt;1.1432999&lt;/D&gt;&lt;/FQL&gt;&lt;FQL&gt;&lt;Q&gt;EURUSD^FG_PRICE(44815)&lt;/Q&gt;&lt;R&gt;1&lt;/R&gt;&lt;C&gt;1&lt;/C&gt;&lt;D xsi:type="xsd:double"&gt;1.0042499&lt;/D&gt;&lt;/FQL&gt;&lt;FQL&gt;&lt;Q&gt;EURUSD^FG_PRICE(44808)&lt;/Q&gt;&lt;R&gt;1&lt;/R&gt;&lt;C&gt;1&lt;/C&gt;&lt;D xsi:type="xsd:double"&gt;1.00275&lt;/D&gt;&lt;/FQL&gt;&lt;FQL&gt;&lt;Q&gt;EURUSD^FG_PRICE(44801)&lt;/Q&gt;&lt;R&gt;1&lt;/R&gt;&lt;C&gt;1&lt;/C&gt;&lt;D xsi:type="xsd:double"&gt;1.00165&lt;/D&gt;&lt;/FQL&gt;&lt;FQL&gt;&lt;Q&gt;GBPUSD^FG_PRICE(44795)&lt;/Q&gt;&lt;R&gt;1&lt;/R&gt;&lt;C&gt;1&lt;/C&gt;&lt;D xsi:type="xsd:double"&gt;1.17905&lt;/D&gt;&lt;/FQL&gt;&lt;FQL&gt;&lt;Q&gt;GBPUSD^FG_PRICE(44788)&lt;/Q&gt;&lt;R&gt;1&lt;/R&gt;&lt;C&gt;1&lt;/C&gt;&lt;D xsi:type="xsd:double"&gt;1.208&lt;/D&gt;&lt;/FQL&gt;&lt;FQL&gt;&lt;Q&gt;EURUSD^FG_PRICE(44783)&lt;/Q&gt;&lt;R&gt;1&lt;/R&gt;&lt;C&gt;1&lt;/C&gt;&lt;D xsi:type="xsd:double"&gt;1.03555&lt;/D&gt;&lt;/FQL&gt;&lt;FQL&gt;&lt;Q&gt;EURUSD^FG_PRICE(44776)&lt;/Q&gt;&lt;R&gt;1&lt;/R&gt;&lt;C&gt;1&lt;/C&gt;&lt;D xsi:type="xsd:double"&gt;1.01305&lt;/D&gt;&lt;/FQL&gt;&lt;FQL&gt;&lt;Q&gt;EURUSD^FG_PRICE(44769)&lt;/Q&gt;&lt;R&gt;1&lt;/R&gt;&lt;C&gt;1&lt;/C&gt;&lt;D xsi:type="xsd:double"&gt;1.01205&lt;/D&gt;&lt;/FQL&gt;&lt;FQL&gt;&lt;Q&gt;GBPUSD^FG_PRICE(44763)&lt;/Q&gt;&lt;R&gt;1&lt;/R&gt;&lt;C&gt;1&lt;/C&gt;&lt;D xsi:type="xsd:double"&gt;1.1949&lt;/D&gt;&lt;/FQL&gt;&lt;FQL&gt;&lt;Q&gt;GBPUSD^FG_PRICE(44756)&lt;/Q&gt;&lt;R&gt;1&lt;/R&gt;&lt;C&gt;1&lt;/C&gt;&lt;D xsi:type="xsd:double"&gt;1.1784&lt;/D&gt;&lt;/FQL&gt;&lt;FQL&gt;&lt;Q&gt;EURUSD^FG_PRICE(44751)&lt;/Q&gt;&lt;R&gt;1&lt;/R&gt;&lt;C&gt;1&lt;/C&gt;&lt;D xsi:type="xsd:double"&gt;1.0173501&lt;/D&gt;&lt;/FQL&gt;&lt;FQL&gt;&lt;Q&gt;EURUSD^FG_PRICE(44744)&lt;/Q&gt;&lt;R&gt;1&lt;/R&gt;&lt;C&gt;1&lt;/C&gt;&lt;D xsi:type="xsd:double"&gt;1.03915&lt;/D&gt;&lt;/FQL&gt;&lt;FQL&gt;&lt;Q&gt;EURUSD^FG_PRICE(44737)&lt;/Q&gt;&lt;R&gt;1&lt;/R&gt;&lt;C&gt;1&lt;/C&gt;&lt;D xsi:type="xsd:double"&gt;1.05445&lt;/D&gt;&lt;/FQL&gt;&lt;FQL&gt;&lt;Q&gt;GBPUSD^FG_PRICE(44731)&lt;/Q&gt;&lt;R&gt;1&lt;/R&gt;&lt;C&gt;1&lt;/C&gt;&lt;D xsi:type="xsd:double"&gt;1.21805&lt;/D&gt;&lt;/FQL&gt;&lt;FQL&gt;&lt;Q&gt;GBPUSD^FG_PRICE(44724)&lt;/Q&gt;&lt;R&gt;1&lt;/R&gt;&lt;C&gt;1&lt;/C&gt;&lt;D xsi:type="xsd:double"&gt;1.2342&lt;/D&gt;&lt;/FQL&gt;&lt;FQL&gt;&lt;Q&gt;EURUSD^FG_PRICE(44719)&lt;/Q&gt;&lt;R&gt;1&lt;/R&gt;&lt;C&gt;1&lt;/C&gt;&lt;D xsi:type="xsd:double"&gt;1.07055&lt;/D&gt;&lt;/FQL&gt;&lt;FQL&gt;&lt;Q&gt;EURUSD^FG_PRICE(44712)&lt;/Q&gt;&lt;R&gt;1&lt;/R&gt;&lt;C&gt;1&lt;/C&gt;&lt;D xsi:type="xsd:double"&gt;1.07125&lt;/D&gt;&lt;/FQL&gt;&lt;FQL&gt;&lt;Q&gt;EURUSD^FG_PRICE(44705)&lt;/Q&gt;&lt;R&gt;1&lt;/R&gt;&lt;C&gt;1&lt;/C&gt;&lt;D xsi:type="xsd:double"&gt;1.0726501&lt;/D&gt;&lt;/FQL&gt;&lt;FQL&gt;&lt;Q&gt;GBPUSD^FG_PRICE(44699)&lt;/Q&gt;&lt;R&gt;1&lt;/R&gt;&lt;C&gt;1&lt;/C&gt;&lt;D xsi:type="xsd:double"&gt;1.2412499&lt;/D&gt;&lt;/FQL&gt;&lt;FQL&gt;&lt;Q&gt;GBPUSD^FG_PRICE(44692)&lt;/Q&gt;&lt;R&gt;1&lt;/R&gt;&lt;C&gt;1&lt;/C&gt;&lt;D xsi:type="xsd:double"&gt;1.234&lt;/D&gt;&lt;/FQL&gt;&lt;FQL&gt;&lt;Q&gt;EURUSD^FG_PRICE(44687)&lt;/Q&gt;&lt;R&gt;1&lt;/R&gt;&lt;C&gt;1&lt;/C&gt;&lt;D xsi:type="xsd:double"&gt;1.0583&lt;/D&gt;&lt;/FQL&gt;&lt;FQL&gt;&lt;Q&gt;EURUSD^FG_PRICE(44680)&lt;/Q&gt;&lt;R&gt;1&lt;/R&gt;&lt;C&gt;1&lt;/C&gt;&lt;D xsi:type="xsd:double"&gt;1.05495&lt;/D&gt;&lt;/FQL&gt;&lt;FQL&gt;&lt;Q&gt;EURUSD^FG_PRICE(44673)&lt;/Q&gt;&lt;R&gt;1&lt;/R&gt;&lt;C&gt;1&lt;/C&gt;&lt;D xsi:type="xsd:double"&gt;1.0775499&lt;/D&gt;&lt;/FQL&gt;&lt;FQL&gt;&lt;Q&gt;GBPUSD^FG_PRICE(44667)&lt;/Q&gt;&lt;R&gt;1&lt;/R&gt;&lt;C&gt;1&lt;/C&gt;&lt;D xsi:type="xsd:double"&gt;1.3045499&lt;/D&gt;&lt;/FQL&gt;&lt;FQL&gt;&lt;Q&gt;GBPUSD^FG_PRICE(44660)&lt;/Q&gt;&lt;R&gt;1&lt;/R&gt;&lt;C&gt;1&lt;/C&gt;&lt;D xsi:type="xsd:double"&gt;1.30085&lt;/D&gt;&lt;/FQL&gt;&lt;FQL&gt;&lt;Q&gt;EURUSD^FG_PRICE(44655)&lt;/Q&gt;&lt;R&gt;1&lt;/R&gt;&lt;C&gt;1&lt;/C&gt;&lt;D xsi:type="xsd:double"&gt;1.09965&lt;/D&gt;&lt;/FQL&gt;&lt;FQL&gt;&lt;Q&gt;EURUSD^FG_PRICE(44648)&lt;/Q&gt;&lt;R&gt;1&lt;/R&gt;&lt;C&gt;1&lt;/C&gt;&lt;D xsi:type="xsd:double"&gt;1.0969499&lt;/D&gt;&lt;/FQL&gt;&lt;FQL&gt;&lt;Q&gt;EURUSD^FG_PRICE(44641)&lt;/Q&gt;&lt;R&gt;1&lt;/R&gt;&lt;C&gt;1&lt;/C&gt;&lt;D xsi:type="xsd:double"&gt;1.10495&lt;/D&gt;&lt;/FQL&gt;&lt;FQL&gt;&lt;Q&gt;GBPUSD^FG_PRICE(44635)&lt;/Q&gt;&lt;R&gt;1&lt;/R&gt;&lt;C&gt;1&lt;/C&gt;&lt;D xsi:type="xsd:double"&gt;1.3067&lt;/D&gt;&lt;/FQL&gt;&lt;FQL&gt;&lt;Q&gt;GBPUSD^FG_PRICE(44628)&lt;/Q&gt;&lt;R&gt;1&lt;/R&gt;&lt;C&gt;1&lt;/C&gt;&lt;D xsi:type="xsd:double"&gt;1.31105&lt;/D&gt;&lt;/FQL&gt;&lt;FQL&gt;&lt;Q&gt;EURUSD^FG_PRICE(44623)&lt;/Q&gt;&lt;R&gt;1&lt;/R&gt;&lt;C&gt;1&lt;/C&gt;&lt;D xsi:type="xsd:double"&gt;1.10625&lt;/D&gt;&lt;/FQL&gt;&lt;FQL&gt;&lt;Q&gt;EURUSD^FG_PRICE(44616)&lt;/Q&gt;&lt;R&gt;1&lt;/R&gt;&lt;C&gt;1&lt;/C&gt;&lt;D xsi:type="xsd:double"&gt;1.1114&lt;/D&gt;&lt;/FQL&gt;&lt;FQL&gt;&lt;Q&gt;EURUSD^FG_PRICE(44609)&lt;/Q&gt;&lt;R&gt;1&lt;/R&gt;&lt;C&gt;1&lt;/C&gt;&lt;D xsi:type="xsd:double"&gt;1.13685&lt;/D&gt;&lt;/FQL&gt;&lt;FQL&gt;&lt;Q&gt;GBPUSD^FG_PRICE(44603)&lt;/Q&gt;&lt;R&gt;1&lt;/R&gt;&lt;C&gt;1&lt;/C&gt;&lt;D xsi:type="xsd:double"&gt;1.3603&lt;/D&gt;&lt;/FQL&gt;&lt;FQL&gt;&lt;Q&gt;GBPUSD^FG_PRICE(44596)&lt;/Q&gt;&lt;R&gt;1&lt;/R&gt;&lt;C&gt;1&lt;/C&gt;&lt;D xsi:type="xsd:double"&gt;1.35315&lt;/D&gt;&lt;/FQL&gt;&lt;FQL&gt;&lt;Q&gt;EURUSD^FG_PRICE(44591)&lt;/Q&gt;&lt;R&gt;1&lt;/R&gt;&lt;C&gt;1&lt;/C&gt;&lt;D xsi:type="xsd:double"&gt;1.1165501&lt;/D&gt;&lt;/FQL&gt;&lt;FQL&gt;&lt;Q&gt;EURUSD^FG_PRICE(44584)&lt;/Q&gt;&lt;R&gt;1&lt;/R&gt;&lt;C&gt;1&lt;/C&gt;&lt;D xsi:type="xsd:double"&gt;1.1347001&lt;/D&gt;&lt;/FQL&gt;&lt;FQL&gt;&lt;Q&gt;EURUSD^FG_PRICE(44577)&lt;/Q&gt;&lt;R&gt;1&lt;/R&gt;&lt;C&gt;1&lt;/C&gt;&lt;D xsi:type="xsd:double"&gt;1.14335&lt;/D&gt;&lt;/FQL&gt;&lt;FQL&gt;&lt;Q&gt;GBPUSD^FG_PRICE(44571)&lt;/Q&gt;&lt;R&gt;1&lt;/R&gt;&lt;C&gt;1&lt;/C&gt;&lt;D xsi:type="xsd:double"&gt;1.3561499&lt;/D&gt;&lt;/FQL&gt;&lt;FQL&gt;&lt;Q&gt;GBPUSD^FG_PRICE(44564)&lt;/Q&gt;&lt;R&gt;1&lt;/R&gt;&lt;C&gt;1&lt;/C&gt;&lt;D xsi:type="xsd:double"&gt;1.3447499&lt;/D&gt;&lt;/FQL&gt;&lt;FQL&gt;&lt;Q&gt;EURUSD^FG_PRICE(44559)&lt;/Q&gt;&lt;R&gt;1&lt;/R&gt;&lt;C&gt;1&lt;/C&gt;&lt;D xsi:type="xsd:double"&gt;1.1350499&lt;/D&gt;&lt;/FQL&gt;&lt;FQL&gt;&lt;Q&gt;EURUSD^FG_PRICE(44552)&lt;/Q&gt;&lt;R&gt;1&lt;/R&gt;&lt;C&gt;1&lt;/C&gt;&lt;D xsi:type="xsd:double"&gt;1.13235&lt;/D&gt;&lt;/FQL&gt;&lt;FQL&gt;&lt;Q&gt;EURUSD^FG_PRICE(44545)&lt;/Q&gt;&lt;R&gt;1&lt;/R&gt;&lt;C&gt;1&lt;/C&gt;&lt;D xsi:type="xsd:double"&gt;1.12515&lt;/D&gt;&lt;/FQL&gt;&lt;FQL&gt;&lt;Q&gt;GBPUSD^FG_PRICE(44539)&lt;/Q&gt;&lt;R&gt;1&lt;/R&gt;&lt;C&gt;1&lt;/C&gt;&lt;D xsi:type="xsd:double"&gt;1.32075&lt;/D&gt;&lt;/FQL&gt;&lt;FQL&gt;&lt;Q&gt;GBPUSD^FG_PRICE(44532)&lt;/Q&gt;&lt;R&gt;1&lt;/R&gt;&lt;C&gt;1&lt;/C&gt;&lt;D xsi:type="xsd:double"&gt;1.33075&lt;/D&gt;&lt;/FQL&gt;&lt;FQL&gt;&lt;Q&gt;EURUSD^FG_PRICE(44527)&lt;/Q&gt;&lt;R&gt;1&lt;/R&gt;&lt;C&gt;1&lt;/C&gt;&lt;D xsi:type="xsd:double"&gt;1.1315501&lt;/D&gt;&lt;/FQL&gt;&lt;FQL&gt;&lt;Q&gt;EURUSD^FG_PRICE(44520)&lt;/Q&gt;&lt;R&gt;1&lt;/R&gt;&lt;C&gt;1&lt;/C&gt;&lt;D xsi:type="xsd:double"&gt;1.13175&lt;/D&gt;&lt;/FQL&gt;&lt;FQL&gt;&lt;Q&gt;EURUSD^FG_PRICE(44513)&lt;/Q&gt;&lt;R&gt;1&lt;/R&gt;&lt;C&gt;1&lt;/C&gt;&lt;D xsi:type="xsd:double"&gt;1.1444501&lt;/D&gt;&lt;/FQL&gt;&lt;FQL&gt;&lt;Q&gt;GBPUSD^FG_PRICE(44507)&lt;/Q&gt;&lt;R&gt;1&lt;/R&gt;&lt;C&gt;1&lt;/C&gt;&lt;D xsi:type="xsd:double"&gt;1.349&lt;/D&gt;&lt;/FQL&gt;&lt;FQL&gt;&lt;Q&gt;GBPUSD^FG_PRICE(44500)&lt;/Q&gt;&lt;R&gt;1&lt;/R&gt;&lt;C&gt;1&lt;/C&gt;&lt;D xsi:type="xsd:double"&gt;1.37075&lt;/D&gt;&lt;/FQL&gt;&lt;FQL&gt;&lt;Q&gt;EURUSD^FG_PRICE(44495)&lt;/Q&gt;&lt;R&gt;1&lt;/R&gt;&lt;C&gt;1&lt;/C&gt;&lt;D xsi:type="xsd:double"&gt;1.1594&lt;/D&gt;&lt;/FQL&gt;&lt;FQL&gt;&lt;Q&gt;EURUSD^FG_PRICE(44488)&lt;/Q&gt;&lt;R&gt;1&lt;/R&gt;&lt;C&gt;1&lt;/C&gt;&lt;D xsi:type="xsd:double"&gt;1.1644499&lt;/D&gt;&lt;/FQL&gt;&lt;FQL&gt;&lt;Q&gt;EURUSD^FG_PRICE(44481)&lt;/Q&gt;&lt;R&gt;1&lt;/R&gt;&lt;C&gt;1&lt;/C&gt;&lt;D xsi:type="xsd:double"&gt;1.1549&lt;/D&gt;&lt;/FQL&gt;&lt;FQL&gt;&lt;Q&gt;GBPUSD^FG_PRICE(44475)&lt;/Q&gt;&lt;R&gt;1&lt;/R&gt;&lt;C&gt;1&lt;/C&gt;&lt;D xsi:type="xsd:double"&gt;1.3568&lt;/D&gt;&lt;/FQL&gt;&lt;FQL&gt;&lt;Q&gt;GBPUSD^FG_PRICE(44468)&lt;/Q&gt;&lt;R&gt;1&lt;/R&gt;&lt;C&gt;1&lt;/C&gt;&lt;D xsi:type="xsd:double"&gt;1.3425&lt;/D&gt;&lt;/FQL&gt;&lt;FQL&gt;&lt;Q&gt;EURUSD^FG_PRICE(44463)&lt;/Q&gt;&lt;R&gt;1&lt;/R&gt;&lt;C&gt;1&lt;/C&gt;&lt;D xsi:type="xsd:double"&gt;1.17135&lt;/D&gt;&lt;/FQL&gt;&lt;FQL&gt;&lt;Q&gt;EURUSD^FG_PRICE(44456)&lt;/Q&gt;&lt;R&gt;1&lt;/R&gt;&lt;C&gt;1&lt;/C&gt;&lt;D xsi:type="xsd:double"&gt;1.1737&lt;/D&gt;&lt;/FQL&gt;&lt;FQL&gt;&lt;Q&gt;EURUSD^FG_PRICE(44449)&lt;/Q&gt;&lt;R&gt;1&lt;/R&gt;&lt;C&gt;1&lt;/C&gt;&lt;D xsi:type="xsd:double"&gt;1.18345&lt;/D&gt;&lt;/FQL&gt;&lt;FQL&gt;&lt;Q&gt;GBPUSD^FG_PRICE(44443)&lt;/Q&gt;&lt;R&gt;1&lt;/R&gt;&lt;C&gt;1&lt;/C&gt;&lt;D xsi:type="xsd:double"&gt;1.3872&lt;/D&gt;&lt;/FQL&gt;&lt;FQL&gt;&lt;Q&gt;GBPUSD^FG_PRICE(44436)&lt;/Q&gt;&lt;R&gt;1&lt;/R&gt;&lt;C&gt;1&lt;/C&gt;&lt;D xsi:type="xsd:double"&gt;1.3743501&lt;/D&gt;&lt;/FQL&gt;&lt;FQL&gt;&lt;Q&gt;EURUSD^FG_PRICE(44431)&lt;/Q&gt;&lt;R&gt;1&lt;/R&gt;&lt;C&gt;1&lt;/C&gt;&lt;D xsi:type="xsd:double"&gt;1.174&lt;/D&gt;&lt;/FQL&gt;&lt;FQL&gt;&lt;Q&gt;EURUSD^FG_PRICE(44424)&lt;/Q&gt;&lt;R&gt;1&lt;/R&gt;&lt;C&gt;1&lt;/C&gt;&lt;D xsi:type="xsd:double"&gt;1.1788499&lt;/D&gt;&lt;/FQL&gt;&lt;FQL&gt;&lt;Q&gt;EURUSD^FG_PRICE(44417)&lt;/Q&gt;&lt;R&gt;1&lt;/R&gt;&lt;C&gt;1&lt;/C&gt;&lt;D xsi:type="xsd:double"&gt;1.17445&lt;/D&gt;&lt;/FQL&gt;&lt;FQL&gt;&lt;Q&gt;GBPUSD^FG_PRICE(44411)&lt;/Q&gt;&lt;R&gt;1&lt;/R&gt;&lt;C&gt;1&lt;/C&gt;&lt;D xsi:type="xsd:double"&gt;1.3894501&lt;/D&gt;&lt;/FQL&gt;&lt;FQL&gt;&lt;Q&gt;GBPUSD^FG_PRICE(44404)&lt;/Q&gt;&lt;R&gt;1&lt;/R&gt;&lt;C&gt;1&lt;/C&gt;&lt;D xsi:type="xsd:double"&gt;1.38825&lt;/D&gt;&lt;/FQL&gt;&lt;FQL&gt;&lt;Q&gt;EURUSD^FG_PRICE(44399)&lt;/Q&gt;&lt;R&gt;1&lt;/R&gt;&lt;C&gt;1&lt;/C&gt;&lt;D xsi:type="xsd:double"&gt;1.17925&lt;/D&gt;&lt;/FQL&gt;&lt;FQL&gt;&lt;Q&gt;EURUSD^FG_PRICE(44392)&lt;/Q&gt;&lt;R&gt;1&lt;/R&gt;&lt;C&gt;1&lt;/C&gt;&lt;D xsi:type="xsd:double"&gt;1.18185&lt;/D&gt;&lt;/FQL&gt;&lt;FQL&gt;&lt;Q&gt;EURUSD^FG_PRICE(44385)&lt;/Q&gt;&lt;R&gt;1&lt;/R&gt;&lt;C&gt;1&lt;/C&gt;&lt;D xsi:type="xsd:double"&gt;1.18545&lt;/D&gt;&lt;/FQL&gt;&lt;FQL&gt;&lt;Q&gt;GBPUSD^FG_PRICE(44379)&lt;/Q&gt;&lt;R&gt;1&lt;/R&gt;&lt;C&gt;1&lt;/C&gt;&lt;D xsi:type="xsd:double"&gt;1.37835&lt;/D&gt;&lt;/FQL&gt;&lt;FQL&gt;&lt;Q&gt;GBPUSD^FG_PRICE(44372)&lt;/Q&gt;&lt;R&gt;1&lt;/R&gt;&lt;C&gt;1&lt;/C&gt;&lt;D xsi:type="xsd:double"&gt;1.3914&lt;/D&gt;&lt;/FQL&gt;&lt;FQL&gt;&lt;Q&gt;EURUSD^FG_PRICE(44367)&lt;/Q&gt;&lt;R&gt;1&lt;/R&gt;&lt;C&gt;1&lt;/C&gt;&lt;D xsi:type="xsd:double"&gt;1.1856&lt;/D&gt;&lt;/FQL&gt;&lt;FQL&gt;&lt;Q&gt;EURUSD^FG_PRICE(44360)&lt;/Q&gt;&lt;R&gt;1&lt;/R&gt;&lt;C&gt;1&lt;/C&gt;&lt;D xsi:type="xsd:double"&gt;1.21105&lt;/D&gt;&lt;/FQL&gt;&lt;FQL&gt;&lt;Q&gt;EURUSD^FG_PRICE(44353)&lt;/Q&gt;&lt;R&gt;1&lt;/R&gt;&lt;C&gt;1&lt;/C&gt;&lt;D xsi:type="xsd:double"&gt;1.21635&lt;/D&gt;&lt;/FQL&gt;&lt;FQL&gt;&lt;Q&gt;GBPUSD^FG_PRICE(44347)&lt;/Q&gt;&lt;R&gt;1&lt;/R&gt;&lt;C&gt;1&lt;/C&gt;&lt;D xsi:type="xsd:double"&gt;1.4215001&lt;/D&gt;&lt;/FQL&gt;&lt;FQL&gt;&lt;Q&gt;GBPUSD^FG_PRICE(44340)&lt;/Q&gt;&lt;R&gt;1&lt;/R&gt;&lt;C&gt;1&lt;/C&gt;&lt;D xsi:type="xsd:double"&gt;1.4158499&lt;/D&gt;&lt;/FQL&gt;&lt;FQL&gt;&lt;Q&gt;EURUSD^FG_PRICE(44335)&lt;/Q&gt;&lt;R&gt;1&lt;/R&gt;&lt;C&gt;1&lt;/C&gt;&lt;D xsi:type="xsd:double"&gt;1.22155&lt;/D&gt;&lt;/FQL&gt;&lt;FQL&gt;&lt;Q&gt;EURUSD^FG_PRICE(44328)&lt;/Q&gt;&lt;R&gt;1&lt;/R&gt;&lt;C&gt;1&lt;/C&gt;&lt;D xsi:type="xsd:double"&gt;1.2076&lt;/D&gt;&lt;/FQL&gt;&lt;FQL&gt;&lt;Q&gt;EURUSD^FG_PRICE(44321)&lt;/Q&gt;&lt;R&gt;1&lt;/R&gt;&lt;C&gt;1&lt;/C&gt;&lt;D xsi:type="xsd:double"&gt;1.2005&lt;/D&gt;&lt;/FQL&gt;&lt;FQL&gt;&lt;Q&gt;GBPUSD^FG_PRICE(44315)&lt;/Q&gt;&lt;R&gt;1&lt;/R&gt;&lt;C&gt;1&lt;/C&gt;&lt;D xsi:type="xsd:double"&gt;1.3945999&lt;/D&gt;&lt;/FQL&gt;&lt;FQL&gt;&lt;Q&gt;GBPUSD^FG_PRICE(44308)&lt;/Q&gt;&lt;R&gt;1&lt;/R&gt;&lt;C&gt;1&lt;/C&gt;&lt;D xsi:type="xsd:double"&gt;1.3845501&lt;/D&gt;&lt;/FQL&gt;&lt;FQL&gt;&lt;Q&gt;EURUSD^FG_PRICE(44303)&lt;/Q&gt;&lt;R&gt;1&lt;/R&gt;&lt;C&gt;1&lt;/C&gt;&lt;D xsi:type="xsd:double"&gt;1.19795&lt;/D&gt;&lt;/FQL&gt;&lt;FQL&gt;&lt;Q&gt;EURUSD^FG_PRICE(44296)&lt;/Q&gt;&lt;R&gt;1&lt;/R&gt;&lt;C&gt;1&lt;/C&gt;&lt;D xsi:type="xsd:double"&gt;1.18895&lt;/D&gt;&lt;/FQL&gt;&lt;FQL&gt;&lt;Q&gt;EURUSD^FG_PRICE(44289)&lt;/Q&gt;&lt;R&gt;1&lt;/R&gt;&lt;C&gt;1&lt;/C&gt;&lt;D xsi:type="xsd:double"&gt;1.1760552&lt;/D&gt;&lt;/FQL&gt;&lt;FQL&gt;&lt;Q&gt;GBPUSD^FG_PRICE(44283)&lt;/Q&gt;&lt;R&gt;1&lt;/R&gt;&lt;C&gt;1&lt;/C&gt;&lt;D xsi:type="xsd:double"&gt;1.37915&lt;/D&gt;&lt;/FQL&gt;&lt;FQL&gt;&lt;Q&gt;GBPUSD^FG_PRICE(44276)&lt;/Q&gt;&lt;R&gt;1&lt;/R&gt;&lt;C&gt;1&lt;/C&gt;&lt;D xsi:type="xsd:double"&gt;1.38715&lt;/D&gt;&lt;/FQL&gt;&lt;FQL&gt;&lt;Q&gt;EURUSD^FG_PRICE(44271)&lt;/Q&gt;&lt;R&gt;1&lt;/R&gt;&lt;C&gt;1&lt;/C&gt;&lt;D xsi:type="xsd:double"&gt;1.18945&lt;/D&gt;&lt;/FQL&gt;&lt;FQL&gt;&lt;Q&gt;EURUSD^FG_PRICE(44264)&lt;/Q&gt;&lt;R&gt;1&lt;/R&gt;&lt;C&gt;1&lt;/C&gt;&lt;D xsi:type="xsd:double"&gt;1.1883501&lt;/D&gt;&lt;/FQL&gt;&lt;FQL&gt;&lt;Q&gt;EURUSD^FG_PRICE(44257)&lt;/Q&gt;&lt;R&gt;1&lt;/R&gt;&lt;C&gt;1&lt;/C&gt;&lt;D xsi:type="xsd:double"&gt;1.20625&lt;/D&gt;&lt;/FQL&gt;&lt;FQL&gt;&lt;Q&gt;GBPUSD^FG_PRICE(44251)&lt;/Q&gt;&lt;R&gt;1&lt;/R&gt;&lt;C&gt;1&lt;/C&gt;&lt;D xsi:type="xsd:double"&gt;1.4097999&lt;/D&gt;&lt;/FQL&gt;&lt;FQL&gt;&lt;Q&gt;GBPUSD^FG_PRICE(44244)&lt;/Q&gt;&lt;R&gt;1&lt;/R&gt;&lt;C&gt;1&lt;/C&gt;&lt;D xsi:type="xsd:double"&gt;1.38545&lt;/D&gt;&lt;/FQL&gt;&lt;FQL&gt;&lt;Q&gt;EURUSD^FG_PRICE(44239)&lt;/Q&gt;&lt;R&gt;1&lt;/R&gt;&lt;C&gt;1&lt;/C&gt;&lt;D xsi:type="xsd:double"&gt;1.21185&lt;/D&gt;&lt;/FQL&gt;&lt;FQL&gt;&lt;Q&gt;EURUSD^FG_PRICE(44232)&lt;/Q&gt;&lt;R&gt;1&lt;/R&gt;&lt;C&gt;1&lt;/C&gt;&lt;D xsi:type="xsd:double"&gt;1.2025499&lt;/D&gt;&lt;/FQL&gt;&lt;FQL&gt;&lt;Q&gt;EURUSD^FG_PRICE(44225)&lt;/Q&gt;&lt;R&gt;1&lt;/R&gt;&lt;C&gt;1&lt;/C&gt;&lt;D xsi:type="xsd:double"&gt;1.2149&lt;/D&gt;&lt;/FQL&gt;&lt;FQL&gt;&lt;Q&gt;GBPUSD^FG_PRICE(44219)&lt;/Q&gt;&lt;R&gt;1&lt;/R&gt;&lt;C&gt;1&lt;/C&gt;&lt;D xsi:type="xsd:double"&gt;1.36715&lt;/D&gt;&lt;/FQL&gt;&lt;FQL&gt;&lt;Q&gt;GBPUSD^FG_PRICE(44212)&lt;/Q&gt;&lt;R&gt;1&lt;/R&gt;&lt;C&gt;1&lt;/C&gt;&lt;D xsi:type="xsd:double"&gt;1.3580999&lt;/D&gt;&lt;/FQL&gt;&lt;FQL&gt;&lt;Q&gt;EURUSD^FG_PRICE(44207)&lt;/Q&gt;&lt;R&gt;1&lt;/R&gt;&lt;C&gt;1&lt;/C&gt;&lt;D xsi:type="xsd:double"&gt;1.21505&lt;/D&gt;&lt;/FQL&gt;&lt;FQL&gt;&lt;Q&gt;EURUSD^FG_PRICE(44200)&lt;/Q&gt;&lt;R&gt;1&lt;/R&gt;&lt;C&gt;1&lt;/C&gt;&lt;D xsi:type="xsd:double"&gt;1.2272&lt;/D&gt;&lt;/FQL&gt;&lt;FQL&gt;&lt;Q&gt;EURUSD^FG_PRICE(44193)&lt;/Q&gt;&lt;R&gt;1&lt;/R&gt;&lt;C&gt;1&lt;/C&gt;&lt;D xsi:type="xsd:double"&gt;1.2214501&lt;/D&gt;&lt;/FQL&gt;&lt;FQL&gt;&lt;Q&gt;GBPUSD^FG_PRICE(44187)&lt;/Q&gt;&lt;R&gt;1&lt;/R&gt;&lt;C&gt;1&lt;/C&gt;&lt;D xsi:type="xsd:double"&gt;1.3317&lt;/D&gt;&lt;/FQL&gt;&lt;FQL&gt;&lt;Q&gt;GBPUSD^FG_PRICE(44180)&lt;/Q&gt;&lt;R&gt;1&lt;/R&gt;&lt;C&gt;1&lt;/C&gt;&lt;D xsi:type="xsd:double"&gt;1.33995&lt;/D&gt;&lt;/FQL&gt;&lt;FQL&gt;&lt;Q&gt;EURUSD^FG_PRICE(44175)&lt;/Q&gt;&lt;R&gt;1&lt;/R&gt;&lt;C&gt;1&lt;/C&gt;&lt;D xsi:type="xsd:double"&gt;1.21295&lt;/D&gt;&lt;/FQL&gt;&lt;FQL&gt;&lt;Q&gt;EURUSD^FG_PRICE(44168)&lt;/Q&gt;&lt;R&gt;1&lt;/R&gt;&lt;C&gt;1&lt;/C&gt;&lt;D xsi:type="xsd:double"&gt;1.216&lt;/D&gt;&lt;/FQL&gt;&lt;FQL&gt;&lt;Q&gt;EURUSD^FG_PRICE(44161)&lt;/Q&gt;&lt;R&gt;1&lt;/R&gt;&lt;C&gt;1&lt;/C&gt;&lt;D xsi:type="xsd:double"&gt;1.1902&lt;/D&gt;&lt;/FQL&gt;&lt;FQL&gt;&lt;Q&gt;GBPUSD^FG_PRICE(44155)&lt;/Q&gt;&lt;R&gt;1&lt;/R&gt;&lt;C&gt;1&lt;/C&gt;&lt;D </t>
        </r>
      </text>
    </comment>
    <comment ref="A14" authorId="0" shapeId="0" xr:uid="{68D3F98B-D4A4-4832-846E-901A1CB76CB9}">
      <text>
        <r>
          <rPr>
            <b/>
            <sz val="9"/>
            <color indexed="81"/>
            <rFont val="Tahoma"/>
            <family val="2"/>
          </rPr>
          <t>xsi:type="xsd:double"&gt;1.3287001&lt;/D&gt;&lt;/FQL&gt;&lt;FQL&gt;&lt;Q&gt;GBPUSD^FG_PRICE(44148)&lt;/Q&gt;&lt;R&gt;1&lt;/R&gt;&lt;C&gt;1&lt;/C&gt;&lt;D xsi:type="xsd:double"&gt;1.3161&lt;/D&gt;&lt;/FQL&gt;&lt;FQL&gt;&lt;Q&gt;EURUSD^FG_PRICE(44143)&lt;/Q&gt;&lt;R&gt;1&lt;/R&gt;&lt;C&gt;1&lt;/C&gt;&lt;D xsi:type="xsd:double"&gt;1.1874499&lt;/D&gt;&lt;/FQL&gt;&lt;FQL&gt;&lt;Q&gt;EURUSD^FG_PRICE(44136)&lt;/Q&gt;&lt;R&gt;1&lt;/R&gt;&lt;C&gt;1&lt;/C&gt;&lt;D xsi:type="xsd:double"&gt;1.16485&lt;/D&gt;&lt;/FQL&gt;&lt;FQL&gt;&lt;Q&gt;EURUSD^FG_PRICE(44129)&lt;/Q&gt;&lt;R&gt;1&lt;/R&gt;&lt;C&gt;1&lt;/C&gt;&lt;D xsi:type="xsd:double"&gt;1.18355&lt;/D&gt;&lt;/FQL&gt;&lt;FQL&gt;&lt;Q&gt;GBPUSD^FG_PRICE(44123)&lt;/Q&gt;&lt;R&gt;1&lt;/R&gt;&lt;C&gt;1&lt;/C&gt;&lt;D xsi:type="xsd:double"&gt;1.29985&lt;/D&gt;&lt;/FQL&gt;&lt;FQL&gt;&lt;Q&gt;GBPUSD^FG_PRICE(44116)&lt;/Q&gt;&lt;R&gt;1&lt;/R&gt;&lt;C&gt;1&lt;/C&gt;&lt;D xsi:type="xsd:double"&gt;1.30665&lt;/D&gt;&lt;/FQL&gt;&lt;FQL&gt;&lt;Q&gt;EURUSD^FG_PRICE(44111)&lt;/Q&gt;&lt;R&gt;1&lt;/R&gt;&lt;C&gt;1&lt;/C&gt;&lt;D xsi:type="xsd:double"&gt;1.17615&lt;/D&gt;&lt;/FQL&gt;&lt;FQL&gt;&lt;Q&gt;EURUSD^FG_PRICE(44104)&lt;/Q&gt;&lt;R&gt;1&lt;/R&gt;&lt;C&gt;1&lt;/C&gt;&lt;D xsi:type="xsd:double"&gt;1.17265&lt;/D&gt;&lt;/FQL&gt;&lt;FQL&gt;&lt;Q&gt;EURUSD^FG_PRICE(44097)&lt;/Q&gt;&lt;R&gt;1&lt;/R&gt;&lt;C&gt;1&lt;/C&gt;&lt;D xsi:type="xsd:double"&gt;1.16735&lt;/D&gt;&lt;/FQL&gt;&lt;FQL&gt;&lt;Q&gt;GBPUSD^FG_PRICE(44091)&lt;/Q&gt;&lt;R&gt;1&lt;/R&gt;&lt;C&gt;1&lt;/C&gt;&lt;D xsi:type="xsd:double"&gt;1.2949&lt;/D&gt;&lt;/FQL&gt;&lt;FQL&gt;&lt;Q&gt;GBPUSD^FG_PRICE(44084)&lt;/Q&gt;&lt;R&gt;1&lt;/R&gt;&lt;C&gt;1&lt;/C&gt;&lt;D xsi:type="xsd:double"&gt;1.2865&lt;/D&gt;&lt;/FQL&gt;&lt;FQL&gt;&lt;Q&gt;EURUSD^FG_PRICE(44079)&lt;/Q&gt;&lt;R&gt;1&lt;/R&gt;&lt;C&gt;1&lt;/C&gt;&lt;D xsi:type="xsd:double"&gt;1.17975&lt;/D&gt;&lt;/FQL&gt;&lt;FQL&gt;&lt;Q&gt;EURUSD^FG_PRICE(44072)&lt;/Q&gt;&lt;R&gt;1&lt;/R&gt;&lt;C&gt;1&lt;/C&gt;&lt;D xsi:type="xsd:double"&gt;1.1898&lt;/D&gt;&lt;/FQL&gt;&lt;FQL&gt;&lt;Q&gt;EURUSD^FG_PRICE(44065)&lt;/Q&gt;&lt;R&gt;1&lt;/R&gt;&lt;C&gt;1&lt;/C&gt;&lt;D xsi:type="xsd:double"&gt;1.17795&lt;/D&gt;&lt;/FQL&gt;&lt;FQL&gt;&lt;Q&gt;GBPUSD^FG_PRICE(44059)&lt;/Q&gt;&lt;R&gt;1&lt;/R&gt;&lt;C&gt;1&lt;/C&gt;&lt;D xsi:type="xsd:double"&gt;1.3109001&lt;/D&gt;&lt;/FQL&gt;&lt;FQL&gt;&lt;Q&gt;GBPUSD^FG_PRICE(44052)&lt;/Q&gt;&lt;R&gt;1&lt;/R&gt;&lt;C&gt;1&lt;/C&gt;&lt;D xsi:type="xsd:double"&gt;1.3051&lt;/D&gt;&lt;/FQL&gt;&lt;FQL&gt;&lt;Q&gt;EURUSD^FG_PRICE(44047)&lt;/Q&gt;&lt;R&gt;1&lt;/R&gt;&lt;C&gt;1&lt;/C&gt;&lt;D xsi:type="xsd:double"&gt;1.17555&lt;/D&gt;&lt;/FQL&gt;&lt;FQL&gt;&lt;Q&gt;EURUSD^FG_PRICE(44040)&lt;/Q&gt;&lt;R&gt;1&lt;/R&gt;&lt;C&gt;1&lt;/C&gt;&lt;D xsi:type="xsd:double"&gt;1.17285&lt;/D&gt;&lt;/FQL&gt;&lt;FQL&gt;&lt;Q&gt;EURUSD^FG_PRICE(44033)&lt;/Q&gt;&lt;R&gt;1&lt;/R&gt;&lt;C&gt;1&lt;/C&gt;&lt;D xsi:type="xsd:double"&gt;1.1488&lt;/D&gt;&lt;/FQL&gt;&lt;FQL&gt;&lt;Q&gt;GBPUSD^FG_PRICE(44027)&lt;/Q&gt;&lt;R&gt;1&lt;/R&gt;&lt;C&gt;1&lt;/C&gt;&lt;D xsi:type="xsd:double"&gt;1.2622&lt;/D&gt;&lt;/FQL&gt;&lt;FQL&gt;&lt;Q&gt;GBPUSD^FG_PRICE(44832)&lt;/Q&gt;&lt;R&gt;1&lt;/R&gt;&lt;C&gt;1&lt;/C&gt;&lt;D xsi:type="xsd:double"&gt;1.07465&lt;/D&gt;&lt;/FQL&gt;&lt;FQL&gt;&lt;Q&gt;EURUSD^FG_PRICE(44827)&lt;/Q&gt;&lt;R&gt;1&lt;/R&gt;&lt;C&gt;1&lt;/C&gt;&lt;D xsi:type="xsd:double"&gt;0.97054994&lt;/D&gt;&lt;/FQL&gt;&lt;FQL&gt;&lt;Q&gt;EURUSD^FG_PRICE(44820)&lt;/Q&gt;&lt;R&gt;1&lt;/R&gt;&lt;C&gt;1&lt;/C&gt;&lt;D xsi:type="xsd:double"&gt;1.00305&lt;/D&gt;&lt;/FQL&gt;&lt;FQL&gt;&lt;Q&gt;EURUSD^FG_PRICE(44813)&lt;/Q&gt;&lt;R&gt;1&lt;/R&gt;&lt;C&gt;1&lt;/C&gt;&lt;D xsi:type="xsd:double"&gt;1.0042499&lt;/D&gt;&lt;/FQL&gt;&lt;FQL&gt;&lt;Q&gt;GBPUSD^FG_PRICE(44807)&lt;/Q&gt;&lt;R&gt;1&lt;/R&gt;&lt;C&gt;1&lt;/C&gt;&lt;D xsi:type="xsd:double"&gt;1.15835&lt;/D&gt;&lt;/FQL&gt;&lt;FQL&gt;&lt;Q&gt;GBPUSD^FG_PRICE(44800)&lt;/Q&gt;&lt;R&gt;1&lt;/R&gt;&lt;C&gt;1&lt;/C&gt;&lt;D xsi:type="xsd:double"&gt;1.17915&lt;/D&gt;&lt;/FQL&gt;&lt;FQL&gt;&lt;Q&gt;EURUSD^FG_PRICE(44795)&lt;/Q&gt;&lt;R&gt;1&lt;/R&gt;&lt;C&gt;1&lt;/C&gt;&lt;D xsi:type="xsd:double"&gt;0.99665004&lt;/D&gt;&lt;/FQL&gt;&lt;FQL&gt;&lt;Q&gt;EURUSD^FG_PRICE(44788)&lt;/Q&gt;&lt;R&gt;1&lt;/R&gt;&lt;C&gt;1&lt;/C&gt;&lt;D xsi:type="xsd:double"&gt;1.01945&lt;/D&gt;&lt;/FQL&gt;&lt;FQL&gt;&lt;Q&gt;EURUSD^FG_PRICE(44781)&lt;/Q&gt;&lt;R&gt;1&lt;/R&gt;&lt;C&gt;1&lt;/C&gt;&lt;D xsi:type="xsd:double"&gt;1.02175&lt;/D&gt;&lt;/FQL&gt;&lt;FQL&gt;&lt;Q&gt;GBPUSD^FG_PRICE(44775)&lt;/Q&gt;&lt;R&gt;1&lt;/R&gt;&lt;C&gt;1&lt;/C&gt;&lt;D xsi:type="xsd:double"&gt;1.2219&lt;/D&gt;&lt;/FQL&gt;&lt;FQL&gt;&lt;Q&gt;GBPUSD^FG_PRICE(44768)&lt;/Q&gt;&lt;R&gt;1&lt;/R&gt;&lt;C&gt;1&lt;/C&gt;&lt;D xsi:type="xsd:double"&gt;1.2047&lt;/D&gt;&lt;/FQL&gt;&lt;FQL&gt;&lt;Q&gt;EURUSD^FG_PRICE(44763)&lt;/Q&gt;&lt;R&gt;1&lt;/R&gt;&lt;C&gt;1&lt;/C&gt;&lt;D xsi:type="xsd:double"&gt;1.0192&lt;/D&gt;&lt;/FQL&gt;&lt;FQL&gt;&lt;Q&gt;EURUSD^FG_PRICE(44756)&lt;/Q&gt;&lt;R&gt;1&lt;/R&gt;&lt;C&gt;1&lt;/C&gt;&lt;D xsi:type="xsd:double"&gt;0.99965&lt;/D&gt;&lt;/FQL&gt;&lt;FQL&gt;&lt;Q&gt;EURUSD^FG_PRICE(44749)&lt;/Q&gt;&lt;R&gt;1&lt;/R&gt;&lt;C&gt;1&lt;/C&gt;&lt;D xsi:type="xsd:double"&gt;1.017&lt;/D&gt;&lt;/FQL&gt;&lt;FQL&gt;&lt;Q&gt;GBPUSD^FG_PRICE(44743)&lt;/Q&gt;&lt;R&gt;1&lt;/R&gt;&lt;C&gt;1&lt;/C&gt;&lt;D xsi:type="xsd:double"&gt;1.2005501&lt;/D&gt;&lt;/FQL&gt;&lt;FQL&gt;&lt;Q&gt;GBPUSD^FG_PRICE(44736)&lt;/Q&gt;&lt;R&gt;1&lt;/R&gt;&lt;C&gt;1&lt;/C&gt;&lt;D xsi:type="xsd:double"&gt;1.2290001&lt;/D&gt;&lt;/FQL&gt;&lt;FQL&gt;&lt;Q&gt;EURUSD^FG_PRICE(44731)&lt;/Q&gt;&lt;R&gt;1&lt;/R&gt;&lt;C&gt;1&lt;/C&gt;&lt;D xsi:type="xsd:double"&gt;1.04575&lt;/D&gt;&lt;/FQL&gt;&lt;FQL&gt;&lt;Q&gt;EURUSD^FG_PRICE(44724)&lt;/Q&gt;&lt;R&gt;1&lt;/R&gt;&lt;C&gt;1&lt;/C&gt;&lt;D xsi:type="xsd:double"&gt;1.05305&lt;/D&gt;&lt;/FQL&gt;&lt;FQL&gt;&lt;Q&gt;EURUSD^FG_PRICE(44717)&lt;/Q&gt;&lt;R&gt;1&lt;/R&gt;&lt;C&gt;1&lt;/C&gt;&lt;D xsi:type="xsd:double"&gt;1.0722&lt;/D&gt;&lt;/FQL&gt;&lt;FQL&gt;&lt;Q&gt;GBPUSD^FG_PRICE(44711)&lt;/Q&gt;&lt;R&gt;1&lt;/R&gt;&lt;C&gt;1&lt;/C&gt;&lt;D xsi:type="xsd:double"&gt;1.26455&lt;/D&gt;&lt;/FQL&gt;&lt;FQL&gt;&lt;Q&gt;GBPUSD^FG_PRICE(44704)&lt;/Q&gt;&lt;R&gt;1&lt;/R&gt;&lt;C&gt;1&lt;/C&gt;&lt;D xsi:type="xsd:double"&gt;1.2573&lt;/D&gt;&lt;/FQL&gt;&lt;FQL&gt;&lt;Q&gt;EURUSD^FG_PRICE(44699)&lt;/Q&gt;&lt;R&gt;1&lt;/R&gt;&lt;C&gt;1&lt;/C&gt;&lt;D xsi:type="xsd:double"&gt;1.05125&lt;/D&gt;&lt;/FQL&gt;&lt;FQL&gt;&lt;Q&gt;EURUSD^FG_PRICE(44692)&lt;/Q&gt;&lt;R&gt;1&lt;/R&gt;&lt;C&gt;1&lt;/C&gt;&lt;D xsi:type="xsd:double"&gt;1.05465&lt;/D&gt;&lt;/FQL&gt;&lt;FQL&gt;&lt;Q&gt;EURUSD^FG_PRICE(44685)&lt;/Q&gt;&lt;R&gt;1&lt;/R&gt;&lt;C&gt;1&lt;/C&gt;&lt;D xsi:type="xsd:double"&gt;1.05485&lt;/D&gt;&lt;/FQL&gt;&lt;FQL&gt;&lt;Q&gt;GBPUSD^FG_PRICE(44679)&lt;/Q&gt;&lt;R&gt;1&lt;/R&gt;&lt;C&gt;1&lt;/C&gt;&lt;D xsi:type="xsd:double"&gt;1.2439499999999999&lt;/D&gt;&lt;/FQL&gt;&lt;FQL&gt;&lt;Q&gt;GBPUSD^FG_PRICE(44672)&lt;/Q&gt;&lt;R&gt;1&lt;/R&gt;&lt;C&gt;1&lt;/C&gt;&lt;D xsi:type="xsd:double"&gt;1.3031&lt;/D&gt;&lt;/FQL&gt;&lt;FQL&gt;&lt;Q&gt;EURUSD^FG_PRICE(44667)&lt;/Q&gt;&lt;R&gt;1&lt;/R&gt;&lt;C&gt;1&lt;/C&gt;&lt;D xsi:type="xsd:double"&gt;1.0776061&lt;/D&gt;&lt;/FQL&gt;&lt;FQL&gt;&lt;Q&gt;EURUSD^FG_PRICE(44660)&lt;/Q&gt;&lt;R&gt;1&lt;/R&gt;&lt;C&gt;1&lt;/C&gt;&lt;D xsi:type="xsd:double"&gt;1.08735&lt;/D&gt;&lt;/FQL&gt;&lt;FQL&gt;&lt;Q&gt;EURUSD^FG_PRICE(44653)&lt;/Q&gt;&lt;R&gt;1&lt;/R&gt;&lt;C&gt;1&lt;/C&gt;&lt;D xsi:type="xsd:double"&gt;1.10365&lt;/D&gt;&lt;/FQL&gt;&lt;FQL&gt;&lt;Q&gt;GBPUSD^FG_PRICE(44647)&lt;/Q&gt;&lt;R&gt;1&lt;/R&gt;&lt;C&gt;1&lt;/C&gt;&lt;D xsi:type="xsd:double"&gt;1.3192999&lt;/D&gt;&lt;/FQL&gt;&lt;FQL&gt;&lt;Q&gt;GBPUSD^FG_PRICE(44640)&lt;/Q&gt;&lt;R&gt;1&lt;/R&gt;&lt;C&gt;1&lt;/C&gt;&lt;D xsi:type="xsd:double"&gt;1.31695&lt;/D&gt;&lt;/FQL&gt;&lt;FQL&gt;&lt;Q&gt;EURUSD^FG_PRICE(44635)&lt;/Q&gt;&lt;R&gt;1&lt;/R&gt;&lt;C&gt;1&lt;/C&gt;&lt;D xsi:type="xsd:double"&gt;1.09735&lt;/D&gt;&lt;/FQL&gt;&lt;FQL&gt;&lt;Q&gt;EURUSD^FG_PRICE(44628)&lt;/Q&gt;&lt;R&gt;1&lt;/R&gt;&lt;C&gt;1&lt;/C&gt;&lt;D xsi:type="xsd:double"&gt;1.0877501&lt;/D&gt;&lt;/FQL&gt;&lt;FQL&gt;&lt;Q&gt;EURUSD^FG_PRICE(44621)&lt;/Q&gt;&lt;R&gt;1&lt;/R&gt;&lt;C&gt;1&lt;/C&gt;&lt;D xsi:type="xsd:double"&gt;1.11415&lt;/D&gt;&lt;/FQL&gt;&lt;FQL&gt;&lt;Q&gt;GBPUSD^FG_PRICE(44615)&lt;/Q&gt;&lt;R&gt;1&lt;/R&gt;&lt;C&gt;1&lt;/C&gt;&lt;D xsi:type="xsd:double"&gt;1.3558999&lt;/D&gt;&lt;/FQL&gt;&lt;FQL&gt;&lt;Q&gt;GBPUSD^FG_PRICE(44608)&lt;/Q&gt;&lt;R&gt;1&lt;/R&gt;&lt;C&gt;1&lt;/C&gt;&lt;D xsi:type="xsd:double"&gt;1.3579&lt;/D&gt;&lt;/FQL&gt;&lt;FQL&gt;&lt;Q&gt;EURUSD^FG_PRICE(44603)&lt;/Q&gt;&lt;R&gt;1&lt;/R&gt;&lt;C&gt;1&lt;/C&gt;&lt;D xsi:type="xsd:double"&gt;1.14035&lt;/D&gt;&lt;/FQL&gt;&lt;FQL&gt;&lt;Q&gt;EURUSD^FG_PRICE(44596)&lt;/Q&gt;&lt;R&gt;1&lt;/R&gt;&lt;C&gt;1&lt;/C&gt;&lt;D xsi:type="xsd:double"&gt;1.1443&lt;/D&gt;&lt;/FQL&gt;&lt;FQL&gt;&lt;Q&gt;EURUSD^FG_PRICE(44589)&lt;/Q&gt;&lt;R&gt;1&lt;/R&gt;&lt;C&gt;1&lt;/C&gt;&lt;D xsi:type="xsd:double"&gt;1.1165501&lt;/D&gt;&lt;/FQL&gt;&lt;FQL&gt;&lt;Q&gt;GBPUSD^FG_PRICE(44583)&lt;/Q&gt;&lt;R&gt;1&lt;/R&gt;&lt;C&gt;1&lt;/C&gt;&lt;D xsi:type="xsd:double"&gt;1.3554499&lt;/D&gt;&lt;/FQL&gt;&lt;FQL&gt;&lt;Q&gt;GBPUSD^FG_PRICE(44576)&lt;/Q&gt;&lt;R&gt;1&lt;/R&gt;&lt;C&gt;1&lt;/C&gt;&lt;D xsi:type="xsd:double"&gt;1.36835&lt;/D&gt;&lt;/FQL&gt;&lt;FQL&gt;&lt;Q&gt;EURUSD^FG_PRICE(44571)&lt;/Q&gt;&lt;R&gt;1&lt;/R&gt;&lt;C&gt;1&lt;/C&gt;&lt;D xsi:type="xsd:double"&gt;1.13195&lt;/D&gt;&lt;/FQL&gt;&lt;FQL&gt;&lt;Q&gt;EURUSD^FG_PRICE(44564)&lt;/Q&gt;&lt;R&gt;1&lt;/R&gt;&lt;C&gt;1&lt;/C&gt;&lt;D xsi:type="xsd:double"&gt;1.1292&lt;/D&gt;&lt;/FQL&gt;&lt;FQL&gt;&lt;Q&gt;EURUSD^FG_PRICE(44557)&lt;/Q&gt;&lt;R&gt;1&lt;/R&gt;&lt;C&gt;1&lt;/C&gt;&lt;D xsi:type="xsd:double"&gt;1.1319&lt;/D&gt;&lt;/FQL&gt;&lt;FQL&gt;&lt;Q&gt;GBPUSD^FG_PRICE(44551)&lt;/Q&gt;&lt;R&gt;1&lt;/R&gt;&lt;C&gt;1&lt;/C&gt;&lt;D xsi:type="xsd:double"&gt;1.32325&lt;/D&gt;&lt;/FQL&gt;&lt;FQL&gt;&lt;Q&gt;GBPUSD^FG_PRICE(44544)&lt;/Q&gt;&lt;R&gt;1&lt;/R&gt;&lt;C&gt;1&lt;/C&gt;&lt;D xsi:type="xsd:double"&gt;1.3235&lt;/D&gt;&lt;/FQL&gt;&lt;FQL&gt;&lt;Q&gt;EURUSD^FG_PRICE(44539)&lt;/Q&gt;&lt;R&gt;1&lt;/R&gt;&lt;C&gt;1&lt;/C&gt;&lt;D xsi:type="xsd:double"&gt;1.1285499&lt;/D&gt;&lt;/FQL&gt;&lt;FQL&gt;&lt;Q&gt;EURUSD^FG_PRICE(44532)&lt;/Q&gt;&lt;R&gt;1&lt;/R&gt;&lt;C&gt;1&lt;/C&gt;&lt;D xsi:type="xsd:double"&gt;1.13175&lt;/D&gt;&lt;/FQL&gt;&lt;FQL&gt;&lt;Q&gt;EURUSD^FG_PRICE(44525)&lt;/Q&gt;&lt;R&gt;1&lt;/R&gt;&lt;C&gt;1&lt;/C&gt;&lt;D xsi:type="xsd:double"&gt;1.121&lt;/D&gt;&lt;/FQL&gt;&lt;FQL&gt;&lt;Q&gt;GBPUSD^FG_PRICE(44519)&lt;/Q&gt;&lt;R&gt;1&lt;/R&gt;&lt;C&gt;1&lt;/C&gt;&lt;D xsi:type="xsd:double"&gt;1.3459&lt;/D&gt;&lt;/FQL&gt;&lt;FQL&gt;&lt;Q&gt;GBPUSD^FG_PRICE(44512)&lt;/Q&gt;&lt;R&gt;1&lt;/R&gt;&lt;C&gt;1&lt;/C&gt;&lt;D xsi:type="xsd:double"&gt;1.3395&lt;/D&gt;&lt;/FQL&gt;&lt;FQL&gt;&lt;Q&gt;EURUSD^FG_PRICE(44507)&lt;/Q&gt;&lt;R&gt;1&lt;/R&gt;&lt;C&gt;1&lt;/C&gt;&lt;D xsi:type="xsd:double"&gt;1.15545&lt;/D&gt;&lt;/FQL&gt;&lt;FQL&gt;&lt;Q&gt;EURUSD^FG_PRICE(44500)&lt;/Q&gt;&lt;R&gt;1&lt;/R&gt;&lt;C&gt;1&lt;/C&gt;&lt;D xsi:type="xsd:double"&gt;1.15725&lt;/D&gt;&lt;/FQL&gt;&lt;FQL&gt;&lt;Q&gt;EURUSD^FG_PRICE(44493)&lt;/Q&gt;&lt;R&gt;1&lt;/R&gt;&lt;C&gt;1&lt;/C&gt;&lt;D xsi:type="xsd:double"&gt;1.16465&lt;/D&gt;&lt;/FQL&gt;&lt;FQL&gt;&lt;Q&gt;GBPUSD^FG_PRICE(44487)&lt;/Q&gt;&lt;R&gt;1&lt;/R&gt;&lt;C&gt;1&lt;/C&gt;&lt;D xsi:type="xsd:double"&gt;1.372&lt;/D&gt;&lt;/FQL&gt;&lt;FQL&gt;&lt;Q&gt;GBPUSD^FG_PRICE(44480)&lt;/Q&gt;&lt;R&gt;1&lt;/R&gt;&lt;C&gt;1&lt;/C&gt;&lt;D xsi:type="xsd:double"&gt;1.3626499&lt;/D&gt;&lt;/FQL&gt;&lt;FQL&gt;&lt;Q&gt;EURUSD^FG_PRICE(44475)&lt;/Q&gt;&lt;R&gt;1&lt;/R&gt;&lt;C&gt;1&lt;/C&gt;&lt;D xsi:type="xsd:double"&gt;1.1542499&lt;/D&gt;&lt;/FQL&gt;&lt;FQL&gt;&lt;Q&gt;EURUSD^FG_PRICE(44468)&lt;/Q&gt;&lt;R&gt;1&lt;/R&gt;&lt;C&gt;1&lt;/C&gt;&lt;D xsi:type="xsd:double"&gt;1.16155&lt;/D&gt;&lt;/FQL&gt;&lt;FQL&gt;&lt;Q&gt;EURUSD^FG_PRICE(44461)&lt;/Q&gt;&lt;R&gt;1&lt;/R&gt;&lt;C&gt;1&lt;/C&gt;&lt;D xsi:type="xsd:double"&gt;1.17335&lt;/D&gt;&lt;/FQL&gt;&lt;FQL&gt;&lt;Q&gt;GBPUSD^FG_PRICE(44455)&lt;/Q&gt;&lt;R&gt;1&lt;/R&gt;&lt;C&gt;1&lt;/C&gt;&lt;D xsi:type="xsd:double"&gt;1.377&lt;/D&gt;&lt;/FQL&gt;&lt;FQL&gt;&lt;Q&gt;GBPUSD^FG_PRICE(44448)&lt;/Q&gt;&lt;R&gt;1&lt;/R&gt;&lt;C&gt;1&lt;/C&gt;&lt;D xsi:type="xsd:double"&gt;1.3845501&lt;/D&gt;&lt;/FQL&gt;&lt;FQL&gt;&lt;Q&gt;EURUSD^FG_PRICE(44443)&lt;/Q&gt;&lt;R&gt;1&lt;/R&gt;&lt;C&gt;1&lt;/C&gt;&lt;D xsi:type="xsd:double"&gt;1.1881&lt;/D&gt;&lt;/FQL&gt;&lt;FQL&gt;&lt;Q&gt;EURUSD^FG_PRICE(44436)&lt;/Q&gt;&lt;R&gt;1&lt;/R&gt;&lt;C&gt;1&lt;/C&gt;&lt;D xsi:type="xsd:double"&gt;1.1786001&lt;/D&gt;&lt;/FQL&gt;&lt;FQL&gt;&lt;Q&gt;EURUSD^FG_PRICE(44429)&lt;/Q&gt;&lt;R&gt;1&lt;/R&gt;&lt;C&gt;1&lt;/C&gt;&lt;D xsi:type="xsd:double"&gt;1.16795&lt;/D&gt;&lt;/FQL&gt;&lt;FQL&gt;&lt;Q&gt;GBPUSD^FG_PRICE(44423)&lt;/Q&gt;&lt;R&gt;1&lt;/R&gt;&lt;C&gt;1&lt;/C&gt;&lt;D xsi:type="xsd:double"&gt;1.3853999&lt;/D&gt;&lt;/FQL&gt;&lt;FQL&gt;&lt;Q&gt;GBPUSD^FG_PRICE(44416)&lt;/Q&gt;&lt;R&gt;1&lt;/R&gt;&lt;C&gt;1&lt;/C&gt;&lt;D xsi:type="xsd:double"&gt;1.38655&lt;/D&gt;&lt;/FQL&gt;&lt;FQL&gt;&lt;Q&gt;EURUSD^FG_PRICE(44411)&lt;/Q&gt;&lt;R&gt;1&lt;/R&gt;&lt;C&gt;1&lt;/C&gt;&lt;D xsi:type="xsd:double"&gt;1.18595&lt;/D&gt;&lt;/FQL&gt;&lt;FQL&gt;&lt;Q&gt;EURUSD^FG_PRICE(44404)&lt;/Q&gt;&lt;R&gt;1&lt;/R&gt;&lt;C&gt;1&lt;/C&gt;&lt;D xsi:type="xsd:double"&gt;1.18255&lt;/D&gt;&lt;/FQL&gt;&lt;FQL&gt;&lt;Q&gt;EURUSD^FG_PRICE(44397)&lt;/Q&gt;&lt;R&gt;1&lt;/R&gt;&lt;C&gt;1&lt;/C&gt;&lt;D xsi:type="xsd:double"&gt;1.17625&lt;/D&gt;&lt;/FQL&gt;&lt;FQL&gt;&lt;Q&gt;GBPUSD^FG_PRICE(44391)&lt;/Q&gt;&lt;R&gt;1&lt;/R&gt;&lt;C&gt;1&lt;/C&gt;&lt;D xsi:type="xsd:double"&gt;1.3865999&lt;/D&gt;&lt;/FQL&gt;&lt;FQL&gt;&lt;Q&gt;GBPUSD^FG_PRICE(44384)&lt;/Q&gt;&lt;R&gt;1&lt;/R&gt;&lt;C&gt;1&lt;/C&gt;&lt;D xsi:type="xsd:double"&gt;1.37775&lt;/D&gt;&lt;/FQL&gt;&lt;FQL&gt;&lt;Q&gt;EURUSD^FG_PRICE(44379)&lt;/Q&gt;&lt;R&gt;1&lt;/R&gt;&lt;C&gt;1&lt;/C&gt;&lt;D xsi:type="xsd:double"&gt;1.1843001&lt;/D&gt;&lt;/FQL&gt;&lt;FQL&gt;&lt;Q&gt;EURUSD^FG_PRICE(44372)&lt;/Q&gt;&lt;R&gt;1&lt;/R&gt;&lt;C&gt;1&lt;/C&gt;&lt;D xsi:type="xsd:double"&gt;1.1951&lt;/D&gt;&lt;/FQL&gt;&lt;FQL&gt;&lt;Q&gt;EURUSD^FG_PRICE(44365)&lt;/Q&gt;&lt;R&gt;1&lt;/R&gt;&lt;C&gt;1&lt;/C&gt;&lt;D xsi:type="xsd:double"&gt;1.1856&lt;/D&gt;&lt;/FQL&gt;&lt;FQL&gt;&lt;Q&gt;GBPUSD^FG_PRICE(44359)&lt;/Q&gt;&lt;R&gt;1&lt;/R&gt;&lt;C&gt;1&lt;/C&gt;&lt;D xsi:type="xsd:double"&gt;1.41245&lt;/D&gt;&lt;/FQL&gt;&lt;FQL&gt;&lt;Q&gt;GBPUSD^FG_PRICE(44352)&lt;/Q&gt;&lt;R&gt;1&lt;/R&gt;&lt;C&gt;1&lt;/C&gt;&lt;D xsi:type="xsd:double"&gt;1.4172&lt;/D&gt;&lt;/FQL&gt;&lt;FQL&gt;&lt;Q&gt;EURUSD^FG_PRICE(44347)&lt;/Q&gt;&lt;R&gt;1&lt;/R&gt;&lt;C&gt;1&lt;/C&gt;&lt;D xsi:type="xsd:double"&gt;1.22265&lt;/D&gt;&lt;/FQL&gt;&lt;FQL&gt;&lt;Q&gt;EURUSD^FG_PRICE(44340)&lt;/Q&gt;&lt;R&gt;1&lt;/R&gt;&lt;C&gt;1&lt;/C&gt;&lt;D xsi:type="xsd:double"&gt;1.2219&lt;/D&gt;&lt;/FQL&gt;&lt;FQL&gt;&lt;Q&gt;EURUSD^FG_PRICE(44333)&lt;/Q&gt;&lt;R&gt;1&lt;/R&gt;&lt;C&gt;1&lt;/C&gt;&lt;D xsi:type="xsd:double"&gt;1.2145&lt;/D&gt;&lt;/FQL&gt;&lt;FQL&gt;&lt;Q&gt;GBPUSD^FG_PRICE(44327)&lt;/Q&gt;&lt;R&gt;1&lt;/R&gt;&lt;C&gt;1&lt;/C&gt;&lt;D xsi:type="xsd:double"&gt;1.41445&lt;/D&gt;&lt;/FQL&gt;&lt;FQL&gt;&lt;Q&gt;GBPUSD^FG_PRICE(44320)&lt;/Q&gt;&lt;R&gt;1&lt;/R&gt;&lt;C&gt;1&lt;/C&gt;&lt;D xsi:type="xsd:double"&gt;1.38845&lt;/D&gt;&lt;/FQL&gt;&lt;FQL&gt;&lt;Q&gt;EURUSD^FG_PRICE(44315)&lt;/Q&gt;&lt;R&gt;1&lt;/R&gt;&lt;C&gt;1&lt;/C&gt;&lt;D xsi:type="xsd:double"&gt;1.2112&lt;/D&gt;&lt;/FQL&gt;&lt;FQL&gt;&lt;Q&gt;EURUSD^FG_PRICE(44308)&lt;/Q&gt;&lt;R&gt;1&lt;/R&gt;&lt;C&gt;1&lt;/C&gt;&lt;D xsi:type="xsd:double"&gt;1.20225&lt;/D&gt;&lt;/FQL&gt;&lt;FQL&gt;&lt;Q&gt;EURUSD^FG_PRICE(44301)&lt;/Q&gt;&lt;R&gt;1&lt;/R&gt;&lt;C&gt;1&lt;/C&gt;&lt;D xsi:type="xsd:double"&gt;1.197&lt;/D&gt;&lt;/FQL&gt;&lt;FQL&gt;&lt;Q&gt;GBPUSD^FG_PRICE(44295)&lt;/Q&gt;&lt;R&gt;1&lt;/R&gt;&lt;C&gt;1&lt;/C&gt;&lt;D xsi:type="xsd:double"&gt;1.373&lt;/D&gt;&lt;/FQL&gt;&lt;FQL&gt;&lt;Q&gt;GBPUSD^FG_PRICE(44288)&lt;/Q&gt;&lt;R&gt;1&lt;/R&gt;&lt;C&gt;1&lt;/C&gt;&lt;D xsi:type="xsd:double"&gt;1.3821&lt;/D&gt;&lt;/FQL&gt;&lt;FQL&gt;&lt;Q&gt;EURUSD^FG_PRICE(44283)&lt;/Q&gt;&lt;R&gt;1&lt;/R&gt;&lt;C&gt;1&lt;/C&gt;&lt;D xsi:type="xsd:double"&gt;1.1797&lt;/D&gt;&lt;/FQL&gt;&lt;FQL&gt;&lt;Q&gt;EURUSD^FG_PRICE(44276)&lt;/Q&gt;&lt;R&gt;1&lt;/R&gt;&lt;C&gt;1&lt;/C&gt;&lt;D xsi:type="xsd:double"&gt;1.1909499&lt;/D&gt;&lt;/FQL&gt;&lt;FQL&gt;&lt;Q&gt;EURUSD^FG_PRICE(44269)&lt;/Q&gt;&lt;R&gt;1&lt;/R&gt;&lt;C&gt;1&lt;/C&gt;&lt;D xsi:type="xsd:double"&gt;1.1938&lt;/D&gt;&lt;/FQL&gt;&lt;FQL&gt;&lt;Q&gt;GBPUSD^FG_PRICE(44263)&lt;/Q&gt;&lt;R&gt;1&lt;/R&gt;&lt;C&gt;1&lt;/C&gt;&lt;D xsi:type="xsd:double"&gt;1.3813&lt;/D&gt;&lt;/FQL&gt;&lt;FQL&gt;&lt;Q&gt;GBPUSD^FG_PRICE(44256)&lt;/Q&gt;&lt;R&gt;1&lt;/R&gt;&lt;C&gt;1&lt;/C&gt;&lt;D xsi:type="xsd:double"&gt;1.3937999&lt;/D&gt;&lt;/FQL&gt;&lt;FQL&gt;&lt;Q&gt;EURUSD^FG_PRICE(44251)&lt;/Q&gt;&lt;R&gt;1&lt;/R&gt;&lt;C&gt;1&lt;/C&gt;&lt;D xsi:type="xsd:double"&gt;1.21225&lt;/D&gt;&lt;/FQL&gt;&lt;FQL&gt;&lt;Q&gt;EURUSD^FG_PRICE(44244)&lt;/Q&gt;&lt;R&gt;1&lt;/R&gt;&lt;C&gt;1&lt;/C&gt;&lt;D xsi:type="xsd:double"&gt;1.20325&lt;/D&gt;&lt;/FQL&gt;&lt;FQL&gt;&lt;Q&gt;EURUSD^FG_PRICE(44237)&lt;/Q&gt;&lt;R&gt;1&lt;/R&gt;&lt;C&gt;1&lt;/C&gt;&lt;D xsi:type="xsd:double"&gt;1.21305&lt;/D&gt;&lt;/FQL&gt;&lt;FQL&gt;&lt;Q&gt;GBPUSD^FG_PRICE(44231)&lt;/Q&gt;&lt;R&gt;1&lt;/R&gt;&lt;C&gt;1&lt;/C&gt;&lt;D xsi:type="xsd:double"&gt;1.3657&lt;/D&gt;&lt;/FQL&gt;&lt;FQL&gt;&lt;Q&gt;GBPUSD^FG_PRICE(44224)&lt;/Q&gt;&lt;R&gt;1&lt;/R&gt;&lt;C&gt;1&lt;/C&gt;&lt;D xsi:type="xsd:double"&gt;1.372&lt;/D&gt;&lt;/FQL&gt;&lt;FQL&gt;&lt;Q&gt;EURUSD^FG_PRICE(44219)&lt;/Q&gt;&lt;R&gt;1&lt;/R&gt;&lt;C&gt;1&lt;/C&gt;&lt;D xsi:type="xsd:double"&gt;1.21725&lt;/D&gt;&lt;/FQL&gt;&lt;FQL&gt;&lt;Q&gt;EURUSD^FG_PRICE(44212)&lt;/Q&gt;&lt;R&gt;1&lt;/R&gt;&lt;C&gt;1&lt;/C&gt;&lt;D xsi:type="xsd:double"&gt;1.2092501&lt;/D&gt;&lt;/FQL&gt;&lt;FQL&gt;&lt;Q&gt;EURUSD^FG_PRICE(44205)&lt;/Q&gt;&lt;R&gt;1&lt;/R&gt;&lt;C&gt;1&lt;/C&gt;&lt;D xsi:type="xsd:double"&gt;1.2256&lt;/D&gt;&lt;/FQL&gt;&lt;FQL&gt;&lt;Q&gt;GBPUSD^FG_PRICE(44199)&lt;/Q&gt;&lt;R&gt;1&lt;/R&gt;&lt;C&gt;1&lt;/C&gt;&lt;D xsi:type="xsd:double"&gt;1.36695&lt;/D&gt;&lt;/FQL&gt;&lt;FQL&gt;&lt;Q&gt;GBPUSD^FG_PRICE(44192)&lt;/Q&gt;&lt;R&gt;1&lt;/R&gt;&lt;C&gt;1&lt;/C&gt;&lt;D xsi:type="xsd:double"&gt;1.35365&lt;/D&gt;&lt;/FQL&gt;&lt;FQL&gt;&lt;Q&gt;EURUSD^FG_PRICE(44187)&lt;/Q&gt;&lt;R&gt;1&lt;/R&gt;&lt;C&gt;1&lt;/C&gt;&lt;D xsi:type="xsd:double"&gt;1.21685&lt;/D&gt;&lt;/FQL&gt;&lt;FQL&gt;&lt;Q&gt;EURUSD^FG_PRICE(44180)&lt;/Q&gt;&lt;R&gt;1&lt;/R&gt;&lt;C&gt;1&lt;/C&gt;&lt;D xsi:type="xsd:double"&gt;1.21525&lt;/D&gt;&lt;/FQL&gt;&lt;FQL&gt;&lt;Q&gt;EURUSD^FG_PRICE(44173)&lt;/Q&gt;&lt;R&gt;1&lt;/R&gt;&lt;C&gt;1&lt;/C&gt;&lt;D xsi:type="xsd:double"&gt;1.2113501&lt;/D&gt;&lt;/FQL&gt;&lt;FQL&gt;&lt;Q&gt;GBPUSD^FG_PRICE(44167)&lt;/Q&gt;&lt;R&gt;1&lt;/R&gt;&lt;C&gt;1&lt;/C&gt;&lt;D xsi:type="xsd:double"&gt;1.3325&lt;/D&gt;&lt;/FQL&gt;&lt;FQL&gt;&lt;Q&gt;GBPUSD^FG_PRICE(44160)&lt;/Q&gt;&lt;R&gt;1&lt;/R&gt;&lt;C&gt;1&lt;/C&gt;&lt;D xsi:type="xsd:double"&gt;1.3381001&lt;/D&gt;&lt;/FQL&gt;&lt;FQL&gt;&lt;Q&gt;EURUSD^FG_PRICE(44155)&lt;/Q&gt;&lt;R&gt;1&lt;/R&gt;&lt;C&gt;1&lt;/C&gt;&lt;D xsi:type="xsd:double"&gt;1.1854&lt;/D&gt;&lt;/FQL&gt;&lt;FQL&gt;&lt;Q&gt;EURUSD^FG_PRICE(44148)&lt;/Q&gt;&lt;R&gt;1&lt;/R&gt;&lt;C&gt;1&lt;/C&gt;&lt;D xsi:type="xsd:double"&gt;1.182&lt;/D&gt;&lt;/FQL&gt;&lt;FQL&gt;&lt;Q&gt;EURUSD^FG_PRICE(44141)&lt;/Q&gt;&lt;R&gt;1&lt;/R&gt;&lt;C&gt;1&lt;/C&gt;&lt;D xsi:type="xsd:double"&gt;1.1874499&lt;/D&gt;&lt;/FQL&gt;&lt;FQL&gt;&lt;Q&gt;GBPUSD^FG_PRICE(44135)&lt;/Q&gt;&lt;R&gt;1&lt;/R&gt;&lt;C&gt;1&lt;/C&gt;&lt;D xsi:type="xsd:double"&gt;1.293&lt;/D&gt;&lt;/FQL&gt;&lt;FQL&gt;&lt;Q&gt;GBPUSD^FG_PRICE(44128)&lt;/Q&gt;&lt;R&gt;1&lt;/R&gt;&lt;C&gt;1&lt;/C&gt;&lt;D xsi:type="xsd:double"&gt;1.3043&lt;/D&gt;&lt;/FQL&gt;&lt;FQL&gt;&lt;Q&gt;EURUSD^FG_PRICE(44123)&lt;/Q&gt;&lt;R&gt;1&lt;/R&gt;&lt;C&gt;1&lt;/C&gt;&lt;D xsi:type="xsd:double"&gt;1.1783&lt;/D&gt;&lt;/FQL&gt;&lt;FQL&gt;&lt;Q&gt;EURUSD^FG_PRICE(44832)&lt;/Q&gt;&lt;R&gt;1&lt;/R&gt;&lt;C&gt;1&lt;/C&gt;&lt;D xsi:type="xsd:double"&gt;0.96305007&lt;/D&gt;&lt;/FQL&gt;&lt;FQL&gt;&lt;Q&gt;EURUSD^FG_PRICE(44825)&lt;/Q&gt;&lt;R&gt;1&lt;/R&gt;&lt;C&gt;1&lt;/C&gt;&lt;D xsi:type="xsd:double"&gt;0.98785&lt;/D&gt;&lt;/FQL&gt;&lt;FQL&gt;&lt;Q&gt;GBPUSD^FG_PRICE(44819)&lt;/Q&gt;&lt;R&gt;1&lt;/R&gt;&lt;C&gt;1&lt;/C&gt;&lt;D xsi:type="xsd:double"&gt;1.1491&lt;/D&gt;&lt;/FQL&gt;&lt;FQL&gt;&lt;Q&gt;GBPUSD^FG_PRICE(44812)&lt;/Q&gt;&lt;R&gt;1&lt;/R&gt;&lt;C&gt;1&lt;/C&gt;&lt;D xsi:type="xsd:double"&gt;1.1489&lt;/D&gt;&lt;/FQL&gt;&lt;FQL&gt;&lt;Q&gt;EURUSD^FG_PRICE(44807)&lt;/Q&gt;&lt;R&gt;1&lt;/R&gt;&lt;C&gt;1&lt;/C&gt;&lt;D xsi:type="xsd:double"&gt;1.00275&lt;/D&gt;&lt;/FQL&gt;&lt;FQL&gt;&lt;Q&gt;EURUSD^FG_PRICE(44800)&lt;/Q&gt;&lt;R&gt;1&lt;/R&gt;&lt;C&gt;1&lt;/C&gt;&lt;D xsi:type="xsd:double"&gt;1.00165&lt;/D&gt;&lt;/FQL&gt;&lt;FQL&gt;&lt;Q&gt;EURUSD^FG_PRICE(44793)&lt;/Q&gt;&lt;R&gt;1&lt;/R&gt;&lt;C&gt;1&lt;/C&gt;&lt;D xsi:type="xsd:double"&gt;1.00415&lt;/D&gt;&lt;/FQL&gt;&lt;FQL&gt;&lt;Q&gt;GBPUSD^FG_PRICE(44787)&lt;/Q&gt;&lt;R&gt;1&lt;/R&gt;&lt;C&gt;1&lt;/C&gt;&lt;D xsi:type="xsd:double"&gt;1.21175&lt;/D&gt;&lt;/FQL&gt;&lt;FQL&gt;&lt;Q&gt;GBPUSD^FG_PRICE(44780)&lt;/Q&gt;&lt;R&gt;1&lt;/R&gt;&lt;C&gt;1&lt;/C&gt;&lt;D xsi:type="xsd:double"&gt;1.20595&lt;/D&gt;&lt;/FQL&gt;&lt;FQL&gt;&lt;Q&gt;EURUSD^FG_PRICE(44775)&lt;/Q&gt;&lt;R&gt;1&lt;/R&gt;&lt;C&gt;1&lt;/C&gt;&lt;D xsi:type="xsd:double"&gt;1.01995&lt;/D&gt;&lt;/FQL&gt;&lt;FQL&gt;&lt;Q&gt;EURUSD^FG_PRICE(44768)&lt;/Q&gt;&lt;R&gt;1&lt;/R&gt;&lt;C&gt;1&lt;/C&gt;&lt;D xsi:type="xsd:double"&gt;1.01335&lt;/D&gt;&lt;/FQL&gt;&lt;FQL&gt;&lt;Q&gt;EURUSD^FG_PRICE(44761)&lt;/Q&gt;&lt;R&gt;1&lt;/R&gt;&lt;C&gt;1&lt;/C&gt;&lt;D xsi:type="xsd:double"&gt;1.02475&lt;/D&gt;&lt;/FQL&gt;&lt;FQL&gt;&lt;Q&gt;GBPUSD^FG_PRICE(44755)&lt;/Q&gt;&lt;R&gt;1&lt;/R&gt;&lt;C&gt;1&lt;/C&gt;&lt;D xsi:type="xsd:double"&gt;1.19485&lt;/D&gt;&lt;/FQL&gt;&lt;FQL&gt;&lt;Q&gt;GBPUSD^FG_PRICE(44748)&lt;/Q&gt;&lt;R&gt;1&lt;/R&gt;&lt;C&gt;1&lt;/C&gt;&lt;D xsi:type="xsd:double"&gt;1.191&lt;/D&gt;&lt;/FQL&gt;&lt;FQL&gt;&lt;Q&gt;EURUSD^FG_PRICE(44743)&lt;/Q&gt;&lt;R&gt;1&lt;/R&gt;&lt;C&gt;1&lt;/C&gt;&lt;D xsi:type="xsd:double"&gt;1.03915&lt;/D&gt;&lt;/FQL&gt;&lt;FQL&gt;&lt;Q&gt;EURUSD^FG_PRICE(44736)&lt;/Q&gt;&lt;R&gt;1&lt;/R&gt;&lt;C&gt;1&lt;/C&gt;&lt;D xsi:type="xsd:double"&gt;1.05445&lt;/D&gt;&lt;/FQL&gt;&lt;FQL&gt;&lt;Q&gt;EURUSD^FG_PRICE(44729)&lt;/Q&gt;&lt;R&gt;1&lt;/R&gt;&lt;C&gt;1&lt;/C&gt;&lt;D xsi:type="xsd:double"&gt;1.04575&lt;/D&gt;&lt;/FQL&gt;&lt;FQL&gt;&lt;Q&gt;GBPUSD^FG_PRICE(44723)&lt;/Q&gt;&lt;R&gt;1&lt;/R&gt;&lt;C&gt;1&lt;/C&gt;&lt;D xsi:type="xsd:double"&gt;1.2342&lt;/D&gt;&lt;/FQL&gt;&lt;FQL&gt;&lt;Q&gt;GBPUSD^FG_PRICE(44716)&lt;/Q&gt;&lt;R&gt;1&lt;/R&gt;&lt;C&gt;1&lt;/C&gt;&lt;D xsi:type="xsd:double"&gt;1.2522&lt;/D&gt;&lt;/FQL&gt;&lt;FQL&gt;&lt;Q&gt;EURUSD^FG_PRICE(44711)&lt;/Q&gt;&lt;R&gt;1&lt;/R&gt;&lt;C&gt;1&lt;/C&gt;&lt;D xsi:type="xsd:double"&gt;1.07795&lt;/D&gt;&lt;/FQL&gt;&lt;FQL&gt;&lt;Q&gt;EURUSD^FG_PRICE(44704)&lt;/Q&gt;&lt;R&gt;1&lt;/R&gt;&lt;C&gt;1&lt;/C&gt;&lt;D xsi:type="xsd:double"&gt;1.0668501&lt;/D&gt;&lt;/FQL&gt;&lt;FQL&gt;&lt;Q&gt;EURUSD^FG_PRICE(44697)&lt;/Q&gt;&lt;R&gt;1&lt;/R&gt;&lt;C&gt;1&lt;/C&gt;&lt;D xsi:type="xsd:double"&gt;1.0404&lt;/D&gt;&lt;/FQL&gt;&lt;FQL&gt;&lt;Q&gt;GBPUSD^FG_PRICE(44691)&lt;/Q&gt;&lt;R&gt;1&lt;/R&gt;&lt;C&gt;1&lt;/C&gt;&lt;D xsi:type="xsd:double"&gt;1.2313&lt;/D&gt;&lt;/FQL&gt;&lt;FQL&gt;&lt;Q&gt;GBPUSD^FG_PRICE(44684)&lt;/Q&gt;&lt;R&gt;1&lt;/R&gt;&lt;C&gt;1&lt;/C&gt;&lt;D xsi:type="xsd:double"&gt;1.2511&lt;/D&gt;&lt;/FQL&gt;&lt;FQL&gt;&lt;Q&gt;EURUSD^FG_PRICE(44679)&lt;/Q&gt;&lt;R&gt;1&lt;/R&gt;&lt;C&gt;1&lt;/C&gt;&lt;D xsi:type="xsd:double"&gt;1.0516499&lt;/D&gt;&lt;/FQL&gt;&lt;FQL&gt;&lt;Q&gt;EURUSD^FG_PRICE(44672)&lt;/Q&gt;&lt;R&gt;1&lt;/R&gt;&lt;C&gt;1&lt;/C&gt;&lt;D xsi:type="xsd:double"&gt;1.08445&lt;/D&gt;&lt;/FQL&gt;&lt;FQL&gt;&lt;Q&gt;EURUSD^FG_PRICE(44665)&lt;/Q&gt;&lt;R&gt;1&lt;/R&gt;&lt;C&gt;1&lt;/C&gt;&lt;D xsi:type="xsd:double"&gt;1.07765&lt;/D&gt;&lt;/FQL&gt;&lt;FQL&gt;&lt;Q&gt;GBPUSD^FG_PRICE(44659)&lt;/Q&gt;&lt;R&gt;1&lt;/R&gt;&lt;C&gt;1&lt;/C&gt;&lt;D xsi:type="xsd:double"&gt;1.30085&lt;/D&gt;&lt;/FQL&gt;&lt;FQL&gt;&lt;Q&gt;GBPUSD^FG_PRICE(44652)&lt;/Q&gt;&lt;R&gt;1&lt;/R&gt;&lt;C&gt;1&lt;/C&gt;&lt;D xsi:type="xsd:double"&gt;1.31075&lt;/D&gt;&lt;/FQL&gt;&lt;FQL&gt;&lt;Q&gt;EURUSD^FG_PRICE(44647)&lt;/Q&gt;&lt;R&gt;1&lt;/R&gt;&lt;C&gt;1&lt;/C&gt;&lt;D xsi:type="xsd:double"&gt;1.0984501&lt;/D&gt;&lt;/FQL&gt;&lt;FQL&gt;&lt;Q&gt;EURUSD^FG_PRICE(44640)&lt;/Q&gt;&lt;R&gt;1&lt;/R&gt;&lt;C&gt;1&lt;/C&gt;&lt;D xsi:type="xsd:double"&gt;1.10485&lt;/D&gt;&lt;/FQL&gt;&lt;FQL&gt;&lt;Q&gt;EURUSD^FG_PRICE(44633)&lt;/Q&gt;&lt;R&gt;1&lt;/R&gt;&lt;C&gt;1&lt;/C&gt;&lt;D xsi:type="xsd:double"&gt;1.09665&lt;/D&gt;&lt;/FQL&gt;&lt;FQL&gt;&lt;Q&gt;GBPUSD^FG_PRICE(44627)&lt;/Q&gt;&lt;R&gt;1&lt;/R&gt;&lt;C&gt;1&lt;/C&gt;&lt;D xsi:type="xsd:double"&gt;1.31355&lt;/D&gt;&lt;/FQL&gt;&lt;FQL&gt;&lt;Q&gt;GBPUSD^FG_PRICE(44620)&lt;/Q&gt;&lt;R&gt;1&lt;/R&gt;&lt;C&gt;1&lt;/C&gt;&lt;D xsi:type="xsd:double"&gt;1.3417499&lt;/D&gt;&lt;/FQL&gt;&lt;FQL&gt;&lt;Q&gt;EURUSD^FG_PRICE(44615)&lt;/Q&gt;&lt;R&gt;1&lt;/R&gt;&lt;C&gt;1&lt;/C&gt;&lt;D xsi:type="xsd:double"&gt;1.13245&lt;/D&gt;&lt;/FQL&gt;&lt;FQL&gt;&lt;Q&gt;EURUSD^FG_PRICE(44608)&lt;/Q&gt;&lt;R&gt;1&lt;/R&gt;&lt;C&gt;1&lt;/C&gt;&lt;D xsi:type="xsd:double"&gt;1.13645&lt;/D&gt;&lt;/FQL&gt;&lt;FQL&gt;&lt;Q&gt;EURUSD^FG_PRICE(44601)&lt;/Q&gt;&lt;R&gt;1&lt;/R&gt;&lt;C&gt;1&lt;/C&gt;&lt;D xsi:type="xsd:double"&gt;1.1428499&lt;/D&gt;&lt;/FQL&gt;&lt;FQL&gt;&lt;Q&gt;GBPUSD^FG_PRICE(44595)&lt;/Q&gt;&lt;R&gt;1&lt;/R&gt;&lt;C&gt;1&lt;/C&gt;&lt;D xsi:type="xsd:double"&gt;1.3611001&lt;/D&gt;&lt;/FQL&gt;&lt;FQL&gt;&lt;Q&gt;GBPUSD^FG_PRICE(44588)&lt;/Q&gt;&lt;R&gt;1&lt;/R&gt;&lt;C&gt;1&lt;/C&gt;&lt;D xsi:type="xsd:double"&gt;1.3392&lt;/D&gt;&lt;/FQL&gt;&lt;FQL&gt;&lt;Q&gt;EURUSD^FG_PRICE(44583)&lt;/Q&gt;&lt;R&gt;1&lt;/R&gt;&lt;C&gt;1&lt;/C&gt;&lt;D xsi:type="xsd:double"&gt;1.1347001&lt;/D&gt;&lt;/FQL&gt;&lt;FQL&gt;&lt;Q&gt;EURUSD^FG_PRICE(44576)&lt;/Q&gt;&lt;R&gt;1&lt;/R&gt;&lt;C&gt;1&lt;/C&gt;&lt;D xsi:type="xsd:double"&gt;1.14335&lt;/D&gt;&lt;/FQL&gt;&lt;FQL&gt;&lt;Q&gt;EURUSD^FG_PRICE(44569)&lt;/Q&gt;&lt;R&gt;1&lt;/R&gt;&lt;C&gt;1&lt;/C&gt;&lt;D xsi:type="xsd:double"&gt;1.1348001&lt;/D&gt;&lt;/FQL&gt;&lt;FQL&gt;&lt;Q&gt;GBPUSD^FG_PRICE(44563)&lt;/Q&gt;&lt;R&gt;1&lt;/R&gt;&lt;C&gt;1&lt;/C&gt;&lt;D xsi:type="xsd:double"&gt;1.35445&lt;/D&gt;&lt;/FQL&gt;&lt;FQL&gt;&lt;Q&gt;GBPUSD^FG_PRICE(44556)&lt;/Q&gt;&lt;R&gt;1&lt;/R&gt;&lt;C&gt;1&lt;/C&gt;&lt;D xsi:type="xsd:double"&gt;1.3411499&lt;/D&gt;&lt;/FQL&gt;&lt;FQL&gt;&lt;Q&gt;EURUSD^FG_PRICE(44551)&lt;/Q&gt;&lt;R&gt;1&lt;/R&gt;&lt;C&gt;1&lt;/C&gt;&lt;D xsi:type="xsd:double"&gt;1.12625&lt;/D&gt;&lt;/FQL&gt;&lt;FQL&gt;&lt;Q&gt;EURUSD^FG_PRICE(44544)&lt;/Q&gt;&lt;R&gt;1&lt;/R&gt;&lt;C&gt;1&lt;/C&gt;&lt;D xsi:type="xsd:double"&gt;1.12735&lt;/D&gt;&lt;/FQL&gt;&lt;FQL&gt;&lt;Q&gt;EURUSD^FG_PRICE(44537)&lt;/Q&gt;&lt;R&gt;1&lt;/R&gt;&lt;C&gt;1&lt;/C&gt;&lt;D xsi:type="xsd:double"&gt;1.1247&lt;/D&gt;&lt;/FQL&gt;&lt;FQL&gt;&lt;Q&gt;GBPUSD^FG_PRICE(44531)&lt;/Q&gt;&lt;R&gt;1&lt;/R&gt;&lt;C&gt;1&lt;/C&gt;&lt;D xsi:type="xsd:double"&gt;1.33175&lt;/D&gt;&lt;/FQL&gt;&lt;FQL&gt;&lt;Q&gt;GBPUSD^FG_PRICE(44524)&lt;/Q&gt;&lt;R&gt;1&lt;/R&gt;&lt;C&gt;1&lt;/C&gt;&lt;D xsi:type="xsd:double"&gt;1.333&lt;/D&gt;&lt;/FQL&gt;&lt;FQL&gt;&lt;Q&gt;EURUSD^FG_PRICE(44519)&lt;/Q&gt;&lt;R&gt;1&lt;/R&gt;&lt;C&gt;1&lt;/C&gt;&lt;D xsi:type="xsd:double"&gt;1.13175&lt;/D&gt;&lt;/FQL&gt;&lt;FQL&gt;&lt;Q&gt;EURUSD^FG_PRICE(44512)&lt;/Q&gt;&lt;R&gt;1&lt;/R&gt;&lt;C&gt;1&lt;/C&gt;&lt;D xsi:type="xsd:double"&gt;1.1444501&lt;/D&gt;&lt;/FQL&gt;&lt;FQL&gt;&lt;Q&gt;EURUSD^FG_PRICE(44505)&lt;/Q&gt;&lt;R&gt;1&lt;/R&gt;&lt;C&gt;1&lt;/C&gt;&lt;D xsi:type="xsd:double"&gt;1.15545&lt;/D&gt;&lt;/FQL&gt;&lt;FQL&gt;&lt;Q&gt;GBPUSD^FG_PRICE(44499)&lt;/Q&gt;&lt;R&gt;1&lt;/R&gt;&lt;C&gt;1&lt;/C&gt;&lt;D xsi:type="xsd:double"&gt;1.37075&lt;/D&gt;&lt;/FQL&gt;&lt;FQL&gt;&lt;Q&gt;GBPUSD^FG_PRICE(44492)&lt;/Q&gt;&lt;R&gt;1&lt;/R&gt;&lt;C&gt;1&lt;/C&gt;&lt;D xsi:type="xsd:double"&gt;1.37725&lt;/D&gt;&lt;/FQL&gt;&lt;FQL&gt;&lt;Q&gt;EURUSD^FG_PRICE(44487)&lt;/Q&gt;&lt;R&gt;1&lt;/R&gt;&lt;C&gt;1&lt;/C&gt;&lt;D xsi:type="xsd:double"&gt;1.16015&lt;/D&gt;&lt;/FQL&gt;&lt;FQL&gt;&lt;Q&gt;EURUSD^FG_PRICE(44480)&lt;/Q&gt;&lt;R&gt;1&lt;/R&gt;&lt;C&gt;1&lt;/C&gt;&lt;D xsi:type="xsd:double"&gt;1.15725&lt;/D&gt;&lt;/FQL&gt;&lt;FQL&gt;&lt;Q&gt;EURUSD^FG_PRICE(44473)&lt;/Q&gt;&lt;R&gt;1&lt;/R&gt;&lt;C&gt;1&lt;/C&gt;&lt;D xsi:type="xsd:double"&gt;1.1624&lt;/D&gt;&lt;/FQL&gt;&lt;FQL&gt;&lt;Q&gt;GBPUSD^FG_PRICE(44467)&lt;/Q&gt;&lt;R&gt;1&lt;/R&gt;&lt;C&gt;1&lt;/C&gt;&lt;D xsi:type="xsd:double"&gt;1.3535&lt;/D&gt;&lt;/FQL&gt;&lt;FQL&gt;&lt;Q&gt;GBPUSD^FG_PRICE(44460)&lt;/Q&gt;&lt;R&gt;1&lt;/R&gt;&lt;C&gt;1&lt;/C&gt;&lt;D xsi:type="xsd:double"&gt;1.3643&lt;/D&gt;&lt;/FQL&gt;&lt;FQL&gt;&lt;Q&gt;EURUSD^FG_PRICE(44455)&lt;/Q&gt;&lt;R&gt;1&lt;/R&gt;&lt;C&gt;1&lt;/C&gt;&lt;D xsi:type="xsd:double"&gt;1.17635&lt;/D&gt;&lt;/FQL&gt;&lt;FQL&gt;&lt;Q&gt;EURUSD^FG_PRICE(44448)&lt;/Q&gt;&lt;R&gt;1&lt;/R&gt;&lt;C&gt;1&lt;/C&gt;&lt;D xsi:type="xsd:double"&gt;1.1817499&lt;/D&gt;&lt;/FQL&gt;&lt;FQL&gt;&lt;Q&gt;EURUSD^FG_PRICE(44441)&lt;/Q&gt;&lt;R&gt;1&lt;/R&gt;&lt;C&gt;1&lt;/C&gt;&lt;D xsi:type="xsd:double"&gt;1.1867499&lt;/D&gt;&lt;/FQL&gt;&lt;FQL&gt;&lt;Q&gt;GBPUSD^FG_PRICE(44435)&lt;/Q&gt;&lt;R&gt;1&lt;/R&gt;&lt;C&gt;1&lt;/C&gt;&lt;D xsi:type="xsd:double"&gt;1.3743501&lt;/D&gt;&lt;/FQL&gt;&lt;FQL&gt;&lt;Q&gt;GBPUSD^FG_PRICE(44428)&lt;/Q&gt;&lt;R&gt;1&lt;/R&gt;&lt;C&gt;1&lt;/C&gt;&lt;D xsi:type="xsd:double"&gt;1.3615&lt;/D&gt;&lt;/FQL&gt;&lt;FQL&gt;&lt;Q&gt;EURUSD^FG_PRICE(44423)&lt;/Q&gt;&lt;R&gt;1&lt;/R&gt;&lt;C&gt;1&lt;/C&gt;&lt;D xsi:type="xsd:double"&gt;1.1793&lt;/D&gt;&lt;/FQL&gt;&lt;FQL&gt;&lt;Q&gt;EURUSD^FG_PRICE(44416)&lt;/Q&gt;&lt;R&gt;1&lt;/R&gt;&lt;C&gt;1&lt;/C&gt;&lt;D xsi:type="xsd:double"&gt;1.176&lt;/D&gt;&lt;/FQL&gt;&lt;FQL&gt;&lt;Q&gt;EURUSD^FG_PRICE(44409)&lt;/Q&gt;&lt;R&gt;1&lt;/R&gt;&lt;C&gt;1&lt;/C&gt;&lt;D xsi:type="xsd:double"&gt;1.1858001&lt;/D&gt;&lt;/FQL&gt;&lt;FQL&gt;&lt;Q&gt;GBPUSD^FG_PRICE(44403)&lt;/Q&gt;&lt;R&gt;1&lt;/R&gt;&lt;C&gt;1&lt;/C&gt;&lt;D xsi:type="xsd:double"&gt;1.3822&lt;/D&gt;&lt;/FQL&gt;&lt;FQL&gt;&lt;Q&gt;GBPUSD^FG_PRICE(44396)&lt;/Q&gt;&lt;R&gt;1&lt;/R&gt;&lt;C&gt;1&lt;/C&gt;&lt;D xsi:type="xsd:double"&gt;1.367&lt;/D&gt;&lt;/FQL&gt;&lt;FQL&gt;&lt;Q&gt;EURUSD^FG_PRICE(44391)&lt;/Q&gt;&lt;R&gt;1&lt;/R&gt;&lt;C&gt;1&lt;/C&gt;&lt;D xsi:type="xsd:double"&gt;1.1819&lt;/D&gt;&lt;/FQL&gt;&lt;FQL&gt;&lt;Q&gt;EURUSD^FG_PRICE(44384)&lt;/Q&gt;&lt;R&gt;1&lt;/R&gt;&lt;C&gt;1&lt;/C&gt;&lt;D xsi:type="xsd:double"&gt;1.17995&lt;/D&gt;&lt;/FQL&gt;&lt;FQL&gt;&lt;Q&gt;EURUSD^FG_PRICE(44377)&lt;/Q&gt;&lt;R&gt;1&lt;/R&gt;&lt;C&gt;1&lt;/C&gt;&lt;D xsi:type="xsd:double"&gt;1.1859001&lt;/D&gt;&lt;/FQL&gt;&lt;FQL&gt;&lt;Q&gt;GBPUSD^FG_PRICE(44371)&lt;/Q&gt;&lt;R&gt;1&lt;/R&gt;&lt;C&gt;1&lt;/C&gt;&lt;D xsi:type="xsd:double"&gt;1.3895&lt;/D&gt;&lt;/FQL&gt;&lt;FQL&gt;&lt;Q&gt;GBPUSD^FG_PRICE(44364)&lt;/Q&gt;&lt;R&gt;1&lt;/R&gt;&lt;C&gt;1&lt;/C&gt;&lt;D xsi:type="xsd:double"&gt;1.3951&lt;/D&gt;&lt;/FQL&gt;&lt;FQL&gt;&lt;Q&gt;EURUSD^FG_PRICE(44359)&lt;/Q&gt;&lt;R&gt;1&lt;/R&gt;&lt;C&gt;1&lt;/C&gt;&lt;D xsi:type="xsd:double"&gt;1.21105&lt;/D&gt;&lt;/FQL&gt;&lt;FQL&gt;&lt;Q&gt;EURUSD^FG_PRICE(44352)&lt;/Q&gt;&lt;R&gt;1&lt;/R&gt;&lt;C&gt;1&lt;/C&gt;&lt;D xsi:type="xsd:double"&gt;1.21635&lt;/D&gt;&lt;/FQL&gt;&lt;FQL&gt;&lt;Q&gt;EURUSD^FG_PRICE(44345)&lt;/Q&gt;&lt;R&gt;1&lt;/R&gt;&lt;C&gt;1&lt;/C&gt;&lt;D xsi:type="xsd:double"&gt;1.21815&lt;/D&gt;&lt;/FQL&gt;&lt;FQL&gt;&lt;Q&gt;GBPUSD^FG_PRICE(44339)&lt;/Q&gt;&lt;R&gt;1&lt;/R&gt;&lt;C&gt;1&lt;/C&gt;&lt;D xsi:type="xsd:double"&gt;1.4160999&lt;/D&gt;&lt;/FQL&gt;&lt;FQL&gt;&lt;Q&gt;GBPUSD^FG_PRICE(44332)&lt;/Q&gt;&lt;R&gt;1&lt;/R&gt;&lt;C&gt;1&lt;/C&gt;&lt;D xsi:type="xsd:double"&gt;1.4088&lt;/D&gt;&lt;/FQL&gt;&lt;FQL&gt;&lt;Q&gt;EURUSD^FG_PRICE(44327)&lt;/Q&gt;&lt;R&gt;1&lt;/R&gt;&lt;C&gt;1&lt;/C&gt;&lt;D xsi:type="xsd:double"&gt;1.21615&lt;/D&gt;&lt;/FQL&gt;&lt;FQL&gt;&lt;Q&gt;EURUSD^FG_PRICE(44320)&lt;/Q&gt;&lt;R&gt;1&lt;/R&gt;&lt;C&gt;1&lt;/C&gt;&lt;D xsi:type="xsd:double"&gt;1.2032&lt;/D&gt;&lt;/FQL&gt;&lt;FQL&gt;&lt;Q&gt;EURUSD^FG_PRICE(44313)&lt;/Q&gt;&lt;R&gt;1&lt;/R&gt;&lt;C&gt;1&lt;/C&gt;&lt;D xsi:type="xsd:double"&gt;1.20815&lt;/D&gt;&lt;/FQL&gt;&lt;FQL&gt;&lt;Q&gt;GBPUSD^FG_PRICE(44307)&lt;/Q&gt;&lt;R&gt;1&lt;/R&gt;&lt;C&gt;1&lt;/C&gt;&lt;D xsi:type="xsd:double"&gt;1.3929499&lt;/D&gt;&lt;/FQL&gt;&lt;FQL&gt;&lt;Q&gt;GBPUSD^FG_PRICE(44300)&lt;/Q&gt;&lt;R&gt;1&lt;/R&gt;&lt;C&gt;1&lt;/C&gt;&lt;D xsi:type="xsd:double"&gt;1.37795&lt;/D&gt;&lt;/FQL&gt;&lt;FQL&gt;&lt;Q&gt;EURUSD^FG_PRICE(44295)&lt;/Q&gt;&lt;R&gt;1&lt;/R&gt;&lt;C&gt;1&lt;/C&gt;&lt;D xsi:type="xsd:double"&gt;1.18895&lt;/D&gt;&lt;/FQL&gt;&lt;FQL&gt;&lt;Q&gt;EURUSD^FG_PRICE(44288)&lt;/Q&gt;&lt;R&gt;1&lt;/R&gt;&lt;C&gt;1&lt;/C&gt;&lt;D xsi:type="xsd:double"&gt;1.1760552&lt;/D&gt;&lt;/FQL&gt;&lt;FQL&gt;&lt;Q&gt;EURUSD^FG_PRICE(44281)&lt;/Q&gt;&lt;R&gt;1&lt;/R&gt;&lt;C&gt;1&lt;/C&gt;&lt;D xsi:type="xsd:double"&gt;1.1797&lt;/D&gt;&lt;/FQL&gt;&lt;FQL&gt;&lt;Q&gt;GBPUSD^FG_PRICE(44275)&lt;/Q&gt;&lt;R&gt;1&lt;/R&gt;&lt;C&gt;1&lt;/C&gt;&lt;D xsi:type="xsd:double"&gt;1.38715&lt;/D&gt;&lt;/FQL&gt;&lt;FQL&gt;&lt;Q&gt;GBPUSD^FG_PRICE(44268)&lt;/Q&gt;&lt;R&gt;1&lt;/R&gt;&lt;C&gt;1&lt;/C&gt;&lt;D xsi:type="xsd:double"&gt;1.3895&lt;/D&gt;&lt;/FQL&gt;&lt;FQL&gt;&lt;Q&gt;EURUSD^FG_PRICE(44263)&lt;/Q&gt;&lt;R&gt;1&lt;/R&gt;&lt;C&gt;1&lt;/C&gt;&lt;D xsi:type="xsd:double"&gt;1.1858001&lt;/D&gt;&lt;/FQL&gt;&lt;FQL&gt;&lt;Q&gt;EURUSD^FG_PRICE(44256)&lt;/Q&gt;&lt;R&gt;1&lt;/R&gt;&lt;C&gt;1&lt;/C&gt;&lt;D xsi:type="xsd:double"&gt;1.20515&lt;/D&gt;&lt;/FQL&gt;&lt;FQL&gt;&lt;Q&gt;EURUSD^FG_PRICE(44249)&lt;/Q&gt;&lt;R&gt;1&lt;/R&gt;&lt;C&gt;1&lt;/C&gt;&lt;D xsi:type="xsd:double"&gt;1.21375&lt;/D&gt;&lt;/FQL&gt;&lt;FQL&gt;&lt;Q&gt;GBPUSD^FG_PRICE(44243)&lt;/Q&gt;&lt;R&gt;1&lt;/R&gt;&lt;C&gt;1&lt;/C&gt;&lt;D xsi:type="xsd:double"&gt;1.3928&lt;/D&gt;&lt;/FQL&gt;&lt;FQL&gt;&lt;Q&gt;GBPUSD^FG_PRICE(44236)&lt;/Q&gt;&lt;R&gt;1&lt;/R&gt;&lt;C&gt;1&lt;/C&gt;&lt;D xsi:type="xsd:double"&gt;1.3795999&lt;/D&gt;&lt;/FQL&gt;&lt;FQL&gt;&lt;Q&gt;EURUSD^FG_PRICE(44231)&lt;/Q&gt;&lt;R&gt;1&lt;/R&gt;&lt;C&gt;1&lt;/C&gt;&lt;D xsi:type="xsd:double"&gt;1.19785&lt;/D&gt;&lt;/FQL&gt;&lt;FQL&gt;&lt;Q&gt;EURUSD^FG_PRICE(44224)&lt;/Q&gt;&lt;R&gt;1&lt;/R&gt;&lt;C&gt;1&lt;/C&gt;&lt;D xsi:type="xsd:double"&gt;1.21225&lt;/D&gt;&lt;/FQL&gt;&lt;FQL&gt;&lt;Q&gt;EURUSD^FG_PRICE(44217)&lt;/Q&gt;&lt;R&gt;1&lt;/R&gt;&lt;C&gt;1&lt;/C&gt;&lt;D xsi:type="xsd:double"&gt;1.21505&lt;/D&gt;&lt;/FQL&gt;&lt;FQL&gt;&lt;Q&gt;GBPUSD^FG_PRICE(44211)&lt;/Q&gt;&lt;R&gt;1&lt;/R&gt;&lt;C&gt;1&lt;/C&gt;&lt;D xsi:type="xsd:double"&gt;1.3580999&lt;/D&gt;&lt;/FQL&gt;&lt;FQL&gt;&lt;Q&gt;GBPUSD^FG_PRICE(44204)&lt;/Q&gt;&lt;R&gt;1&lt;/R&gt;&lt;C&gt;1&lt;/C&gt;&lt;D xsi:type="xsd:double"&gt;1.3593&lt;/D&gt;&lt;/FQL&gt;&lt;FQL&gt;&lt;Q&gt;EURUSD^FG_PRICE(44199)&lt;/Q&gt;&lt;R&gt;1&lt;/R&gt;&lt;C&gt;1&lt;/C&gt;&lt;D xsi:type="xsd:double"&gt;1.22355&lt;/D&gt;&lt;/FQL&gt;&lt;FQL&gt;&lt;Q&gt;EURUSD^FG_PRICE(44192)&lt;/Q&gt;&lt;R&gt;1&lt;/R&gt;&lt;C&gt;1&lt;/C&gt;&lt;D xsi:type="xsd:double"&gt;1.218352&lt;/D&gt;&lt;/FQL&gt;&lt;FQL&gt;&lt;Q&gt;EURUSD^FG_PRICE(44185)&lt;/Q&gt;&lt;R&gt;1&lt;/R&gt;&lt;C&gt;1&lt;/C&gt;&lt;D xsi:type="xsd:double"&gt;1.22345&lt;/D&gt;&lt;/FQL&gt;&lt;FQL&gt;&lt;Q&gt;GBPUSD^FG_PRICE(44179)&lt;/Q&gt;&lt;R&gt;1&lt;/R&gt;&lt;C&gt;1&lt;/C&gt;&lt;D xsi:type="xsd:double"&gt;1.33165&lt;/D&gt;&lt;/FQL&gt;&lt;FQL&gt;&lt;Q&gt;GBPUSD^FG_PRICE(44172)&lt;/Q&gt;&lt;R&gt;1&lt;/R&gt;&lt;C&gt;1&lt;/C&gt;&lt;D xsi:type="xsd:double"&gt;1.3317&lt;/D&gt;&lt;/FQL&gt;&lt;FQL&gt;&lt;Q&gt;EURUSD^FG_PRICE(44167)&lt;/Q&gt;&lt;R&gt;1&lt;/R&gt;&lt;C&gt;1&lt;/C&gt;&lt;D xsi:type="xsd:double"&gt;1.2077999&lt;/D&gt;&lt;/FQL&gt;&lt;FQL&gt;&lt;Q&gt;EURUSD^FG_PRICE(44160)&lt;/Q&gt;&lt;R&gt;1&lt;/R&gt;&lt;C&gt;1&lt;/C&gt;&lt;D xsi:type="xsd:double"&gt;1.19005&lt;/D&gt;&lt;/FQL&gt;&lt;FQL&gt;&lt;Q&gt;EURUSD^FG_PRICE(44153)&lt;/Q&gt;&lt;R&gt;1&lt;/R&gt;&lt;C&gt;1&lt;/C&gt;&lt;D xsi:type="xsd:double"&gt;1.1876&lt;/D&gt;&lt;/FQL&gt;&lt;FQL&gt;&lt;Q&gt;GBPUSD^FG_PRICE(44147)&lt;/Q&gt;&lt;R&gt;1&lt;/R&gt;&lt;C&gt;1&lt;/C&gt;&lt;D xsi:type="xsd:double"&gt;1.3131&lt;/D&gt;&lt;/FQL&gt;&lt;FQL&gt;&lt;Q&gt;GBPUSD^FG_PRICE(44140)&lt;/Q&gt;&lt;R&gt;1&lt;/R&gt;&lt;C&gt;1&lt;/C&gt;&lt;D xsi:type="xsd:double"&gt;1.3111&lt;/D&gt;&lt;/FQL&gt;&lt;FQL&gt;&lt;Q&gt;EURUSD^FG_PRICE(44135)&lt;/Q&gt;&lt;R&gt;1&lt;/R&gt;&lt;C&gt;1&lt;/C&gt;&lt;D xsi:type="xsd:double"&gt;1.16485&lt;/D&gt;&lt;/FQL&gt;&lt;FQL&gt;&lt;Q&gt;EURUSD^FG_PRICE(44128)&lt;/Q&gt;&lt;R&gt;1&lt;/R&gt;&lt;C&gt;1&lt;/C&gt;&lt;D xsi:type="xsd:double"&gt;1.18355&lt;/D&gt;&lt;/FQL&gt;&lt;FQL&gt;&lt;Q&gt;EURUSD^FG_PRICE(44121)&lt;/Q&gt;&lt;R&gt;1&lt;/R&gt;&lt;C&gt;1&lt;/C&gt;&lt;D xsi:type="xsd:double"&gt;1.1719999&lt;/D&gt;&lt;/FQL&gt;&lt;FQL&gt;&lt;Q&gt;GBPUSD^FG_PRICE(44115)&lt;/Q&gt;&lt;R&gt;1&lt;/R&gt;&lt;C&gt;1&lt;/C&gt;&lt;D xsi:type="xsd:double"&gt;1.2997999&lt;/D&gt;&lt;/FQL&gt;&lt;FQL&gt;&lt;Q&gt;GBPUSD^FG_PRICE(44108)&lt;/Q&gt;&lt;R&gt;1&lt;/R&gt;&lt;C&gt;1&lt;/C&gt;&lt;D xsi:type="xsd:double"&gt;1.29345&lt;/D&gt;&lt;/FQL&gt;&lt;FQL&gt;&lt;Q&gt;EURUSD^FG_PRICE(44831)&lt;/Q&gt;&lt;R&gt;1&lt;/R&gt;&lt;C&gt;1&lt;/C&gt;&lt;D xsi:type="xsd:double"&gt;0.9621&lt;/D&gt;&lt;/FQL&gt;&lt;FQL&gt;&lt;Q&gt;EURUSD^FG_PRICE(44824)&lt;/Q&gt;&lt;R&gt;1&lt;/R&gt;&lt;C&gt;1&lt;/C&gt;&lt;D xsi:type="xsd:double"&gt;0.99945&lt;/D&gt;&lt;/FQL&gt;&lt;FQL&gt;&lt;Q&gt;EURUSD^FG_PRICE(44817)&lt;/Q&gt;&lt;R&gt;1&lt;/R&gt;&lt;C&gt;1&lt;/C&gt;&lt;D xsi:type="xsd:double"&gt;1.00155&lt;/D&gt;&lt;/FQL&gt;&lt;FQL&gt;&lt;Q&gt;GBPUSD^FG_PRICE(44811)&lt;/Q&gt;&lt;R&gt;1&lt;/R&gt;&lt;C&gt;1&lt;/C&gt;&lt;D xsi:type="xsd:double"&gt;1.1466&lt;/D&gt;&lt;/FQL&gt;&lt;FQL&gt;&lt;Q&gt;GBPUSD^FG_PRICE(44804)&lt;/Q&gt;&lt;R&gt;1&lt;/R&gt;&lt;C&gt;1&lt;/C&gt;&lt;D xsi:type="xsd:double"&gt;1.1636&lt;/D&gt;&lt;/FQL&gt;&lt;FQL&gt;&lt;Q&gt;EURUSD^FG_PRICE(44799)&lt;/Q&gt;&lt;R&gt;1&lt;/R&gt;&lt;C&gt;1&lt;/C&gt;&lt;D xsi:type="xsd:double"&gt;1.00165&lt;/D&gt;&lt;/FQL&gt;&lt;FQL&gt;&lt;Q&gt;EURUSD^FG_PRICE(44792)&lt;/Q&gt;&lt;R&gt;1&lt;/R&gt;&lt;C&gt;1&lt;/C&gt;&lt;D xsi:type="xsd:double"&gt;1.00415&lt;/D&gt;&lt;/FQL&gt;&lt;FQL&gt;&lt;Q&gt;EURUSD^FG_PRICE(44785)&lt;/Q&gt;&lt;R&gt;1&lt;/R&gt;&lt;C&gt;1&lt;/C&gt;&lt;D xsi:type="xsd:double"&gt;1.0244501&lt;/D&gt;&lt;/FQL&gt;&lt;FQL&gt;&lt;Q&gt;GBPUSD^FG_PRICE(44779)&lt;/Q&gt;&lt;R&gt;1&lt;/R&gt;&lt;C&gt;1&lt;/C&gt;&lt;D xsi:type="xsd:double"&gt;1.20595&lt;/D&gt;&lt;/FQL&gt;&lt;FQL&gt;&lt;Q&gt;GBPUSD^FG_PRICE(44772)&lt;/Q&gt;&lt;R&gt;1&lt;/R&gt;&lt;C&gt;1&lt;/C&gt;&lt;D xsi:type="xsd:double"&gt;1.2169&lt;/D&gt;&lt;/FQL&gt;&lt;FQL&gt;&lt;Q&gt;EURUSD^FG_PRICE(44767)&lt;/Q&gt;&lt;R&gt;1&lt;/R&gt;&lt;C&gt;1&lt;/C&gt;&lt;D xsi:type="xsd:double"&gt;1.02175&lt;/D&gt;&lt;/FQL&gt;&lt;FQL&gt;&lt;Q&gt;EURUSD^FG_PRICE(44760)&lt;/Q&gt;&lt;R&gt;1&lt;/R&gt;&lt;C&gt;1&lt;/C&gt;&lt;D xsi:type="xsd:double"&gt;1.01955&lt;/D&gt;&lt;/FQL&gt;&lt;FQL&gt;&lt;Q&gt;EURUSD^FG_PRICE(44753)&lt;/Q&gt;&lt;R&gt;1&lt;/R&gt;&lt;C&gt;1&lt;/C&gt;&lt;D xsi:type="xsd:double"&gt;1.00835&lt;/D&gt;&lt;/FQL&gt;&lt;FQL&gt;&lt;Q&gt;GBPUSD^FG_PRICE(44747)&lt;/Q&gt;&lt;R&gt;1&lt;/R&gt;&lt;C&gt;1&lt;/C&gt;&lt;D xsi:type="xsd:double"&gt;1.19145&lt;/D&gt;&lt;/FQL&gt;&lt;FQL&gt;&lt;Q&gt;GBPUSD^FG_PRICE(44740)&lt;/Q&gt;&lt;R&gt;1&lt;/R&gt;&lt;C&gt;1&lt;/C&gt;&lt;D xsi:type="xsd:double"&gt;1.2199&lt;/D&gt;&lt;/FQL&gt;&lt;FQL&gt;&lt;Q&gt;EURUSD^FG_PRICE(44735)&lt;/Q&gt;&lt;R&gt;1&lt;/R&gt;&lt;C&gt;1&lt;/C&gt;&lt;D xsi:type="xsd:double"&gt;1.05285&lt;/D&gt;&lt;/FQL&gt;&lt;FQL&gt;&lt;Q&gt;EURUSD^FG_PRICE(44728)&lt;/Q&gt;&lt;R&gt;1&lt;/R&gt;&lt;C&gt;1&lt;/C&gt;&lt;D xsi:type="xsd:double"&gt;1.0496&lt;/D&gt;&lt;/FQL&gt;&lt;FQL&gt;&lt;Q&gt;EURUSD^FG_PRICE(44721)&lt;/Q&gt;&lt;R&gt;1&lt;/R&gt;&lt;C&gt;1&lt;/C&gt;&lt;D xsi:type="xsd:double"&gt;1.06505&lt;/D&gt;&lt;/FQL&gt;&lt;FQL&gt;&lt;Q&gt;GBPUSD^FG_PRICE(44715)&lt;/Q&gt;&lt;R&gt;1&lt;/R&gt;&lt;C&gt;1&lt;/C&gt;&lt;D xsi:type="xsd:double"&gt;1.2522&lt;/D&gt;&lt;/FQL&gt;&lt;FQL&gt;&lt;Q&gt;GBPUSD^FG_PRICE(44708)&lt;/Q&gt;&lt;R&gt;1&lt;/R&gt;&lt;C&gt;1&lt;/C&gt;&lt;D xsi:type="xsd:double"&gt;1.26145&lt;/D&gt;&lt;/FQL&gt;&lt;FQL&gt;&lt;Q&gt;EURUSD^FG_PRICE(44703)&lt;/Q&gt;&lt;R&gt;1&lt;/R&gt;&lt;C&gt;1&lt;/C&gt;&lt;D xsi:type="xsd:double"&gt;1.0558&lt;/D&gt;&lt;/FQL&gt;&lt;FQL&gt;&lt;Q&gt;EURUSD^FG_PRICE(44696)&lt;/Q&gt;&lt;R&gt;1&lt;/R&gt;&lt;C&gt;1&lt;/C&gt;&lt;D xsi:type="xsd:double"&gt;1.03945&lt;/D&gt;&lt;/FQL&gt;&lt;FQL&gt;&lt;Q&gt;EURUSD^FG_PRICE(44689)&lt;/Q&gt;&lt;R&gt;1&lt;/R&gt;&lt;C&gt;1&lt;/C&gt;&lt;D xsi:type="xsd:double"&gt;1.0583&lt;/D&gt;&lt;/FQL&gt;&lt;FQL&gt;&lt;Q&gt;GBPUSD^FG_PRICE(44683)&lt;/Q&gt;&lt;R&gt;1&lt;/R&gt;&lt;C&gt;1&lt;/C&gt;&lt;D xsi:type="xsd:double"&gt;1.25205&lt;/D&gt;&lt;/FQL&gt;&lt;FQL&gt;&lt;Q&gt;GBPUSD^FG_PRICE(44676)&lt;/Q&gt;&lt;R&gt;1&lt;/R&gt;&lt;C&gt;1&lt;/C&gt;&lt;D xsi:type="xsd:double"&gt;1.27135&lt;/D&gt;&lt;/FQL&gt;&lt;FQL&gt;&lt;Q&gt;EURUSD^FG_PRICE(44671)&lt;/Q&gt;&lt;R&gt;1&lt;/R&gt;&lt;C&gt;1&lt;/C&gt;&lt;D xsi:type="xsd:double"&gt;1.08655&lt;/D&gt;&lt;/FQL&gt;&lt;FQL&gt;&lt;Q&gt;EURUSD^FG_PRICE(44664)&lt;/Q&gt;&lt;R&gt;1&lt;/R&gt;&lt;C&gt;1&lt;/C&gt;&lt;D xsi:type="xsd:double"&gt;1.0847499&lt;/D&gt;&lt;/FQL&gt;&lt;FQL&gt;&lt;Q&gt;EURUSD^FG_PRICE(44657)&lt;/Q&gt;&lt;R&gt;1&lt;/R&gt;&lt;C&gt;1&lt;/C&gt;&lt;D xsi:type="xsd:double"&gt;1.09195&lt;/D&gt;&lt;/FQL&gt;&lt;FQL&gt;&lt;Q&gt;GBPUSD^FG_PRICE(44651)&lt;/Q&gt;&lt;R&gt;1&lt;/R&gt;&lt;C&gt;1&lt;/C&gt;&lt;D xsi:type="xsd:double"&gt;1.3166499&lt;/D&gt;&lt;/FQL&gt;&lt;FQL&gt;&lt;Q&gt;GBPUSD^FG_PRICE(44644)&lt;/Q&gt;&lt;R&gt;1&lt;/R&gt;&lt;C&gt;1&lt;/C&gt;&lt;D xsi:type="xsd:double"&gt;1.3184&lt;/D&gt;&lt;/FQL&gt;&lt;FQL&gt;&lt;Q&gt;EURUSD^FG_PRICE(44639)&lt;/Q&gt;&lt;R&gt;1&lt;/R&gt;&lt;C&gt;1&lt;/C&gt;&lt;D xsi:type="xsd:double"&gt;1.10485&lt;/D&gt;&lt;/FQL&gt;&lt;FQL&gt;&lt;Q&gt;EURUSD^FG_PRICE(44632)&lt;/Q&gt;&lt;R&gt;1&lt;/R&gt;&lt;C&gt;1&lt;/C&gt;&lt;D xsi:type="xsd:double"&gt;1.09665&lt;/D&gt;&lt;/FQL&gt;&lt;FQL&gt;&lt;Q&gt;EURUSD^FG_PRICE(44625)&lt;/Q&gt;&lt;R&gt;1&lt;/R&gt;&lt;C&gt;1&lt;/C&gt;&lt;D xsi:type="xsd:double"&gt;1.09195&lt;/D&gt;&lt;/FQL&gt;&lt;FQL&gt;&lt;Q&gt;GBPUSD^FG_PRICE(44619)&lt;/Q&gt;&lt;R&gt;1&lt;/R&gt;&lt;C&gt;1&lt;/C&gt;&lt;D xsi:type="xsd:double"&gt;1.3417499&lt;/D&gt;&lt;/FQL&gt;&lt;FQL&gt;&lt;Q&gt;GBPUSD^FG_PRICE(44612)&lt;/Q&gt;&lt;R&gt;1&lt;/R&gt;&lt;C&gt;1&lt;/C&gt;&lt;D xsi:type="xsd:double"&gt;1.35835&lt;/D&gt;&lt;/FQL&gt;&lt;FQL&gt;&lt;Q&gt;EURUSD^FG_PRICE(44607)&lt;/Q&gt;&lt;R&gt;1&lt;/R&gt;&lt;C&gt;1&lt;/C&gt;&lt;D xsi:type="xsd:double"&gt;1.1356499&lt;/D&gt;&lt;/FQL&gt;&lt;FQL&gt;&lt;Q&gt;EURUSD^FG_PRICE(44600)&lt;/Q&gt;&lt;R&gt;1&lt;/R&gt;&lt;C&gt;1&lt;/C&gt;&lt;D xsi:type="xsd:double"&gt;1.1420001&lt;/D&gt;&lt;/FQL&gt;&lt;FQL&gt;&lt;Q&gt;EURUSD^FG_PRICE(44593)&lt;/Q&gt;&lt;R&gt;1&lt;/R&gt;&lt;C&gt;1&lt;/C&gt;&lt;D xsi:type="xsd:double"&gt;1.1249&lt;/D&gt;&lt;/FQL&gt;&lt;FQL&gt;&lt;Q&gt;GBPUSD^FG_PRICE(44587)&lt;/Q&gt;&lt;R&gt;1&lt;/R&gt;&lt;C&gt;1&lt;/C&gt;&lt;D xsi:type="xsd:double"&gt;1.35105&lt;/D&gt;&lt;/FQL&gt;&lt;FQL&gt;&lt;Q&gt;GBPUSD^FG_PRICE(44580)&lt;/Q&gt;&lt;R&gt;1&lt;/R&gt;&lt;C&gt;1&lt;/C&gt;&lt;D xsi:type="xsd:double"&gt;1.3629&lt;/D&gt;&lt;/FQL&gt;&lt;FQL&gt;&lt;Q&gt;EURUSD^FG_PRICE(44575)&lt;/Q&gt;&lt;R&gt;1&lt;/R&gt;&lt;C&gt;1&lt;/C&gt;&lt;D xsi:type="xsd:double"&gt;1.14335&lt;/D&gt;&lt;/FQL&gt;&lt;FQL&gt;&lt;Q&gt;EURUSD^FG_PRICE(44568)&lt;/Q&gt;&lt;R&gt;1&lt;/R&gt;&lt;C&gt;1&lt;/C&gt;&lt;D xsi:type="xsd:double"&gt;1.1348001&lt;/D&gt;&lt;/FQL&gt;&lt;FQL&gt;&lt;Q&gt;EURUSD^FG_PRICE(44561)&lt;/Q&gt;&lt;R&gt;1&lt;/R&gt;&lt;C&gt;1&lt;/C&gt;&lt;D xsi:type="xsd:double"&gt;1.1372&lt;/D&gt;&lt;/FQL&gt;&lt;FQL&gt;&lt;Q&gt;GBPUSD^FG_PRICE(44555)&lt;/Q&gt;&lt;R&gt;1&lt;/R&gt;&lt;C&gt;1&lt;/C&gt;&lt;D xsi:type="xsd:double"&gt;1.3411499&lt;/D&gt;&lt;/FQL&gt;&lt;FQL&gt;&lt;Q&gt;GBPUSD^FG_PRICE(44548)&lt;/Q&gt;&lt;R&gt;1&lt;/R&gt;&lt;C&gt;1&lt;/C&gt;&lt;D xsi:type="xsd:double"&gt;1.3264&lt;/D&gt;&lt;/FQL&gt;&lt;FQL&gt;&lt;Q&gt;EURUSD^FG_PRICE(44543)&lt;/Q&gt;&lt;R&gt;1&lt;/R&gt;&lt;C&gt;1&lt;/C&gt;&lt;D xsi:type="xsd:double"&gt;1.12755&lt;/D&gt;&lt;/FQL&gt;&lt;FQL&gt;&lt;Q&gt;EURUSD^FG_PRICE(44536)&lt;/Q&gt;&lt;R&gt;1&lt;/R&gt;&lt;C&gt;1&lt;/C&gt;&lt;D xsi:type="xsd:double"&gt;1.12705&lt;/D&gt;&lt;/FQL&gt;&lt;FQL&gt;&lt;Q&gt;EURUSD^FG_PRICE(44529)&lt;/Q&gt;&lt;R&gt;1&lt;/R&gt;&lt;C&gt;1&lt;/C&gt;&lt;D xsi:type="xsd:double"&gt;1.12685&lt;/D&gt;&lt;/FQL&gt;&lt;FQL&gt;&lt;Q&gt;GBPUSD^FG_PRICE(44523)&lt;/Q&gt;&lt;R&gt;1&lt;/R&gt;&lt;C&gt;1&lt;/C&gt;&lt;D xsi:type="xsd:double"&gt;1.3369&lt;/D&gt;&lt;/FQL&gt;&lt;FQL&gt;&lt;Q&gt;GBPUSD^FG_PRICE(44516)&lt;/Q&gt;&lt;R&gt;1&lt;/R&gt;&lt;C&gt;1&lt;/C&gt;&lt;D xsi:type="xsd:double"&gt;1.3420501&lt;/D&gt;&lt;/FQL&gt;&lt;FQL&gt;&lt;Q&gt;EURUSD^FG_PRICE(44511)&lt;/Q&gt;&lt;R&gt;1&lt;/R&gt;&lt;C&gt;1&lt;/C&gt;&lt;D xsi:type="xsd:double"&gt;1.1471&lt;/D&gt;&lt;/FQL&gt;&lt;FQL&gt;&lt;Q&gt;EURUSD^FG_PRICE(44504)&lt;/Q&gt;&lt;R&gt;1&lt;/R&gt;&lt;C&gt;1&lt;/C&gt;&lt;D xsi:type="xsd:double"&gt;1.15455&lt;/D&gt;&lt;/FQL&gt;&lt;FQL&gt;&lt;Q&gt;EURUSD^FG_PRICE(44497)&lt;/Q&gt;&lt;R&gt;1&lt;/R&gt;&lt;C&gt;1&lt;/C&gt;&lt;D xsi:type="xsd:double"&gt;1.16765&lt;/D&gt;&lt;/FQL&gt;&lt;FQL&gt;&lt;Q&gt;GBPUSD^FG_PRICE(44491)&lt;/Q&gt;&lt;R&gt;1&lt;/R&gt;&lt;C&gt;1&lt;/C&gt;&lt;D xsi:type="xsd:double"&gt;1.37725&lt;/D&gt;&lt;/FQL&gt;&lt;FQL&gt;&lt;Q&gt;GBPUSD^FG_PRICE(44484)&lt;/Q&gt;&lt;R&gt;1&lt;/R&gt;&lt;C&gt;1&lt;/C&gt;&lt;D xsi:type="xsd:double"&gt;1.37685&lt;/D&gt;&lt;/FQL&gt;&lt;FQL&gt;&lt;Q&gt;EURUSD^FG_PRICE(44479)&lt;/Q&gt;&lt;R&gt;1&lt;/R&gt;&lt;C&gt;1&lt;/C&gt;&lt;D xsi:type="xsd:double"&gt;1.1574&lt;/D&gt;&lt;/FQL&gt;&lt;FQL&gt;&lt;Q&gt;EURUSD^FG_PRICE(44472)&lt;/Q&gt;&lt;R&gt;1&lt;/R&gt;&lt;C&gt;1&lt;/C&gt;&lt;D xsi:type="xsd:double"&gt;1.1596501&lt;/D&gt;&lt;/FQL&gt;&lt;FQL&gt;&lt;Q&gt;EURUSD^FG_PRICE(44465)&lt;/Q&gt;&lt;R&gt;1&lt;/R&gt;&lt;C&gt;1&lt;/C&gt;&lt;D xsi:type="xsd:double"&gt;1.17135&lt;/D&gt;&lt;/FQL&gt;&lt;FQL&gt;&lt;Q&gt;GBPUSD^FG_PRICE(44459)&lt;/Q&gt;&lt;R&gt;1&lt;/R&gt;&lt;C&gt;1&lt;/C&gt;&lt;D xsi:type="xsd:double"&gt;1.367&lt;/D&gt;&lt;/FQL&gt;&lt;FQL&gt;&lt;Q&gt;GBPUSD^FG_PRICE(44452)&lt;/Q&gt;&lt;R&gt;1&lt;/R&gt;&lt;C&gt;1&lt;/C&gt;&lt;D xsi:type="xsd:double"&gt;1.3849499&lt;/D&gt;&lt;/FQL&gt;&lt;FQL&gt;&lt;Q&gt;EURUSD^FG_PRICE(44447)&lt;/Q&gt;&lt;R&gt;1&lt;/R&gt;&lt;C&gt;1&lt;/C&gt;&lt;D xsi:type="xsd:double"&gt;1.1812&lt;/D&gt;&lt;/FQL&gt;&lt;FQL&gt;&lt;Q&gt;EURUSD^FG_PRICE(44440)&lt;/Q&gt;&lt;R&gt;1&lt;/R&gt;&lt;C&gt;1&lt;/C&gt;&lt;D xsi:type="xsd:double"&gt;1.1854&lt;/D&gt;&lt;/FQL&gt;&lt;FQL&gt;&lt;Q&gt;EURUSD^FG_PRICE(44433)&lt;/Q&gt;&lt;R&gt;1&lt;/R&gt;&lt;C&gt;1&lt;/C&gt;&lt;D xsi:type="xsd:double"&gt;1.17515&lt;/D&gt;&lt;/FQL&gt;&lt;FQL&gt;&lt;Q&gt;GBPUSD^FG_PRICE(44427)&lt;/Q&gt;&lt;R&gt;1&lt;/R&gt;&lt;C&gt;1&lt;/C&gt;&lt;D xsi:type="xsd:double"&gt;1.3661&lt;/D&gt;&lt;/FQL&gt;&lt;FQL&gt;&lt;Q&gt;GBPUSD^FG_PRICE(44420)&lt;/Q&gt;&lt;R&gt;1&lt;/R&gt;&lt;C&gt;1&lt;/C&gt;&lt;D xsi:type="xsd:double"&gt;1.38345&lt;/D&gt;&lt;/FQL&gt;&lt;FQL&gt;&lt;Q&gt;EURUSD^FG_PRICE(44415)&lt;/Q&gt;&lt;R&gt;1&lt;/R&gt;&lt;C&gt;1&lt;/C&gt;&lt;D xsi:type="xsd:double"&gt;1.176&lt;/D&gt;&lt;/FQL&gt;&lt;FQL&gt;&lt;Q&gt;EURUSD^FG_PRICE(44408)&lt;/Q&gt;&lt;R&gt;1&lt;/R&gt;&lt;C&gt;1&lt;/C&gt;&lt;D xsi:type="xsd:double"&gt;1.1858001&lt;/D&gt;&lt;/FQL&gt;&lt;FQL&gt;&lt;Q&gt;EURUSD^FG_PRICE(44401)&lt;/Q&gt;&lt;R&gt;1&lt;/R&gt;&lt;C&gt;1&lt;/C&gt;&lt;D xsi:type="xsd:double"&gt;1.17615&lt;/D&gt;&lt;/FQL&gt;&lt;FQL&gt;&lt;Q&gt;GBPUSD^FG_PRICE(44395)&lt;/Q&gt;&lt;R&gt;1&lt;/R&gt;&lt;C&gt;1&lt;/C&gt;&lt;D xsi:type="xsd:double"&gt;1.37915&lt;/D&gt;&lt;/FQL&gt;&lt;FQL&gt;&lt;Q&gt;GBPUSD^FG_PRICE(44388)&lt;/Q&gt;&lt;R&gt;1&lt;/R&gt;&lt;C&gt;1&lt;/C&gt;&lt;D xsi:type="xsd:double"&gt;1.38335&lt;/D&gt;&lt;/FQL&gt;&lt;FQL&gt;&lt;Q&gt;EURUSD^FG_PRICE(44383)&lt;/Q&gt;&lt;R&gt;1&lt;/R&gt;&lt;C&gt;1&lt;/C&gt;&lt;D xsi:type="xsd:double"&gt;1.183&lt;/D&gt;&lt;/FQL&gt;&lt;FQL&gt;&lt;Q&gt;EURUSD^FG_PRICE(44376)&lt;/Q&gt;&lt;R&gt;1&lt;/R&gt;&lt;C&gt;1&lt;/C&gt;&lt;D xsi:type="xsd:double"&gt;1.1905&lt;/D&gt;&lt;/FQL&gt;&lt;FQL&gt;&lt;Q&gt;EURUSD^FG_PRICE(44369)&lt;/Q&gt;&lt;R&gt;1&lt;/R&gt;&lt;C&gt;1&lt;/C&gt;&lt;D xsi:type="xsd:double"&gt;1.1898999&lt;/D&gt;&lt;/FQL&gt;&lt;FQL&gt;&lt;Q&gt;GBPUSD^FG_PRICE(44363)&lt;/Q&gt;&lt;R&gt;1&lt;/R&gt;&lt;C&gt;1&lt;/C&gt;&lt;D xsi:type="xsd:double"&gt;1.41035&lt;/D&gt;&lt;/FQL&gt;&lt;FQL&gt;&lt;Q&gt;GBPUSD^FG_PRICE(44356)&lt;/Q&gt;&lt;R&gt;1&lt;/R&gt;&lt;C&gt;1&lt;/C&gt;&lt;D xsi:type="xsd:double"&gt;1.41255&lt;/D&gt;&lt;/FQL&gt;&lt;FQL&gt;&lt;Q&gt;EURUSD^FG_PRICE(44351)&lt;/Q&gt;&lt;R&gt;1&lt;/R&gt;&lt;C&gt;1&lt;/C&gt;&lt;D xsi:type="xsd:double"&gt;1.21635&lt;/D&gt;&lt;/FQL&gt;&lt;FQL&gt;&lt;Q&gt;EURUSD^FG_PRICE(44344)&lt;/Q&gt;&lt;R&gt;1&lt;/R&gt;&lt;C&gt;1&lt;/C&gt;&lt;D xsi:type="xsd:double"&gt;1.21815&lt;/D&gt;&lt;/FQL&gt;&lt;FQL&gt;&lt;Q&gt;EURUSD^FG_PRICE(44337)&lt;/Q&gt;&lt;R&gt;1&lt;/R&gt;&lt;C&gt;1&lt;/C&gt;&lt;D xsi:type="xsd:double"&gt;1.21885&lt;/D&gt;&lt;/FQL&gt;&lt;FQL&gt;&lt;Q&gt;GBPUSD^FG_PRICE(44331)&lt;/Q&gt;&lt;R&gt;1&lt;/R&gt;&lt;C&gt;1&lt;/C&gt;&lt;D xsi:type="xsd:double"&gt;1.4088&lt;/D&gt;&lt;/FQL&gt;&lt;FQL&gt;&lt;Q&gt;GBPUSD^FG_PRICE(44324)&lt;/Q&gt;&lt;R&gt;1&lt;/R&gt;&lt;C&gt;1&lt;/C&gt;&lt;D xsi:type="xsd:double"&gt;1.3979&lt;/D&gt;&lt;/FQL&gt;&lt;FQL&gt;&lt;Q&gt;EURUSD^FG_PRICE(44319)&lt;/Q&gt;&lt;R&gt;1&lt;/R&gt;&lt;C&gt;1&lt;/C&gt;&lt;D xsi:type="xsd:double"&gt;1.20745&lt;/D&gt;&lt;/FQL&gt;&lt;FQL&gt;&lt;Q&gt;EURUSD^FG_PRICE(44312)&lt;/Q&gt;&lt;R&gt;1&lt;/R&gt;&lt;C&gt;1&lt;/C&gt;&lt;D xsi:type="xsd:double"&gt;1.20825&lt;/D&gt;&lt;/FQL&gt;&lt;FQL&gt;&lt;Q&gt;EURUSD^FG_PRICE(44305)&lt;/Q&gt;&lt;R&gt;1&lt;/R&gt;&lt;C&gt;1&lt;/C&gt;&lt;D xsi:type="xsd:double"&gt;1.20195&lt;/D&gt;&lt;/FQL&gt;&lt;FQL&gt;&lt;Q&gt;GBPUSD^FG_PRICE(44299)&lt;/Q&gt;&lt;R&gt;1&lt;/R&gt;&lt;C&gt;1&lt;/C&gt;&lt;D xsi:type="xsd:double"&gt;1.373&lt;/D&gt;&lt;/FQL&gt;&lt;FQL&gt;&lt;Q&gt;GBPUSD^FG_PRICE(44292)&lt;/Q&gt;&lt;R&gt;1&lt;/R&gt;&lt;C&gt;1&lt;/C&gt;&lt;D xsi:type="xsd:double"&gt;1.38615&lt;/D&gt;&lt;/FQL&gt;&lt;FQL&gt;&lt;Q&gt;EURUSD^FG_PRICE(44287)&lt;/Q&gt;&lt;R&gt;1&lt;/R&gt;&lt;C&gt;1&lt;/C&gt;&lt;D xsi:type="xsd:double"&gt;1.17605&lt;/D&gt;&lt;/FQL&gt;&lt;FQL&gt;&lt;Q&gt;EURUSD^FG_PRICE(44280)&lt;/Q&gt;&lt;R&gt;1&lt;/R&gt;&lt;C&gt;1&lt;/C&gt;&lt;D xsi:type="xsd:double"&gt;1.1775501&lt;/D&gt;&lt;/FQL&gt;&lt;FQL&gt;&lt;Q&gt;EURUSD^FG_PRICE(44273)&lt;/Q&gt;&lt;R&gt;1&lt;/R&gt;&lt;C&gt;1&lt;/C&gt;&lt;D xsi:type="xsd:double"&gt;1.1925&lt;/D&gt;&lt;/FQL&gt;&lt;FQL&gt;&lt;Q&gt;GBPUSD^FG_PRICE(44267)&lt;/Q&gt;&lt;R&gt;1&lt;/R&gt;&lt;C&gt;1&lt;/C&gt;&lt;D xsi:type="xsd:double"&gt;1.3895&lt;/D&gt;&lt;/FQL&gt;&lt;FQL&gt;&lt;Q&gt;GBPUSD^FG_PRICE(44260)&lt;/Q&gt;&lt;R&gt;1&lt;/R&gt;&lt;C&gt;1&lt;/C&gt;&lt;D xsi:type="xsd:double"&gt;1.382&lt;/D&gt;&lt;/FQL&gt;&lt;FQL&gt;&lt;Q&gt;EURUSD^FG_PRICE(44255)&lt;/Q&gt;&lt;R&gt;1&lt;/R&gt;&lt;C&gt;1&lt;/C&gt;&lt;D xsi:type="xsd:double"&gt;1.2138&lt;/D&gt;&lt;/FQL&gt;&lt;FQL&gt;&lt;Q&gt;EURUSD^FG_PRICE(44248)&lt;/Q&gt;&lt;R&gt;1&lt;/R&gt;&lt;C&gt;1&lt;/C&gt;&lt;D xsi:type="xsd:double"&gt;1.2127&lt;/D&gt;&lt;/FQL&gt;&lt;FQL&gt;&lt;Q&gt;EURUSD^FG_PRICE(44241)&lt;/Q&gt;&lt;R&gt;1&lt;/R&gt;&lt;C&gt;1&lt;/C&gt;&lt;D xsi:type="xsd:double"&gt;1.21185&lt;/D&gt;&lt;/FQL&gt;&lt;FQL&gt;&lt;Q&gt;GBPUSD^FG_PRICE(44235)&lt;/Q&gt;&lt;R&gt;1&lt;/R&gt;&lt;C&gt;1&lt;/C&gt;&lt;D xsi:type="xsd:double"&gt;1.3742499&lt;/D&gt;&lt;/FQL&gt;&lt;FQL&gt;&lt;Q&gt;GBPUSD^FG_PRICE(44228)&lt;/Q&gt;&lt;R&gt;1&lt;/R&gt;&lt;C&gt;1&lt;/C&gt;&lt;D xsi:type="xsd:double"&gt;1.3662499&lt;/D&gt;&lt;/FQL&gt;&lt;FQL&gt;&lt;Q&gt;EURUSD^FG_PRICE(44223)&lt;/Q&gt;&lt;R&gt;1&lt;/R&gt;&lt;C&gt;1&lt;/C&gt;&lt;D xsi:type="xsd:double"&gt;1.2091&lt;/D&gt;&lt;/FQL&gt;&lt;FQL&gt;&lt;Q&gt;EURUSD^FG_PRICE(44216)&lt;/Q&gt;&lt;R&gt;1&lt;/R&gt;&lt;C&gt;1&lt;/C&gt;&lt;D xsi:type="xsd:double"&gt;1.2105&lt;/D&gt;&lt;/FQL&gt;&lt;FQL&gt;&lt;Q&gt;EURUSD^FG_PRICE(44209)&lt;/Q&gt;&lt;R&gt;1&lt;/R&gt;&lt;C&gt;1&lt;/C&gt;&lt;D xsi:type="xsd:double"&gt;1.21605&lt;/D&gt;&lt;/FQL&gt;&lt;FQL&gt;&lt;Q&gt;GBPUSD^FG_PRICE(44203)&lt;/Q&gt;&lt;R&gt;1&lt;/R&gt;&lt;C&gt;1&lt;/C&gt;&lt;D xsi:type="xsd:double"&gt;1.3543&lt;/D&gt;&lt;/FQL&gt;&lt;FQL&gt;&lt;Q&gt;GBPUSD^FG_PRICE(44196)&lt;/Q&gt;&lt;R&gt;1&lt;/R&gt;&lt;C&gt;1&lt;/C&gt;&lt;D xsi:type="xsd:double"&gt;1.36695&lt;/D&gt;&lt;/FQL&gt;&lt;FQL&gt;&lt;Q&gt;EURUSD^FG_PRICE(44191)&lt;/Q&gt;&lt;R&gt;1&lt;/R&gt;&lt;C&gt;1&lt;/C&gt;&lt;D xsi:type="xsd:double"&gt;1.218352&lt;/D&gt;&lt;/FQL&gt;&lt;FQL&gt;&lt;Q&gt;EURUSD^FG_PRICE(44184)&lt;/Q&gt;&lt;R&gt;1&lt;/R&gt;&lt;C&gt;1&lt;/C&gt;&lt;D xsi:type="xsd:double"&gt;1.22345&lt;/D&gt;&lt;/FQL&gt;&lt;FQL&gt;&lt;Q&gt;EURUSD^FG_PRICE(44177)&lt;/Q&gt;&lt;R&gt;1&lt;/R&gt;&lt;C&gt;1&lt;/C&gt;&lt;D xsi:type="xsd:double"&gt;1.21075&lt;/D&gt;&lt;/FQL&gt;&lt;FQL&gt;&lt;Q&gt;GBPUSD^FG_PRICE(44171)&lt;/Q&gt;&lt;R&gt;1&lt;/R&gt;&lt;C&gt;1&lt;/C&gt;&lt;D xsi:type="xsd:double"&gt;1.3473&lt;/D&gt;&lt;/FQL&gt;&lt;FQL&gt;&lt;Q&gt;GBPUSD^FG_PRICE(44164)&lt;/Q&gt;&lt;R&gt;1&lt;/R&gt;&lt;C&gt;1&lt;/C&gt;&lt;D xsi:type="xsd:double"&gt;1.3345&lt;/D&gt;&lt;/FQL&gt;&lt;FQL&gt;&lt;Q&gt;EURUSD^FG_PRICE(44159)&lt;/Q&gt;&lt;R&gt;1&lt;/R&gt;&lt;C&gt;1&lt;/C&gt;&lt;D xsi:type="xsd:double"&gt;1.18725&lt;/D&gt;&lt;/FQL&gt;&lt;FQL&gt;&lt;Q&gt;EURUSD^FG_PRICE(44152)&lt;/Q&gt;&lt;R&gt;1&lt;/R&gt;&lt;C&gt;1&lt;/C&gt;&lt;D xsi:type="xsd:double"&gt;1.18755&lt;/D&gt;&lt;/FQL&gt;&lt;FQL&gt;&lt;Q&gt;EURUSD^FG_PRICE(44145)&lt;/Q&gt;&lt;R&gt;1&lt;/R&gt;&lt;C&gt;1&lt;/C&gt;&lt;D xsi:type="xsd:double"&gt;1.18205&lt;/D&gt;&lt;/FQL&gt;&lt;FQL&gt;&lt;Q&gt;GBPUSD^FG_PRICE(44139)&lt;/Q&gt;&lt;R&gt;1&lt;/R&gt;&lt;C&gt;1&lt;/C&gt;&lt;D xsi:type="xsd:double"&gt;1.2989&lt;/D&gt;&lt;/FQL&gt;&lt;FQL&gt;&lt;Q&gt;GBPUSD^FG_PRICE(44132)&lt;/Q&gt;&lt;R&gt;1&lt;/R&gt;&lt;C&gt;1&lt;</t>
        </r>
      </text>
    </comment>
    <comment ref="A15" authorId="0" shapeId="0" xr:uid="{80C6686D-2965-4AD7-ADF2-FA465751E34D}">
      <text>
        <r>
          <rPr>
            <b/>
            <sz val="9"/>
            <color indexed="81"/>
            <rFont val="Tahoma"/>
            <family val="2"/>
          </rPr>
          <t>/C&gt;&lt;D xsi:type="xsd:double"&gt;1.2996&lt;/D&gt;&lt;/FQL&gt;&lt;FQL&gt;&lt;Q&gt;EURUSD^FG_PRICE(44127)&lt;/Q&gt;&lt;R&gt;1&lt;/R&gt;&lt;C&gt;1&lt;/C&gt;&lt;D xsi:type="xsd:double"&gt;1.18355&lt;/D&gt;&lt;/FQL&gt;&lt;FQL&gt;&lt;Q&gt;EURUSD^FG_PRICE(44120)&lt;/Q&gt;&lt;R&gt;1&lt;/R&gt;&lt;C&gt;1&lt;/C&gt;&lt;D xsi:type="xsd:double"&gt;1.1719999&lt;/D&gt;&lt;/FQL&gt;&lt;FQL&gt;&lt;Q&gt;EURUSD^FG_PRICE(44113)&lt;/Q&gt;&lt;R&gt;1&lt;/R&gt;&lt;C&gt;1&lt;/C&gt;&lt;D xsi:type="xsd:double"&gt;1.18145&lt;/D&gt;&lt;/FQL&gt;&lt;FQL&gt;&lt;Q&gt;GBPUSD^FG_PRICE(44107)&lt;/Q&gt;&lt;R&gt;1&lt;/R&gt;&lt;C&gt;1&lt;/C&gt;&lt;D xsi:type="xsd:double"&gt;1.29345&lt;/D&gt;&lt;/FQL&gt;&lt;FQL&gt;&lt;Q&gt;GBPUSD^FG_PRICE(44100)&lt;/Q&gt;&lt;R&gt;1&lt;/R&gt;&lt;C&gt;1&lt;/C&gt;&lt;D xsi:type="xsd:double"&gt;1.27045&lt;/D&gt;&lt;/FQL&gt;&lt;FQL&gt;&lt;Q&gt;EURUSD^FG_PRICE(44095)&lt;/Q&gt;&lt;R&gt;1&lt;/R&gt;&lt;C&gt;1&lt;/C&gt;&lt;D xsi:type="xsd:double"&gt;1.1743&lt;/D&gt;&lt;/FQL&gt;&lt;FQL&gt;&lt;Q&gt;EURUSD^FG_PRICE(44088)&lt;/Q&gt;&lt;R&gt;1&lt;/R&gt;&lt;C&gt;1&lt;/C&gt;&lt;D xsi:type="xsd:double"&gt;1.1872&lt;/D&gt;&lt;/FQL&gt;&lt;FQL&gt;&lt;Q&gt;EURUSD^FG_PRICE(44081)&lt;/Q&gt;&lt;R&gt;1&lt;/R&gt;&lt;C&gt;1&lt;/C&gt;&lt;D xsi:type="xsd:double"&gt;1.18265&lt;/D&gt;&lt;/FQL&gt;&lt;FQL&gt;&lt;Q&gt;GBPUSD^FG_PRICE(44075)&lt;/Q&gt;&lt;R&gt;1&lt;/R&gt;&lt;C&gt;1&lt;/C&gt;&lt;D xsi:type="xsd:double"&gt;1.3447499&lt;/D&gt;&lt;/FQL&gt;&lt;FQL&gt;&lt;Q&gt;GBPUSD^FG_PRICE(44068)&lt;/Q&gt;&lt;R&gt;1&lt;/R&gt;&lt;C&gt;1&lt;/C&gt;&lt;D xsi:type="xsd:double"&gt;1.31175&lt;/D&gt;&lt;/FQL&gt;&lt;FQL&gt;&lt;Q&gt;EURUSD^FG_PRICE(44063)&lt;/Q&gt;&lt;R&gt;1&lt;/R&gt;&lt;C&gt;1&lt;/C&gt;&lt;D xsi:type="xsd:double"&gt;1.18415&lt;/D&gt;&lt;/FQL&gt;&lt;FQL&gt;&lt;Q&gt;EURUSD^FG_PRICE(44056)&lt;/Q&gt;&lt;R&gt;1&lt;/R&gt;&lt;C&gt;1&lt;/C&gt;&lt;D xsi:type="xsd:double"&gt;1.1837499&lt;/D&gt;&lt;/FQL&gt;&lt;FQL&gt;&lt;Q&gt;EURUSD^FG_PRICE(44049)&lt;/Q&gt;&lt;R&gt;1&lt;/R&gt;&lt;C&gt;1&lt;/C&gt;&lt;D xsi:type="xsd:double"&gt;1.1843001&lt;/D&gt;&lt;/FQL&gt;&lt;FQL&gt;&lt;Q&gt;GBPUSD^FG_PRICE(44043)&lt;/Q&gt;&lt;R&gt;1&lt;/R&gt;&lt;C&gt;1&lt;/C&gt;&lt;D xsi:type="xsd:double"&gt;1.3125&lt;/D&gt;&lt;/FQL&gt;&lt;FQL&gt;&lt;Q&gt;GBPUSD^FG_PRICE(44036)&lt;/Q&gt;&lt;R&gt;1&lt;/R&gt;&lt;C&gt;1&lt;/C&gt;&lt;D xsi:type="xsd:double"&gt;1.2788&lt;/D&gt;&lt;/FQL&gt;&lt;FQL&gt;&lt;Q&gt;EURUSD^FG_PRICE(44031)&lt;/Q&gt;&lt;R&gt;1&lt;/R&gt;&lt;C&gt;1&lt;/C&gt;&lt;D xsi:type="xsd:double"&gt;1.1422&lt;/D&gt;&lt;/FQL&gt;&lt;FQL&gt;&lt;Q&gt;EURUSD^FG_PRICE(44024)&lt;/Q&gt;&lt;R&gt;1&lt;/R&gt;&lt;C&gt;1&lt;/C&gt;&lt;D xsi:type="xsd:double"&gt;1.13185&lt;/D&gt;&lt;/FQL&gt;&lt;FQL&gt;&lt;Q&gt;EURUSD^FG_PRICE(44829)&lt;/Q&gt;&lt;R&gt;1&lt;/R&gt;&lt;C&gt;1&lt;/C&gt;&lt;D xsi:type="xsd:double"&gt;0.97054994&lt;/D&gt;&lt;/FQL&gt;&lt;FQL&gt;&lt;Q&gt;GBPUSD^FG_PRICE(44823)&lt;/Q&gt;&lt;R&gt;1&lt;/R&gt;&lt;C&gt;1&lt;/C&gt;&lt;D xsi:type="xsd:double"&gt;1.1407&lt;/D&gt;&lt;/FQL&gt;&lt;FQL&gt;&lt;Q&gt;GBPUSD^FG_PRICE(44816)&lt;/Q&gt;&lt;R&gt;1&lt;/R&gt;&lt;C&gt;1&lt;/C&gt;&lt;D xsi:type="xsd:double"&gt;1.17055&lt;/D&gt;&lt;/FQL&gt;&lt;FQL&gt;&lt;Q&gt;EURUSD^FG_PRICE(44811)&lt;/Q&gt;&lt;R&gt;1&lt;/R&gt;&lt;C&gt;1&lt;/C&gt;&lt;D xsi:type="xsd:double"&gt;0.99485&lt;/D&gt;&lt;/FQL&gt;&lt;FQL&gt;&lt;Q&gt;EURUSD^FG_PRICE(44804)&lt;/Q&gt;&lt;R&gt;1&lt;/R&gt;&lt;C&gt;1&lt;/C&gt;&lt;D xsi:type="xsd:double"&gt;1.00555&lt;/D&gt;&lt;/FQL&gt;&lt;FQL&gt;&lt;Q&gt;EURUSD^FG_PRICE(44797)&lt;/Q&gt;&lt;R&gt;1&lt;/R&gt;&lt;C&gt;1&lt;/C&gt;&lt;D xsi:type="xsd:double"&gt;0.99920005&lt;/D&gt;&lt;/FQL&gt;&lt;FQL&gt;&lt;Q&gt;GBPUSD^FG_PRICE(44791)&lt;/Q&gt;&lt;R&gt;1&lt;/R&gt;&lt;C&gt;1&lt;/C&gt;&lt;D xsi:type="xsd:double"&gt;1.2004&lt;/D&gt;&lt;/FQL&gt;&lt;FQL&gt;&lt;Q&gt;GBPUSD^FG_PRICE(44784)&lt;/Q&gt;&lt;R&gt;1&lt;/R&gt;&lt;C&gt;1&lt;/C&gt;&lt;D xsi:type="xsd:double"&gt;1.2225&lt;/D&gt;&lt;/FQL&gt;&lt;FQL&gt;&lt;Q&gt;EURUSD^FG_PRICE(44779)&lt;/Q&gt;&lt;R&gt;1&lt;/R&gt;&lt;C&gt;1&lt;/C&gt;&lt;D xsi:type="xsd:double"&gt;1.01655&lt;/D&gt;&lt;/FQL&gt;&lt;FQL&gt;&lt;Q&gt;EURUSD^FG_PRICE(44772)&lt;/Q&gt;&lt;R&gt;1&lt;/R&gt;&lt;C&gt;1&lt;/C&gt;&lt;D xsi:type="xsd:double"&gt;1.01965&lt;/D&gt;&lt;/FQL&gt;&lt;FQL&gt;&lt;Q&gt;EURUSD^FG_PRICE(44765)&lt;/Q&gt;&lt;R&gt;1&lt;/R&gt;&lt;C&gt;1&lt;/C&gt;&lt;D xsi:type="xsd:double"&gt;1.02305&lt;/D&gt;&lt;/FQL&gt;&lt;FQL&gt;&lt;Q&gt;GBPUSD^FG_PRICE(44759)&lt;/Q&gt;&lt;R&gt;1&lt;/R&gt;&lt;C&gt;1&lt;/C&gt;&lt;D xsi:type="xsd:double"&gt;1.18505&lt;/D&gt;&lt;/FQL&gt;&lt;FQL&gt;&lt;Q&gt;GBPUSD^FG_PRICE(44752)&lt;/Q&gt;&lt;R&gt;1&lt;/R&gt;&lt;C&gt;1&lt;/C&gt;&lt;D xsi:type="xsd:double"&gt;1.2026&lt;/D&gt;&lt;/FQL&gt;&lt;FQL&gt;&lt;Q&gt;EURUSD^FG_PRICE(44747)&lt;/Q&gt;&lt;R&gt;1&lt;/R&gt;&lt;C&gt;1&lt;/C&gt;&lt;D xsi:type="xsd:double"&gt;1.0242&lt;/D&gt;&lt;/FQL&gt;&lt;FQL&gt;&lt;Q&gt;EURUSD^FG_PRICE(44740)&lt;/Q&gt;&lt;R&gt;1&lt;/R&gt;&lt;C&gt;1&lt;/C&gt;&lt;D xsi:type="xsd:double"&gt;1.05145&lt;/D&gt;&lt;/FQL&gt;&lt;FQL&gt;&lt;Q&gt;EURUSD^FG_PRICE(44733)&lt;/Q&gt;&lt;R&gt;1&lt;/R&gt;&lt;C&gt;1&lt;/C&gt;&lt;D xsi:type="xsd:double"&gt;1.05645&lt;/D&gt;&lt;/FQL&gt;&lt;FQL&gt;&lt;Q&gt;GBPUSD^FG_PRICE(44727)&lt;/Q&gt;&lt;R&gt;1&lt;/R&gt;&lt;C&gt;1&lt;/C&gt;&lt;D xsi:type="xsd:double"&gt;1.2067&lt;/D&gt;&lt;/FQL&gt;&lt;FQL&gt;&lt;Q&gt;GBPUSD^FG_PRICE(44720)&lt;/Q&gt;&lt;R&gt;1&lt;/R&gt;&lt;C&gt;1&lt;/C&gt;&lt;D xsi:type="xsd:double"&gt;1.25515&lt;/D&gt;&lt;/FQL&gt;&lt;FQL&gt;&lt;Q&gt;EURUSD^FG_PRICE(44715)&lt;/Q&gt;&lt;R&gt;1&lt;/R&gt;&lt;C&gt;1&lt;/C&gt;&lt;D xsi:type="xsd:double"&gt;1.0722&lt;/D&gt;&lt;/FQL&gt;&lt;FQL&gt;&lt;Q&gt;EURUSD^FG_PRICE(44708)&lt;/Q&gt;&lt;R&gt;1&lt;/R&gt;&lt;C&gt;1&lt;/C&gt;&lt;D xsi:type="xsd:double"&gt;1.071&lt;/D&gt;&lt;/FQL&gt;&lt;FQL&gt;&lt;Q&gt;EURUSD^FG_PRICE(44701)&lt;/Q&gt;&lt;R&gt;1&lt;/R&gt;&lt;C&gt;1&lt;/C&gt;&lt;D xsi:type="xsd:double"&gt;1.0558&lt;/D&gt;&lt;/FQL&gt;&lt;FQL&gt;&lt;Q&gt;GBPUSD^FG_PRICE(44695)&lt;/Q&gt;&lt;R&gt;1&lt;/R&gt;&lt;C&gt;1&lt;/C&gt;&lt;D xsi:type="xsd:double"&gt;1.22205&lt;/D&gt;&lt;/FQL&gt;&lt;FQL&gt;&lt;Q&gt;GBPUSD^FG_PRICE(44688)&lt;/Q&gt;&lt;R&gt;1&lt;/R&gt;&lt;C&gt;1&lt;/C&gt;&lt;D xsi:type="xsd:double"&gt;1.23525&lt;/D&gt;&lt;/FQL&gt;&lt;FQL&gt;&lt;Q&gt;EURUSD^FG_PRICE(44683)&lt;/Q&gt;&lt;R&gt;1&lt;/R&gt;&lt;C&gt;1&lt;/C&gt;&lt;D xsi:type="xsd:double"&gt;1.05235&lt;/D&gt;&lt;/FQL&gt;&lt;FQL&gt;&lt;Q&gt;EURUSD^FG_PRICE(44676)&lt;/Q&gt;&lt;R&gt;1&lt;/R&gt;&lt;C&gt;1&lt;/C&gt;&lt;D xsi:type="xsd:double"&gt;1.07075&lt;/D&gt;&lt;/FQL&gt;&lt;FQL&gt;&lt;Q&gt;EURUSD^FG_PRICE(44669)&lt;/Q&gt;&lt;R&gt;1&lt;/R&gt;&lt;C&gt;1&lt;/C&gt;&lt;D xsi:type="xsd:double"&gt;1.07935&lt;/D&gt;&lt;/FQL&gt;&lt;FQL&gt;&lt;Q&gt;GBPUSD^FG_PRICE(44663)&lt;/Q&gt;&lt;R&gt;1&lt;/R&gt;&lt;C&gt;1&lt;/C&gt;&lt;D xsi:type="xsd:double"&gt;1.30375&lt;/D&gt;&lt;/FQL&gt;&lt;FQL&gt;&lt;Q&gt;GBPUSD^FG_PRICE(44656)&lt;/Q&gt;&lt;R&gt;1&lt;/R&gt;&lt;C&gt;1&lt;/C&gt;&lt;D xsi:type="xsd:double"&gt;1.31305&lt;/D&gt;&lt;/FQL&gt;&lt;FQL&gt;&lt;Q&gt;EURUSD^FG_PRICE(44651)&lt;/Q&gt;&lt;R&gt;1&lt;/R&gt;&lt;C&gt;1&lt;/C&gt;&lt;D xsi:type="xsd:double"&gt;1.1126499&lt;/D&gt;&lt;/FQL&gt;&lt;FQL&gt;&lt;Q&gt;EURUSD^FG_PRICE(44644)&lt;/Q&gt;&lt;R&gt;1&lt;/R&gt;&lt;C&gt;1&lt;/C&gt;&lt;D xsi:type="xsd:double"&gt;1.10075&lt;/D&gt;&lt;/FQL&gt;&lt;FQL&gt;&lt;Q&gt;EURUSD^FG_PRICE(44637)&lt;/Q&gt;&lt;R&gt;1&lt;/R&gt;&lt;C&gt;1&lt;/C&gt;&lt;D xsi:type="xsd:double"&gt;1.11095&lt;/D&gt;&lt;/FQL&gt;&lt;FQL&gt;&lt;Q&gt;GBPUSD^FG_PRICE(44631)&lt;/Q&gt;&lt;R&gt;1&lt;/R&gt;&lt;C&gt;1&lt;/C&gt;&lt;D xsi:type="xsd:double"&gt;1.30865&lt;/D&gt;&lt;/FQL&gt;&lt;FQL&gt;&lt;Q&gt;GBPUSD^FG_PRICE(44624)&lt;/Q&gt;&lt;R&gt;1&lt;/R&gt;&lt;C&gt;1&lt;/C&gt;&lt;D xsi:type="xsd:double"&gt;1.3218&lt;/D&gt;&lt;/FQL&gt;&lt;FQL&gt;&lt;Q&gt;EURUSD^FG_PRICE(44619)&lt;/Q&gt;&lt;R&gt;1&lt;/R&gt;&lt;C&gt;1&lt;/C&gt;&lt;D xsi:type="xsd:double"&gt;1.12455&lt;/D&gt;&lt;/FQL&gt;&lt;FQL&gt;&lt;Q&gt;EURUSD^FG_PRICE(44612)&lt;/Q&gt;&lt;R&gt;1&lt;/R&gt;&lt;C&gt;1&lt;/C&gt;&lt;D xsi:type="xsd:double"&gt;1.13415&lt;/D&gt;&lt;/FQL&gt;&lt;FQL&gt;&lt;Q&gt;EURUSD^FG_PRICE(44605)&lt;/Q&gt;&lt;R&gt;1&lt;/R&gt;&lt;C&gt;1&lt;/C&gt;&lt;D xsi:type="xsd:double"&gt;1.14035&lt;/D&gt;&lt;/FQL&gt;&lt;FQL&gt;&lt;Q&gt;GBPUSD^FG_PRICE(44599)&lt;/Q&gt;&lt;R&gt;1&lt;/R&gt;&lt;C&gt;1&lt;/C&gt;&lt;D xsi:type="xsd:double"&gt;1.35315&lt;/D&gt;&lt;/FQL&gt;&lt;FQL&gt;&lt;Q&gt;GBPUSD^FG_PRICE(44592)&lt;/Q&gt;&lt;R&gt;1&lt;/R&gt;&lt;C&gt;1&lt;/C&gt;&lt;D xsi:type="xsd:double"&gt;1.34165&lt;/D&gt;&lt;/FQL&gt;&lt;FQL&gt;&lt;Q&gt;EURUSD^FG_PRICE(44587)&lt;/Q&gt;&lt;R&gt;1&lt;/R&gt;&lt;C&gt;1&lt;/C&gt;&lt;D xsi:type="xsd:double"&gt;1.12825&lt;/D&gt;&lt;/FQL&gt;&lt;FQL&gt;&lt;Q&gt;EURUSD^FG_PRICE(44580)&lt;/Q&gt;&lt;R&gt;1&lt;/R&gt;&lt;C&gt;1&lt;/C&gt;&lt;D xsi:type="xsd:double"&gt;1.1345&lt;/D&gt;&lt;/FQL&gt;&lt;FQL&gt;&lt;Q&gt;EURUSD^FG_PRICE(44573)&lt;/Q&gt;&lt;R&gt;1&lt;/R&gt;&lt;C&gt;1&lt;/C&gt;&lt;D xsi:type="xsd:double"&gt;1.14205&lt;/D&gt;&lt;/FQL&gt;&lt;FQL&gt;&lt;Q&gt;GBPUSD^FG_PRICE(44567)&lt;/Q&gt;&lt;R&gt;1&lt;/R&gt;&lt;C&gt;1&lt;/C&gt;&lt;D xsi:type="xsd:double"&gt;1.3528&lt;/D&gt;&lt;/FQL&gt;&lt;FQL&gt;&lt;Q&gt;GBPUSD^FG_PRICE(44560)&lt;/Q&gt;&lt;R&gt;1&lt;/R&gt;&lt;C&gt;1&lt;/C&gt;&lt;D xsi:type="xsd:double"&gt;1.34965&lt;/D&gt;&lt;/FQL&gt;&lt;FQL&gt;&lt;Q&gt;EURUSD^FG_PRICE(44555)&lt;/Q&gt;&lt;R&gt;1&lt;/R&gt;&lt;C&gt;1&lt;/C&gt;&lt;D xsi:type="xsd:double"&gt;1.1329&lt;/D&gt;&lt;/FQL&gt;&lt;FQL&gt;&lt;Q&gt;EURUSD^FG_PRICE(44548)&lt;/Q&gt;&lt;R&gt;1&lt;/R&gt;&lt;C&gt;1&lt;/C&gt;&lt;D xsi:type="xsd:double"&gt;1.12745&lt;/D&gt;&lt;/FQL&gt;&lt;FQL&gt;&lt;Q&gt;EURUSD^FG_PRICE(44541)&lt;/Q&gt;&lt;R&gt;1&lt;/R&gt;&lt;C&gt;1&lt;/C&gt;&lt;D xsi:type="xsd:double"&gt;1.13045&lt;/D&gt;&lt;/FQL&gt;&lt;FQL&gt;&lt;Q&gt;GBPUSD^FG_PRICE(44535)&lt;/Q&gt;&lt;R&gt;1&lt;/R&gt;&lt;C&gt;1&lt;/C&gt;&lt;D xsi:type="xsd:double"&gt;1.3219999&lt;/D&gt;&lt;/FQL&gt;&lt;FQL&gt;&lt;Q&gt;GBPUSD^FG_PRICE(44528)&lt;/Q&gt;&lt;R&gt;1&lt;/R&gt;&lt;C&gt;1&lt;/C&gt;&lt;D xsi:type="xsd:double"&gt;1.33365&lt;/D&gt;&lt;/FQL&gt;&lt;FQL&gt;&lt;Q&gt;EURUSD^FG_PRICE(44523)&lt;/Q&gt;&lt;R&gt;1&lt;/R&gt;&lt;C&gt;1&lt;/C&gt;&lt;D xsi:type="xsd:double"&gt;1.1263499&lt;/D&gt;&lt;/FQL&gt;&lt;FQL&gt;&lt;Q&gt;EURUSD^FG_PRICE(44516)&lt;/Q&gt;&lt;R&gt;1&lt;/R&gt;&lt;C&gt;1&lt;/C&gt;&lt;D xsi:type="xsd:double"&gt;1.1350499&lt;/D&gt;&lt;/FQL&gt;&lt;FQL&gt;&lt;Q&gt;EURUSD^FG_PRICE(44509)&lt;/Q&gt;&lt;R&gt;1&lt;/R&gt;&lt;C&gt;1&lt;/C&gt;&lt;D xsi:type="xsd:double"&gt;1.15845&lt;/D&gt;&lt;/FQL&gt;&lt;FQL&gt;&lt;Q&gt;GBPUSD^FG_PRICE(44503)&lt;/Q&gt;&lt;R&gt;1&lt;/R&gt;&lt;C&gt;1&lt;/C&gt;&lt;D xsi:type="xsd:double"&gt;1.3659999&lt;/D&gt;&lt;/FQL&gt;&lt;FQL&gt;&lt;Q&gt;GBPUSD^FG_PRICE(44496)&lt;/Q&gt;&lt;R&gt;1&lt;/R&gt;&lt;C&gt;1&lt;/C&gt;&lt;D xsi:type="xsd:double"&gt;1.3713&lt;/D&gt;&lt;/FQL&gt;&lt;FQL&gt;&lt;Q&gt;EURUSD^FG_PRICE(44491)&lt;/Q&gt;&lt;R&gt;1&lt;/R&gt;&lt;C&gt;1&lt;/C&gt;&lt;D xsi:type="xsd:double"&gt;1.16465&lt;/D&gt;&lt;/FQL&gt;&lt;FQL&gt;&lt;Q&gt;EURUSD^FG_PRICE(44484)&lt;/Q&gt;&lt;R&gt;1&lt;/R&gt;&lt;C&gt;1&lt;/C&gt;&lt;D xsi:type="xsd:double"&gt;1.16055&lt;/D&gt;&lt;/FQL&gt;&lt;FQL&gt;&lt;Q&gt;EURUSD^FG_PRICE(44477)&lt;/Q&gt;&lt;R&gt;1&lt;/R&gt;&lt;C&gt;1&lt;/C&gt;&lt;D xsi:type="xsd:double"&gt;1.1574&lt;/D&gt;&lt;/FQL&gt;&lt;FQL&gt;&lt;Q&gt;GBPUSD^FG_PRICE(44471)&lt;/Q&gt;&lt;R&gt;1&lt;/R&gt;&lt;C&gt;1&lt;/C&gt;&lt;D xsi:type="xsd:double"&gt;1.3539&lt;/D&gt;&lt;/FQL&gt;&lt;FQL&gt;&lt;Q&gt;GBPUSD^FG_PRICE(44464)&lt;/Q&gt;&lt;R&gt;1&lt;/R&gt;&lt;C&gt;1&lt;/C&gt;&lt;D xsi:type="xsd:double"&gt;1.36755&lt;/D&gt;&lt;/FQL&gt;&lt;FQL&gt;&lt;Q&gt;EURUSD^FG_PRICE(44459)&lt;/Q&gt;&lt;R&gt;1&lt;/R&gt;&lt;C&gt;1&lt;/C&gt;&lt;D xsi:type="xsd:double"&gt;1.1725&lt;/D&gt;&lt;/FQL&gt;&lt;FQL&gt;&lt;Q&gt;EURUSD^FG_PRICE(44452)&lt;/Q&gt;&lt;R&gt;1&lt;/R&gt;&lt;C&gt;1&lt;/C&gt;&lt;D xsi:type="xsd:double"&gt;1.181&lt;/D&gt;&lt;/FQL&gt;&lt;FQL&gt;&lt;Q&gt;EURUSD^FG_PRICE(44445)&lt;/Q&gt;&lt;R&gt;1&lt;/R&gt;&lt;C&gt;1&lt;/C&gt;&lt;D xsi:type="xsd:double"&gt;1.18615&lt;/D&gt;&lt;/FQL&gt;&lt;FQL&gt;&lt;Q&gt;GBPUSD^FG_PRICE(44439)&lt;/Q&gt;&lt;R&gt;1&lt;/R&gt;&lt;C&gt;1&lt;/C&gt;&lt;D xsi:type="xsd:double"&gt;1.37625&lt;/D&gt;&lt;/FQL&gt;&lt;FQL&gt;&lt;Q&gt;GBPUSD^FG_PRICE(44432)&lt;/Q&gt;&lt;R&gt;1&lt;/R&gt;&lt;C&gt;1&lt;/C&gt;&lt;D xsi:type="xsd:double"&gt;1.373&lt;/D&gt;&lt;/FQL&gt;&lt;FQL&gt;&lt;Q&gt;EURUSD^FG_PRICE(44427)&lt;/Q&gt;&lt;R&gt;1&lt;/R&gt;&lt;C&gt;1&lt;/C&gt;&lt;D xsi:type="xsd:double"&gt;1.16825&lt;/D&gt;&lt;/FQL&gt;&lt;FQL&gt;&lt;Q&gt;EURUSD^FG_PRICE(44420)&lt;/Q&gt;&lt;R&gt;1&lt;/R&gt;&lt;C&gt;1&lt;/C&gt;&lt;D xsi:type="xsd:double"&gt;1.17295&lt;/D&gt;&lt;/FQL&gt;&lt;FQL&gt;&lt;Q&gt;EURUSD^FG_PRICE(44413)&lt;/Q&gt;&lt;R&gt;1&lt;/R&gt;&lt;C&gt;1&lt;/C&gt;&lt;D xsi:type="xsd:double"&gt;1.18385&lt;/D&gt;&lt;/FQL&gt;&lt;FQL&gt;&lt;Q&gt;GBPUSD^FG_PRICE(44407)&lt;/Q&gt;&lt;R&gt;1&lt;/R&gt;&lt;C&gt;1&lt;/C&gt;&lt;D xsi:type="xsd:double"&gt;1.39035&lt;/D&gt;&lt;/FQL&gt;&lt;FQL&gt;&lt;Q&gt;GBPUSD^FG_PRICE(44831)&lt;/Q&gt;&lt;R&gt;1&lt;/R&gt;&lt;C&gt;1&lt;/C&gt;&lt;D xsi:type="xsd:double"&gt;1.0775&lt;/D&gt;&lt;/FQL&gt;&lt;FQL&gt;&lt;Q&gt;GBPUSD^FG_PRICE(44815)&lt;/Q&gt;&lt;R&gt;1&lt;/R&gt;&lt;C&gt;1&lt;/C&gt;&lt;D xsi:type="xsd:double"&gt;1.1582&lt;/D&gt;&lt;/FQL&gt;&lt;FQL&gt;&lt;Q&gt;GBPUSD^FG_PRICE(44796)&lt;/Q&gt;&lt;R&gt;1&lt;/R&gt;&lt;C&gt;1&lt;/C&gt;&lt;D xsi:type="xsd:double"&gt;1.18515&lt;/D&gt;&lt;/FQL&gt;&lt;FQL&gt;&lt;Q&gt;EURUSD^FG_PRICE(44780)&lt;/Q&gt;&lt;R&gt;1&lt;/R&gt;&lt;C&gt;1&lt;/C&gt;&lt;D xsi:type="xsd:double"&gt;1.01655&lt;/D&gt;&lt;/FQL&gt;&lt;FQL&gt;&lt;Q&gt;EURUSD^FG_PRICE(44764)&lt;/Q&gt;&lt;R&gt;1&lt;/R&gt;&lt;C&gt;1&lt;/C&gt;&lt;D xsi:type="xsd:double"&gt;1.02305&lt;/D&gt;&lt;/FQL&gt;&lt;FQL&gt;&lt;Q&gt;EURUSD^FG_PRICE(44745)&lt;/Q&gt;&lt;R&gt;1&lt;/R&gt;&lt;C&gt;1&lt;/C&gt;&lt;D xsi:type="xsd:double"&gt;1.03915&lt;/D&gt;&lt;/FQL&gt;&lt;FQL&gt;&lt;Q&gt;GBPUSD^FG_PRICE(44728)&lt;/Q&gt;&lt;R&gt;1&lt;/R&gt;&lt;C&gt;1&lt;/C&gt;&lt;D xsi:type="xsd:double"&gt;1.2275&lt;/D&gt;&lt;/FQL&gt;&lt;FQL&gt;&lt;Q&gt;GBPUSD^FG_PRICE(44712)&lt;/Q&gt;&lt;R&gt;1&lt;/R&gt;&lt;C&gt;1&lt;/C&gt;&lt;D xsi:type="xsd:double"&gt;1.2603&lt;/D&gt;&lt;/FQL&gt;&lt;FQL&gt;&lt;Q&gt;EURUSD^FG_PRICE(44695)&lt;/Q&gt;&lt;R&gt;1&lt;/R&gt;&lt;C&gt;1&lt;/C&gt;&lt;D xsi:type="xsd:double"&gt;1.03945&lt;/D&gt;&lt;/FQL&gt;&lt;FQL&gt;&lt;Q&gt;EURUSD^FG_PRICE(44677)&lt;/Q&gt;&lt;R&gt;1&lt;/R&gt;&lt;C&gt;1&lt;/C&gt;&lt;D xsi:type="xsd:double"&gt;1.06505&lt;/D&gt;&lt;/FQL&gt;&lt;FQL&gt;&lt;Q&gt;EURUSD^FG_PRICE(44661)&lt;/Q&gt;&lt;R&gt;1&lt;/R&gt;&lt;C&gt;1&lt;/C&gt;&lt;D xsi:type="xsd:double"&gt;1.08735&lt;/D&gt;&lt;/FQL&gt;&lt;FQL&gt;&lt;Q&gt;GBPUSD^FG_PRICE(44643)&lt;/Q&gt;&lt;R&gt;1&lt;/R&gt;&lt;C&gt;1&lt;/C&gt;&lt;D xsi:type="xsd:double"&gt;1.3212&lt;/D&gt;&lt;/FQL&gt;&lt;FQL&gt;&lt;Q&gt;EURUSD^FG_PRICE(44627)&lt;/Q&gt;&lt;R&gt;1&lt;/R&gt;&lt;C&gt;1&lt;/C&gt;&lt;D xsi:type="xsd:double"&gt;1.08755&lt;/D&gt;&lt;/FQL&gt;&lt;FQL&gt;&lt;Q&gt;EURUSD^FG_PRICE(44611)&lt;/Q&gt;&lt;R&gt;1&lt;/R&gt;&lt;C&gt;1&lt;/C&gt;&lt;D xsi:type="xsd:double"&gt;1.13415&lt;/D&gt;&lt;/FQL&gt;&lt;FQL&gt;&lt;Q&gt;EURUSD^FG_PRICE(44592)&lt;/Q&gt;&lt;R&gt;1&lt;/R&gt;&lt;C&gt;1&lt;/C&gt;&lt;D xsi:type="xsd:double"&gt;1.121&lt;/D&gt;&lt;/FQL&gt;&lt;FQL&gt;&lt;Q&gt;GBPUSD^FG_PRICE(44575)&lt;/Q&gt;&lt;R&gt;1&lt;/R&gt;&lt;C&gt;1&lt;/C&gt;&lt;D xsi:type="xsd:double"&gt;1.36835&lt;/D&gt;&lt;/FQL&gt;&lt;FQL&gt;&lt;Q&gt;GBPUSD^FG_PRICE(44559)&lt;/Q&gt;&lt;R&gt;1&lt;/R&gt;&lt;C&gt;1&lt;/C&gt;&lt;D xsi:type="xsd:double"&gt;1.3485999&lt;/D&gt;&lt;/FQL&gt;&lt;FQL&gt;&lt;Q&gt;GBPUSD^FG_PRICE(44540)&lt;/Q&gt;&lt;R&gt;1&lt;/R&gt;&lt;C&gt;1&lt;/C&gt;&lt;D xsi:type="xsd:double"&gt;1.3228999&lt;/D&gt;&lt;/FQL&gt;&lt;FQL&gt;&lt;Q&gt;EURUSD^FG_PRICE(44524)&lt;/Q&gt;&lt;R&gt;1&lt;/R&gt;&lt;C&gt;1&lt;/C&gt;&lt;D xsi:type="xsd:double"&gt;1.11965&lt;/D&gt;&lt;/FQL&gt;&lt;FQL&gt;&lt;Q&gt;EURUSD^FG_PRICE(44508)&lt;/Q&gt;&lt;R&gt;1&lt;/R&gt;&lt;C&gt;1&lt;/C&gt;&lt;D xsi:type="xsd:double"&gt;1.1589&lt;/D&gt;&lt;/FQL&gt;&lt;FQL&gt;&lt;Q&gt;EURUSD^FG_PRICE(44489)&lt;/Q&gt;&lt;R&gt;1&lt;/R&gt;&lt;C&gt;1&lt;/C&gt;&lt;D xsi:type="xsd:double"&gt;1.16475&lt;/D&gt;&lt;/FQL&gt;&lt;FQL&gt;&lt;Q&gt;GBPUSD^FG_PRICE(44472)&lt;/Q&gt;&lt;R&gt;1&lt;/R&gt;&lt;C&gt;1&lt;/C&gt;&lt;D xsi:type="xsd:double"&gt;1.3539&lt;/D&gt;&lt;/FQL&gt;&lt;FQL&gt;&lt;Q&gt;GBPUSD^FG_PRICE(44456)&lt;/Q&gt;&lt;R&gt;1&lt;/R&gt;&lt;C&gt;1&lt;/C&gt;&lt;D xsi:type="xsd:double"&gt;1.3747001&lt;/D&gt;&lt;/FQL&gt;&lt;FQL&gt;&lt;Q&gt;EURUSD^FG_PRICE(44439)&lt;/Q&gt;&lt;R&gt;1&lt;/R&gt;&lt;C&gt;1&lt;/C&gt;&lt;D xsi:type="xsd:double"&gt;1.18045&lt;/D&gt;&lt;/FQL&gt;&lt;FQL&gt;&lt;Q&gt;EURUSD^FG_PRICE(44421)&lt;/Q&gt;&lt;R&gt;1&lt;/R&gt;&lt;C&gt;1&lt;/C&gt;&lt;D xsi:type="xsd:double"&gt;1.1793&lt;/D&gt;&lt;/FQL&gt;&lt;FQL&gt;&lt;Q&gt;EURUSD^FG_PRICE(44405)&lt;/Q&gt;&lt;R&gt;1&lt;/R&gt;&lt;C&gt;1&lt;/C&gt;&lt;D xsi:type="xsd:double"&gt;1.17995&lt;/D&gt;&lt;/FQL&gt;&lt;FQL&gt;&lt;Q&gt;GBPUSD^FG_PRICE(44392)&lt;/Q&gt;&lt;R&gt;1&lt;/R&gt;&lt;C&gt;1&lt;/C&gt;&lt;D xsi:type="xsd:double"&gt;1.3865&lt;/D&gt;&lt;/FQL&gt;&lt;FQL&gt;&lt;Q&gt;EURUSD^FG_PRICE(44380)&lt;/Q&gt;&lt;R&gt;1&lt;/R&gt;&lt;C&gt;1&lt;/C&gt;&lt;D xsi:type="xsd:double"&gt;1.1843001&lt;/D&gt;&lt;/FQL&gt;&lt;FQL&gt;&lt;Q&gt;GBPUSD^FG_PRICE(44367)&lt;/Q&gt;&lt;R&gt;1&lt;/R&gt;&lt;C&gt;1&lt;/C&gt;&lt;D xsi:type="xsd:double"&gt;1.3806001&lt;/D&gt;&lt;/FQL&gt;&lt;FQL&gt;&lt;Q&gt;EURUSD^FG_PRICE(44355)&lt;/Q&gt;&lt;R&gt;1&lt;/R&gt;&lt;C&gt;1&lt;/C&gt;&lt;D xsi:type="xsd:double"&gt;1.21865&lt;/D&gt;&lt;/FQL&gt;&lt;FQL&gt;&lt;Q&gt;EURUSD^FG_PRICE(44341)&lt;/Q&gt;&lt;R&gt;1&lt;/R&gt;&lt;C&gt;1&lt;/C&gt;&lt;D xsi:type="xsd:double"&gt;1.22445&lt;/D&gt;&lt;/FQL&gt;&lt;FQL&gt;&lt;Q&gt;GBPUSD^FG_PRICE(44328)&lt;/Q&gt;&lt;R&gt;1&lt;/R&gt;&lt;C&gt;1&lt;/C&gt;&lt;D xsi:type="xsd:double"&gt;1.4097&lt;/D&gt;&lt;/FQL&gt;&lt;FQL&gt;&lt;Q&gt;EURUSD^FG_PRICE(44316)&lt;/Q&gt;&lt;R&gt;1&lt;/R&gt;&lt;C&gt;1&lt;/C&gt;&lt;D xsi:type="xsd:double"&gt;1.2038&lt;/D&gt;&lt;/FQL&gt;&lt;FQL&gt;&lt;Q&gt;GBPUSD^FG_PRICE(44303)&lt;/Q&gt;&lt;R&gt;1&lt;/R&gt;&lt;C&gt;1&lt;/C&gt;&lt;D xsi:type="xsd:double"&gt;1.382&lt;/D&gt;&lt;/FQL&gt;&lt;FQL&gt;&lt;Q&gt;EURUSD^FG_PRICE(44291)&lt;/Q&gt;&lt;R&gt;1&lt;/R&gt;&lt;C&gt;1&lt;/C&gt;&lt;D xsi:type="xsd:double"&gt;1.17985&lt;/D&gt;&lt;/FQL&gt;&lt;FQL&gt;&lt;Q&gt;EURUSD^FG_PRICE(44277)&lt;/Q&gt;&lt;R&gt;1&lt;/R&gt;&lt;C&gt;1&lt;/C&gt;&lt;D xsi:type="xsd:double"&gt;1.1932&lt;/D&gt;&lt;/FQL&gt;&lt;FQL&gt;&lt;Q&gt;GBPUSD^FG_PRICE(44264)&lt;/Q&gt;&lt;R&gt;1&lt;/R&gt;&lt;C&gt;1&lt;/C&gt;&lt;D xsi:type="xsd:double"&gt;1.3892499&lt;/D&gt;&lt;/FQL&gt;&lt;FQL&gt;&lt;Q&gt;EURUSD^FG_PRICE(44252)&lt;/Q&gt;&lt;R&gt;1&lt;/R&gt;&lt;C&gt;1&lt;/C&gt;&lt;D xsi:type="xsd:double"&gt;1.2224&lt;/D&gt;&lt;/FQL&gt;&lt;FQL&gt;&lt;Q&gt;GBPUSD^FG_PRICE(44239)&lt;/Q&gt;&lt;R&gt;1&lt;/R&gt;&lt;C&gt;1&lt;/C&gt;&lt;D xsi:type="xsd:double"&gt;1.38485&lt;/D&gt;&lt;/FQL&gt;&lt;FQL&gt;&lt;Q&gt;EURUSD^FG_PRICE(44227)&lt;/Q&gt;&lt;R&gt;1&lt;/R&gt;&lt;C&gt;1&lt;/C&gt;&lt;D xsi:type="xsd:double"&gt;1.2149&lt;/D&gt;&lt;/FQL&gt;&lt;FQL&gt;&lt;Q&gt;EURUSD^FG_PRICE(44213)&lt;/Q&gt;&lt;R&gt;1&lt;/R&gt;&lt;C&gt;1&lt;/C&gt;&lt;D xsi:type="xsd:double"&gt;1.2092501&lt;/D&gt;&lt;/FQL&gt;&lt;FQL&gt;&lt;Q&gt;GBPUSD^FG_PRICE(44200)&lt;/Q&gt;&lt;R&gt;1&lt;/R&gt;&lt;C&gt;1&lt;/C&gt;&lt;D xsi:type="xsd:double"&gt;1.3579501&lt;/D&gt;&lt;/FQL&gt;&lt;FQL&gt;&lt;Q&gt;EURUSD^FG_PRICE(44188)&lt;/Q&gt;&lt;R&gt;1&lt;/R&gt;&lt;C&gt;1&lt;/C&gt;&lt;D xsi:type="xsd:double"&gt;1.21865&lt;/D&gt;&lt;/FQL&gt;&lt;FQL&gt;&lt;Q&gt;GBPUSD^FG_PRICE(44175)&lt;/Q&gt;&lt;R&gt;1&lt;/R&gt;&lt;C&gt;1&lt;/C&gt;&lt;D xsi:type="xsd:double"&gt;1.32715&lt;/D&gt;&lt;/FQL&gt;&lt;FQL&gt;&lt;Q&gt;EURUSD^FG_PRICE(44163)&lt;/Q&gt;&lt;R&gt;1&lt;/R&gt;&lt;C&gt;1&lt;/C&gt;&lt;D xsi:type="xsd:double"&gt;1.19485&lt;/D&gt;&lt;/FQL&gt;&lt;FQL&gt;&lt;Q&gt;EURUSD^FG_PRICE(44149)&lt;/Q&gt;&lt;R&gt;1&lt;/R&gt;&lt;C&gt;1&lt;/C&gt;&lt;D xsi:type="xsd:double"&gt;1.182&lt;/D&gt;&lt;/FQL&gt;&lt;FQL&gt;&lt;Q&gt;GBPUSD^FG_PRICE(44136)&lt;/Q&gt;&lt;R&gt;1&lt;/R&gt;&lt;C&gt;1&lt;/C&gt;&lt;D xsi:type="xsd:double"&gt;1.293&lt;/D&gt;&lt;/FQL&gt;&lt;FQL&gt;&lt;Q&gt;EURUSD^FG_PRICE(44124)&lt;/Q&gt;&lt;R&gt;1&lt;/R&gt;&lt;C&gt;1&lt;/C&gt;&lt;D xsi:type="xsd:double"&gt;1.1830499&lt;/D&gt;&lt;/FQL&gt;&lt;FQL&gt;&lt;Q&gt;EURUSD^FG_PRICE(44112)&lt;/Q&gt;&lt;R&gt;1&lt;/R&gt;&lt;C&gt;1&lt;/C&gt;&lt;D xsi:type="xsd:double"&gt;1.17485&lt;/D&gt;&lt;/FQL&gt;&lt;FQL&gt;&lt;Q&gt;EURUSD^FG_PRICE(44103)&lt;/Q&gt;&lt;R&gt;1&lt;/R&gt;&lt;C&gt;1&lt;/C&gt;&lt;D xsi:type="xsd:double"&gt;1.1731&lt;/D&gt;&lt;/FQL&gt;&lt;FQL&gt;&lt;Q&gt;EURUSD^FG_PRICE(44093)&lt;/Q&gt;&lt;R&gt;1&lt;/R&gt;&lt;C&gt;1&lt;/C&gt;&lt;D xsi:type="xsd:double"&gt;1.186&lt;/D&gt;&lt;/FQL&gt;&lt;FQL&gt;&lt;Q&gt;EURUSD^FG_PRICE(44085)&lt;/Q&gt;&lt;R&gt;1&lt;/R&gt;&lt;C&gt;1&lt;/C&gt;&lt;D xsi:type="xsd:double"&gt;1.1831&lt;/D&gt;&lt;/FQL&gt;&lt;FQL&gt;&lt;Q&gt;GBPUSD^FG_PRICE(44076)&lt;/Q&gt;&lt;R&gt;1&lt;/R&gt;&lt;C&gt;1&lt;/C&gt;&lt;D xsi:type="xsd:double"&gt;1.3303001&lt;/D&gt;&lt;/FQL&gt;&lt;FQL&gt;&lt;Q&gt;EURUSD^FG_PRICE(44068)&lt;/Q&gt;&lt;R&gt;1&lt;/R&gt;&lt;C&gt;1&lt;/C&gt;&lt;D xsi:type="xsd:double"&gt;1.18235&lt;/D&gt;&lt;/FQL&gt;&lt;FQL&gt;&lt;Q&gt;EURUSD^FG_PRICE(44060)&lt;/Q&gt;&lt;R&gt;1&lt;/R&gt;&lt;C&gt;1&lt;/C&gt;&lt;D xsi:type="xsd:double"&gt;1.1867499&lt;/D&gt;&lt;/FQL&gt;&lt;FQL&gt;&lt;Q&gt;GBPUSD^FG_PRICE(44051)&lt;/Q&gt;&lt;R&gt;1&lt;/R&gt;&lt;C&gt;1&lt;/C&gt;&lt;D xsi:type="xsd:double"&gt;1.3051&lt;/D&gt;&lt;/FQL&gt;&lt;FQL&gt;&lt;Q&gt;EURUSD^FG_PRICE(44043)&lt;/Q&gt;&lt;R&gt;1&lt;/R&gt;&lt;C&gt;1&lt;/C&gt;&lt;D xsi:type="xsd:double"&gt;1.1825&lt;/D&gt;&lt;/FQL&gt;&lt;FQL&gt;&lt;Q&gt;EURUSD^FG_PRICE(44035)&lt;/Q&gt;&lt;R&gt;1&lt;/R&gt;&lt;C&gt;1&lt;/C&gt;&lt;D xsi:type="xsd:double"&gt;1.1595&lt;/D&gt;&lt;/FQL&gt;&lt;FQL&gt;&lt;Q&gt;EURUSD^FG_PRICE(44025)&lt;/Q&gt;&lt;R&gt;1&lt;/R&gt;&lt;C&gt;1&lt;/C&gt;&lt;D xsi:type="xsd:double"&gt;1.13685&lt;/D&gt;&lt;/FQL&gt;&lt;FQL&gt;&lt;Q&gt;EURUSD^FG_PRICE(44019)&lt;/Q&gt;&lt;R&gt;1&lt;/R&gt;&lt;C&gt;1&lt;/C&gt;&lt;D xsi:type="xsd:double"&gt;1.1285499&lt;/D&gt;&lt;/FQL&gt;&lt;FQL&gt;&lt;Q&gt;EURUSD^FG_PRICE(44012)&lt;/Q&gt;&lt;R&gt;1&lt;/R&gt;&lt;C&gt;1&lt;/C&gt;&lt;D xsi:type="xsd:double"&gt;1.12315&lt;/D&gt;&lt;/FQL&gt;&lt;FQL&gt;&lt;Q&gt;EURUSD^FG_PRICE(44005)&lt;/Q&gt;&lt;R&gt;1&lt;/R&gt;&lt;C&gt;1&lt;/C&gt;&lt;D xsi:type="xsd:double"&gt;1.13335&lt;/D&gt;&lt;/FQL&gt;&lt;FQL&gt;&lt;Q&gt;GBPUSD^FG_PRICE(43999)&lt;/Q&gt;&lt;R&gt;1&lt;/R&gt;&lt;C&gt;1&lt;/C&gt;&lt;D xsi:type="xsd:double"&gt;1.2540001&lt;/D&gt;&lt;/FQL&gt;&lt;FQL&gt;&lt;Q&gt;GBPUSD^FG_PRICE(43992)&lt;/Q&gt;&lt;R&gt;1&lt;/R&gt;&lt;C&gt;1&lt;/C&gt;&lt;D xsi:type="xsd:double"&gt;1.2754999&lt;/D&gt;&lt;/FQL&gt;&lt;FQL&gt;&lt;Q&gt;EURUSD^FG_PRICE(43987)&lt;/Q&gt;&lt;R&gt;1&lt;/R&gt;&lt;C&gt;1&lt;/C&gt;&lt;D xsi:type="xsd:double"&gt;1.13135&lt;/D&gt;&lt;/FQL&gt;&lt;FQL&gt;&lt;Q&gt;EURUSD^FG_PRICE(43980)&lt;/Q&gt;&lt;R&gt;1&lt;/R&gt;&lt;C&gt;1&lt;/C&gt;&lt;D xsi:type="xsd:double"&gt;1.11235&lt;/D&gt;&lt;/FQL&gt;&lt;FQL&gt;&lt;Q&gt;EURUSD^FG_PRICE(43973)&lt;/Q&gt;&lt;R&gt;1&lt;/R&gt;&lt;C&gt;1&lt;/C&gt;&lt;D xsi:type="xsd:double"&gt;1.08905&lt;/D&gt;&lt;/FQL&gt;&lt;FQL&gt;&lt;Q&gt;GBPUSD^FG_PRICE(43967)&lt;/Q&gt;&lt;R&gt;1&lt;/R&gt;&lt;C&gt;1&lt;/C&gt;&lt;D xsi:type="xsd:double"&gt;1.2125&lt;/D&gt;&lt;/FQL&gt;&lt;FQL&gt;&lt;Q&gt;GBPUSD^FG_PRICE(43960)&lt;/Q&gt;&lt;R&gt;1&lt;/R&gt;&lt;C&gt;1&lt;/C&gt;&lt;D xsi:type="xsd:double"&gt;1.2453&lt;/D&gt;&lt;/FQL&gt;&lt;FQL&gt;&lt;Q&gt;EURUSD^FG_PRICE(43955)&lt;/Q&gt;&lt;R&gt;1&lt;/R&gt;&lt;C&gt;1&lt;/C&gt;&lt;D xsi:type="xsd:double"&gt;1.09165&lt;/D&gt;&lt;/FQL&gt;&lt;FQL&gt;&lt;Q&gt;EURUSD^FG_PRICE(43948)&lt;/Q&gt;&lt;R&gt;1&lt;/R&gt;&lt;C&gt;1&lt;/C&gt;&lt;D xsi:type="xsd:double"&gt;1.0840499&lt;/D&gt;&lt;/FQL&gt;&lt;FQL&gt;&lt;Q&gt;EURUSD^FG_PRICE(43941)&lt;/Q&gt;&lt;R&gt;1&lt;/R&gt;&lt;C&gt;1&lt;/C&gt;&lt;D xsi:type="xsd:double"&gt;1.08815&lt;/D&gt;&lt;/FQL&gt;&lt;FQL&gt;&lt;Q&gt;GBPUSD^FG_PRICE(43935)&lt;/Q&gt;&lt;R&gt;1&lt;/R&gt;&lt;C&gt;1&lt;/C&gt;&lt;D xsi:type="xsd:double"&gt;1.2598&lt;/D&gt;&lt;/FQL&gt;&lt;FQL&gt;&lt;Q&gt;GBPUSD^FG_PRICE(43928)&lt;/Q&gt;&lt;R&gt;1&lt;/R&gt;&lt;C&gt;1&lt;/C&gt;&lt;D xsi:type="xsd:double"&gt;1.2305499&lt;/D&gt;&lt;/FQL&gt;&lt;FQL&gt;&lt;Q&gt;EURUSD^FG_PRICE(43923)&lt;/Q&gt;&lt;R&gt;1&lt;/R&gt;&lt;C&gt;1&lt;/C&gt;&lt;D xsi:type="xsd:double"&gt;1.08635&lt;/D&gt;&lt;/FQL&gt;&lt;FQL&gt;&lt;Q&gt;EURUSD^FG_PRICE(43916)&lt;/Q&gt;&lt;R&gt;1&lt;/R&gt;&lt;C&gt;1&lt;/C&gt;&lt;D xsi:type="xsd:double"&gt;1.1024&lt;/D&gt;&lt;/FQL&gt;&lt;FQL&gt;&lt;Q&gt;EURUSD^FG_PRICE(43909)&lt;/Q&gt;&lt;R&gt;1&lt;/R&gt;&lt;C&gt;1&lt;/C&gt;&lt;D xsi:type="xsd:double"&gt;1.07015&lt;/D&gt;&lt;/FQL&gt;&lt;FQL&gt;&lt;Q&gt;GBPUSD^FG_PRICE(43903)&lt;/Q&gt;&lt;R&gt;1&lt;/R&gt;&lt;C&gt;1&lt;/C&gt;&lt;D xsi:type="xsd:double"&gt;1.2401&lt;/D&gt;&lt;/FQL&gt;&lt;FQL&gt;&lt;Q&gt;GBPUSD^FG_PRICE(43896)&lt;/Q&gt;&lt;R&gt;1&lt;/R&gt;&lt;C&gt;1&lt;/C&gt;&lt;D xsi:type="xsd:double"&gt;1.30335&lt;/D&gt;&lt;/FQL&gt;&lt;FQL&gt;&lt;Q&gt;EURUSD^FG_PRICE(43891)&lt;/Q&gt;&lt;R&gt;1&lt;/R&gt;&lt;C&gt;1&lt;/C&gt;&lt;D xsi:type="xsd:double"&gt;1.0984501&lt;/D&gt;&lt;/FQL&gt;&lt;FQL&gt;&lt;Q&gt;EURUSD^FG_PRICE(43884)&lt;/Q&gt;&lt;R&gt;1&lt;/R&gt;&lt;C&gt;1&lt;/C&gt;&lt;D xsi:type="xsd:double"&gt;1.0852&lt;/D&gt;&lt;/FQL&gt;&lt;FQL&gt;&lt;Q&gt;EURUSD^FG_PRICE(43877)&lt;/Q&gt;&lt;R&gt;1&lt;/R&gt;&lt;C&gt;1&lt;/C&gt;&lt;D xsi:type="xsd:double"&gt;1.08455&lt;/D&gt;&lt;/FQL&gt;&lt;FQL&gt;&lt;Q&gt;GBPUSD^FG_PRICE(43871)&lt;/Q&gt;&lt;R&gt;1&lt;/R&gt;&lt;C&gt;1&lt;/C&gt;&lt;D xsi:type="xsd:double"&gt;1.2923499&lt;/D&gt;&lt;/FQL&gt;&lt;FQL&gt;&lt;Q&gt;GBPUSD^FG_PRICE(43864)&lt;/Q&gt;&lt;R&gt;1&lt;/R&gt;&lt;C&gt;1&lt;/C&gt;&lt;D xsi:type="xsd:double"&gt;1.30135&lt;/D&gt;&lt;/FQL&gt;&lt;FQL&gt;&lt;Q&gt;EURUSD^FG_PRICE(43859)&lt;/Q&gt;&lt;R&gt;1&lt;/R&gt;&lt;C&gt;1&lt;/C&gt;&lt;D xsi:type="xsd:double"&gt;1.0998499&lt;/D&gt;&lt;/FQL&gt;&lt;FQL&gt;&lt;Q&gt;EURUSD^FG_PRICE(43852)&lt;/Q&gt;&lt;R&gt;1&lt;/R&gt;&lt;C&gt;1&lt;/C&gt;&lt;D xsi:type="xsd:double"&gt;1.10755&lt;/D&gt;&lt;/FQL&gt;&lt;FQL&gt;&lt;Q&gt;EURUSD^FG_PRICE(43845)&lt;/Q&gt;&lt;R&gt;1&lt;/R&gt;&lt;C&gt;1&lt;/C&gt;&lt;D xsi:type="xsd:double"&gt;1.11515&lt;/D&gt;&lt;/FQL&gt;&lt;FQL&gt;&lt;Q&gt;GBPUSD^FG_PRICE(43839)&lt;/Q&gt;&lt;R&gt;1&lt;/R&gt;&lt;C&gt;1&lt;/C&gt;&lt;D xsi:type="xsd:double"&gt;1.3048&lt;/D&gt;&lt;/FQL&gt;&lt;FQL&gt;&lt;Q&gt;GBPUSD^FG_PRICE(43832)&lt;/Q&gt;&lt;R&gt;1&lt;/R&gt;&lt;C&gt;1&lt;/C&gt;&lt;D xsi:type="xsd:double"&gt;1.3187499&lt;/D&gt;&lt;/FQL&gt;&lt;FQL&gt;&lt;Q&gt;GBPUSD^FG_PRICE(43827)&lt;/Q&gt;&lt;R&gt;1&lt;/R&gt;&lt;C&gt;1&lt;/C&gt;&lt;D xsi:type="xsd:double"&gt;1.309&lt;/D&gt;&lt;/FQL&gt;&lt;FQL&gt;&lt;Q&gt;EURUSD^FG_PRICE(43822)&lt;/Q&gt;&lt;R&gt;1&lt;/R&gt;&lt;C&gt;1&lt;/C&gt;&lt;D xsi:type="xsd:double"&gt;1.10875&lt;/D&gt;&lt;/FQL&gt;&lt;FQL&gt;&lt;Q&gt;GBPUSD^FG_PRICE(43817)&lt;/Q&gt;&lt;R&gt;1&lt;/R&gt;&lt;C&gt;1&lt;/C&gt;&lt;D xsi:type="xsd:double"&gt;1.3071&lt;/D&gt;&lt;/FQL&gt;&lt;FQL&gt;&lt;Q&gt;GBPUSD^FG_PRICE(43813)&lt;/Q&gt;&lt;R&gt;1&lt;/R&gt;&lt;C&gt;1&lt;/C&gt;&lt;D xsi:type="xsd:double"&gt;1.33445&lt;/D&gt;&lt;/FQL&gt;&lt;FQL&gt;&lt;Q&gt;GBPUSD^FG_PRICE(43809)&lt;/Q&gt;&lt;R&gt;1&lt;/R&gt;&lt;C&gt;1&lt;/C&gt;&lt;D xsi:type="xsd:double"&gt;1.3169&lt;/D&gt;&lt;/FQL&gt;&lt;FQL&gt;&lt;Q&gt;GBPUSD^FG_PRICE(43805)&lt;/Q&gt;&lt;R&gt;1&lt;/R&gt;&lt;C&gt;1&lt;/C&gt;&lt;D xsi:type="xsd:double"&gt;1.31065&lt;/D&gt;&lt;/FQL&gt;&lt;FQL&gt;&lt;Q&gt;GBPUSD^FG_PRICE(43801)&lt;/Q&gt;&lt;R&gt;1&lt;/R&gt;&lt;C&gt;1&lt;/C&gt;&lt;D xsi:type="xsd:double"&gt;1.29215&lt;/D&gt;&lt;/FQL&gt;&lt;FQL&gt;&lt;Q&gt;GBPUSD^FG_PRICE(43797)&lt;/Q&gt;&lt;R&gt;1&lt;/R&gt;&lt;C&gt;1&lt;/C&gt;&lt;D xsi:type="xsd:double"&gt;1.2903&lt;/D&gt;&lt;/FQL&gt;&lt;FQL&gt;&lt;Q&gt;GBPUSD^FG_PRICE(43793)&lt;/Q&gt;&lt;R&gt;1&lt;/R&gt;&lt;C&gt;1&lt;/C&gt;&lt;D xsi:type="xsd:double"&gt;1.2830501&lt;/D&gt;&lt;/FQL&gt;&lt;FQL&gt;&lt;Q&gt;GBPUSD^FG_PRICE(43789)&lt;/Q&gt;&lt;R&gt;1&lt;/R&gt;&lt;C&gt;1&lt;/C&gt;&lt;D xsi:type="xsd:double"&gt;1.2911999&lt;/D&gt;&lt;/FQL&gt;&lt;FQL&gt;&lt;Q&gt;GBPUSD^FG_PRICE(43785)&lt;/Q&gt;&lt;R&gt;1&lt;/R&gt;&lt;C&gt;1&lt;/C&gt;&lt;D xsi:type="xsd:double"&gt;1.29035&lt;/D&gt;&lt;/FQL&gt;&lt;FQL&gt;&lt;Q&gt;GBPUSD^FG_PRICE(43781)&lt;/Q&gt;&lt;R&gt;1&lt;/R&gt;&lt;C&gt;1&lt;/C&gt;&lt;D xsi:type="xsd:double"&gt;1.2839&lt;/D&gt;&lt;/FQL&gt;&lt;FQL&gt;&lt;Q&gt;GBPUSD^FG_PRICE(43777)&lt;/Q&gt;&lt;R&gt;1&lt;/R&gt;&lt;C&gt;1&lt;/C&gt;&lt;D xsi:type="xsd:double"&gt;1.2794&lt;/D&gt;&lt;/FQL&gt;&lt;FQL&gt;&lt;Q&gt;GBPUSD^FG_PRICE(43773)&lt;/Q&gt;&lt;R&gt;1&lt;/R&gt;&lt;C&gt;1&lt;/C&gt;&lt;D xsi:type="xsd:double"&gt;1.2919&lt;/D&gt;&lt;/FQL&gt;&lt;FQL&gt;&lt;Q&gt;GBPUSD^FG_PRICE(43769)&lt;/Q&gt;&lt;R&gt;1&lt;/R&gt;&lt;C&gt;1&lt;/C&gt;&lt;D xsi:type="xsd:double"&gt;1.294&lt;/D&gt;&lt;/FQL&gt;&lt;FQL&gt;&lt;Q&gt;GBPUSD^FG_PRICE(43765)&lt;/Q&gt;&lt;R&gt;1&lt;/R&gt;&lt;C&gt;1&lt;/C&gt;&lt;D xsi:type="xsd:double"&gt;1.2836001&lt;/D&gt;&lt;/FQL&gt;&lt;FQL&gt;&lt;Q&gt;GBPUSD^FG_PRICE(43761)&lt;/Q&gt;&lt;R&gt;1&lt;/R&gt;&lt;C&gt;1&lt;/C&gt;&lt;D xsi:type="xsd:double"&gt;1.2882&lt;/D&gt;&lt;/FQL&gt;&lt;FQL&gt;&lt;Q&gt;GBPUSD^FG_PRICE(43757)&lt;/Q&gt;&lt;R&gt;1&lt;/R&gt;&lt;C&gt;1&lt;/C&gt;&lt;D xsi:type="xsd:double"&gt;1.29005&lt;/D&gt;&lt;/FQL&gt;&lt;FQL&gt;&lt;Q&gt;GBPUSD^FG_PRICE(43753)&lt;/Q&gt;&lt;R&gt;1&lt;/R&gt;&lt;C&gt;1&lt;/C&gt;&lt;D xsi:type="xsd:double"&gt;1.27775&lt;/D&gt;&lt;/FQL&gt;&lt;FQL&gt;&lt;Q&gt;GBPUSD^FG_PRICE(43749)&lt;/Q&gt;&lt;R&gt;1&lt;/R&gt;&lt;C&gt;1&lt;/C&gt;&lt;D xsi:type="xsd:double"&gt;1.2685&lt;/D&gt;&lt;/FQL&gt;&lt;FQL&gt;&lt;Q&gt;GBPUSD^FG_PRICE(43745)&lt;/Q&gt;&lt;R&gt;1&lt;/R&gt;&lt;C&gt;1&lt;/C&gt;&lt;D xsi:type="xsd:double"&gt;1.2321&lt;/D&gt;&lt;/FQL&gt;&lt;FQL&gt;&lt;Q&gt;GBPUSD^FG_PRICE(43741)&lt;/Q&gt;&lt;R&gt;1&lt;/R&gt;&lt;C&gt;1&lt;/C&gt;&lt;D xsi:type="xsd:double"&gt;1.2405001&lt;/D&gt;&lt;/FQL&gt;&lt;FQL&gt;&lt;Q&gt;GBPUSD^FG_PRICE(43737)&lt;/Q&gt;&lt;R&gt;1&lt;/R&gt;&lt;C&gt;1&lt;/C&gt;&lt;D xsi:type="xsd:double"&gt;1.2312&lt;/D&gt;&lt;/FQL&gt;&lt;FQL&gt;&lt;Q&gt;GBPUSD^FG_PRICE(43733)&lt;/Q&gt;&lt;R&gt;1&lt;/R&gt;&lt;C&gt;1&lt;/C&gt;&lt;D xsi:type="xsd:double"&gt;1.2378999&lt;/D&gt;&lt;/FQL&gt;&lt;FQL&gt;&lt;Q&gt;GBPUSD^FG_PRICE(43729)&lt;/Q&gt;&lt;R&gt;1&lt;/R&gt;&lt;C&gt;1&lt;/C&gt;&lt;D xsi:type="xsd:double"&gt;1.2503&lt;/D&gt;&lt;/FQL&gt;&lt;FQL&gt;&lt;Q&gt;GBPUSD^FG_PRICE(43725)&lt;/Q&gt;&lt;R&gt;1&lt;/R&gt;&lt;C&gt;1&lt;/C&gt;&lt;D xsi:type="xsd:double"&gt;1.24835&lt;/D&gt;&lt;/FQL&gt;&lt;FQL&gt;&lt;Q&gt;GBPUSD^FG_PRICE(43721)&lt;/Q&gt;&lt;R&gt;1&lt;/R&gt;&lt;C&gt;1&lt;/C&gt;&lt;D xsi:type="xsd:double"&gt;1.2459&lt;/D&gt;&lt;/FQL&gt;&lt;FQL&gt;&lt;Q&gt;GBPUSD^FG_PRICE(43717)&lt;/Q&gt;&lt;R&gt;1&lt;/R&gt;&lt;C&gt;1&lt;/C&gt;&lt;D xsi:type="xsd:double"&gt;1.2342999&lt;/D&gt;&lt;/FQL&gt;&lt;FQL&gt;&lt;Q&gt;GBPUSD^FG_PRICE(43713)&lt;/Q&gt;&lt;R&gt;1&lt;/R&gt;&lt;C&gt;1&lt;/C&gt;&lt;D xsi:type="xsd:double"&gt;1.23245&lt;/D&gt;&lt;/FQL&gt;&lt;FQL&gt;&lt;Q&gt;GBPUSD^FG_PRICE(43709)&lt;/Q&gt;&lt;R&gt;1&lt;/R&gt;&lt;C&gt;1&lt;/C&gt;&lt;D xsi:type="xsd:double"&gt;1.21785&lt;/D&gt;&lt;/FQL&gt;&lt;FQL&gt;&lt;Q&gt;GBPUSD^FG_PRICE(43705)&lt;/Q&gt;&lt;R&gt;1&lt;/R&gt;&lt;C&gt;1&lt;/C&gt;&lt;D xsi:type="xsd:double"&gt;1.22205&lt;/D&gt;&lt;/FQL&gt;&lt;FQL&gt;&lt;Q&gt;GBPUSD^FG_PRICE(43701)&lt;/Q&gt;&lt;R&gt;1&lt;/R&gt;&lt;C&gt;1&lt;/C&gt;&lt;D xsi:type="xsd:double"&gt;1.22745&lt;/D&gt;&lt;/FQL&gt;&lt;FQL&gt;&lt;Q&gt;GBPUSD^FG_PRICE(43697)&lt;/Q&gt;&lt;R&gt;1&lt;/R&gt;&lt;C&gt;1&lt;/C&gt;&lt;D xsi:type="xsd:double"&gt;1.2132001&lt;/D&gt;&lt;/FQL&gt;&lt;FQL&gt;&lt;Q&gt;GBPUSD^FG_PRICE(43693)&lt;/Q&gt;&lt;R&gt;1&lt;/R&gt;&lt;C&gt;1&lt;/C&gt;&lt;D xsi:type="xsd:double"&gt;1.2143&lt;/D&gt;&lt;/FQL&gt;&lt;FQL&gt;&lt;Q&gt;GBPUSD^FG_PRICE(43689)&lt;/Q&gt;&lt;R&gt;1&lt;/R&gt;&lt;C&gt;1&lt;/C&gt;&lt;D xsi:type="xsd:double"&gt;1.20845&lt;/D&gt;&lt;/FQL&gt;&lt;FQL&gt;&lt;Q&gt;GBPUSD^FG_PRICE(43685)&lt;/Q&gt;&lt;R&gt;1&lt;/R&gt;&lt;C&gt;1&lt;/C&gt;&lt;D xsi:type="xsd:double"&gt;1.2133499&lt;/D&gt;&lt;/FQL&gt;&lt;FQL&gt;&lt;Q&gt;GBPUSD^FG_PRICE(43681)&lt;/Q&gt;&lt;R&gt;1&lt;/R&gt;&lt;C&gt;1&lt;/C&gt;&lt;D xsi:type="xsd:double"&gt;1.2119&lt;/D&gt;&lt;/FQL&gt;&lt;FQL&gt;&lt;Q&gt;GBPUSD^FG_PRICE(43677)&lt;/Q&gt;&lt;R&gt;1&lt;/R&gt;&lt;C&gt;1&lt;/C&gt;&lt;D xsi:type="xsd:double"&gt;1.22445&lt;/D&gt;&lt;/FQL&gt;&lt;FQL&gt;&lt;Q&gt;GBPUSD^FG_PRICE(43673)&lt;/Q&gt;&lt;R&gt;1&lt;/R&gt;&lt;C&gt;1&lt;/C&gt;&lt;D xsi:type="xsd:double"&gt;1.2387&lt;/D&gt;&lt;/FQL&gt;&lt;FQL&gt;&lt;Q&gt;GBPUSD^FG_PRICE(43669)&lt;/Q&gt;&lt;R&gt;1&lt;/R&gt;&lt;C&gt;1&lt;/C&gt;&lt;D xsi:type="xsd:double"&gt;1.24375&lt;/D&gt;&lt;/FQL&gt;&lt;FQL&gt;&lt;Q&gt;GBPUSD^FG_PRICE(43665)&lt;/Q&gt;&lt;R&gt;1&lt;/R&gt;&lt;C&gt;1&lt;/C&gt;&lt;D xsi:type="xsd:double"&gt;1.2504001&lt;/D&gt;&lt;/FQL&gt;&lt;FQL&gt;&lt;Q&gt;GBPUSD^FG_PRICE(43661)&lt;/Q&gt;&lt;R&gt;1&lt;/R&gt;&lt;C&gt;1&lt;/C&gt;&lt;D xsi:type="xsd:double"&gt;1.2513&lt;/D&gt;&lt;/FQL&gt;&lt;FQL&gt;&lt;Q&gt;GBPUSD^FG_PRICE(43657)&lt;/Q&gt;&lt;R&gt;1&lt;/R&gt;&lt;C&gt;1&lt;/C&gt;&lt;D xsi:type="xsd:double"&gt;1.25375&lt;/D&gt;&lt;/FQL&gt;&lt;FQL&gt;&lt;Q&gt;GBPUSD^FG_PRICE(43653)&lt;/Q&gt;&lt;R&gt;1&lt;/R&gt;&lt;C&gt;1&lt;/C&gt;&lt;D xsi:type="xsd:double"&gt;1.2508&lt;/D&gt;&lt;/FQL&gt;&lt;FQL&gt;&lt;Q&gt;GBPUSD^FG_PRICE(43649)&lt;/Q&gt;&lt;R&gt;1&lt;/R&gt;&lt;C&gt;1&lt;/C&gt;&lt;D xsi:type="xsd:double"&gt;1.2563&lt;/D&gt;&lt;/FQL&gt;&lt;FQL&gt;&lt;Q&gt;GBPUSD^FG_PRICE(44828)&lt;/Q&gt;&lt;R&gt;1&lt;/R&gt;&lt;C&gt;1&lt;/C&gt;&lt;D xsi:type="xsd:double"&gt;1.0903&lt;/D&gt;&lt;/FQL&gt;&lt;FQL&gt;&lt;Q&gt;EURUSD^FG_PRICE(44812)&lt;/Q&gt;&lt;R&gt;1&lt;/R&gt;&lt;C&gt;1&lt;/C&gt;&lt;D xsi:type="xsd:double"&gt;0.99565&lt;/D&gt;&lt;/FQL&gt;&lt;FQL&gt;&lt;Q&gt;EURUSD^FG_PRICE(44796)&lt;/Q&gt;&lt;R&gt;1&lt;/R&gt;&lt;C&gt;1&lt;/C&gt;&lt;D xsi:type="xsd:double"&gt;0.99865&lt;/D&gt;&lt;/FQL&gt;&lt;FQL&gt;&lt;Q&gt;EURUSD^FG_PRICE(44777)&lt;/Q&gt;&lt;R&gt;1&lt;/R&gt;&lt;C&gt;1&lt;/C&gt;&lt;D xsi:type="xsd:double"&gt;1.02115&lt;/D&gt;&lt;/FQL&gt;&lt;FQL&gt;&lt;Q&gt;GBPUSD^FG_PRICE(44760)&lt;/Q&gt;&lt;R&gt;1&lt;/R&gt;&lt;C&gt;1&lt;/C&gt;&lt;D xsi:type="xsd:double"&gt;1.2025&lt;/D&gt;&lt;/FQL&gt;&lt;FQL&gt;&lt;Q&gt;GBPUSD^FG_PRICE(44744)&lt;/Q&gt;&lt;R&gt;1&lt;/R&gt;&lt;C&gt;1&lt;/C&gt;&lt;D xsi:type="xsd:double"&gt;1.2005501&lt;/D&gt;&lt;/FQL&gt;&lt;FQL&gt;&lt;Q&gt;EURUSD^FG_PRICE(44727)&lt;/Q&gt;&lt;R&gt;1&lt;/R&gt;&lt;C&gt;1&lt;/C&gt;&lt;D xsi:type="xsd:double"&gt;1.04105&lt;/D&gt;&lt;/FQL&gt;&lt;FQL&gt;&lt;Q&gt;EURUSD^FG_PRICE(44709)&lt;/Q&gt;&lt;R&gt;1&lt;/R&gt;&lt;C&gt;1&lt;/C&gt;&lt;D xsi:type="xsd:double"&gt;1.071&lt;/D&gt;&lt;/FQL&gt;&lt;FQL&gt;&lt;Q&gt;EURUSD^FG_PRICE(44693)&lt;/Q&gt;&lt;R&gt;1&lt;/R&gt;&lt;C&gt;1&lt;/C&gt;&lt;D xsi:type="xsd:double"&gt;1.04125&lt;/D&gt;&lt;/FQL&gt;&lt;FQL&gt;&lt;Q&gt;GBPUSD^FG_PRICE(44675)&lt;/Q&gt;&lt;R&gt;1&lt;/R&gt;&lt;C&gt;1&lt;/C&gt;&lt;D xsi:type="xsd:double"&gt;1.28425&lt;/D&gt;&lt;/FQL&gt;&lt;FQL&gt;&lt;Q&gt;EURUSD^FG_PRICE(44659)&lt;/Q&gt;&lt;R&gt;1&lt;/R&gt;&lt;C&gt;1&lt;/C&gt;&lt;D xsi:type="xsd:double"&gt;1.08735&lt;/D&gt;&lt;/FQL&gt;&lt;FQL&gt;&lt;Q&gt;EURUSD^FG_PRICE(44643)&lt;/Q&gt;&lt;R&gt;1&lt;/R&gt;&lt;C&gt;1&lt;/C&gt;&lt;D xsi:type="xsd:double"&gt;1.10015&lt;/D&gt;&lt;/FQL&gt;&lt;FQL&gt;&lt;Q&gt;EURUSD^FG_PRICE(44624)&lt;/Q&gt;&lt;R&gt;1&lt;/R&gt;&lt;C&gt;1&lt;/C&gt;&lt;D xsi:type="xsd:double"&gt;1.09195&lt;/D&gt;&lt;/FQL&gt;&lt;FQL&gt;&lt;Q&gt;GBPUSD^FG_PRICE(44607)&lt;/Q&gt;&lt;R&gt;1&lt;/R&gt;&lt;C&gt;1&lt;/C&gt;&lt;D xsi:type="xsd:double"&gt;1.35215&lt;/D&gt;&lt;/FQL&gt;&lt;FQL&gt;&lt;Q&gt;GBPUSD^FG_PRICE(44591)&lt;/Q&gt;&lt;R&gt;1&lt;/R&gt;&lt;C&gt;1&lt;/C&gt;&lt;D xsi:type="xsd:double"&gt;1.3414&lt;/D&gt;&lt;/FQL&gt;&lt;FQL&gt;&lt;Q&gt;GBPUSD^FG_PRICE(44572)&lt;/Q&gt;&lt;R&gt;1&lt;/R&gt;&lt;C&gt;1&lt;/C&gt;&lt;D xsi:type="xsd:double"&gt;1.36055&lt;/D&gt;&lt;/FQL&gt;&lt;FQL&gt;&lt;Q&gt;EURUSD^FG_PRICE(44556)&lt;/Q&gt;&lt;R&gt;1&lt;/R&gt;&lt;C&gt;1&lt;/C&gt;&lt;D xsi:type="xsd:double"&gt;1.1329&lt;/D&gt;&lt;/FQL&gt;&lt;FQL&gt;&lt;Q&gt;EURUSD^FG_PRICE(44540)&lt;/Q&gt;&lt;R&gt;1&lt;/R&gt;&lt;C&gt;1&lt;/C&gt;&lt;D xsi:type="xsd:double"&gt;1.13045&lt;/D&gt;&lt;/FQL&gt;&lt;FQL&gt;&lt;Q&gt;EURUSD^FG_PRICE(44521)&lt;/Q&gt;&lt;R&gt;1&lt;/R&gt;&lt;C&gt;1&lt;/C&gt;&lt;D xsi:type="xsd:double"&gt;1.13175&lt;/D&gt;&lt;/FQL&gt;&lt;FQL&gt;&lt;Q&gt;GBPUSD^FG_PRICE(44504)&lt;/Q&gt;&lt;R&gt;1&lt;/R&gt;&lt;C&gt;1&lt;/C&gt;&lt;D xsi:type="xsd:double"&gt;1.3492501&lt;/D&gt;&lt;/FQL&gt;&lt;FQL&gt;&lt;Q&gt;GBPUSD^FG_PRICE(44488)&lt;/Q&gt;&lt;R&gt;1&lt;/R&gt;&lt;C&gt;1&lt;/C&gt;&lt;D xsi:type="xsd:double"&gt;1.37985&lt;/D&gt;&lt;/FQL&gt;&lt;FQL&gt;&lt;Q&gt;EURUSD^FG_PRICE(44471)&lt;/Q&gt;&lt;R&gt;1&lt;/R&gt;&lt;C&gt;1&lt;/C&gt;&lt;D xsi:type="xsd:double"&gt;1.1596501&lt;/D&gt;&lt;/FQL&gt;&lt;FQL&gt;&lt;Q&gt;EURUSD^FG_PRICE(44453)&lt;/Q&gt;&lt;R&gt;1&lt;/R&gt;&lt;C&gt;1&lt;/C&gt;&lt;D xsi:type="xsd:double"&gt;1.18215&lt;/D&gt;&lt;/FQL&gt;&lt;FQL&gt;&lt;Q&gt;EURUSD^FG_PRICE(44437)&lt;/Q&gt;&lt;R&gt;1&lt;/R&gt;&lt;C&gt;1&lt;/C&gt;&lt;D xsi:type="xsd:double"&gt;1.1786001&lt;/D&gt;&lt;/FQL&gt;&lt;FQL&gt;&lt;Q&gt;GBPUSD^FG_PRICE(44419)&lt;/Q&gt;&lt;R&gt;1&lt;/R&gt;&lt;C&gt;1&lt;/C&gt;&lt;D xsi:type="xsd:double"&gt;1.38675&lt;/D&gt;&lt;/FQL&gt;&lt;FQL&gt;&lt;Q&gt;EURUSD^FG_PRICE(44403)&lt;/Q&gt;&lt;R&gt;1&lt;/R&gt;&lt;C&gt;1&lt;/C&gt;&lt;D xsi:type="xsd:double"&gt;1.1808&lt;/D&gt;&lt;/FQL&gt;&lt;FQL&gt;&lt;Q&gt;EURUSD^FG_PRICE(44389)&lt;/Q&gt;&lt;R&gt;1&lt;/R&gt;&lt;C&gt;1&lt;/C&gt;&lt;D xsi:type="xsd:double"&gt;1.1868&lt;/D&gt;&lt;/FQL&gt;&lt;FQL&gt;&lt;Q&gt;GBPUSD^FG_PRICE(44376)&lt;/Q&gt;&lt;R&gt;1&lt;/R&gt;&lt;C&gt;1&lt;/C&gt;&lt;D xsi:type="xsd:double"&gt;1.38335&lt;/D&gt;&lt;/FQL&gt;&lt;FQL&gt;&lt;Q&gt;EURUSD^FG_PRICE(44364)&lt;/Q&gt;&lt;R&gt;1&lt;/R&gt;&lt;C&gt;1&lt;/C&gt;&lt;D xsi:type="xsd:double"&gt;1.1942&lt;/D&gt;&lt;/FQL&gt;&lt;FQL&gt;&lt;Q&gt;GBPUSD^FG_PRICE(44351)&lt;/Q&gt;&lt;R&gt;1&lt;/R&gt;&lt;C&gt;1&lt;/C&gt;&lt;D xsi:type="xsd:double"&gt;1.4172&lt;/D&gt;&lt;/FQL&gt;&lt;FQL&gt;&lt;Q&gt;EURUSD^FG_PRICE(44339)&lt;/Q&gt;&lt;R&gt;1&lt;/R&gt;&lt;C&gt;1&lt;/C&gt;&lt;D xsi:type="xsd:double"&gt;1.21885&lt;/D&gt;&lt;/FQL&gt;&lt;FQL&gt;&lt;Q&gt;EURUSD^FG_PRICE(44325)&lt;/Q&gt;&lt;R&gt;1&lt;/R&gt;&lt;C&gt;1&lt;/C&gt;&lt;D xsi:type="xsd:double"&gt;1.2142&lt;/D&gt;&lt;/FQL&gt;&lt;FQL&gt;&lt;Q&gt;GBPUSD^FG_PRICE(44312)&lt;/Q&gt;&lt;R&gt;1&lt;/R&gt;&lt;C&gt;1&lt;/C&gt;&lt;D xsi:type="xsd:double"&gt;1.3892499&lt;/D&gt;&lt;/FQL&gt;&lt;FQL&gt;&lt;Q&gt;EURUSD^FG_PRICE(44300)&lt;/Q&gt;&lt;R&gt;1&lt;/R&gt;&lt;C&gt;1&lt;/C&gt;&lt;D xsi:type="xsd:double"&gt;1.19675&lt;/D&gt;&lt;/FQL&gt;&lt;FQL&gt;&lt;Q&gt;GBPUSD^FG_PRICE(44287)&lt;/Q&gt;&lt;R&gt;1&lt;/R&gt;&lt;C&gt;1&lt;/C&gt;&lt;D xsi:type="xsd:double"&gt;1.3821&lt;/D&gt;&lt;/FQL&gt;&lt;FQL&gt;&lt;Q&gt;EURUSD^FG_PRICE(44275)&lt;/Q&gt;&lt;R&gt;1&lt;/R&gt;&lt;C&gt;1&lt;/C&gt;&lt;D xsi:type="xsd:double"&gt;1.1909499&lt;/D&gt;&lt;/FQL&gt;&lt;FQL&gt;&lt;Q&gt;EURUSD^FG_PRICE(44261)&lt;/Q&gt;&lt;R&gt;1&lt;/R&gt;&lt;C&gt;1&lt;/C&gt;&lt;D xsi:type="xsd:double"&gt;1.1909&lt;/D&gt;&lt;/FQL&gt;&lt;FQL&gt;&lt;Q&gt;GBPUSD^FG_PRICE(44248)&lt;/Q&gt;&lt;R&gt;1&lt;/R&gt;&lt;C&gt;1&lt;/C&gt;&lt;D xsi:type="xsd:double"&gt;1.40135&lt;/D&gt;&lt;/FQL&gt;&lt;FQL&gt;&lt;Q&gt;EURUSD^FG_PRICE(44236)&lt;/Q&gt;&lt;R&gt;1&lt;/R&gt;&lt;C&gt;1&lt;/C&gt;&lt;D xsi:type="xsd:double"&gt;1.20975&lt;/D&gt;&lt;/FQL&gt;&lt;FQL&gt;&lt;Q&gt;GBPUSD^FG_PRICE(44223)&lt;/Q&gt;&lt;R&gt;1&lt;/R&gt;&lt;C&gt;1&lt;/C&gt;&lt;D xsi:type="xsd:double"&gt;1.3703&lt;/D&gt;&lt;/FQL&gt;&lt;FQL&gt;&lt;Q&gt;EURUSD^FG_PRICE(44211)&lt;/Q&gt;&lt;R&gt;1&lt;/R&gt;&lt;C&gt;1&lt;/C&gt;&lt;D xsi:type="xsd:double"&gt;1.2092501&lt;/D&gt;&lt;/FQL&gt;&lt;FQL&gt;&lt;Q&gt;EURUSD^FG_PRICE(44197)&lt;/Q&gt;&lt;R&gt;1&lt;/R&gt;&lt;C&gt;1&lt;/C&gt;&lt;D xsi:type="xsd:double"&gt;1.22355&lt;/D&gt;&lt;/FQL&gt;&lt;FQL&gt;&lt;Q&gt;GBPUSD^FG_PRICE(44184)&lt;/Q&gt;&lt;R&gt;1&lt;/R&gt;&lt;C&gt;1&lt;/C&gt;&lt;D xsi:type="xsd:double"&gt;1.3484&lt;/D&gt;&lt;/FQL&gt;&lt;FQL&gt;&lt;Q&gt;EURUSD^FG_PRICE(44172)&lt;/Q&gt;&lt;R&gt;1&lt;/R&gt;&lt;C&gt;1&lt;/C&gt;&lt;D xsi:type="xsd:double"&gt;1.2133499&lt;/D&gt;&lt;/FQL&gt;&lt;FQL&gt;&lt;Q&gt;GBPUSD^FG_PRICE(44159)&lt;/Q&gt;&lt;R&gt;1&lt;/R&gt;&lt;C&gt;1&lt;/C&gt;&lt;D xsi:type="xsd:double"&gt;1.3357&lt;/D&gt;&lt;/FQL&gt;&lt;FQL&gt;&lt;Q&gt;EURUSD^FG_PRICE(44147)&lt;/Q&gt;&lt;R&gt;1&lt;/R&gt;&lt;C&gt;1&lt;/C&gt;&lt;D xsi:type="xsd:double"&gt;1.1810501&lt;/D&gt;&lt;/FQL&gt;&lt;FQL&gt;&lt;Q&gt;EURUSD^FG_PRICE(44133)&lt;/Q&gt;&lt;R&gt;1&lt;/R&gt;&lt;C&gt;1&lt;/C&gt;&lt;D xsi:type="xsd:double"&gt;1.16575&lt;/D&gt;&lt;/FQL&gt;&lt;FQL&gt;&lt;Q&gt;GBPUSD^FG_PRICE(44120)&lt;/Q&gt;&lt;R&gt;1&lt;/R&gt;&lt;C&gt;1&lt;/C&gt;&lt;D xsi:type="xsd:double"&gt;1.29285&lt;/D&gt;&lt;/FQL&gt;&lt;FQL&gt;&lt;Q&gt;GBPUSD^FG_PRICE(44111)&lt;/Q&gt;&lt;R&gt;1&lt;/R&gt;&lt;C&gt;1&lt;/C&gt;&lt;D xsi:type="xsd:double"&gt;1.2899001&lt;/D&gt;&lt;/FQL&gt;&lt;FQL&gt;&lt;Q&gt;EURUSD^FG_PRICE(44101)&lt;/Q&gt;&lt;R&gt;1&lt;/R&gt;&lt;C&gt;1&lt;/C&gt;&lt;D xsi:type="xsd:double"&gt;1.1619&lt;/D&gt;&lt;/FQL&gt;&lt;FQL&gt;&lt;Q&gt;GBPUSD^FG_PRICE(44092)&lt;/Q&gt;&lt;R&gt;1&lt;/R&gt;&lt;C&gt;1&lt;/C&gt;&lt;D xsi:type="xsd:double"&gt;1.2960501&lt;/D&gt;&lt;/FQL&gt;&lt;FQL&gt;&lt;Q&gt;EURUSD^FG_PRICE(44084)&lt;/Q&gt;&lt;R&gt;1&lt;/R&gt;&lt;C&gt;1&lt;/C&gt;&lt;D xsi:type="xsd:double"&gt;1.18705&lt;/D&gt;&lt;/FQL&gt;&lt;FQL&gt;&lt;Q&gt;EURUSD^FG_PRICE(44076)&lt;/Q&gt;&lt;R&gt;1&lt;/R&gt;&lt;C&gt;1&lt;/C&gt;&lt;D xsi:type="xsd:double"&gt;1.18405&lt;/D&gt;&lt;/FQL&gt;&lt;FQL&gt;&lt;Q&gt;GBPUSD^FG_PRICE(44067)&lt;/Q&gt;&lt;R&gt;1&lt;/R&gt;&lt;C&gt;1&lt;/C&gt;&lt;D xsi:type="xsd:double"&gt;1.3069&lt;/D&gt;&lt;/FQL&gt;&lt;FQL&gt;&lt;Q&gt;EURUSD^FG_PRICE(44059)&lt;/Q&gt;&lt;R&gt;1&lt;/R&gt;&lt;C&gt;1&lt;/C&gt;&lt;D xsi:type="xsd:double"&gt;1.1829&lt;/D&gt;&lt;/FQL&gt;&lt;FQL&gt;&lt;Q&gt;EURUSD^FG_PRICE(44051)&lt;/Q&gt;&lt;R&gt;1&lt;/R&gt;&lt;C&gt;1&lt;/C&gt;&lt;D xsi:type="xsd:double"&gt;1.1788499&lt;/D&gt;&lt;/FQL&gt;&lt;FQL&gt;&lt;Q&gt;EURUSD^FG_PRICE(44041)&lt;/Q&gt;&lt;R&gt;1&lt;/R&gt;&lt;C&gt;1&lt;/C&gt;&lt;D xsi:type="xsd:double"&gt;1.1774501&lt;/D&gt;&lt;/FQL&gt;&lt;FQL&gt;&lt;Q&gt;GBPUSD^FG_PRICE(44032)&lt;/Q&gt;&lt;R&gt;1&lt;/R&gt;&lt;C&gt;1&lt;/C&gt;&lt;D xsi:type="xsd:double"&gt;1.2647&lt;/D&gt;&lt;/FQL&gt;&lt;FQL&gt;&lt;Q&gt;GBPUSD^FG_PRICE(44024)&lt;/Q&gt;&lt;R&gt;1&lt;/R&gt;&lt;C&gt;1&lt;/C&gt;&lt;D xsi:type="xsd:double"&gt;1.2660999&lt;/D&gt;&lt;/FQL&gt;&lt;FQL&gt;&lt;Q&gt;EURUSD^FG_PRICE(44017)&lt;/Q&gt;&lt;R&gt;1&lt;/R&gt;&lt;C&gt;1&lt;/C&gt;&lt;D xsi:type="xsd:double"&gt;1.1242499&lt;/D&gt;&lt;/FQL&gt;&lt;FQL&gt;&lt;Q&gt;GBPUSD^FG_PRICE(44011)&lt;/Q&gt;&lt;R&gt;1&lt;/R&gt;&lt;C&gt;1&lt;/C&gt;&lt;D xsi:type="xsd:double"&gt;1.2268&lt;/D&gt;&lt;/FQL&gt;&lt;FQL&gt;&lt;Q&gt;GBPUSD^FG_PRICE(44004)&lt;/Q&gt;&lt;R&gt;1&lt;/R&gt;&lt;C&gt;1&lt;/C&gt;&lt;D xsi:type="xsd:double"&gt;1.24465&lt;/D&gt;&lt;/FQL&gt;&lt;FQL&gt;&lt;Q&gt;EURUSD^FG_PRICE(43999)&lt;/Q&gt;&lt;R&gt;1&lt;/R&gt;&lt;C&gt;1&lt;/C&gt;&lt;D xsi:type="xsd:double"&gt;1.1222501&lt;/D&gt;&lt;/FQL&gt;&lt;FQL&gt;&lt;Q&gt;EURUSD^FG_PRICE(43992)&lt;/Q&gt;&lt;R&gt;1&lt;/R&gt;&lt;C&gt;1&lt;/C&gt;&lt;D xsi:type="xsd:double"&gt;1.1352&lt;/D&gt;&lt;/FQL&gt;&lt;FQL&gt;&lt;Q&gt;EURUSD^FG_PRICE(43985)&lt;/Q&gt;&lt;R&gt;1&lt;/R&gt;&lt;C&gt;1&lt;/C&gt;&lt;D xsi:type="xsd:double"&gt;1.12195&lt;/D&gt;&lt;/FQL&gt;&lt;FQL&gt;&lt;Q&gt;GBPUSD^FG_PRICE(43979)&lt;/Q&gt;&lt;R&gt;1&lt;/R&gt;&lt;C&gt;1&lt;/C&gt;&lt;D xsi:type="xsd:double"&gt;1.232&lt;/D&gt;&lt;/FQL&gt;&lt;FQL&gt;&lt;Q&gt;GBPUSD^FG_PRICE(43972)&lt;/Q&gt;&lt;R&gt;1&lt;/R&gt;&lt;C&gt;1&lt;/C&gt;&lt;D xsi:type="xsd:double"&gt;1.2215&lt;/D&gt;&lt;/FQL&gt;&lt;FQL&gt;&lt;Q&gt;EURUSD^FG_PRICE(43967)&lt;/Q&gt;&lt;R&gt;1&lt;/R&gt;&lt;C&gt;1&lt;/C&gt;&lt;D xsi:type="xsd:double"&gt;1.0818499&lt;/D&gt;&lt;/FQL&gt;&lt;FQL&gt;&lt;Q&gt;EURUSD^FG_PRICE(43960)&lt;/Q&gt;&lt;R&gt;1&lt;/R&gt;&lt;C&gt;1&lt;/C&gt;&lt;D xsi:type="xsd:double"&gt;1.08725&lt;/D&gt;&lt;/FQL&gt;&lt;FQL&gt;&lt;Q&gt;EURUSD^FG_PRICE(43953)&lt;/Q&gt;&lt;R&gt;1&lt;/R&gt;&lt;C&gt;1&lt;/C&gt;&lt;D xsi:type="xsd:double"&gt;1.10085&lt;/D&gt;&lt;/FQL&gt;&lt;FQL&gt;&lt;Q&gt;GBPUSD^FG_PRICE(43947)&lt;/Q&gt;&lt;R&gt;1&lt;/R&gt;&lt;C&gt;1&lt;/C&gt;&lt;D xsi:type="xsd:double"&gt;1.23375&lt;/D&gt;&lt;/FQL&gt;&lt;FQL&gt;&lt;Q&gt;GBPUSD^FG_PRICE(43940)&lt;/Q&gt;&lt;R&gt;1&lt;/R&gt;&lt;C&gt;1&lt;/C&gt;&lt;D xsi:type="xsd:double"&gt;1.2504001&lt;/D&gt;&lt;/FQL&gt;&lt;FQL&gt;&lt;Q&gt;EURUSD^FG_PRICE(43935)&lt;/Q&gt;&lt;R&gt;1&lt;/R&gt;&lt;C&gt;1&lt;/C&gt;&lt;D xsi:type="xsd:double"&gt;1.0969&lt;/D&gt;&lt;/FQL&gt;&lt;FQL&gt;&lt;Q&gt;EURUSD^FG_PRICE(43928)&lt;/Q&gt;&lt;R&gt;1&lt;/R&gt;&lt;C&gt;1&lt;/C&gt;&lt;D xsi:type="xsd:double"&gt;1.0882&lt;/D&gt;&lt;/FQL&gt;&lt;FQL&gt;&lt;Q&gt;EURUSD^FG_PRICE(43921)&lt;/Q&gt;&lt;R&gt;1&lt;/R&gt;&lt;C&gt;1&lt;/C&gt;&lt;D xsi:type="xsd:double"&gt;1.09725&lt;/D&gt;&lt;/FQL&gt;&lt;FQL&gt;&lt;Q&gt;GBPUSD^FG_PRICE(43915)&lt;/Q&gt;&lt;R&gt;1&lt;/R&gt;&lt;C&gt;1&lt;/C&gt;&lt;D xsi:type="xsd:double"&gt;1.176&lt;/D&gt;&lt;/FQL&gt;&lt;FQL&gt;&lt;Q&gt;GBPUSD^FG_PRICE(43908)&lt;/Q&gt;&lt;R&gt;1&lt;/R&gt;&lt;C&gt;1&lt;/C&gt;&lt;D xsi:type="xsd:double"&gt;1.17635&lt;/D&gt;&lt;/FQL&gt;&lt;FQL&gt;&lt;Q&gt;EURUSD^FG_PRICE(43903)&lt;/Q&gt;&lt;R&gt;1&lt;/R&gt;&lt;C&gt;1&lt;/C&gt;&lt;D xsi:type="xsd:double"&gt;1.1069&lt;/D&gt;&lt;/FQL&gt;&lt;FQL&gt;&lt;Q&gt;EURUSD^FG_PRICE(43896)&lt;/Q&gt;&lt;R&gt;1&lt;/R&gt;&lt;C&gt;1&lt;/C&gt;&lt;D xsi:type="xsd:double"&gt;1.13105&lt;/D&gt;&lt;/FQL&gt;&lt;FQL&gt;&lt;Q&gt;EURUSD^FG_PRICE(43889)&lt;/Q&gt;&lt;R&gt;1&lt;/R&gt;&lt;C&gt;1&lt;/C&gt;&lt;D xsi:type="xsd:double"&gt;1.0984501&lt;/D&gt;&lt;/FQL&gt;&lt;FQL&gt;&lt;Q&gt;GBPUSD^FG_PRICE(43883)&lt;/Q&gt;&lt;R&gt;1&lt;/R&gt;&lt;C&gt;1&lt;/C&gt;&lt;D xsi:type="xsd:double"&gt;1.2959&lt;/D&gt;&lt;/FQL&gt;&lt;FQL&gt;&lt;Q&gt;GBPUSD^FG_PRICE(43876)&lt;/Q&gt;&lt;R&gt;1&lt;/R&gt;&lt;C&gt;1&lt;/C&gt;&lt;D xsi:type="xsd:double"&gt;1.30145&lt;/D&gt;&lt;/FQL&gt;&lt;FQL&gt;&lt;Q&gt;EURUSD^FG_PRICE(43871)&lt;/Q&gt;&lt;R&gt;1&lt;/R&gt;&lt;C&gt;1&lt;/C&gt;&lt;D xsi:type="xsd:double"&gt;1.0924001&lt;/D&gt;&lt;/FQL&gt;&lt;FQL&gt;&lt;Q&gt;EURUSD^FG_PRICE(43864)&lt;/Q&gt;&lt;R&gt;1&lt;/R&gt;&lt;C&gt;1&lt;/C&gt;&lt;D xsi:type="xsd:double"&gt;1.10575&lt;/D&gt;&lt;/FQL&gt;&lt;FQL&gt;&lt;Q&gt;EURUSD^FG_PRICE(43857)&lt;/Q&gt;&lt;R&gt;1&lt;/R&gt;&lt;C&gt;1&lt;/C&gt;&lt;D xsi:type="xsd:double"&gt;1.10125&lt;/D&gt;&lt;/FQL&gt;&lt;FQL&gt;&lt;Q&gt;GBPUSD^FG_PRICE(43851)&lt;/Q&gt;&lt;R&gt;1&lt;/R&gt;&lt;C&gt;1&lt;/C&gt;&lt;D xsi:type="xsd:double"&gt;1.306&lt;/D&gt;&lt;/FQL&gt;&lt;FQL&gt;&lt;Q&gt;GBPUSD^FG_PRICE(43844)&lt;/Q&gt;&lt;R&gt;1&lt;/R&gt;&lt;C&gt;1&lt;/C&gt;&lt;D xsi:type="xsd:double"&gt;1.3009499&lt;/D&gt;&lt;/FQL&gt;&lt;FQL&gt;&lt;Q&gt;EURUSD^FG_PRICE(43839)&lt;/Q&gt;&lt;R&gt;1&lt;/R&gt;&lt;C&gt;1&lt;/C&gt;&lt;D xsi:type="xsd:double"&gt;1.11025&lt;/D&gt;&lt;/FQL&gt;&lt;FQL&gt;&lt;Q&gt;EURUSD^FG_PRICE(43832)&lt;/Q&gt;&lt;R&gt;1&lt;/R&gt;&lt;C&gt;1&lt;/C&gt;&lt;D xsi:type="xsd:double"&gt;1.1201&lt;/D&gt;&lt;/FQL&gt;&lt;FQL&gt;&lt;Q&gt;EURUSD^FG_PRICE(43827)&lt;/Q&gt;&lt;R&gt;1&lt;/R&gt;&lt;C&gt;1&lt;/C&gt;&lt;D xsi:type="xsd:double"&gt;1.1163&lt;/D&gt;&lt;/FQL&gt;&lt;FQL&gt;&lt;Q&gt;GBPUSD^FG_PRICE(43821)&lt;/Q&gt;&lt;R&gt;1&lt;/R&gt;&lt;C&gt;1&lt;/C&gt;&lt;D xsi:type="xsd:double"&gt;1.30485&lt;/D&gt;&lt;/FQL&gt;&lt;FQL&gt;&lt;Q&gt;EURUSD^FG_PRICE(43817)&lt;/Q&gt;&lt;R&gt;1&lt;/R&gt;&lt;C&gt;1&lt;/C&gt;&lt;D xsi:type="xsd:double"&gt;1.1126&lt;/D&gt;&lt;/FQL&gt;&lt;FQL&gt;&lt;Q&gt;EURUSD^FG_PRICE(43813)&lt;/Q&gt;&lt;R&gt;1&lt;/R&gt;&lt;C&gt;1&lt;/C&gt;&lt;D xsi:type="xsd:double"&gt;1.11365&lt;/D&gt;&lt;/FQL&gt;&lt;FQL&gt;&lt;Q&gt;EURUSD^FG_PRICE(43809)&lt;/Q&gt;&lt;R&gt;1&lt;/R&gt;&lt;C&gt;1&lt;/C&gt;&lt;D xsi:type="xsd:double"&gt;1.1089001&lt;/D&gt;&lt;/FQL&gt;&lt;FQL&gt;&lt;Q&gt;EURUSD^FG_PRICE(43805)&lt;/Q&gt;&lt;R&gt;1&lt;/R&gt;&lt;C&gt;1&lt;/C&gt;&lt;D xsi:type="xsd:double"&gt;1.1049&lt;/D&gt;&lt;/FQL&gt;&lt;FQL&gt;&lt;Q&gt;EURUSD^FG_PRICE(43801)&lt;/Q&gt;&lt;R&gt;1&lt;/R&gt;&lt;C&gt;1&lt;/C&gt;&lt;D xsi:type="xsd:double"&gt;1.10725&lt;/D&gt;&lt;/FQL&gt;&lt;FQL&gt;&lt;Q&gt;EURUSD^FG_PRICE(43797)&lt;/Q&gt;&lt;R&gt;1&lt;/R&gt;&lt;C&gt;1&lt;/C&gt;&lt;D xsi:type="xsd:double"&gt;1.1006501&lt;/D&gt;&lt;/FQL&gt;&lt;FQL&gt;&lt;Q&gt;EURUSD^FG_PRICE(43793)&lt;/Q&gt;&lt;R&gt;1&lt;/R&gt;&lt;C&gt;1&lt;/C&gt;&lt;D xsi:type="xsd:double"&gt;1.10335&lt;/D&gt;&lt;/FQL&gt;&lt;FQL&gt;&lt;Q&gt;EURUSD^FG_PRICE(43789)&lt;/Q&gt;&lt;R&gt;1&lt;/R&gt;&lt;C&gt;1&lt;/C&gt;&lt;D xsi:type="xsd:double"&gt;1.1066&lt;/D&gt;&lt;/FQL&gt;&lt;FQL&gt;&lt;Q&gt;EURUSD^FG_PRICE(43785)&lt;/Q&gt;&lt;R&gt;1&lt;/R&gt;&lt;C&gt;1&lt;/C&gt;&lt;D xsi:type="xsd:double"&gt;1.1052&lt;/D&gt;&lt;/FQL&gt;&lt;FQL&gt;&lt;Q&gt;EURUSD^FG_PRICE(43781)&lt;/Q&gt;&lt;R&gt;1&lt;/R&gt;&lt;C&gt;1&lt;/C&gt;&lt;D xsi:type="xsd:double"&gt;1.10125&lt;/D&gt;&lt;/FQL&gt;&lt;FQL&gt;&lt;Q&gt;EURUSD^FG_PRICE(43777)&lt;/Q&gt;&lt;R&gt;1&lt;/R&gt;&lt;C&gt;1&lt;/C&gt;&lt;D xsi:type="xsd:double"&gt;1.1021&lt;/D&gt;&lt;/FQL&gt;&lt;FQL&gt;&lt;Q&gt;EURUSD^FG_PRICE(43773)&lt;/Q&gt;&lt;R&gt;1&lt;/R&gt;&lt;C&gt;1&lt;/C&gt;&lt;D xsi:type="xsd:double"&gt;1.11555&lt;/D&gt;&lt;/FQL&gt;&lt;FQL&gt;&lt;Q&gt;EURUSD^FG_PRICE(43769)&lt;/Q&gt;&lt;R&gt;1&lt;/R&gt;&lt;C&gt;1&lt;/C&gt;&lt;D xsi:type="xsd:double"&gt;1.1156499&lt;/D&gt;&lt;/FQL&gt;&lt;FQL&gt;&lt;Q&gt;EURUSD^FG_PRICE(43765)&lt;/Q&gt;&lt;R&gt;1&lt;/R&gt;&lt;C&gt;1&lt;/C&gt;&lt;D xsi:type="xsd:double"&gt;1.1091&lt;/D&gt;&lt;/FQL&gt;&lt;FQL&gt;&lt;Q&gt;EURUSD^FG_PRICE(43761)&lt;/Q&gt;&lt;R&gt;1&lt;/R&gt;&lt;C&gt;1&lt;/C&gt;&lt;D xsi:type="xsd:double"&gt;1.1115999&lt;/D&gt;&lt;/FQL&gt;&lt;FQL&gt;&lt;Q&gt;EURUSD^FG_PRICE(43757)&lt;/Q&gt;&lt;R&gt;1&lt;/R&gt;&lt;C&gt;1&lt;/C&gt;&lt;D xsi:type="xsd:double"&gt;1.11395&lt;/D&gt;&lt;/FQL&gt;&lt;FQL&gt;&lt;Q&gt;EURUSD^FG_PRICE(43753)&lt;/Q&gt;&lt;R&gt;1&lt;/R&gt;&lt;C&gt;1&lt;/C&gt;&lt;D xsi:type="xsd:double"&gt;1.10375&lt;/D&gt;&lt;/FQL&gt;&lt;FQL&gt;&lt;Q&gt;EURUSD^FG_PRICE(43749)&lt;/Q&gt;&lt;R&gt;1&lt;/R&gt;&lt;C&gt;1&lt;/C&gt;&lt;D xsi:type="xsd:double"&gt;1.1036&lt;/D&gt;&lt;/FQL&gt;&lt;FQL&gt;&lt;Q&gt;EURUSD^FG_PRICE(43745)&lt;/Q&gt;&lt;R&gt;1&lt;/R&gt;&lt;C&gt;1&lt;/C&gt;&lt;D xsi:type="xsd:double"&gt;1.0995001&lt;/D&gt;&lt;/FQL&gt;&lt;FQL&gt;&lt;Q&gt;EURUSD^FG_PRICE(43741)&lt;/Q&gt;&lt;R&gt;1&lt;/R&gt;&lt;C&gt;1&lt;/C&gt;&lt;D xsi:type="xsd:double"&gt;1.0984501&lt;/D&gt;&lt;/FQL&gt;&lt;FQL&gt;&lt;Q&gt;EURUSD^FG_PRICE(43737)&lt;/Q&gt;&lt;R&gt;1&lt;/R&gt;&lt;C&gt;1&lt;/C&gt;&lt;D xsi:type="xsd:double"&gt;1.09475&lt;/D&gt;&lt;/FQL&gt;&lt;FQL&gt;&lt;Q&gt;EURUSD^FG_PRICE(43733)&lt;/Q&gt;&lt;R&gt;1&lt;/R&gt;&lt;C&gt;1&lt;/C&gt;&lt;D xsi:type="xsd:double"&gt;1.0957999&lt;/D&gt;&lt;/FQL&gt;&lt;FQL&gt;&lt;Q&gt;EURUSD^FG_PRICE(43729)&lt;/Q&gt;&lt;R&gt;1&lt;/R&gt;&lt;C&gt;1&lt;/C&gt;&lt;D xsi:type="xsd:double"&gt;1.10115&lt;/D&gt;&lt;/FQL&gt;&lt;FQL&gt;&lt;Q&gt;EURUSD^FG_PRICE(43725)&lt;/Q&gt;&lt;R&gt;1&lt;/R&gt;&lt;C&gt;1&lt;/C&gt;&lt;D xsi:type="xsd:double"&gt;1.10495&lt;/D&gt;&lt;/FQL&gt;&lt;FQL&gt;&lt;Q&gt;EURUSD^FG_PRICE(43721)&lt;/Q&gt;&lt;R&gt;1&lt;/R&gt;&lt;C&gt;1&lt;/C&gt;&lt;D xsi:type="xsd:double"&gt;1.1084&lt;/D&gt;&lt;/FQL&gt;&lt;FQL&gt;&lt;Q&gt;EURUSD^FG_PRICE(43717)&lt;/Q&gt;&lt;R&gt;1&lt;/R&gt;&lt;C&gt;1&lt;/C&gt;&lt;D xsi:type="xsd:double"&gt;1.1057&lt;/D&gt;&lt;/FQL&gt;&lt;FQL&gt;&lt;Q&gt;EURUSD^FG_PRICE(43713)&lt;/Q&gt;&lt;R&gt;1&lt;/R&gt;&lt;C&gt;1&lt;/C&gt;&lt;D xsi:type="xsd:double"&gt;1.10435&lt;/D&gt;&lt;/FQL&gt;&lt;FQL&gt;&lt;Q&gt;EURUSD^FG_PRICE(43709)&lt;/Q&gt;&lt;R&gt;1&lt;/R&gt;&lt;C&gt;1&lt;/C&gt;&lt;D xsi:type="xsd:double"&gt;1.10125&lt;/D&gt;&lt;/FQL&gt;&lt;FQL&gt;&lt;Q&gt;EURUSD^FG_PRICE(43705)&lt;/Q&gt;&lt;R&gt;1&lt;/R&gt;&lt;C&gt;1&lt;/C&gt;&lt;D xsi:type="xsd:double"&gt;1.10755&lt;/D&gt;&lt;/FQL&gt;&lt;FQL&gt;&lt;Q&gt;EURUSD^FG_PRICE(43701)&lt;/Q&gt;&lt;R&gt;1&lt;/R&gt;&lt;C&gt;1&lt;/C&gt;&lt;D xsi:type="xsd:double"&gt;1.11085&lt;/D&gt;&lt;/FQL&gt;&lt;FQL&gt;&lt;Q&gt;EURUSD^FG_PRICE(43697)&lt;/Q&gt;&lt;R&gt;1&lt;/R&gt;&lt;C&gt;1&lt;/C&gt;&lt;D xsi:type="xsd:double"&gt;1.1089001&lt;/D&gt;&lt;/FQL&gt;&lt;FQL&gt;&lt;Q&gt;EURUSD^FG_PRICE(43693)&lt;/Q&gt;&lt;R&gt;1&lt;/R&gt;&lt;C&gt;1&lt;/C&gt;&lt;D xsi:type="xsd:double"&gt;1.11045&lt;/D&gt;&lt;/FQL&gt;&lt;FQL&gt;&lt;Q&gt;EURUSD^FG_PRICE(43689)&lt;/Q&gt;&lt;R&gt;1&lt;/R&gt;&lt;C&gt;1&lt;/C&gt;&lt;D xsi:type="xsd:double"&gt;1.1219&lt;/D&gt;&lt;/FQL&gt;&lt;FQL&gt;&lt;Q&gt;EURUSD^FG_PRICE(43685)&lt;/Q&gt;&lt;R&gt;1&lt;/R&gt;&lt;C&gt;1&lt;/C&gt;&lt;D xsi:type="xsd:double"&gt;1.1200501&lt;/D&gt;&lt;/FQL&gt;&lt;FQL&gt;&lt;Q&gt;EURUSD^FG_PRICE(43681)&lt;/Q&gt;&lt;R&gt;1&lt;/R&gt;&lt;C&gt;1&lt;/C&gt;&lt;D xsi:type="xsd:double"&gt;1.1102&lt;/D&gt;&lt;/FQL&gt;&lt;FQL&gt;&lt;Q&gt;EURUSD^FG_PRICE(43677)&lt;/Q&gt;&lt;R&gt;1&lt;/R&gt;&lt;C&gt;1&lt;/C&gt;&lt;D xsi:type="xsd:double"&gt;1.1134&lt;/D&gt;&lt;/FQL&gt;&lt;FQL&gt;&lt;Q&gt;EURUSD^FG_PRICE(43673)&lt;/Q&gt;&lt;R&gt;1&lt;/R&gt;&lt;C&gt;1&lt;/C&gt;&lt;D xsi:type="xsd:double"&gt;1.1126499&lt;/D&gt;&lt;/FQL&gt;&lt;FQL&gt;&lt;Q&gt;EURUSD^FG_PRICE(43669)&lt;/Q&gt;&lt;R&gt;1&lt;/R&gt;&lt;C&gt;1&lt;/C&gt;&lt;D xsi:type="xsd:double"&gt;1.115&lt;/D&gt;&lt;/FQL&gt;&lt;FQL&gt;&lt;Q&gt;EURUSD^FG_PRICE(43665)&lt;/Q&gt;&lt;R&gt;1&lt;/R&gt;&lt;C&gt;1&lt;/C&gt;&lt;D xsi:type="xsd:double"&gt;1.1222&lt;/D&gt;&lt;/FQL&gt;&lt;FQL&gt;&lt;Q&gt;EURUSD^FG_PRICE(43661)&lt;/Q&gt;&lt;R&gt;1&lt;/R&gt;&lt;C&gt;1&lt;/C&gt;&lt;D xsi:type="xsd:double"&gt;1.1262&lt;/D&gt;&lt;/FQL&gt;&lt;FQL&gt;&lt;Q&gt;EURUSD^FG_PRICE(43657)&lt;/Q&gt;&lt;R&gt;1&lt;/R&gt;&lt;C&gt;1&lt;/C&gt;&lt;D xsi:type="xsd:double"&gt;1.1253&lt;/D&gt;&lt;/FQL&gt;&lt;FQL&gt;&lt;Q&gt;EURUSD^FG_PRICE(43653)&lt;/Q&gt;&lt;R&gt;1&lt;/R&gt;&lt;C&gt;1&lt;/C&gt;&lt;D xsi:type="xsd:double"&gt;1.1222501&lt;/D&gt;&lt;/FQL&gt;&lt;FQL&gt;&lt;Q&gt;EURUSD^FG_PRICE(43649)&lt;/Q&gt;&lt;R&gt;1&lt;/R&gt;&lt;C&gt;1&lt;/C&gt;&lt;D xsi:type="xsd:double"&gt;1.12815&lt;/D&gt;&lt;/FQL&gt;&lt;FQL&gt;&lt;Q&gt;EURUSD^FG_PRICE(44828)&lt;/Q&gt;&lt;R&gt;1&lt;/R&gt;&lt;C&gt;1&lt;/C&gt;&lt;D xsi:type="xsd:double"&gt;0.97054994&lt;/D&gt;&lt;/FQL&gt;&lt;FQL&gt;&lt;Q&gt;EURUSD^FG_PRICE(44809)&lt;/Q&gt;&lt;R&gt;1&lt;/R&gt;&lt;C&gt;1&lt;/C&gt;&lt;D xsi:type="xsd:double"&gt;0.99205&lt;/D&gt;&lt;/FQL&gt;&lt;FQL&gt;&lt;Q&gt;GBPUSD^FG_PRICE(44792)&lt;/Q&gt;&lt;R&gt;1&lt;/R&gt;&lt;C&gt;1&lt;/C&gt;&lt;D xsi:type="xsd:double"&gt;1.1803&lt;/D&gt;&lt;/FQL&gt;&lt;FQL&gt;&lt;Q&gt;GBPUSD^FG_PRICE(44776)&lt;/Q&gt;&lt;R&gt;1&lt;/R&gt;&lt;C&gt;1&lt;/C&gt;&lt;</t>
        </r>
      </text>
    </comment>
    <comment ref="A16" authorId="0" shapeId="0" xr:uid="{73C18F03-E944-4D01-8F4B-6D6C1203E5B6}">
      <text>
        <r>
          <rPr>
            <b/>
            <sz val="9"/>
            <color indexed="81"/>
            <rFont val="Tahoma"/>
            <family val="2"/>
          </rPr>
          <t>D xsi:type="xsd:double"&gt;1.2115&lt;/D&gt;&lt;/FQL&gt;&lt;FQL&gt;&lt;Q&gt;EURUSD^FG_PRICE(44759)&lt;/Q&gt;&lt;R&gt;1&lt;/R&gt;&lt;C&gt;1&lt;/C&gt;&lt;D xsi:type="xsd:double"&gt;1.0079501&lt;/D&gt;&lt;/FQL&gt;&lt;FQL&gt;&lt;Q&gt;EURUSD^FG_PRICE(44741)&lt;/Q&gt;&lt;R&gt;1&lt;/R&gt;&lt;C&gt;1&lt;/C&gt;&lt;D xsi:type="xsd:double"&gt;1.04785&lt;/D&gt;&lt;/FQL&gt;&lt;FQL&gt;&lt;Q&gt;EURUSD^FG_PRICE(44725)&lt;/Q&gt;&lt;R&gt;1&lt;/R&gt;&lt;C&gt;1&lt;/C&gt;&lt;D xsi:type="xsd:double"&gt;1.04225&lt;/D&gt;&lt;/FQL&gt;&lt;FQL&gt;&lt;Q&gt;GBPUSD^FG_PRICE(44707)&lt;/Q&gt;&lt;R&gt;1&lt;/R&gt;&lt;C&gt;1&lt;/C&gt;&lt;D xsi:type="xsd:double"&gt;1.2573999&lt;/D&gt;&lt;/FQL&gt;&lt;FQL&gt;&lt;Q&gt;EURUSD^FG_PRICE(44691)&lt;/Q&gt;&lt;R&gt;1&lt;/R&gt;&lt;C&gt;1&lt;/C&gt;&lt;D xsi:type="xsd:double"&gt;1.0543&lt;/D&gt;&lt;/FQL&gt;&lt;FQL&gt;&lt;Q&gt;EURUSD^FG_PRICE(44675)&lt;/Q&gt;&lt;R&gt;1&lt;/R&gt;&lt;C&gt;1&lt;/C&gt;&lt;D xsi:type="xsd:double"&gt;1.0775499&lt;/D&gt;&lt;/FQL&gt;&lt;FQL&gt;&lt;Q&gt;EURUSD^FG_PRICE(44656)&lt;/Q&gt;&lt;R&gt;1&lt;/R&gt;&lt;C&gt;1&lt;/C&gt;&lt;D xsi:type="xsd:double"&gt;1.09385&lt;/D&gt;&lt;/FQL&gt;&lt;FQL&gt;&lt;Q&gt;GBPUSD^FG_PRICE(44639)&lt;/Q&gt;&lt;R&gt;1&lt;/R&gt;&lt;C&gt;1&lt;/C&gt;&lt;D xsi:type="xsd:double"&gt;1.31695&lt;/D&gt;&lt;/FQL&gt;&lt;FQL&gt;&lt;Q&gt;GBPUSD^FG_PRICE(44623)&lt;/Q&gt;&lt;R&gt;1&lt;/R&gt;&lt;C&gt;1&lt;/C&gt;&lt;D xsi:type="xsd:double"&gt;1.33405&lt;/D&gt;&lt;/FQL&gt;&lt;FQL&gt;&lt;Q&gt;GBPUSD^FG_PRICE(44604)&lt;/Q&gt;&lt;R&gt;1&lt;/R&gt;&lt;C&gt;1&lt;/C&gt;&lt;D xsi:type="xsd:double"&gt;1.3603&lt;/D&gt;&lt;/FQL&gt;&lt;FQL&gt;&lt;Q&gt;EURUSD^FG_PRICE(44588)&lt;/Q&gt;&lt;R&gt;1&lt;/R&gt;&lt;C&gt;1&lt;/C&gt;&lt;D xsi:type="xsd:double"&gt;1.1149&lt;/D&gt;&lt;/FQL&gt;&lt;FQL&gt;&lt;Q&gt;EURUSD^FG_PRICE(44572)&lt;/Q&gt;&lt;R&gt;1&lt;/R&gt;&lt;C&gt;1&lt;/C&gt;&lt;D xsi:type="xsd:double"&gt;1.13405&lt;/D&gt;&lt;/FQL&gt;&lt;FQL&gt;&lt;Q&gt;EURUSD^FG_PRICE(44553)&lt;/Q&gt;&lt;R&gt;1&lt;/R&gt;&lt;C&gt;1&lt;/C&gt;&lt;D xsi:type="xsd:double"&gt;1.13085&lt;/D&gt;&lt;/FQL&gt;&lt;FQL&gt;&lt;Q&gt;GBPUSD^FG_PRICE(44536)&lt;/Q&gt;&lt;R&gt;1&lt;/R&gt;&lt;C&gt;1&lt;/C&gt;&lt;D xsi:type="xsd:double"&gt;1.3235999&lt;/D&gt;&lt;/FQL&gt;&lt;FQL&gt;&lt;Q&gt;GBPUSD^FG_PRICE(44520)&lt;/Q&gt;&lt;R&gt;1&lt;/R&gt;&lt;C&gt;1&lt;/C&gt;&lt;D xsi:type="xsd:double"&gt;1.3459&lt;/D&gt;&lt;/FQL&gt;&lt;FQL&gt;&lt;Q&gt;EURUSD^FG_PRICE(44503)&lt;/Q&gt;&lt;R&gt;1&lt;/R&gt;&lt;C&gt;1&lt;/C&gt;&lt;D xsi:type="xsd:double"&gt;1.15845&lt;/D&gt;&lt;/FQL&gt;&lt;FQL&gt;&lt;Q&gt;EURUSD^FG_PRICE(44485)&lt;/Q&gt;&lt;R&gt;1&lt;/R&gt;&lt;C&gt;1&lt;/C&gt;&lt;D xsi:type="xsd:double"&gt;1.16055&lt;/D&gt;&lt;/FQL&gt;&lt;FQL&gt;&lt;Q&gt;EURUSD^FG_PRICE(44469)&lt;/Q&gt;&lt;R&gt;1&lt;/R&gt;&lt;C&gt;1&lt;/C&gt;&lt;D xsi:type="xsd:double"&gt;1.15895&lt;/D&gt;&lt;/FQL&gt;&lt;FQL&gt;&lt;Q&gt;GBPUSD^FG_PRICE(44451)&lt;/Q&gt;&lt;R&gt;1&lt;/R&gt;&lt;C&gt;1&lt;/C&gt;&lt;D xsi:type="xsd:double"&gt;1.38555&lt;/D&gt;&lt;/FQL&gt;&lt;FQL&gt;&lt;Q&gt;EURUSD^FG_PRICE(44435)&lt;/Q&gt;&lt;R&gt;1&lt;/R&gt;&lt;C&gt;1&lt;/C&gt;&lt;D xsi:type="xsd:double"&gt;1.1786001&lt;/D&gt;&lt;/FQL&gt;&lt;FQL&gt;&lt;Q&gt;EURUSD^FG_PRICE(44419)&lt;/Q&gt;&lt;R&gt;1&lt;/R&gt;&lt;C&gt;1&lt;/C&gt;&lt;D xsi:type="xsd:double"&gt;1.1739&lt;/D&gt;&lt;/FQL&gt;&lt;FQL&gt;&lt;Q&gt;GBPUSD^FG_PRICE(44400)&lt;/Q&gt;&lt;R&gt;1&lt;/R&gt;&lt;C&gt;1&lt;/C&gt;&lt;D xsi:type="xsd:double"&gt;1.37515&lt;/D&gt;&lt;/FQL&gt;&lt;FQL&gt;&lt;Q&gt;EURUSD^FG_PRICE(44388)&lt;/Q&gt;&lt;R&gt;1&lt;/R&gt;&lt;C&gt;1&lt;/C&gt;&lt;D xsi:type="xsd:double"&gt;1.18645&lt;/D&gt;&lt;/FQL&gt;&lt;FQL&gt;&lt;Q&gt;GBPUSD^FG_PRICE(44375)&lt;/Q&gt;&lt;R&gt;1&lt;/R&gt;&lt;C&gt;1&lt;/C&gt;&lt;D xsi:type="xsd:double"&gt;1.38875&lt;/D&gt;&lt;/FQL&gt;&lt;FQL&gt;&lt;Q&gt;EURUSD^FG_PRICE(44363)&lt;/Q&gt;&lt;R&gt;1&lt;/R&gt;&lt;C&gt;1&lt;/C&gt;&lt;D xsi:type="xsd:double"&gt;1.2119&lt;/D&gt;&lt;/FQL&gt;&lt;FQL&gt;&lt;Q&gt;EURUSD^FG_PRICE(44349)&lt;/Q&gt;&lt;R&gt;1&lt;/R&gt;&lt;C&gt;1&lt;/C&gt;&lt;D xsi:type="xsd:double"&gt;1.22065&lt;/D&gt;&lt;/FQL&gt;&lt;FQL&gt;&lt;Q&gt;GBPUSD^FG_PRICE(44336)&lt;/Q&gt;&lt;R&gt;1&lt;/R&gt;&lt;C&gt;1&lt;/C&gt;&lt;D xsi:type="xsd:double"&gt;1.4157499&lt;/D&gt;&lt;/FQL&gt;&lt;FQL&gt;&lt;Q&gt;EURUSD^FG_PRICE(44324)&lt;/Q&gt;&lt;R&gt;1&lt;/R&gt;&lt;C&gt;1&lt;/C&gt;&lt;D xsi:type="xsd:double"&gt;1.2142&lt;/D&gt;&lt;/FQL&gt;&lt;FQL&gt;&lt;Q&gt;GBPUSD^FG_PRICE(44311)&lt;/Q&gt;&lt;R&gt;1&lt;/R&gt;&lt;C&gt;1&lt;/C&gt;&lt;D xsi:type="xsd:double"&gt;1.3838999&lt;/D&gt;&lt;/FQL&gt;&lt;FQL&gt;&lt;Q&gt;EURUSD^FG_PRICE(44299)&lt;/Q&gt;&lt;R&gt;1&lt;/R&gt;&lt;C&gt;1&lt;/C&gt;&lt;D xsi:type="xsd:double"&gt;1.1925501&lt;/D&gt;&lt;/FQL&gt;&lt;FQL&gt;&lt;Q&gt;EURUSD^FG_PRICE(44285)&lt;/Q&gt;&lt;R&gt;1&lt;/R&gt;&lt;C&gt;1&lt;/C&gt;&lt;D xsi:type="xsd:double"&gt;1.17275&lt;/D&gt;&lt;/FQL&gt;&lt;FQL&gt;&lt;Q&gt;GBPUSD^FG_PRICE(44272)&lt;/Q&gt;&lt;R&gt;1&lt;/R&gt;&lt;C&gt;1&lt;/C&gt;&lt;D xsi:type="xsd:double"&gt;1.3886&lt;/D&gt;&lt;/FQL&gt;&lt;FQL&gt;&lt;Q&gt;EURUSD^FG_PRICE(44260)&lt;/Q&gt;&lt;R&gt;1&lt;/R&gt;&lt;C&gt;1&lt;/C&gt;&lt;D xsi:type="xsd:double"&gt;1.1909&lt;/D&gt;&lt;/FQL&gt;&lt;FQL&gt;&lt;Q&gt;GBPUSD^FG_PRICE(44247)&lt;/Q&gt;&lt;R&gt;1&lt;/R&gt;&lt;C&gt;1&lt;/C&gt;&lt;D xsi:type="xsd:double"&gt;1.40135&lt;/D&gt;&lt;/FQL&gt;&lt;FQL&gt;&lt;Q&gt;EURUSD^FG_PRICE(44235)&lt;/Q&gt;&lt;R&gt;1&lt;/R&gt;&lt;C&gt;1&lt;/C&gt;&lt;D xsi:type="xsd:double"&gt;1.2047501&lt;/D&gt;&lt;/FQL&gt;&lt;FQL&gt;&lt;Q&gt;EURUSD^FG_PRICE(44221)&lt;/Q&gt;&lt;R&gt;1&lt;/R&gt;&lt;C&gt;1&lt;/C&gt;&lt;D xsi:type="xsd:double"&gt;1.2129999&lt;/D&gt;&lt;/FQL&gt;&lt;FQL&gt;&lt;Q&gt;GBPUSD^FG_PRICE(44208)&lt;/Q&gt;&lt;R&gt;1&lt;/R&gt;&lt;C&gt;1&lt;/C&gt;&lt;D xsi:type="xsd:double"&gt;1.36225&lt;/D&gt;&lt;/FQL&gt;&lt;FQL&gt;&lt;Q&gt;EURUSD^FG_PRICE(44196)&lt;/Q&gt;&lt;R&gt;1&lt;/R&gt;&lt;C&gt;1&lt;/C&gt;&lt;D xsi:type="xsd:double"&gt;1.22355&lt;/D&gt;&lt;/FQL&gt;&lt;FQL&gt;&lt;Q&gt;GBPUSD^FG_PRICE(44183)&lt;/Q&gt;&lt;R&gt;1&lt;/R&gt;&lt;C&gt;1&lt;/C&gt;&lt;D xsi:type="xsd:double"&gt;1.3484&lt;/D&gt;&lt;/FQL&gt;&lt;FQL&gt;&lt;Q&gt;EURUSD^FG_PRICE(44171)&lt;/Q&gt;&lt;R&gt;1&lt;/R&gt;&lt;C&gt;1&lt;/C&gt;&lt;D xsi:type="xsd:double"&gt;1.2141501&lt;/D&gt;&lt;/FQL&gt;&lt;FQL&gt;&lt;Q&gt;EURUSD^FG_PRICE(44157)&lt;/Q&gt;&lt;R&gt;1&lt;/R&gt;&lt;C&gt;1&lt;/C&gt;&lt;D xsi:type="xsd:double"&gt;1.1854&lt;/D&gt;&lt;/FQL&gt;&lt;FQL&gt;&lt;Q&gt;GBPUSD^FG_PRICE(44144)&lt;/Q&gt;&lt;R&gt;1&lt;/R&gt;&lt;C&gt;1&lt;/C&gt;&lt;D xsi:type="xsd:double"&gt;1.3148&lt;/D&gt;&lt;/FQL&gt;&lt;FQL&gt;&lt;Q&gt;EURUSD^FG_PRICE(44132)&lt;/Q&gt;&lt;R&gt;1&lt;/R&gt;&lt;C&gt;1&lt;/C&gt;&lt;D xsi:type="xsd:double"&gt;1.17515&lt;/D&gt;&lt;/FQL&gt;&lt;FQL&gt;&lt;Q&gt;GBPUSD^FG_PRICE(44119)&lt;/Q&gt;&lt;R&gt;1&lt;/R&gt;&lt;C&gt;1&lt;/C&gt;&lt;D xsi:type="xsd:double"&gt;1.29085&lt;/D&gt;&lt;/FQL&gt;&lt;FQL&gt;&lt;Q&gt;EURUSD^FG_PRICE(44109)&lt;/Q&gt;&lt;R&gt;1&lt;/R&gt;&lt;C&gt;1&lt;/C&gt;&lt;D xsi:type="xsd:double"&gt;1.17925&lt;/D&gt;&lt;/FQL&gt;&lt;FQL&gt;&lt;Q&gt;EURUSD^FG_PRICE(44100)&lt;/Q&gt;&lt;R&gt;1&lt;/R&gt;&lt;C&gt;1&lt;/C&gt;&lt;D xsi:type="xsd:double"&gt;1.1619&lt;/D&gt;&lt;/FQL&gt;&lt;FQL&gt;&lt;Q&gt;EURUSD^FG_PRICE(44092)&lt;/Q&gt;&lt;R&gt;1&lt;/R&gt;&lt;C&gt;1&lt;/C&gt;&lt;D xsi:type="xsd:double"&gt;1.186&lt;/D&gt;&lt;/FQL&gt;&lt;FQL&gt;&lt;Q&gt;GBPUSD^FG_PRICE(44083)&lt;/Q&gt;&lt;R&gt;1&lt;/R&gt;&lt;C&gt;1&lt;/C&gt;&lt;D xsi:type="xsd:double"&gt;1.29995&lt;/D&gt;&lt;/FQL&gt;&lt;FQL&gt;&lt;Q&gt;EURUSD^FG_PRICE(44075)&lt;/Q&gt;&lt;R&gt;1&lt;/R&gt;&lt;C&gt;1&lt;/C&gt;&lt;D xsi:type="xsd:double"&gt;1.19635&lt;/D&gt;&lt;/FQL&gt;&lt;FQL&gt;&lt;Q&gt;EURUSD^FG_PRICE(44067)&lt;/Q&gt;&lt;R&gt;1&lt;/R&gt;&lt;C&gt;1&lt;/C&gt;&lt;D xsi:type="xsd:double"&gt;1.18135&lt;/D&gt;&lt;/FQL&gt;&lt;FQL&gt;&lt;Q&gt;EURUSD^FG_PRICE(44057)&lt;/Q&gt;&lt;R&gt;1&lt;/R&gt;&lt;C&gt;1&lt;/C&gt;&lt;D xsi:type="xsd:double"&gt;1.1829&lt;/D&gt;&lt;/FQL&gt;&lt;FQL&gt;&lt;Q&gt;GBPUSD^FG_PRICE(44048)&lt;/Q&gt;&lt;R&gt;1&lt;/R&gt;&lt;C&gt;1&lt;/C&gt;&lt;D xsi:type="xsd:double"&gt;1.31425&lt;/D&gt;&lt;/FQL&gt;&lt;FQL&gt;&lt;Q&gt;GBPUSD^FG_PRICE(44040)&lt;/Q&gt;&lt;R&gt;1&lt;/R&gt;&lt;C&gt;1&lt;/C&gt;&lt;D xsi:type="xsd:double"&gt;1.2944499&lt;/D&gt;&lt;/FQL&gt;&lt;FQL&gt;&lt;Q&gt;EURUSD^FG_PRICE(44032)&lt;/Q&gt;&lt;R&gt;1&lt;/R&gt;&lt;C&gt;1&lt;/C&gt;&lt;D xsi:type="xsd:double"&gt;1.1439999&lt;/D&gt;&lt;/FQL&gt;&lt;FQL&gt;&lt;Q&gt;GBPUSD^FG_PRICE(44023)&lt;/Q&gt;&lt;R&gt;1&lt;/R&gt;&lt;C&gt;1&lt;/C&gt;&lt;D xsi:type="xsd:double"&gt;1.2660999&lt;/D&gt;&lt;/FQL&gt;&lt;FQL&gt;&lt;Q&gt;GBPUSD^FG_PRICE(44016)&lt;/Q&gt;&lt;R&gt;1&lt;/R&gt;&lt;C&gt;1&lt;/C&gt;&lt;D xsi:type="xsd:double"&gt;1.24675&lt;/D&gt;&lt;/FQL&gt;&lt;FQL&gt;&lt;Q&gt;EURUSD^FG_PRICE(44011)&lt;/Q&gt;&lt;R&gt;1&lt;/R&gt;&lt;C&gt;1&lt;/C&gt;&lt;D xsi:type="xsd:double"&gt;1.1246&lt;/D&gt;&lt;/FQL&gt;&lt;FQL&gt;&lt;Q&gt;EURUSD^FG_PRICE(44004)&lt;/Q&gt;&lt;R&gt;1&lt;/R&gt;&lt;C&gt;1&lt;/C&gt;&lt;D xsi:type="xsd:double"&gt;1.1248499&lt;/D&gt;&lt;/FQL&gt;&lt;FQL&gt;&lt;Q&gt;EURUSD^FG_PRICE(43997)&lt;/Q&gt;&lt;R&gt;1&lt;/R&gt;&lt;C&gt;1&lt;/C&gt;&lt;D xsi:type="xsd:double"&gt;1.12745&lt;/D&gt;&lt;/FQL&gt;&lt;FQL&gt;&lt;Q&gt;GBPUSD^FG_PRICE(43991)&lt;/Q&gt;&lt;R&gt;1&lt;/R&gt;&lt;C&gt;1&lt;/C&gt;&lt;D xsi:type="xsd:double"&gt;1.27225&lt;/D&gt;&lt;/FQL&gt;&lt;FQL&gt;&lt;Q&gt;GBPUSD^FG_PRICE(43984)&lt;/Q&gt;&lt;R&gt;1&lt;/R&gt;&lt;C&gt;1&lt;/C&gt;&lt;D xsi:type="xsd:double"&gt;1.2557&lt;/D&gt;&lt;/FQL&gt;&lt;FQL&gt;&lt;Q&gt;EURUSD^FG_PRICE(43979)&lt;/Q&gt;&lt;R&gt;1&lt;/R&gt;&lt;C&gt;1&lt;/C&gt;&lt;D xsi:type="xsd:double"&gt;1.1055499&lt;/D&gt;&lt;/FQL&gt;&lt;FQL&gt;&lt;Q&gt;EURUSD^FG_PRICE(43972)&lt;/Q&gt;&lt;R&gt;1&lt;/R&gt;&lt;C&gt;1&lt;/C&gt;&lt;D xsi:type="xsd:double"&gt;1.0941501&lt;/D&gt;&lt;/FQL&gt;&lt;FQL&gt;&lt;Q&gt;EURUSD^FG_PRICE(43965)&lt;/Q&gt;&lt;R&gt;1&lt;/R&gt;&lt;C&gt;1&lt;/C&gt;&lt;D xsi:type="xsd:double"&gt;1.0813501&lt;/D&gt;&lt;/FQL&gt;&lt;FQL&gt;&lt;Q&gt;GBPUSD^FG_PRICE(43959)&lt;/Q&gt;&lt;R&gt;1&lt;/R&gt;&lt;C&gt;1&lt;/C&gt;&lt;D xsi:type="xsd:double"&gt;1.2453&lt;/D&gt;&lt;/FQL&gt;&lt;FQL&gt;&lt;Q&gt;GBPUSD^FG_PRICE(43952)&lt;/Q&gt;&lt;R&gt;1&lt;/R&gt;&lt;C&gt;1&lt;/C&gt;&lt;D xsi:type="xsd:double"&gt;1.25425&lt;/D&gt;&lt;/FQL&gt;&lt;FQL&gt;&lt;Q&gt;EURUSD^FG_PRICE(43947)&lt;/Q&gt;&lt;R&gt;1&lt;/R&gt;&lt;C&gt;1&lt;/C&gt;&lt;D xsi:type="xsd:double"&gt;1.0812501&lt;/D&gt;&lt;/FQL&gt;&lt;FQL&gt;&lt;Q&gt;EURUSD^FG_PRICE(43940)&lt;/Q&gt;&lt;R&gt;1&lt;/R&gt;&lt;C&gt;1&lt;/C&gt;&lt;D xsi:type="xsd:double"&gt;1.0889&lt;/D&gt;&lt;/FQL&gt;&lt;FQL&gt;&lt;Q&gt;EURUSD^FG_PRICE(43933)&lt;/Q&gt;&lt;R&gt;1&lt;/R&gt;&lt;C&gt;1&lt;/C&gt;&lt;D xsi:type="xsd:double"&gt;1.093824&lt;/D&gt;&lt;/FQL&gt;&lt;FQL&gt;&lt;Q&gt;GBPUSD^FG_PRICE(43927)&lt;/Q&gt;&lt;R&gt;1&lt;/R&gt;&lt;C&gt;1&lt;/C&gt;&lt;D xsi:type="xsd:double"&gt;1.22555&lt;/D&gt;&lt;/FQL&gt;&lt;FQL&gt;&lt;Q&gt;GBPUSD^FG_PRICE(43920)&lt;/Q&gt;&lt;R&gt;1&lt;/R&gt;&lt;C&gt;1&lt;/C&gt;&lt;D xsi:type="xsd:double"&gt;1.2412499&lt;/D&gt;&lt;/FQL&gt;&lt;FQL&gt;&lt;Q&gt;EURUSD^FG_PRICE(43915)&lt;/Q&gt;&lt;R&gt;1&lt;/R&gt;&lt;C&gt;1&lt;/C&gt;&lt;D xsi:type="xsd:double"&gt;1.08325&lt;/D&gt;&lt;/FQL&gt;&lt;FQL&gt;&lt;Q&gt;EURUSD^FG_PRICE(43908)&lt;/Q&gt;&lt;R&gt;1&lt;/R&gt;&lt;C&gt;1&lt;/C&gt;&lt;D xsi:type="xsd:double"&gt;1.08335&lt;/D&gt;&lt;/FQL&gt;&lt;FQL&gt;&lt;Q&gt;EURUSD^FG_PRICE(43901)&lt;/Q&gt;&lt;R&gt;1&lt;/R&gt;&lt;C&gt;1&lt;/C&gt;&lt;D xsi:type="xsd:double"&gt;1.1277499&lt;/D&gt;&lt;/FQL&gt;&lt;FQL&gt;&lt;Q&gt;GBPUSD^FG_PRICE(43895)&lt;/Q&gt;&lt;R&gt;1&lt;/R&gt;&lt;C&gt;1&lt;/C&gt;&lt;D xsi:type="xsd:double"&gt;1.2922001&lt;/D&gt;&lt;/FQL&gt;&lt;FQL&gt;&lt;Q&gt;GBPUSD^FG_PRICE(43888)&lt;/Q&gt;&lt;R&gt;1&lt;/R&gt;&lt;C&gt;1&lt;/C&gt;&lt;D xsi:type="xsd:double"&gt;1.2873499&lt;/D&gt;&lt;/FQL&gt;&lt;FQL&gt;&lt;Q&gt;EURUSD^FG_PRICE(43883)&lt;/Q&gt;&lt;R&gt;1&lt;/R&gt;&lt;C&gt;1&lt;/C&gt;&lt;D xsi:type="xsd:double"&gt;1.0852&lt;/D&gt;&lt;/FQL&gt;&lt;FQL&gt;&lt;Q&gt;EURUSD^FG_PRICE(43876)&lt;/Q&gt;&lt;R&gt;1&lt;/R&gt;&lt;C&gt;1&lt;/C&gt;&lt;D xsi:type="xsd:double"&gt;1.08455&lt;/D&gt;&lt;/FQL&gt;&lt;FQL&gt;&lt;Q&gt;EURUSD^FG_PRICE(43869)&lt;/Q&gt;&lt;R&gt;1&lt;/R&gt;&lt;C&gt;1&lt;/C&gt;&lt;D xsi:type="xsd:double"&gt;1.0964&lt;/D&gt;&lt;/FQL&gt;&lt;FQL&gt;&lt;Q&gt;GBPUSD^FG_PRICE(43863)&lt;/Q&gt;&lt;R&gt;1&lt;/R&gt;&lt;C&gt;1&lt;/C&gt;&lt;D xsi:type="xsd:double"&gt;1.3182&lt;/D&gt;&lt;/FQL&gt;&lt;FQL&gt;&lt;Q&gt;GBPUSD^FG_PRICE(43856)&lt;/Q&gt;&lt;R&gt;1&lt;/R&gt;&lt;C&gt;1&lt;/C&gt;&lt;D xsi:type="xsd:double"&gt;1.3068&lt;/D&gt;&lt;/FQL&gt;&lt;FQL&gt;&lt;Q&gt;EURUSD^FG_PRICE(43851)&lt;/Q&gt;&lt;R&gt;1&lt;/R&gt;&lt;C&gt;1&lt;/C&gt;&lt;D xsi:type="xsd:double"&gt;1.1098&lt;/D&gt;&lt;/FQL&gt;&lt;FQL&gt;&lt;Q&gt;EURUSD^FG_PRICE(43844)&lt;/Q&gt;&lt;R&gt;1&lt;/R&gt;&lt;C&gt;1&lt;/C&gt;&lt;D xsi:type="xsd:double"&gt;1.11215&lt;/D&gt;&lt;/FQL&gt;&lt;FQL&gt;&lt;Q&gt;EURUSD^FG_PRICE(43837)&lt;/Q&gt;&lt;R&gt;1&lt;/R&gt;&lt;C&gt;1&lt;/C&gt;&lt;D xsi:type="xsd:double"&gt;1.11415&lt;/D&gt;&lt;/FQL&gt;&lt;FQL&gt;&lt;Q&gt;GBPUSD^FG_PRICE(43831)&lt;/Q&gt;&lt;R&gt;1&lt;/R&gt;&lt;C&gt;1&lt;/C&gt;&lt;D xsi:type="xsd:double"&gt;1.32475&lt;/D&gt;&lt;/FQL&gt;&lt;FQL&gt;&lt;Q&gt;EURUSD^FG_PRICE(43826)&lt;/Q&gt;&lt;R&gt;1&lt;/R&gt;&lt;C&gt;1&lt;/C&gt;&lt;D xsi:type="xsd:double"&gt;1.1163&lt;/D&gt;&lt;/FQL&gt;&lt;FQL&gt;&lt;Q&gt;EURUSD^FG_PRICE(43821)&lt;/Q&gt;&lt;R&gt;1&lt;/R&gt;&lt;C&gt;1&lt;/C&gt;&lt;D xsi:type="xsd:double"&gt;1.1085&lt;/D&gt;&lt;/FQL&gt;&lt;FQL&gt;&lt;Q&gt;GBPUSD^FG_PRICE(43816)&lt;/Q&gt;&lt;R&gt;1&lt;/R&gt;&lt;C&gt;1&lt;/C&gt;&lt;D xsi:type="xsd:double"&gt;1.3135&lt;/D&gt;&lt;/FQL&gt;&lt;FQL&gt;&lt;Q&gt;GBPUSD^FG_PRICE(43812)&lt;/Q&gt;&lt;R&gt;1&lt;/R&gt;&lt;C&gt;1&lt;/C&gt;&lt;D xsi:type="xsd:double"&gt;1.33445&lt;/D&gt;&lt;/FQL&gt;&lt;FQL&gt;&lt;Q&gt;GBPUSD^FG_PRICE(43808)&lt;/Q&gt;&lt;R&gt;1&lt;/R&gt;&lt;C&gt;1&lt;/C&gt;&lt;D xsi:type="xsd:double"&gt;1.3155&lt;/D&gt;&lt;/FQL&gt;&lt;FQL&gt;&lt;Q&gt;GBPUSD^FG_PRICE(43804)&lt;/Q&gt;&lt;R&gt;1&lt;/R&gt;&lt;C&gt;1&lt;/C&gt;&lt;D xsi:type="xsd:double"&gt;1.31545&lt;/D&gt;&lt;/FQL&gt;&lt;FQL&gt;&lt;Q&gt;GBPUSD^FG_PRICE(43800)&lt;/Q&gt;&lt;R&gt;1&lt;/R&gt;&lt;C&gt;1&lt;/C&gt;&lt;D xsi:type="xsd:double"&gt;1.2935&lt;/D&gt;&lt;/FQL&gt;&lt;FQL&gt;&lt;Q&gt;GBPUSD^FG_PRICE(43796)&lt;/Q&gt;&lt;R&gt;1&lt;/R&gt;&lt;C&gt;1&lt;/C&gt;&lt;D xsi:type="xsd:double"&gt;1.2877&lt;/D&gt;&lt;/FQL&gt;&lt;FQL&gt;&lt;Q&gt;GBPUSD^FG_PRICE(43792)&lt;/Q&gt;&lt;R&gt;1&lt;/R&gt;&lt;C&gt;1&lt;/C&gt;&lt;D xsi:type="xsd:double"&gt;1.2830501&lt;/D&gt;&lt;/FQL&gt;&lt;FQL&gt;&lt;Q&gt;GBPUSD^FG_PRICE(43788)&lt;/Q&gt;&lt;R&gt;1&lt;/R&gt;&lt;C&gt;1&lt;/C&gt;&lt;D xsi:type="xsd:double"&gt;1.293&lt;/D&gt;&lt;/FQL&gt;&lt;FQL&gt;&lt;Q&gt;GBPUSD^FG_PRICE(43784)&lt;/Q&gt;&lt;R&gt;1&lt;/R&gt;&lt;C&gt;1&lt;/C&gt;&lt;D xsi:type="xsd:double"&gt;1.29035&lt;/D&gt;&lt;/FQL&gt;&lt;FQL&gt;&lt;Q&gt;GBPUSD^FG_PRICE(43780)&lt;/Q&gt;&lt;R&gt;1&lt;/R&gt;&lt;C&gt;1&lt;/C&gt;&lt;D xsi:type="xsd:double"&gt;1.2874&lt;/D&gt;&lt;/FQL&gt;&lt;FQL&gt;&lt;Q&gt;GBPUSD^FG_PRICE(43776)&lt;/Q&gt;&lt;R&gt;1&lt;/R&gt;&lt;C&gt;1&lt;/C&gt;&lt;D xsi:type="xsd:double"&gt;1.2821&lt;/D&gt;&lt;/FQL&gt;&lt;FQL&gt;&lt;Q&gt;GBPUSD^FG_PRICE(43772)&lt;/Q&gt;&lt;R&gt;1&lt;/R&gt;&lt;C&gt;1&lt;/C&gt;&lt;D xsi:type="xsd:double"&gt;1.2949&lt;/D&gt;&lt;/FQL&gt;&lt;FQL&gt;&lt;Q&gt;GBPUSD^FG_PRICE(43768)&lt;/Q&gt;&lt;R&gt;1&lt;/R&gt;&lt;C&gt;1&lt;/C&gt;&lt;D xsi:type="xsd:double"&gt;1.2871&lt;/D&gt;&lt;/FQL&gt;&lt;FQL&gt;&lt;Q&gt;GBPUSD^FG_PRICE(43764)&lt;/Q&gt;&lt;R&gt;1&lt;/R&gt;&lt;C&gt;1&lt;/C&gt;&lt;D xsi:type="xsd:double"&gt;1.2836001&lt;/D&gt;&lt;/FQL&gt;&lt;FQL&gt;&lt;Q&gt;GBPUSD^FG_PRICE(43760)&lt;/Q&gt;&lt;R&gt;1&lt;/R&gt;&lt;C&gt;1&lt;/C&gt;&lt;D xsi:type="xsd:double"&gt;1.2907001&lt;/D&gt;&lt;/FQL&gt;&lt;FQL&gt;&lt;Q&gt;GBPUSD^FG_PRICE(43756)&lt;/Q&gt;&lt;R&gt;1&lt;/R&gt;&lt;C&gt;1&lt;/C&gt;&lt;D xsi:type="xsd:double"&gt;1.29005&lt;/D&gt;&lt;/FQL&gt;&lt;FQL&gt;&lt;Q&gt;GBPUSD^FG_PRICE(43752)&lt;/Q&gt;&lt;R&gt;1&lt;/R&gt;&lt;C&gt;1&lt;/C&gt;&lt;D xsi:type="xsd:double"&gt;1.25825&lt;/D&gt;&lt;/FQL&gt;&lt;FQL&gt;&lt;Q&gt;GBPUSD^FG_PRICE(43748)&lt;/Q&gt;&lt;R&gt;1&lt;/R&gt;&lt;C&gt;1&lt;/C&gt;&lt;D xsi:type="xsd:double"&gt;1.22825&lt;/D&gt;&lt;/FQL&gt;&lt;FQL&gt;&lt;Q&gt;GBPUSD^FG_PRICE(43744)&lt;/Q&gt;&lt;R&gt;1&lt;/R&gt;&lt;C&gt;1&lt;/C&gt;&lt;D xsi:type="xsd:double"&gt;1.22955&lt;/D&gt;&lt;/FQL&gt;&lt;FQL&gt;&lt;Q&gt;GBPUSD^FG_PRICE(43740)&lt;/Q&gt;&lt;R&gt;1&lt;/R&gt;&lt;C&gt;1&lt;/C&gt;&lt;D xsi:type="xsd:double"&gt;1.2304499&lt;/D&gt;&lt;/FQL&gt;&lt;FQL&gt;&lt;Q&gt;GBPUSD^FG_PRICE(43736)&lt;/Q&gt;&lt;R&gt;1&lt;/R&gt;&lt;C&gt;1&lt;/C&gt;&lt;D xsi:type="xsd:double"&gt;1.2312&lt;/D&gt;&lt;/FQL&gt;&lt;FQL&gt;&lt;Q&gt;GBPUSD^FG_PRICE(43732)&lt;/Q&gt;&lt;R&gt;1&lt;/R&gt;&lt;C&gt;1&lt;/C&gt;&lt;D xsi:type="xsd:double"&gt;1.2477001&lt;/D&gt;&lt;/FQL&gt;&lt;FQL&gt;&lt;Q&gt;GBPUSD^FG_PRICE(43728)&lt;/Q&gt;&lt;R&gt;1&lt;/R&gt;&lt;C&gt;1&lt;/C&gt;&lt;D xsi:type="xsd:double"&gt;1.2503&lt;/D&gt;&lt;/FQL&gt;&lt;FQL&gt;&lt;Q&gt;GBPUSD^FG_PRICE(43724)&lt;/Q&gt;&lt;R&gt;1&lt;/R&gt;&lt;C&gt;1&lt;/C&gt;&lt;D xsi:type="xsd:double"&gt;1.24195&lt;/D&gt;&lt;/FQL&gt;&lt;FQL&gt;&lt;Q&gt;EURUSD^FG_PRICE(44823)&lt;/Q&gt;&lt;R&gt;1&lt;/R&gt;&lt;C&gt;1&lt;/C&gt;&lt;D xsi:type="xsd:double"&gt;1.00125&lt;/D&gt;&lt;/FQL&gt;&lt;FQL&gt;&lt;Q&gt;EURUSD^FG_PRICE(44805)&lt;/Q&gt;&lt;R&gt;1&lt;/R&gt;&lt;C&gt;1&lt;/C&gt;&lt;D xsi:type="xsd:double"&gt;0.9936&lt;/D&gt;&lt;/FQL&gt;&lt;FQL&gt;&lt;Q&gt;EURUSD^FG_PRICE(44789)&lt;/Q&gt;&lt;R&gt;1&lt;/R&gt;&lt;C&gt;1&lt;/C&gt;&lt;D xsi:type="xsd:double"&gt;1.01795&lt;/D&gt;&lt;/FQL&gt;&lt;FQL&gt;&lt;Q&gt;GBPUSD^FG_PRICE(44771)&lt;/Q&gt;&lt;R&gt;1&lt;/R&gt;&lt;C&gt;1&lt;/C&gt;&lt;D xsi:type="xsd:double"&gt;1.2169&lt;/D&gt;&lt;/FQL&gt;&lt;FQL&gt;&lt;Q&gt;EURUSD^FG_PRICE(44755)&lt;/Q&gt;&lt;R&gt;1&lt;/R&gt;&lt;C&gt;1&lt;/C&gt;&lt;D xsi:type="xsd:double"&gt;1.01095&lt;/D&gt;&lt;/FQL&gt;&lt;FQL&gt;&lt;Q&gt;EURUSD^FG_PRICE(44739)&lt;/Q&gt;&lt;R&gt;1&lt;/R&gt;&lt;C&gt;1&lt;/C&gt;&lt;D xsi:type="xsd:double"&gt;1.05975&lt;/D&gt;&lt;/FQL&gt;&lt;FQL&gt;&lt;Q&gt;EURUSD^FG_PRICE(44720)&lt;/Q&gt;&lt;R&gt;1&lt;/R&gt;&lt;C&gt;1&lt;/C&gt;&lt;D xsi:type="xsd:double"&gt;1.07315&lt;/D&gt;&lt;/FQL&gt;&lt;FQL&gt;&lt;Q&gt;GBPUSD^FG_PRICE(44703)&lt;/Q&gt;&lt;R&gt;1&lt;/R&gt;&lt;C&gt;1&lt;/C&gt;&lt;D xsi:type="xsd:double"&gt;1.2467&lt;/D&gt;&lt;/FQL&gt;&lt;FQL&gt;&lt;Q&gt;GBPUSD^FG_PRICE(44687)&lt;/Q&gt;&lt;R&gt;1&lt;/R&gt;&lt;C&gt;1&lt;/C&gt;&lt;D xsi:type="xsd:double"&gt;1.23525&lt;/D&gt;&lt;/FQL&gt;&lt;FQL&gt;&lt;Q&gt;GBPUSD^FG_PRICE(44668)&lt;/Q&gt;&lt;R&gt;1&lt;/R&gt;&lt;C&gt;1&lt;/C&gt;&lt;D xsi:type="xsd:double"&gt;1.3045499&lt;/D&gt;&lt;/FQL&gt;&lt;FQL&gt;&lt;Q&gt;EURUSD^FG_PRICE(44652)&lt;/Q&gt;&lt;R&gt;1&lt;/R&gt;&lt;C&gt;1&lt;/C&gt;&lt;D xsi:type="xsd:double"&gt;1.10365&lt;/D&gt;&lt;/FQL&gt;&lt;FQL&gt;&lt;Q&gt;EURUSD^FG_PRICE(44636)&lt;/Q&gt;&lt;R&gt;1&lt;/R&gt;&lt;C&gt;1&lt;/C&gt;&lt;D xsi:type="xsd:double"&gt;1.09935&lt;/D&gt;&lt;/FQL&gt;&lt;FQL&gt;&lt;Q&gt;EURUSD^FG_PRICE(44617)&lt;/Q&gt;&lt;R&gt;1&lt;/R&gt;&lt;C&gt;1&lt;/C&gt;&lt;D xsi:type="xsd:double"&gt;1.12455&lt;/D&gt;&lt;/FQL&gt;&lt;FQL&gt;&lt;Q&gt;GBPUSD^FG_PRICE(44600)&lt;/Q&gt;&lt;R&gt;1&lt;/R&gt;&lt;C&gt;1&lt;/C&gt;&lt;D xsi:type="xsd:double"&gt;1.3554&lt;/D&gt;&lt;/FQL&gt;&lt;FQL&gt;&lt;Q&gt;GBPUSD^FG_PRICE(44584)&lt;/Q&gt;&lt;R&gt;1&lt;/R&gt;&lt;C&gt;1&lt;/C&gt;&lt;D xsi:type="xsd:double"&gt;1.3554499&lt;/D&gt;&lt;/FQL&gt;&lt;FQL&gt;&lt;Q&gt;EURUSD^FG_PRICE(44567)&lt;/Q&gt;&lt;R&gt;1&lt;/R&gt;&lt;C&gt;1&lt;/C&gt;&lt;D xsi:type="xsd:double"&gt;1.1296&lt;/D&gt;&lt;/FQL&gt;&lt;FQL&gt;&lt;Q&gt;EURUSD^FG_PRICE(44549)&lt;/Q&gt;&lt;R&gt;1&lt;/R&gt;&lt;C&gt;1&lt;/C&gt;&lt;D xsi:type="xsd:double"&gt;1.12745&lt;/D&gt;&lt;/FQL&gt;&lt;FQL&gt;&lt;Q&gt;EURUSD^FG_PRICE(44533)&lt;/Q&gt;&lt;R&gt;1&lt;/R&gt;&lt;C&gt;1&lt;/C&gt;&lt;D xsi:type="xsd:double"&gt;1.128&lt;/D&gt;&lt;/FQL&gt;&lt;FQL&gt;&lt;Q&gt;GBPUSD^FG_PRICE(44515)&lt;/Q&gt;&lt;R&gt;1&lt;/R&gt;&lt;C&gt;1&lt;/C&gt;&lt;D xsi:type="xsd:double"&gt;1.3432001&lt;/D&gt;&lt;/FQL&gt;&lt;FQL&gt;&lt;Q&gt;EURUSD^FG_PRICE(44499)&lt;/Q&gt;&lt;R&gt;1&lt;/R&gt;&lt;C&gt;1&lt;/C&gt;&lt;D xsi:type="xsd:double"&gt;1.15725&lt;/D&gt;&lt;/FQL&gt;&lt;FQL&gt;&lt;Q&gt;EURUSD^FG_PRICE(44483)&lt;/Q&gt;&lt;R&gt;1&lt;/R&gt;&lt;C&gt;1&lt;/C&gt;&lt;D xsi:type="xsd:double"&gt;1.15895&lt;/D&gt;&lt;/FQL&gt;&lt;FQL&gt;&lt;Q&gt;EURUSD^FG_PRICE(44464)&lt;/Q&gt;&lt;R&gt;1&lt;/R&gt;&lt;C&gt;1&lt;/C&gt;&lt;D xsi:type="xsd:double"&gt;1.17135&lt;/D&gt;&lt;/FQL&gt;&lt;FQL&gt;&lt;Q&gt;GBPUSD^FG_PRICE(44447)&lt;/Q&gt;&lt;R&gt;1&lt;/R&gt;&lt;C&gt;1&lt;/C&gt;&lt;D xsi:type="xsd:double"&gt;1.3736999&lt;/D&gt;&lt;/FQL&gt;&lt;FQL&gt;&lt;Q&gt;GBPUSD^FG_PRICE(44431)&lt;/Q&gt;&lt;R&gt;1&lt;/R&gt;&lt;C&gt;1&lt;/C&gt;&lt;D xsi:type="xsd:double"&gt;1.3719&lt;/D&gt;&lt;/FQL&gt;&lt;FQL&gt;&lt;Q&gt;GBPUSD^FG_PRICE(44412)&lt;/Q&gt;&lt;R&gt;1&lt;/R&gt;&lt;C&gt;1&lt;/C&gt;&lt;D xsi:type="xsd:double"&gt;1.39095&lt;/D&gt;&lt;/FQL&gt;&lt;FQL&gt;&lt;Q&gt;GBPUSD^FG_PRICE(44399)&lt;/Q&gt;&lt;R&gt;1&lt;/R&gt;&lt;C&gt;1&lt;/C&gt;&lt;D xsi:type="xsd:double"&gt;1.3757&lt;/D&gt;&lt;/FQL&gt;&lt;FQL&gt;&lt;Q&gt;EURUSD^FG_PRICE(44387)&lt;/Q&gt;&lt;R&gt;1&lt;/R&gt;&lt;C&gt;1&lt;/C&gt;&lt;D xsi:type="xsd:double"&gt;1.18645&lt;/D&gt;&lt;/FQL&gt;&lt;FQL&gt;&lt;Q&gt;EURUSD^FG_PRICE(44373)&lt;/Q&gt;&lt;R&gt;1&lt;/R&gt;&lt;C&gt;1&lt;/C&gt;&lt;D xsi:type="xsd:double"&gt;1.1951&lt;/D&gt;&lt;/FQL&gt;&lt;FQL&gt;&lt;Q&gt;GBPUSD^FG_PRICE(44360)&lt;/Q&gt;&lt;R&gt;1&lt;/R&gt;&lt;C&gt;1&lt;/C&gt;&lt;D xsi:type="xsd:double"&gt;1.41245&lt;/D&gt;&lt;/FQL&gt;&lt;FQL&gt;&lt;Q&gt;EURUSD^FG_PRICE(44348)&lt;/Q&gt;&lt;R&gt;1&lt;/R&gt;&lt;C&gt;1&lt;/C&gt;&lt;D xsi:type="xsd:double"&gt;1.2245&lt;/D&gt;&lt;/FQL&gt;&lt;FQL&gt;&lt;Q&gt;GBPUSD^FG_PRICE(44335)&lt;/Q&gt;&lt;R&gt;1&lt;/R&gt;&lt;C&gt;1&lt;/C&gt;&lt;D xsi:type="xsd:double"&gt;1.41455&lt;/D&gt;&lt;/FQL&gt;&lt;FQL&gt;&lt;Q&gt;EURUSD^FG_PRICE(44323)&lt;/Q&gt;&lt;R&gt;1&lt;/R&gt;&lt;C&gt;1&lt;/C&gt;&lt;D xsi:type="xsd:double"&gt;1.2142&lt;/D&gt;&lt;/FQL&gt;&lt;FQL&gt;&lt;Q&gt;EURUSD^FG_PRICE(44309)&lt;/Q&gt;&lt;R&gt;1&lt;/R&gt;&lt;C&gt;1&lt;/C&gt;&lt;D xsi:type="xsd:double"&gt;1.20495&lt;/D&gt;&lt;/FQL&gt;&lt;FQL&gt;&lt;Q&gt;GBPUSD^FG_PRICE(44296)&lt;/Q&gt;&lt;R&gt;1&lt;/R&gt;&lt;C&gt;1&lt;/C&gt;&lt;D xsi:type="xsd:double"&gt;1.373&lt;/D&gt;&lt;/FQL&gt;&lt;FQL&gt;&lt;Q&gt;EURUSD^FG_PRICE(44284)&lt;/Q&gt;&lt;R&gt;1&lt;/R&gt;&lt;C&gt;1&lt;/C&gt;&lt;D xsi:type="xsd:double"&gt;1.17635&lt;/D&gt;&lt;/FQL&gt;&lt;FQL&gt;&lt;Q&gt;GBPUSD^FG_PRICE(44271)&lt;/Q&gt;&lt;R&gt;1&lt;/R&gt;&lt;C&gt;1&lt;/C&gt;&lt;D xsi:type="xsd:double"&gt;1.3893&lt;/D&gt;&lt;/FQL&gt;&lt;FQL&gt;&lt;Q&gt;EURUSD^FG_PRICE(44259)&lt;/Q&gt;&lt;R&gt;1&lt;/R&gt;&lt;C&gt;1&lt;/C&gt;&lt;D xsi:type="xsd:double"&gt;1.2041&lt;/D&gt;&lt;/FQL&gt;&lt;FQL&gt;&lt;Q&gt;EURUSD^FG_PRICE(44245)&lt;/Q&gt;&lt;R&gt;1&lt;/R&gt;&lt;C&gt;1&lt;/C&gt;&lt;D xsi:type="xsd:double"&gt;1.2073001&lt;/D&gt;&lt;/FQL&gt;&lt;FQL&gt;&lt;Q&gt;GBPUSD^FG_PRICE(44232)&lt;/Q&gt;&lt;R&gt;1&lt;/R&gt;&lt;C&gt;1&lt;/C&gt;&lt;D xsi:type="xsd:double"&gt;1.37255&lt;/D&gt;&lt;/FQL&gt;&lt;FQL&gt;&lt;Q&gt;EURUSD^FG_PRICE(44220)&lt;/Q&gt;&lt;R&gt;1&lt;/R&gt;&lt;C&gt;1&lt;/C&gt;&lt;D xsi:type="xsd:double"&gt;1.21725&lt;/D&gt;&lt;/FQL&gt;&lt;FQL&gt;&lt;Q&gt;GBPUSD^FG_PRICE(44207)&lt;/Q&gt;&lt;R&gt;1&lt;/R&gt;&lt;C&gt;1&lt;/C&gt;&lt;D xsi:type="xsd:double"&gt;1.34885&lt;/D&gt;&lt;/FQL&gt;&lt;FQL&gt;&lt;Q&gt;EURUSD^FG_PRICE(44195)&lt;/Q&gt;&lt;R&gt;1&lt;/R&gt;&lt;C&gt;1&lt;/C&gt;&lt;D xsi:type="xsd:double"&gt;1.23005&lt;/D&gt;&lt;/FQL&gt;&lt;FQL&gt;&lt;Q&gt;EURUSD^FG_PRICE(44181)&lt;/Q&gt;&lt;R&gt;1&lt;/R&gt;&lt;C&gt;1&lt;/C&gt;&lt;D xsi:type="xsd:double"&gt;1.21865&lt;/D&gt;&lt;/FQL&gt;&lt;FQL&gt;&lt;Q&gt;GBPUSD^FG_PRICE(44168)&lt;/Q&gt;&lt;R&gt;1&lt;/R&gt;&lt;C&gt;1&lt;/C&gt;&lt;D xsi:type="xsd:double"&gt;1.34985&lt;/D&gt;&lt;/FQL&gt;&lt;FQL&gt;&lt;Q&gt;EURUSD^FG_PRICE(44156)&lt;/Q&gt;&lt;R&gt;1&lt;/R&gt;&lt;C&gt;1&lt;/C&gt;&lt;D xsi:type="xsd:double"&gt;1.1854&lt;/D&gt;&lt;/FQL&gt;&lt;FQL&gt;&lt;Q&gt;GBPUSD^FG_PRICE(44143)&lt;/Q&gt;&lt;R&gt;1&lt;/R&gt;&lt;C&gt;1&lt;/C&gt;&lt;D xsi:type="xsd:double"&gt;1.3144499&lt;/D&gt;&lt;/FQL&gt;&lt;FQL&gt;&lt;Q&gt;EURUSD^FG_PRICE(44131)&lt;/Q&gt;&lt;R&gt;1&lt;/R&gt;&lt;C&gt;1&lt;/C&gt;&lt;D xsi:type="xsd:double"&gt;1.1833&lt;/D&gt;&lt;/FQL&gt;&lt;FQL&gt;&lt;Q&gt;EURUSD^FG_PRICE(44117)&lt;/Q&gt;&lt;R&gt;1&lt;/R&gt;&lt;C&gt;1&lt;/C&gt;&lt;D xsi:type="xsd:double"&gt;1.1744&lt;/D&gt;&lt;/FQL&gt;&lt;FQL&gt;&lt;Q&gt;EURUSD^FG_PRICE(44107)&lt;/Q&gt;&lt;R&gt;1&lt;/R&gt;&lt;C&gt;1&lt;/C&gt;&lt;D xsi:type="xsd:double"&gt;1.17145&lt;/D&gt;&lt;/FQL&gt;&lt;FQL&gt;&lt;Q&gt;EURUSD^FG_PRICE(44099)&lt;/Q&gt;&lt;R&gt;1&lt;/R&gt;&lt;C&gt;1&lt;/C&gt;&lt;D xsi:type="xsd:double"&gt;1.1619&lt;/D&gt;&lt;/FQL&gt;&lt;FQL&gt;&lt;Q&gt;EURUSD^FG_PRICE(44089)&lt;/Q&gt;&lt;R&gt;1&lt;/R&gt;&lt;C&gt;1&lt;/C&gt;&lt;D xsi:type="xsd:double"&gt;1.18505&lt;/D&gt;&lt;/FQL&gt;&lt;FQL&gt;&lt;Q&gt;GBPUSD^FG_PRICE(44080)&lt;/Q&gt;&lt;R&gt;1&lt;/R&gt;&lt;C&gt;1&lt;/C&gt;&lt;D xsi:type="xsd:double"&gt;1.3208&lt;/D&gt;&lt;/FQL&gt;&lt;FQL&gt;&lt;Q&gt;GBPUSD^FG_PRICE(44072)&lt;/Q&gt;&lt;R&gt;1&lt;/R&gt;&lt;C&gt;1&lt;/C&gt;&lt;D xsi:type="xsd:double"&gt;1.3331001&lt;/D&gt;&lt;/FQL&gt;&lt;FQL&gt;&lt;Q&gt;EURUSD^FG_PRICE(44064)&lt;/Q&gt;&lt;R&gt;1&lt;/R&gt;&lt;C&gt;1&lt;/C&gt;&lt;D xsi:type="xsd:double"&gt;1.17795&lt;/D&gt;&lt;/FQL&gt;&lt;FQL&gt;&lt;Q&gt;GBPUSD^FG_PRICE(44055)&lt;/Q&gt;&lt;R&gt;1&lt;/R&gt;&lt;C&gt;1&lt;/C&gt;&lt;D xsi:type="xsd:double"&gt;1.3054&lt;/D&gt;&lt;/FQL&gt;&lt;FQL&gt;&lt;Q&gt;GBPUSD^FG_PRICE(44047)&lt;/Q&gt;&lt;R&gt;1&lt;/R&gt;&lt;C&gt;1&lt;/C&gt;&lt;D xsi:type="xsd:double"&gt;1.3044&lt;/D&gt;&lt;/FQL&gt;&lt;FQL&gt;&lt;Q&gt;EURUSD^FG_PRICE(44039)&lt;/Q&gt;&lt;R&gt;1&lt;/R&gt;&lt;C&gt;1&lt;/C&gt;&lt;D xsi:type="xsd:double"&gt;1.17775&lt;/D&gt;&lt;/FQL&gt;&lt;FQL&gt;&lt;Q&gt;EURUSD^FG_PRICE(44029)&lt;/Q&gt;&lt;R&gt;1&lt;/R&gt;&lt;C&gt;1&lt;/C&gt;&lt;D xsi:type="xsd:double"&gt;1.1422&lt;/D&gt;&lt;/FQL&gt;&lt;FQL&gt;&lt;Q&gt;EURUSD^FG_PRICE(44021)&lt;/Q&gt;&lt;R&gt;1&lt;/R&gt;&lt;C&gt;1&lt;/C&gt;&lt;D xsi:type="xsd:double"&gt;1.12935&lt;/D&gt;&lt;/FQL&gt;&lt;FQL&gt;&lt;Q&gt;GBPUSD^FG_PRICE(44015)&lt;/Q&gt;&lt;R&gt;1&lt;/R&gt;&lt;C&gt;1&lt;/C&gt;&lt;D xsi:type="xsd:double"&gt;1.24675&lt;/D&gt;&lt;/FQL&gt;&lt;FQL&gt;&lt;Q&gt;GBPUSD^FG_PRICE(44008)&lt;/Q&gt;&lt;R&gt;1&lt;/R&gt;&lt;C&gt;1&lt;/C&gt;&lt;D xsi:type="xsd:double"&gt;1.23175&lt;/D&gt;&lt;/FQL&gt;&lt;FQL&gt;&lt;Q&gt;EURUSD^FG_PRICE(44003)&lt;/Q&gt;&lt;R&gt;1&lt;/R&gt;&lt;C&gt;1&lt;/C&gt;&lt;D xsi:type="xsd:double"&gt;1.11835&lt;/D&gt;&lt;/FQL&gt;&lt;FQL&gt;&lt;Q&gt;EURUSD^FG_PRICE(43996)&lt;/Q&gt;&lt;R&gt;1&lt;/R&gt;&lt;C&gt;1&lt;/C&gt;&lt;D xsi:type="xsd:double"&gt;1.12465&lt;/D&gt;&lt;/FQL&gt;&lt;FQL&gt;&lt;Q&gt;EURUSD^FG_PRICE(43989)&lt;/Q&gt;&lt;R&gt;1&lt;/R&gt;&lt;C&gt;1&lt;/C&gt;&lt;D xsi:type="xsd:double"&gt;1.13135&lt;/D&gt;&lt;/FQL&gt;&lt;FQL&gt;&lt;Q&gt;GBPUSD^FG_PRICE(43983)&lt;/Q&gt;&lt;R&gt;1&lt;/R&gt;&lt;C&gt;1&lt;/C&gt;&lt;D xsi:type="xsd:double"&gt;1.2483001&lt;/D&gt;&lt;/FQL&gt;&lt;FQL&gt;&lt;Q&gt;GBPUSD^FG_PRICE(43976)&lt;/Q&gt;&lt;R&gt;1&lt;/R&gt;&lt;C&gt;1&lt;/C&gt;&lt;D xsi:type="xsd:double"&gt;1.2196&lt;/D&gt;&lt;/FQL&gt;&lt;FQL&gt;&lt;Q&gt;EURUSD^FG_PRICE(43971)&lt;/Q&gt;&lt;R&gt;1&lt;/R&gt;&lt;C&gt;1&lt;/C&gt;&lt;D xsi:type="xsd:double"&gt;1.09925&lt;/D&gt;&lt;/FQL&gt;&lt;FQL&gt;&lt;Q&gt;EURUSD^FG_PRICE(43964)&lt;/Q&gt;&lt;R&gt;1&lt;/R&gt;&lt;C&gt;1&lt;/C&gt;&lt;D xsi:type="xsd:double"&gt;1.0839&lt;/D&gt;&lt;/FQL&gt;&lt;FQL&gt;&lt;Q&gt;EURUSD^FG_PRICE(43957)&lt;/Q&gt;&lt;R&gt;1&lt;/R&gt;&lt;C&gt;1&lt;/C&gt;&lt;D xsi:type="xsd:double"&gt;1.0797501&lt;/D&gt;&lt;/FQL&gt;&lt;FQL&gt;&lt;Q&gt;GBPUSD^FG_PRICE(43951)&lt;/Q&gt;&lt;R&gt;1&lt;/R&gt;&lt;C&gt;1&lt;/C&gt;&lt;D xsi:type="xsd:double"&gt;1.2613499&lt;/D&gt;&lt;/FQL&gt;&lt;FQL&gt;&lt;Q&gt;GBPUSD^FG_PRICE(43944)&lt;/Q&gt;&lt;R&gt;1&lt;/R&gt;&lt;C&gt;1&lt;/C&gt;&lt;D xsi:type="xsd:double"&gt;1.2387&lt;/D&gt;&lt;/FQL&gt;&lt;FQL&gt;&lt;Q&gt;EURUSD^FG_PRICE(43939)&lt;/Q&gt;&lt;R&gt;1&lt;/R&gt;&lt;C&gt;1&lt;/C&gt;&lt;D xsi:type="xsd:double"&gt;1.0889&lt;/D&gt;&lt;/FQL&gt;&lt;FQL&gt;&lt;Q&gt;EURUSD^FG_PRICE(43932)&lt;/Q&gt;&lt;R&gt;1&lt;/R&gt;&lt;C&gt;1&lt;/C&gt;&lt;D xsi:type="xsd:double"&gt;1.093824&lt;/D&gt;&lt;/FQL&gt;&lt;FQL&gt;&lt;Q&gt;EURUSD^FG_PRICE(43925)&lt;/Q&gt;&lt;R&gt;1&lt;/R&gt;&lt;C&gt;1&lt;/C&gt;&lt;D xsi:type="xsd:double"&gt;1.07985&lt;/D&gt;&lt;/FQL&gt;&lt;FQL&gt;&lt;Q&gt;GBPUSD^FG_PRICE(43919)&lt;/Q&gt;&lt;R&gt;1&lt;/R&gt;&lt;C&gt;1&lt;/C&gt;&lt;D xsi:type="xsd:double"&gt;1.2354&lt;/D&gt;&lt;/FQL&gt;&lt;FQL&gt;&lt;Q&gt;GBPUSD^FG_PRICE(43912)&lt;/Q&gt;&lt;R&gt;1&lt;/R&gt;&lt;C&gt;1&lt;/C&gt;&lt;D xsi:type="xsd:double"&gt;1.17435&lt;/D&gt;&lt;/FQL&gt;&lt;FQL&gt;&lt;Q&gt;EURUSD^FG_PRICE(43907)&lt;/Q&gt;&lt;R&gt;1&lt;/R&gt;&lt;C&gt;1&lt;/C&gt;&lt;D xsi:type="xsd:double"&gt;1.0972&lt;/D&gt;&lt;/FQL&gt;&lt;FQL&gt;&lt;Q&gt;EURUSD^FG_PRICE(43900)&lt;/Q&gt;&lt;R&gt;1&lt;/R&gt;&lt;C&gt;1&lt;/C&gt;&lt;D xsi:type="xsd:double"&gt;1.13445&lt;/D&gt;&lt;/FQL&gt;&lt;FQL&gt;&lt;Q&gt;EURUSD^FG_PRICE(43893)&lt;/Q&gt;&lt;R&gt;1&lt;/R&gt;&lt;C&gt;1&lt;/C&gt;&lt;D xsi:type="xsd:double"&gt;1.1178&lt;/D&gt;&lt;/FQL&gt;&lt;FQL&gt;&lt;Q&gt;GBPUSD^FG_PRICE(43887)&lt;/Q&gt;&lt;R&gt;1&lt;/R&gt;&lt;C&gt;1&lt;/C&gt;&lt;D xsi:type="xsd:double"&gt;1.29165&lt;/D&gt;&lt;/FQL&gt;&lt;FQL&gt;&lt;Q&gt;GBPUSD^FG_PRICE(43880)&lt;/Q&gt;&lt;R&gt;1&lt;/R&gt;&lt;C&gt;1&lt;/C&gt;&lt;D xsi:type="xsd:double"&gt;1.2951499&lt;/D&gt;&lt;/FQL&gt;&lt;FQL&gt;&lt;Q&gt;EURUSD^FG_PRICE(43875)&lt;/Q&gt;&lt;R&gt;1&lt;/R&gt;&lt;C&gt;1&lt;/C&gt;&lt;D xsi:type="xsd:double"&gt;1.08455&lt;/D&gt;&lt;/FQL&gt;&lt;FQL&gt;&lt;Q&gt;EURUSD^FG_PRICE(43868)&lt;/Q&gt;&lt;R&gt;1&lt;/R&gt;&lt;C&gt;1&lt;/C&gt;&lt;D xsi:type="xsd:double"&gt;1.0964&lt;/D&gt;&lt;/FQL&gt;&lt;FQL&gt;&lt;Q&gt;EURUSD^FG_PRICE(43861)&lt;/Q&gt;&lt;R&gt;1&lt;/R&gt;&lt;C&gt;1&lt;/C&gt;&lt;D xsi:type="xsd:double"&gt;1.1082&lt;/D&gt;&lt;/FQL&gt;&lt;FQL&gt;&lt;Q&gt;GBPUSD^FG_PRICE(43855)&lt;/Q&gt;&lt;R&gt;1&lt;/R&gt;&lt;C&gt;1&lt;/C&gt;&lt;D xsi:type="xsd:double"&gt;1.3068&lt;/D&gt;&lt;/FQL&gt;&lt;FQL&gt;&lt;Q&gt;GBPUSD^FG_PRICE(43848)&lt;/Q&gt;&lt;R&gt;1&lt;/R&gt;&lt;C&gt;1&lt;/C&gt;&lt;D xsi:type="xsd:double"&gt;1.3031&lt;/D&gt;&lt;/FQL&gt;&lt;FQL&gt;&lt;Q&gt;EURUSD^FG_PRICE(43843)&lt;/Q&gt;&lt;R&gt;1&lt;/R&gt;&lt;C&gt;1&lt;/C&gt;&lt;D xsi:type="xsd:double"&gt;1.1134&lt;/D&gt;&lt;/FQL&gt;&lt;FQL&gt;&lt;Q&gt;EURUSD^FG_PRICE(43836)&lt;/Q&gt;&lt;R&gt;1&lt;/R&gt;&lt;C&gt;1&lt;/C&gt;&lt;D xsi:type="xsd:double"&gt;1.11895&lt;/D&gt;&lt;/FQL&gt;&lt;FQL&gt;&lt;Q&gt;EURUSD^FG_PRICE(43830)&lt;/Q&gt;&lt;R&gt;1&lt;/R&gt;&lt;C&gt;1&lt;/C&gt;&lt;D xsi:type="xsd:double"&gt;1.1225&lt;/D&gt;&lt;/FQL&gt;&lt;FQL&gt;&lt;Q&gt;GBPUSD^FG_PRICE(43824)&lt;/Q&gt;&lt;R&gt;1&lt;/R&gt;&lt;C&gt;1&lt;/C&gt;&lt;D xsi:type="xsd:double"&gt;1.2962999&lt;/D&gt;&lt;/FQL&gt;&lt;FQL&gt;&lt;Q&gt;EURUSD^FG_PRICE(43820)&lt;/Q&gt;&lt;R&gt;1&lt;/R&gt;&lt;C&gt;1&lt;/C&gt;&lt;D xsi:type="xsd:double"&gt;1.1085&lt;/D&gt;&lt;/FQL&gt;&lt;FQL&gt;&lt;Q&gt;GBPUSD^FG_PRICE(43815)&lt;/Q&gt;&lt;R&gt;1&lt;/R&gt;&lt;C&gt;1&lt;/C&gt;&lt;D xsi:type="xsd:double"&gt;1.3335&lt;/D&gt;&lt;/FQL&gt;&lt;FQL&gt;&lt;Q&gt;GBPUSD^FG_PRICE(43811)&lt;/Q&gt;&lt;R&gt;1&lt;/R&gt;&lt;C&gt;1&lt;/C&gt;&lt;D xsi:type="xsd:double"&gt;1.31195&lt;/D&gt;&lt;/FQL&gt;&lt;FQL&gt;&lt;Q&gt;GBPUSD^FG_PRICE(43807)&lt;/Q&gt;&lt;R&gt;1&lt;/R&gt;&lt;C&gt;1&lt;/C&gt;&lt;D xsi:type="xsd:double"&gt;1.31065&lt;/D&gt;&lt;/FQL&gt;&lt;FQL&gt;&lt;Q&gt;GBPUSD^FG_PRICE(43803)&lt;/Q&gt;&lt;R&gt;1&lt;/R&gt;&lt;C&gt;1&lt;/C&gt;&lt;D xsi:type="xsd:double"&gt;1.3109001&lt;/D&gt;&lt;/FQL&gt;&lt;FQL&gt;&lt;Q&gt;GBPUSD^FG_PRICE(43799)&lt;/Q&gt;&lt;R&gt;1&lt;/R&gt;&lt;C&gt;1&lt;/C&gt;&lt;D xsi:type="xsd:double"&gt;1.2935&lt;/D&gt;&lt;/FQL&gt;&lt;FQL&gt;&lt;Q&gt;GBPUSD^FG_PRICE(43795)&lt;/Q&gt;&lt;R&gt;1&lt;/R&gt;&lt;C&gt;1&lt;/C&gt;&lt;D xsi:type="xsd:double"&gt;1.2839999&lt;/D&gt;&lt;/FQL&gt;&lt;FQL&gt;&lt;Q&gt;GBPUSD^FG_PRICE(43791)&lt;/Q&gt;&lt;R&gt;1&lt;/R&gt;&lt;C&gt;1&lt;/C&gt;&lt;D xsi:type="xsd:double"&gt;1.2830501&lt;/D&gt;&lt;/FQL&gt;&lt;FQL&gt;&lt;Q&gt;GBPUSD^FG_PRICE(43787)&lt;/Q&gt;&lt;R&gt;1&lt;/R&gt;&lt;C&gt;1&lt;/C&gt;&lt;D xsi:type="xsd:double"&gt;1.29655&lt;/D&gt;&lt;/FQL&gt;&lt;FQL&gt;&lt;Q&gt;GBPUSD^FG_PRICE(43783)&lt;/Q&gt;&lt;R&gt;1&lt;/R&gt;&lt;C&gt;1&lt;/C&gt;&lt;D xsi:type="xsd:double"&gt;1.28575&lt;/D&gt;&lt;/FQL&gt;&lt;FQL&gt;&lt;Q&gt;GBPUSD^FG_PRICE(43779)&lt;/Q&gt;&lt;R&gt;1&lt;/R&gt;&lt;C&gt;1&lt;/C&gt;&lt;D xsi:type="xsd:double"&gt;1.2794&lt;/D&gt;&lt;/FQL&gt;&lt;FQL&gt;&lt;Q&gt;GBPUSD^FG_PRICE(43775)&lt;/Q&gt;&lt;R&gt;1&lt;/R&gt;&lt;C&gt;1&lt;/C&gt;&lt;D xsi:type="xsd:double"&gt;1.2874501&lt;/D&gt;&lt;/FQL&gt;&lt;FQL&gt;&lt;Q&gt;GBPUSD^FG_PRICE(43771)&lt;/Q&gt;&lt;R&gt;1&lt;/R&gt;&lt;C&gt;1&lt;/C&gt;&lt;D xsi:type="xsd:double"&gt;1.2949&lt;/D&gt;&lt;/FQL&gt;&lt;FQL&gt;&lt;Q&gt;GBPUSD^FG_PRICE(43767)&lt;/Q&gt;&lt;R&gt;1&lt;/R&gt;&lt;C&gt;1&lt;/C&gt;&lt;D xsi:type="xsd:double"&gt;1.29005&lt;/D&gt;&lt;/FQL&gt;&lt;FQL&gt;&lt;Q&gt;GBPUSD^FG_PRICE(43763)&lt;/Q&gt;&lt;R&gt;1&lt;/R&gt;&lt;C&gt;1&lt;/C&gt;&lt;D xsi:type="xsd:double"&gt;1.2836001&lt;/D&gt;&lt;/FQL&gt;&lt;FQL&gt;&lt;Q&gt;GBPUSD^FG_PRICE(43759)&lt;/Q&gt;&lt;R&gt;1&lt;/R&gt;&lt;C&gt;1&lt;/C&gt;&lt;D xsi:type="xsd:double"&gt;1.2984&lt;/D&gt;&lt;/FQL&gt;&lt;FQL&gt;&lt;Q&gt;GBPUSD^FG_PRICE(43755)&lt;/Q&gt;&lt;R&gt;1&lt;/R&gt;&lt;C&gt;1&lt;/C&gt;&lt;D xsi:type="xsd:double"&gt;1.2841&lt;/D&gt;&lt;/FQL&gt;&lt;FQL&gt;&lt;Q&gt;GBPUSD^FG_PRICE(43751)&lt;/Q&gt;&lt;R&gt;1&lt;/R&gt;&lt;C&gt;1&lt;/C&gt;&lt;D xsi:type="xsd:double"&gt;1.2685&lt;/D&gt;&lt;/FQL&gt;&lt;FQL&gt;&lt;Q&gt;GBPUSD^FG_PRICE(43747)&lt;/Q&gt;&lt;R&gt;1&lt;/R&gt;&lt;C&gt;1&lt;/C&gt;&lt;D xsi:type="xsd:double"&gt;1.22165&lt;/D&gt;&lt;/FQL&gt;&lt;FQL&gt;&lt;Q&gt;GBPUSD^FG_PRICE(43743)&lt;/Q&gt;&lt;R&gt;1&lt;/R&gt;&lt;C&gt;1&lt;/C&gt;&lt;D xsi:type="xsd:double"&gt;1.22955&lt;/D&gt;&lt;/FQL&gt;&lt;FQL&gt;&lt;Q&gt;GBPUSD^FG_PRICE(43739)&lt;/Q&gt;&lt;R&gt;1&lt;/R&gt;&lt;C&gt;1&lt;/C&gt;&lt;D xsi:type="xsd:double"&gt;1.2222999&lt;/D&gt;&lt;/FQL&gt;&lt;FQL&gt;&lt;Q&gt;GBPUSD^FG_PRICE(43735)&lt;/Q&gt;&lt;R&gt;1&lt;/R&gt;&lt;C&gt;1&lt;/C&gt;&lt;D xsi:type="xsd:double"&gt;1.2312&lt;/D&gt;&lt;/FQL&gt;&lt;FQL&gt;&lt;Q&gt;GBPUSD^FG_PRICE(43731)&lt;/Q&gt;&lt;R&gt;1&lt;/R&gt;&lt;C&gt;1&lt;/C&gt;&lt;D xsi:type="xsd:double"&gt;1.24295&lt;/D&gt;&lt;/FQL&gt;&lt;FQL&gt;&lt;Q&gt;GBPUSD^FG_PRICE(43727)&lt;/Q&gt;&lt;R&gt;1&lt;/R&gt;&lt;C&gt;1&lt;/C&gt;&lt;D xsi:type="xsd:double"&gt;1.24895&lt;/D&gt;&lt;/FQL&gt;&lt;FQL&gt;&lt;Q&gt;GBPUSD^FG_PRICE(43723)&lt;/Q&gt;&lt;R&gt;1&lt;/R&gt;&lt;C&gt;1&lt;/C&gt;&lt;D xsi:type="xsd:double"&gt;1.2459&lt;/D&gt;&lt;/FQL&gt;&lt;FQL&gt;&lt;Q&gt;GBPUSD^FG_PRICE(43719)&lt;/Q&gt;&lt;R&gt;1&lt;/R&gt;&lt;C&gt;1&lt;/C&gt;&lt;D xsi:type="xsd:double"&gt;1.2345&lt;/D&gt;&lt;/FQL&gt;&lt;FQL&gt;&lt;Q&gt;GBPUSD^FG_PRICE(43715)&lt;/Q&gt;&lt;R&gt;1&lt;/R&gt;&lt;C&gt;1&lt;/C&gt;&lt;D xsi:type="xsd:double"&gt;1.2314&lt;/D&gt;&lt;/FQL&gt;&lt;FQL&gt;&lt;Q&gt;GBPUSD^FG_PRICE(43711)&lt;/Q&gt;&lt;R&gt;1&lt;/R&gt;&lt;C&gt;1&lt;/C&gt;&lt;D xsi:type="xsd:double"&gt;1.2093999&lt;/D&gt;&lt;/FQL&gt;&lt;FQL&gt;&lt;Q&gt;GBPUSD^FG_PRICE(43707)&lt;/Q&gt;&lt;R&gt;1&lt;/R&gt;&lt;C&gt;1&lt;/C&gt;&lt;D xsi:type="xsd:double"&gt;1.21785&lt;/D&gt;&lt;/FQL&gt;&lt;FQL&gt;&lt;Q&gt;GBPUSD^FG_PRICE(43703)&lt;/Q&gt;&lt;R&gt;1&lt;/R&gt;&lt;C&gt;1&lt;/C&gt;&lt;D xsi:type="xsd:double"&gt;1.22225&lt;/D&gt;&lt;/FQL&gt;&lt;FQL&gt;&lt;Q&gt;GBPUSD^FG_PRICE(43699)&lt;/Q&gt;&lt;R&gt;1&lt;/R&gt;&lt;C&gt;1&lt;/C&gt;&lt;D xsi:type="xsd:double"&gt;1.2251999&lt;/D&gt;&lt;/FQL&gt;&lt;FQL&gt;&lt;Q&gt;GBPUSD^FG_PRICE(43695)&lt;/Q&gt;&lt;R&gt;1&lt;/R&gt;&lt;C&gt;1&lt;/C&gt;&lt;D xsi:type="xsd:double"&gt;1.2143&lt;/D&gt;&lt;/FQL&gt;&lt;FQL&gt;&lt;Q&gt;GBPUSD^FG_PRICE(43691)&lt;/Q&gt;&lt;R&gt;1&lt;/R&gt;&lt;C&gt;1&lt;/C&gt;&lt;D xsi:type="xsd:double"&gt;1.207&lt;/D&gt;&lt;/FQL&gt;&lt;FQL&gt;&lt;Q&gt;GBPUSD^FG_PRICE(43687)&lt;/Q&gt;&lt;R&gt;1&lt;/R&gt;&lt;C&gt;1&lt;/C&gt;&lt;D xsi:type="xsd:double"&gt;1.2078999&lt;/D&gt;&lt;/FQL&gt;&lt;FQL&gt;&lt;Q&gt;GBPUSD^FG_PRICE(43683)&lt;/Q&gt;&lt;R&gt;1&lt;/R&gt;&lt;C&gt;1&lt;/C&gt;&lt;D xsi:type="xsd:double"&gt;1.2169&lt;/D&gt;&lt;/FQL&gt;&lt;FQL&gt;&lt;Q&gt;GBPUSD^FG_PRICE(43679)&lt;/Q&gt;&lt;R&gt;1&lt;/R&gt;&lt;C&gt;1&lt;/C&gt;&lt;D xsi:type="xsd:double"&gt;1.2119&lt;/D&gt;&lt;/FQL&gt;&lt;FQL&gt;&lt;Q&gt;GBPUSD^FG_PRICE(43675)&lt;/Q&gt;&lt;R&gt;1&lt;/R&gt;&lt;C&gt;1&lt;/C&gt;&lt;D xsi:type="xsd:double"&gt;1.22295&lt;/D&gt;&lt;/FQL&gt;&lt;FQL&gt;&lt;Q&gt;GBPUSD^FG_PRICE(43671)&lt;/Q&gt;&lt;R&gt;1&lt;/R&gt;&lt;C&gt;1&lt;/C&gt;&lt;D xsi:type="xsd:double"&gt;1.24955&lt;/D&gt;&lt;/FQL&gt;&lt;FQL&gt;&lt;Q&gt;GBPUSD^FG_PRICE(43667)&lt;/Q&gt;&lt;R&gt;1&lt;/R&gt;&lt;C&gt;1&lt;/C&gt;&lt;D xsi:type="xsd:double"&gt;1.2504001&lt;/D&gt;&lt;/FQL&gt;&lt;FQL&gt;&lt;Q&gt;GBPUSD^FG_PRICE(43663)&lt;/Q&gt;&lt;R&gt;1&lt;/R&gt;&lt;C&gt;1&lt;/C&gt;&lt;D xsi:type="xsd:double"&gt;1.243&lt;/D&gt;&lt;/FQL&gt;&lt;FQL&gt;&lt;Q&gt;GBPUSD^FG_PRICE(43659)&lt;/Q&gt;&lt;R&gt;1&lt;/R&gt;&lt;C&gt;1&lt;/C&gt;&lt;D xsi:type="xsd:double"&gt;1.2560999&lt;/D&gt;&lt;/FQL&gt;&lt;FQL&gt;&lt;Q&gt;GBPUSD^FG_PRICE(43655)&lt;/Q&gt;&lt;R&gt;1&lt;/R&gt;&lt;C&gt;1&lt;/C&gt;&lt;D xsi:type="xsd:double"&gt;1.2465999&lt;/D&gt;&lt;/FQL&gt;&lt;FQL&gt;&lt;Q&gt;GBPUSD^FG_PRICE(43651)&lt;/Q&gt;&lt;R&gt;1&lt;/R&gt;&lt;C&gt;1&lt;/C&gt;&lt;D xsi:type="xsd:double"&gt;1.2508&lt;/D&gt;&lt;/FQL&gt;&lt;FQL&gt;&lt;Q&gt;EURUSD^FG_PRICE(44821)&lt;/Q&gt;&lt;R&gt;1&lt;/R&gt;&lt;C&gt;1&lt;/C&gt;&lt;D xsi:type="xsd:double"&gt;1.00305&lt;/D&gt;&lt;/FQL&gt;&lt;FQL&gt;&lt;Q&gt;GBPUSD^FG_PRICE(44803)&lt;/Q&gt;&lt;R&gt;1&lt;/R&gt;&lt;C&gt;1&lt;/C&gt;&lt;D xsi:type="xsd:double"&gt;1.1631&lt;/D&gt;&lt;/FQL&gt;&lt;FQL&gt;&lt;Q&gt;EURUSD^FG_PRICE(44787)&lt;/Q&gt;&lt;R&gt;1&lt;/R&gt;&lt;C&gt;1&lt;/C&gt;&lt;D xsi:type="xsd:double"&gt;1.0244501&lt;/D&gt;&lt;/FQL&gt;&lt;FQL&gt;&lt;Q&gt;EURUSD^FG_PRICE(44771)&lt;/Q&gt;&lt;R&gt;1&lt;/R&gt;&lt;C&gt;1&lt;/C&gt;&lt;D xsi:type="xsd:double"&gt;1.01965&lt;/D&gt;&lt;/FQL&gt;&lt;FQL&gt;&lt;Q&gt;EURUSD^FG_PRICE(44752)&lt;/Q&gt;&lt;R&gt;1&lt;/R&gt;&lt;C&gt;1&lt;/C&gt;&lt;D xsi:type="xsd:double"&gt;1.0173501&lt;/D&gt;&lt;/FQL&gt;&lt;FQL&gt;&lt;Q&gt;GBPUSD^FG_PRICE(44735)&lt;/Q&gt;&lt;R&gt;1&lt;/R&gt;&lt;C&gt;1&lt;/C&gt;&lt;D xsi:type="xsd:double"&gt;1.22735&lt;/D&gt;&lt;/FQL&gt;&lt;FQL&gt;&lt;Q&gt;GBPUSD^FG_PRICE(44719)&lt;/Q&gt;&lt;R&gt;1&lt;/R&gt;&lt;C&gt;1&lt;/C&gt;&lt;D xsi:type="xsd:double"&gt;1.25815&lt;/D&gt;&lt;/FQL&gt;&lt;FQL&gt;&lt;Q&gt;GBPUSD^FG_PRICE(44700)&lt;/Q&gt;&lt;R&gt;1&lt;/R&gt;&lt;C&gt;1&lt;/C&gt;&lt;D xsi:type="xsd:double"&gt;1.2491001&lt;/D&gt;&lt;/FQL&gt;&lt;FQL&gt;&lt;Q&gt;EURUSD^FG_PRICE(44684)&lt;/Q&gt;&lt;R&gt;1&lt;/R&gt;&lt;C&gt;1&lt;/C&gt;&lt;D xsi:type="xsd:double"&gt;1.0538499&lt;/D&gt;&lt;/FQL&gt;&lt;FQL&gt;&lt;Q&gt;EURUSD^FG_PRICE(44668)&lt;/Q&gt;&lt;R&gt;1&lt;/R&gt;&lt;C&gt;1&lt;/C&gt;&lt;D xsi:type="xsd:double"&gt;1.0776061&lt;/D&gt;&lt;/FQL&gt;&lt;FQL&gt;&lt;Q&gt;EURUSD^FG_PRICE(44649)&lt;/Q&gt;&lt;R&gt;1&lt;/R&gt;&lt;C&gt;1&lt;/C&gt;&lt;D xsi:type="xsd:double"&gt;1.11025&lt;/D&gt;&lt;/FQL&gt;&lt;FQL&gt;&lt;Q&gt;GBPUSD^FG_PRICE(44632)&lt;/Q&gt;&lt;R&gt;1&lt;/R&gt;&lt;C&gt;1&lt;/C&gt;&lt;D xsi:type="xsd:double"&gt;1.30865&lt;/D&gt;&lt;/FQL&gt;&lt;FQL&gt;&lt;Q&gt;GBPUSD^FG_PRICE(44616)&lt;/Q&gt;&lt;R&gt;1&lt;/R&gt;&lt;C&gt;1&lt;/C&gt;&lt;D xsi:type="xsd:double"&gt;1.3276501&lt;/D&gt;&lt;/FQL&gt;&lt;FQL&gt;&lt;Q&gt;EURUSD^FG_PRICE(44599)&lt;/Q&gt;&lt;R&gt;1&lt;/R&gt;&lt;C&gt;1&lt;/C&gt;&lt;D xsi:type="xsd:double"&gt;1.14455&lt;/D&gt;&lt;/FQL&gt;&lt;FQL&gt;&lt;Q&gt;EURUSD^FG_PRICE(44581)&lt;/Q&gt;&lt;R&gt;1&lt;/R&gt;&lt;C&gt;1&lt;/C&gt;&lt;D xsi:type="xsd:double"&gt;1.1348001&lt;/D&gt;&lt;/FQL&gt;&lt;FQL&gt;&lt;Q&gt;EURUSD^FG_PRICE(44565)&lt;/Q&gt;&lt;R&gt;1&lt;/R&gt;&lt;C&gt;1&lt;/C&gt;&lt;D xsi:type="xsd:double"&gt;1.13095&lt;/D&gt;&lt;/FQL&gt;&lt;FQL&gt;&lt;Q&gt;GBPUSD^FG_PRICE(44547)&lt;/Q&gt;&lt;R&gt;1&lt;/R&gt;&lt;C&gt;1&lt;/C&gt;&lt;D xsi:type="xsd:double"&gt;1.3264&lt;/D&gt;&lt;/FQL&gt;&lt;FQL&gt;&lt;Q&gt;EURUSD^FG_PRICE(44531)&lt;/Q&gt;&lt;R&gt;1&lt;/R&gt;&lt;C&gt;1&lt;/C&gt;&lt;D xsi:type="xsd:double"&gt;1.1334&lt;/D&gt;&lt;/FQL&gt;&lt;FQL&gt;&lt;Q&gt;EURUSD^FG_PRICE(44515)&lt;/Q&gt;&lt;R&gt;1&lt;/R&gt;&lt;C&gt;1&lt;/C&gt;&lt;D xsi:type="xsd:double"&gt;1.14205&lt;/D&gt;&lt;/FQL&gt;&lt;FQL&gt;&lt;Q&gt;EURUSD^FG_PRICE(44496)&lt;/Q&gt;&lt;R&gt;1&lt;/R&gt;&lt;C&gt;1&lt;/C&gt;&lt;D xsi:type="xsd:double"&gt;1.1596&lt;/D&gt;&lt;/FQL&gt;&lt;FQL&gt;&lt;Q&gt;GBPUSD^FG_PRICE(44479)&lt;/Q&gt;&lt;R&gt;1&lt;/R&gt;&lt;C&gt;1&lt;/C&gt;&lt;D xsi:type="xsd:double"&gt;1.36375&lt;/D&gt;&lt;/FQL&gt;&lt;FQL&gt;&lt;Q&gt;GBPUSD^FG_PRICE(44463)&lt;/Q&gt;&lt;R&gt;1&lt;/R&gt;&lt;C&gt;1&lt;/C&gt;&lt;D xsi:type="xsd:double"&gt;1.36755&lt;/D&gt;&lt;/FQL&gt;&lt;FQL&gt;&lt;Q&gt;GBPUSD^FG_PRICE(44444)&lt;/Q&gt;&lt;R&gt;1&lt;/R&gt;&lt;C&gt;1&lt;/C&gt;&lt;D xsi:type="xsd:double"&gt;1.3872&lt;/D&gt;&lt;/FQL&gt;&lt;FQL&gt;&lt;Q&gt;EURUSD^FG_PRICE(44428)&lt;/Q&gt;&lt;R&gt;1&lt;/R&gt;&lt;C&gt;1&lt;/C&gt;&lt;D xsi:type="xsd:double"&gt;1.16795&lt;/D&gt;&lt;/FQL&gt;&lt;FQL&gt;&lt;Q&gt;EURUSD^FG_PRICE(44412)&lt;/Q&gt;&lt;R&gt;1&lt;/R&gt;&lt;C&gt;1&lt;/C&gt;&lt;D xsi:type="xsd:double"&gt;1.1846&lt;/D&gt;&lt;/FQL&gt;&lt;FQL&gt;&lt;Q&gt;EURUSD^FG_PRICE(44396)&lt;/Q&gt;&lt;R&gt;1&lt;/R&gt;&lt;C&gt;1&lt;/C&gt;&lt;D xsi:type="xsd:double"&gt;1.18055&lt;/D&gt;&lt;/FQL&gt;&lt;FQL&gt;&lt;Q&gt;GBPUSD^FG_PRICE(44383)&lt;/Q&gt;&lt;R&gt;1&lt;/R&gt;&lt;C&gt;1&lt;/C&gt;&lt;D xsi:type="xsd:double"&gt;1.3809501&lt;/D&gt;&lt;/FQL&gt;&lt;FQL&gt;&lt;Q&gt;EURUSD^FG_PRICE(44371)&lt;/Q&gt;&lt;R&gt;1&lt;/R&gt;&lt;C&gt;1&lt;/C&gt;&lt;D xsi:type="xsd:double"&gt;1.19265&lt;/D&gt;&lt;/FQL&gt;&lt;FQL&gt;&lt;Q&gt;EURUSD^FG_PRICE(44357)&lt;/Q&gt;&lt;R&gt;1&lt;/R&gt;&lt;C&gt;1&lt;/C&gt;&lt;D xsi:type="xsd:double"&gt;1.2171999&lt;/D&gt;&lt;/FQL&gt;&lt;FQL&gt;&lt;Q&gt;GBPUSD^FG_PRICE(44344)&lt;/Q&gt;&lt;R&gt;1&lt;/R&gt;&lt;C&gt;1&lt;/C&gt;&lt;D xsi:type="xsd:double"&gt;1.41785&lt;/D&gt;&lt;/FQL&gt;&lt;FQL&gt;&lt;Q&gt;EURUSD^FG_PRICE(44332)&lt;/Q&gt;&lt;R&gt;1&lt;/R&gt;&lt;C&gt;1&lt;/C&gt;&lt;D xsi:type="xsd:double"&gt;1.2133499&lt;/D&gt;&lt;/FQL&gt;&lt;FQL&gt;&lt;Q&gt;GBPUSD^FG_PRICE(44319)&lt;/Q&gt;&lt;R&gt;1&lt;/R&gt;&lt;C&gt;1&lt;/C&gt;&lt;D xsi:type="xsd:double"&gt;1.39275&lt;/D&gt;&lt;/FQL&gt;&lt;FQL&gt;&lt;Q&gt;EURUSD^FG_PRICE(44307)&lt;/Q&gt;&lt;R&gt;1&lt;/R&gt;&lt;C&gt;1&lt;/C&gt;&lt;D xsi:type="xsd:double"&gt;1.20285&lt;/D&gt;&lt;/FQL&gt;&lt;FQL&gt;&lt;Q&gt;EURUSD^FG_PRICE(44293)&lt;/Q&gt;&lt;R&gt;1&lt;/R&gt;&lt;C&gt;1&lt;/C&gt;&lt;D xsi:type="xsd:double"&gt;1.19005&lt;/D&gt;&lt;/FQL&gt;&lt;FQL&gt;&lt;Q&gt;GBPUSD^FG_PRICE(44280)&lt;/Q&gt;&lt;R&gt;1&lt;/R&gt;&lt;C&gt;1&lt;/C&gt;&lt;D xsi:type="xsd:double"&gt;1.3722&lt;/D&gt;&lt;/FQL&gt;&lt;FQL&gt;&lt;Q&gt;EURUSD^FG_PRICE(44268)&lt;/Q&gt;&lt;R&gt;1&lt;/R&gt;&lt;C&gt;1&lt;/C&gt;&lt;D xsi:type="xsd:double"&gt;1.1938&lt;/D&gt;&lt;/FQL&gt;&lt;FQL&gt;&lt;Q&gt;GBPUSD^FG_PRICE(44255)&lt;/Q&gt;&lt;R&gt;1&lt;/R&gt;&lt;C&gt;1&lt;/C&gt;&lt;D xsi:type="xsd:double"&gt;1.3981&lt;/D&gt;&lt;/FQL&gt;&lt;FQL&gt;&lt;Q&gt;EURUSD^FG_PRICE(44243)&lt;/Q&gt;&lt;R&gt;1&lt;/R&gt;&lt;C&gt;1&lt;/C&gt;&lt;D xsi:type="xsd:double"&gt;1.2119&lt;/D&gt;&lt;/FQL&gt;&lt;FQL&gt;&lt;Q&gt;EURUSD^FG_PRICE(44229)&lt;/Q&gt;&lt;R&gt;1&lt;/R&gt;&lt;C&gt;1&lt;/C&gt;&lt;D xsi:type="xsd:double"&gt;1.20285&lt;/D&gt;&lt;/FQL&gt;&lt;FQL&gt;&lt;Q&gt;GBPUSD^FG_PRICE(44216)&lt;/Q&gt;&lt;R&gt;1&lt;/R&gt;&lt;C&gt;1&lt;/C&gt;&lt;D xsi:type="xsd:double"&gt;1.36315&lt;/D&gt;&lt;/FQL&gt;&lt;FQL&gt;&lt;Q&gt;EURUSD^FG_PRICE(44204)&lt;/Q&gt;&lt;R&gt;1&lt;/R&gt;&lt;C&gt;1&lt;/C&gt;&lt;D xsi:type="xsd:double"&gt;1.2256&lt;/D&gt;&lt;/FQL&gt;&lt;FQL&gt;&lt;Q&gt;GBPUSD^FG_PRICE(44191)&lt;/Q&gt;&lt;R&gt;1&lt;/R&gt;&lt;C&gt;1&lt;/C&gt;&lt;D xsi:type="xsd:double"&gt;1.35365&lt;/D&gt;&lt;/FQL&gt;&lt;FQL&gt;&lt;Q&gt;EURUSD^FG_PRICE(44179)&lt;/Q&gt;&lt;R&gt;1&lt;/R&gt;&lt;C&gt;1&lt;/C&gt;&lt;D xsi:type="xsd:double"&gt;1.2125&lt;/D&gt;&lt;/FQL&gt;&lt;FQL&gt;&lt;Q&gt;EURUSD^FG_PRICE(44165)&lt;/Q&gt;&lt;R&gt;1&lt;/R&gt;&lt;C&gt;1&lt;/C&gt;&lt;D xsi:type="xsd:double"&gt;1.1962&lt;/D&gt;&lt;/FQL&gt;&lt;FQL&gt;&lt;Q&gt;GBPUSD^FG_PRICE(44152)&lt;/Q&gt;&lt;R&gt;1&lt;/R&gt;&lt;C&gt;1&lt;/C&gt;&lt;D xsi:type="xsd:double"&gt;1.3259&lt;/D&gt;&lt;/FQL&gt;&lt;FQL&gt;&lt;Q&gt;EURUSD^FG_PRICE(44140)&lt;/Q&gt;&lt;R&gt;1&lt;/R&gt;&lt;C&gt;1&lt;/C&gt;&lt;D xsi:type="xsd:double"&gt;1.18265&lt;/D&gt;&lt;/FQL&gt;&lt;FQL&gt;&lt;Q&gt;GBPUSD^FG_PRICE(44127)&lt;/Q&gt;&lt;R&gt;1&lt;/R&gt;&lt;C&gt;1&lt;/C&gt;&lt;D xsi:type="xsd:double"&gt;1.3043&lt;/D&gt;&lt;/FQL&gt;&lt;FQL&gt;&lt;Q&gt;EURUSD^FG_PRICE(44116)&lt;/Q&gt;&lt;R&gt;1&lt;/R&gt;&lt;C&gt;1&lt;/C&gt;&lt;D xsi:type="xsd:double"&gt;1.18125&lt;/D&gt;&lt;/FQL&gt;&lt;FQL&gt;&lt;Q&gt;EURUSD^FG_PRICE(44105)&lt;/Q&gt;&lt;R&gt;1&lt;/R&gt;&lt;C&gt;1&lt;/C&gt;&lt;D xsi:type="xsd:double"&gt;1.17355&lt;/D&gt;&lt;/FQL&gt;&lt;FQL&gt;&lt;Q&gt;GBPUSD^FG_PRICE(44096)&lt;/Q&gt;&lt;R&gt;1&lt;/R&gt;&lt;C&gt;1&lt;/C&gt;&lt;D xsi:type="xsd:double"&gt;1.2724&lt;/D&gt;&lt;/FQL&gt;&lt;FQL&gt;&lt;Q&gt;GBPUSD^FG_PRICE(44088)&lt;/Q&gt;&lt;R&gt;1&lt;/R&gt;&lt;C&gt;1&lt;/C&gt;&lt;D xsi:type="xsd:double"&gt;1.2882&lt;/D&gt;&lt;/FQL&gt;&lt;FQL&gt;&lt;Q&gt;EURUSD^FG_PRICE(44080)&lt;/Q&gt;&lt;R&gt;1&lt;/R&gt;&lt;C&gt;1&lt;/C&gt;&lt;D xsi:type="xsd:double"&gt;1.17975&lt;/D&gt;&lt;/FQL&gt;&lt;FQL&gt;&lt;Q&gt;GBPUSD^FG_PRICE(44071)&lt;/Q&gt;&lt;R&gt;1&lt;/R&gt;&lt;C&gt;1&lt;/C&gt;&lt;D xsi:type="xsd:double"&gt;1.3331001&lt;/D&gt;&lt;/FQL&gt;&lt;FQL&gt;&lt;Q&gt;GBPUSD^FG_PRICE(44063)&lt;/Q&gt;&lt;R&gt;1&lt;/R&gt;&lt;C&gt;1&lt;/C&gt;&lt;D xsi:type="xsd:double"&gt;1.3139&lt;/D&gt;&lt;/FQL&gt;&lt;FQL&gt;&lt;Q&gt;EURUSD^FG_PRICE(44055)&lt;/Q&gt;&lt;R&gt;1&lt;/R&gt;&lt;C&gt;1&lt;/C&gt;&lt;D xsi:type="xsd:double"&gt;1.18045&lt;/D&gt;&lt;/FQL&gt;&lt;FQL&gt;&lt;Q&gt;EURUSD^FG_PRICE(44045)&lt;/Q&gt;&lt;R&gt;1&lt;/R&gt;&lt;C&gt;1&lt;/C&gt;&lt;D xsi:type="xsd:double"&gt;1.1825&lt;/D&gt;&lt;/FQL&gt;&lt;FQL&gt;&lt;Q&gt;EURUSD^FG_PRICE(44037)&lt;/Q&gt;&lt;R&gt;1&lt;/R&gt;&lt;C&gt;1&lt;/C&gt;&lt;D xsi:type="xsd:double"&gt;1.16245&lt;/D&gt;&lt;/FQL&gt;&lt;FQL&gt;&lt;Q&gt;GBPUSD^FG_PRICE(44028)&lt;/Q&gt;&lt;R&gt;1&lt;/R&gt;&lt;C&gt;1&lt;/C&gt;&lt;D xsi:type="xsd:double"&gt;1.2601&lt;/D&gt;&lt;/FQL&gt;&lt;FQL&gt;&lt;Q&gt;GBPUSD^FG_PRICE(44020)&lt;/Q&gt;&lt;R&gt;1&lt;/R&gt;&lt;C&gt;1&lt;/C&gt;&lt;D xsi:type="xsd:double"&gt;1.2594&lt;/D&gt;&lt;/FQL&gt;&lt;FQL&gt;&lt;Q&gt;EURUSD^FG_PRICE(44015)&lt;/Q&gt;&lt;R&gt;1&lt;/R&gt;&lt;C&gt;1&lt;/C&gt;&lt;D xsi:type="xsd:double"&gt;1.1242499&lt;/D&gt;&lt;/FQL&gt;&lt;FQL&gt;&lt;Q&gt;EURUSD^FG_PRICE(44008)&lt;/Q&gt;&lt;R&gt;1&lt;/R&gt;&lt;C&gt;1&lt;/C&gt;&lt;D xsi:type="xsd:double"&gt;1.1201999&lt;/D&gt;&lt;/FQL&gt;&lt;FQL&gt;&lt;Q&gt;EURUSD^FG_PRICE(44001)&lt;/Q&gt;&lt;R&gt;1&lt;/R&gt;&lt;C&gt;1&lt;/C&gt;&lt;D xsi:type="xsd:double"&gt;1.11835&lt;/D&gt;&lt;/FQL&gt;&lt;FQL&gt;&lt;Q&gt;GBPUSD^FG_PRICE(43995)&lt;/Q&gt;&lt;R&gt;1&lt;/R&gt;&lt;C&gt;1&lt;/C&gt;&lt;D xsi:type="xsd:double"&gt;1.2540001&lt;/D&gt;&lt;/FQL&gt;&lt;FQL&gt;&lt;Q&gt;GBPUSD^FG_PRICE(43988)&lt;/Q&gt;&lt;R&gt;1&lt;/R&gt;&lt;C&gt;1&lt;/C&gt;&lt;D xsi:type="xsd:double"&gt;1.27255&lt;/D&gt;&lt;/FQL&gt;&lt;FQL&gt;&lt;Q&gt;EURUSD^FG_PRICE(43983)&lt;/Q&gt;&lt;R&gt;1&lt;/R&gt;&lt;C&gt;1&lt;/C&gt;&lt;D xsi:type="xsd:double"&gt;1.11375&lt;/D&gt;&lt;/FQL&gt;&lt;FQL&gt;&lt;Q&gt;EURUSD^FG_PRICE(43976)&lt;/Q&gt;&lt;R&gt;1&lt;/R&gt;&lt;C&gt;1&lt;/C&gt;&lt;D xsi:type="xsd:double"&gt;1.08935&lt;/D&gt;&lt;/FQL&gt;&lt;FQL&gt;&lt;Q&gt;EURUSD^FG_PRICE(43969)&lt;/Q&gt;&lt;R&gt;1&lt;/R&gt;&lt;C&gt;1&lt;/C&gt;&lt;D xsi:type="xsd:double"&gt;1.08575&lt;/D&gt;&lt;/FQL&gt;&lt;FQL&gt;&lt;Q&gt;GBPUSD^FG_PRICE(43963)&lt;/Q&gt;&lt;R&gt;1&lt;/R&gt;&lt;C&gt;1&lt;/C&gt;&lt;D xsi:type="xsd:double"&gt;1.2331&lt;/D&gt;&lt;/FQL&gt;&lt;FQL&gt;&lt;Q&gt;GBPUSD^FG_PRICE(43956)&lt;/Q&gt;&lt;R&gt;1&lt;/R&gt;&lt;C&gt;1&lt;/C&gt;&lt;D xsi:type="xsd:double"&gt;1.2455&lt;/D&gt;&lt;/FQL&gt;&lt;FQL&gt;&lt;Q&gt;EURUSD^FG_PRICE(43951)&lt;/Q&gt;&lt;R&gt;1&lt;/R&gt;&lt;C&gt;1&lt;/C&gt;&lt;D xsi:type="xsd:double"&gt;1.0953&lt;/D&gt;&lt;/FQL&gt;&lt;FQL&gt;&lt;Q&gt;EURUSD^FG_PRICE(43944)&lt;/Q&gt;&lt;R&gt;1&lt;/R&gt;&lt;C&gt;1&lt;/C&gt;&lt;D xsi:type="xsd:double"&gt;1.0828&lt;/D&gt;&lt;/FQL&gt;&lt;FQL&gt;&lt;Q&gt;EURUSD^FG_PRICE(43937)&lt;/Q&gt;&lt;R&gt;1&lt;/R&gt;&lt;C&gt;1&lt;/C&gt;&lt;D xsi:type="xsd:double"&gt;1.0849501&lt;/D&gt;&lt;/FQL&gt;&lt;FQL&gt;&lt;Q&gt;GBPUSD^FG_PRICE(43931)&lt;/Q&gt;&lt;R&gt;1&lt;/R&gt;&lt;C&gt;1&lt;/C&gt;&lt;D xsi:type="xsd:double"&gt;1.24685&lt;/D&gt;&lt;/FQL&gt;&lt;FQL&gt;&lt;Q&gt;GBPUSD^FG_PRICE(43924)&lt;/Q&gt;&lt;R&gt;1&lt;/R&gt;&lt;C&gt;1&lt;/C&gt;&lt;D xsi:type="xsd:double"&gt;1.2258999&lt;/D&gt;&lt;/FQL&gt;&lt;FQL&gt;&lt;Q&gt;EURUSD^FG_PRICE(43919)&lt;/Q&gt;&lt;R&gt;1&lt;/R&gt;&lt;C&gt;1&lt;/C&gt;&lt;D xsi:type="xsd:double"&gt;1.1058&lt;/D&gt;&lt;/FQL&gt;&lt;FQL&gt;&lt;Q&gt;EURUSD^FG_PRICE(43912)&lt;/Q&gt;&lt;R&gt;1&lt;/R&gt;&lt;C&gt;1&lt;/C&gt;&lt;D xsi:type="xsd:double"&gt;1.0689&lt;/D&gt;&lt;/FQL&gt;&lt;FQL&gt;&lt;Q&gt;EURUSD^FG_PRICE(43905)&lt;/Q&gt;&lt;R&gt;1&lt;/R&gt;&lt;C&gt;1&lt;/C&gt;&lt;D xsi:type="xsd:double"&gt;1.1069&lt;/D&gt;&lt;/FQL&gt;&lt;FQL&gt;&lt;Q&gt;GBPUSD^FG_PRICE(43899)&lt;/Q&gt;&lt;R&gt;1&lt;/R&gt;&lt;C&gt;1&lt;/C&gt;&lt;D xsi:type="xsd:double"&gt;1.3103&lt;/D&gt;&lt;/FQL&gt;&lt;FQL&gt;&lt;Q&gt;GBPUSD^FG_PRICE(43892)&lt;/Q&gt;&lt;R&gt;1&lt;/R&gt;&lt;C&gt;1&lt;/C&gt;&lt;D xsi:type="xsd:double"&gt;1.2746&lt;/D&gt;&lt;/FQL&gt;&lt;FQL&gt;&lt;Q&gt;EURUSD^FG_PRICE(43887)&lt;/Q&gt;&lt;R&gt;1&lt;/R&gt;&lt;C&gt;1&lt;/C&gt;&lt;D xsi:type="xsd:double"&gt;1.08655&lt;/D&gt;&lt;/FQL&gt;&lt;FQL&gt;&lt;Q&gt;EURUSD^FG_PRICE(43880)&lt;/Q&gt;&lt;R&gt;1&lt;/R&gt;&lt;C&gt;1&lt;/C&gt;&lt;D xsi:type="xsd:double"&gt;1.07925&lt;/D&gt;&lt;/FQL&gt;&lt;FQL&gt;&lt;Q&gt;EURUSD^FG_PRICE(43873)&lt;/Q&gt;&lt;R&gt;1&lt;/R&gt;&lt;C&gt;1&lt;/C&gt;&lt;D xsi:type="xsd:double"&gt;1.08955&lt;/D&gt;&lt;/FQL&gt;&lt;FQL&gt;&lt;Q&gt;GBPUSD^FG_PRICE(43867)&lt;/Q&gt;&lt;R&gt;1&lt;/R&gt;&lt;C&gt;1&lt;/C&gt;&lt;D xsi:type="xsd:double"&gt;1.293&lt;/D&gt;&lt;/FQL&gt;&lt;FQL&gt;&lt;Q&gt;GBPUSD^FG_PRICE(43860)&lt;/Q&gt;&lt;R&gt;1&lt;/R&gt;&lt;C&gt;1&lt;/C&gt;&lt;D xsi:type="xsd:double"&gt;1.31015&lt;/D&gt;&lt;/FQL&gt;&lt;FQL&gt;&lt;Q&gt;EURUSD^FG_PRICE(43855)&lt;/Q&gt;&lt;R&gt;1&lt;/R&gt;&lt;C&gt;1&lt;/C&gt;&lt;D xsi:type="xsd:double"&gt;1.1025001&lt;/D&gt;&lt;/FQL&gt;&lt;FQL&gt;&lt;Q&gt;EURUSD^FG_PRICE(43848)&lt;/Q&gt;&lt;R&gt;1&lt;/R&gt;&lt;C&gt;1&lt;/C&gt;&lt;D xsi:type="xsd:double"&gt;1.1095&lt;/D&gt;&lt;/FQL&gt;&lt;FQL&gt;&lt;Q&gt;EURUSD^FG_PRICE(43841)&lt;/Q&gt;&lt;R&gt;1&lt;/R&gt;&lt;C&gt;1&lt;/C&gt;&lt;D xsi:type="xsd:double"&gt;1.1113499&lt;/D&gt;&lt;/FQL&gt;&lt;FQL&gt;&lt;Q&gt;GBPUSD^FG_PRICE(43835)&lt;/Q&gt;&lt;R&gt;1&lt;/R&gt;&lt;C&gt;1&lt;/C&gt;&lt;D xsi:type="xsd:double"&gt;1.3071&lt;/D&gt;&lt;/FQL&gt;&lt;FQL&gt;&lt;Q&gt;EURUSD^FG_PRICE(43829)&lt;/Q&gt;&lt;R&gt;1&lt;/R&gt;&lt;C&gt;1&lt;/C&gt;&lt;D xsi:type="xsd:double"&gt;1.12035&lt;/D&gt;&lt;/FQL&gt;&lt;FQL&gt;&lt;Q&gt;EURUSD^FG_PRICE(43824)&lt;/Q&gt;&lt;R&gt;1&lt;/R&gt;&lt;C&gt;1&lt;/C&gt;&lt;D xsi:type="xsd:double"&gt;1.1089913&lt;/D&gt;&lt;/FQL&gt;&lt;FQL&gt;&lt;Q&gt;GBPUSD^FG_PRICE(43819)&lt;/Q&gt;&lt;R&gt;1&lt;/R&gt;&lt;C&gt;1&lt;/C&gt;&lt;D xsi:type="xsd:double"&gt;1.30485&lt;/D&gt;&lt;/FQL&gt;&lt;FQL&gt;&lt;Q&gt;EURUSD^FG_PRICE(43815)&lt;/Q&gt;&lt;R&gt;1&lt;/R&gt;&lt;C&gt;1&lt;/C&gt;&lt;D xsi:type="xsd:double"&gt;1.11375&lt;/D&gt;&lt;/FQL&gt;&lt;FQL&gt;&lt;Q&gt;EURUSD^FG_PRICE(43811)&lt;/Q&gt;&lt;R&gt;1&lt;/R&gt;&lt;C&gt;1&lt;/C&gt;&lt;D xsi:type="xsd:double"&gt;1.11175&lt;/D&gt;&lt;/FQL&gt;&lt;FQL&gt;&lt;Q&gt;EURUSD^FG_PRICE(43807)&lt;/Q&gt;&lt;R&gt;1&lt;/R&gt;&lt;C&gt;1&lt;/C&gt;&lt;D xsi:type="xsd:double"&gt;1.1049&lt;/D&gt;&lt;/FQL&gt;&lt;FQL&gt;&lt;Q&gt;EURUSD^FG_PRICE(43803)&lt;/Q&gt;&lt;R&gt;1&lt;/R&gt;&lt;C&gt;1&lt;/C&gt;&lt;D xsi:type="xsd:double"&gt;1.10875&lt;/D&gt;&lt;/FQL&gt;&lt;FQL&gt;&lt;Q&gt;EURUSD^FG_PRICE(43799)&lt;/Q&gt;&lt;R&gt;1&lt;/R&gt;&lt;C&gt;1&lt;/C&gt;&lt;D xsi:type="xsd:double"&gt;1.1026&lt;/D&gt;&lt;/FQL&gt;&lt;FQL&gt;&lt;Q&gt;EURUSD^FG_PRICE(43795)&lt;/Q&gt;&lt;R&gt;1&lt;/R&gt;&lt;C&gt;1&lt;/C&gt;&lt;D xsi:type="xsd:double"&gt;1.10145&lt;/D&gt;&lt;/FQL&gt;&lt;FQL&gt;&lt;Q&gt;EURUSD^FG_PRICE(43791)&lt;/Q&gt;&lt;R&gt;1&lt;/R&gt;&lt;C&gt;1&lt;/C&gt;&lt;D xsi:type="xsd:double"&gt;1.10335&lt;/D&gt;&lt;/FQL&gt;&lt;FQL&gt;&lt;Q&gt;EURUSD^FG_PRICE(43787)&lt;/Q&gt;&lt;R&gt;1&lt;/R&gt;&lt;C&gt;1&lt;/C&gt;&lt;D xsi:type="xsd:double"&gt;1.1081&lt;/D&gt;&lt;/FQL&gt;&lt;FQL&gt;&lt;Q&gt;EURUSD^FG_PRICE(43783)&lt;/Q&gt;&lt;R&gt;1&lt;/R&gt;&lt;C&gt;1&lt;/C&gt;&lt;D xsi:type="xsd:double"&gt;1.10015&lt;/D&gt;&lt;/FQL&gt;&lt;FQL&gt;&lt;Q&gt;EURUSD^FG_PRICE(43779)&lt;/Q&gt;&lt;R&gt;1&lt;/R&gt;&lt;C&gt;1&lt;/C&gt;&lt;D xsi:type="xsd:double"&gt;1.1021&lt;/D&gt;&lt;/FQL&gt;&lt;FQL&gt;&lt;Q&gt;EURUSD^FG_PRICE(43775)&lt;/Q&gt;&lt;R&gt;1&lt;/R&gt;&lt;C&gt;1&lt;/C&gt;&lt;D xsi:type="xsd:double"&gt;1.1074&lt;/D&gt;&lt;/FQL&gt;&lt;FQL&gt;&lt;Q&gt;EURUSD^FG_PRICE(43771)&lt;/Q&gt;&lt;R&gt;1&lt;/R&gt;&lt;C&gt;1&lt;/C&gt;&lt;D xsi:type="xsd:double"&gt;1.11695&lt;/D&gt;&lt;/FQL&gt;&lt;FQL&gt;&lt;Q&gt;EURUSD^FG_PRICE(43767)&lt;/Q&gt;&lt;R&gt;1&lt;/R&gt;&lt;C&gt;1&lt;/C&gt;&lt;D xsi:type="xsd:double"&gt;1.1115501&lt;/D&gt;&lt;/FQL&gt;&lt;FQL&gt;&lt;Q&gt;EURUSD^FG_PRICE(43763)&lt;/Q&gt;&lt;R&gt;1&lt;/R&gt;&lt;C&gt;1&lt;/C&gt;&lt;D xsi:type="xsd:double"&gt;1.1091&lt;/D&gt;&lt;/FQL&gt;&lt;FQL&gt;&lt;Q&gt;EURUSD^FG_PRICE(43759)&lt;/Q&gt;&lt;R&gt;1&lt;/R&gt;&lt;C&gt;1&lt;/C&gt;&lt;D xsi:type="xsd:double"&gt;1.11465&lt;/D&gt;&lt;/FQL&gt;&lt;FQL&gt;&lt;Q&gt;EURUSD^FG_PRICE(43755)&lt;/Q&gt;&lt;R&gt;1&lt;/R&gt;&lt;C&gt;1&lt;/C&gt;&lt;D xsi:type="xsd:double"&gt;1.1115999&lt;/D&gt;&lt;/FQL&gt;&lt;FQL&gt;&lt;Q&gt;EURUSD^FG_PRICE(43751)&lt;/Q&gt;&lt;R&gt;1&lt;/R&gt;&lt;C&gt;1&lt;/C&gt;&lt;D xsi:type="xsd:double"&gt;1.1036&lt;/D&gt;&lt;/FQL&gt;&lt;FQL&gt;&lt;Q&gt;EURUSD^FG_PRICE(43747)&lt;/Q&gt;&lt;R&gt;1&lt;/R&gt;&lt;C&gt;1&lt;/C&gt;&lt;D xsi:type="xsd:double"&gt;1.098&lt;/D&gt;&lt;/FQL&gt;&lt;FQL&gt;&lt;Q&gt;EURUSD^FG_PRICE(43743)&lt;/Q&gt;&lt;R&gt;1&lt;/R&gt;&lt;C&gt;1&lt;/C&gt;&lt;D xsi:type="xsd:double"&gt;1.09795&lt;/D&gt;&lt;/FQL&gt;&lt;FQL&gt;&lt;Q&gt;EURUSD^FG_PRICE(43739)&lt;/Q&gt;&lt;R&gt;1&lt;/R&gt;&lt;C&gt;1&lt;/C&gt;&lt;D xsi:type="xsd:double"&gt;1.09175&lt;/D&gt;&lt;/FQL&gt;&lt;FQL&gt;&lt;Q&gt;EURUSD^FG_PRICE(43735)&lt;/Q&gt;&lt;R&gt;1&lt;/R&gt;&lt;C&gt;1&lt;/C&gt;&lt;D xsi:</t>
        </r>
      </text>
    </comment>
    <comment ref="A17" authorId="0" shapeId="0" xr:uid="{4DF698A3-39AE-4AC0-9413-C39DFD408B29}">
      <text>
        <r>
          <rPr>
            <b/>
            <sz val="9"/>
            <color indexed="81"/>
            <rFont val="Tahoma"/>
            <family val="2"/>
          </rPr>
          <t>type="xsd:double"&gt;1.09475&lt;/D&gt;&lt;/FQL&gt;&lt;FQL&gt;&lt;Q&gt;EURUSD^FG_PRICE(43731)&lt;/Q&gt;&lt;R&gt;1&lt;/R&gt;&lt;C&gt;1&lt;/C&gt;&lt;D xsi:type="xsd:double"&gt;1.09955&lt;/D&gt;&lt;/FQL&gt;&lt;FQL&gt;&lt;Q&gt;EURUSD^FG_PRICE(43727)&lt;/Q&gt;&lt;R&gt;1&lt;/R&gt;&lt;C&gt;1&lt;/C&gt;&lt;D xsi:type="xsd:double"&gt;1.10565&lt;/D&gt;&lt;/FQL&gt;&lt;FQL&gt;&lt;Q&gt;EURUSD^FG_PRICE(43723)&lt;/Q&gt;&lt;R&gt;1&lt;/R&gt;&lt;C&gt;1&lt;/C&gt;&lt;D xsi:type="xsd:double"&gt;1.1084&lt;/D&gt;&lt;/FQL&gt;&lt;FQL&gt;&lt;Q&gt;EURUSD^FG_PRICE(43719)&lt;/Q&gt;&lt;R&gt;1&lt;/R&gt;&lt;C&gt;1&lt;/C&gt;&lt;D xsi:type="xsd:double"&gt;1.0997&lt;/D&gt;&lt;/FQL&gt;&lt;FQL&gt;&lt;Q&gt;EURUSD^FG_PRICE(43715)&lt;/Q&gt;&lt;R&gt;1&lt;/R&gt;&lt;C&gt;1&lt;/C&gt;&lt;D xsi:type="xsd:double"&gt;1.10475&lt;/D&gt;&lt;/FQL&gt;&lt;FQL&gt;&lt;Q&gt;EURUSD^FG_PRICE(43711)&lt;/Q&gt;&lt;R&gt;1&lt;/R&gt;&lt;C&gt;1&lt;/C&gt;&lt;D xsi:type="xsd:double"&gt;1.0962499&lt;/D&gt;&lt;/FQL&gt;&lt;FQL&gt;&lt;Q&gt;EURUSD^FG_PRICE(43707)&lt;/Q&gt;&lt;R&gt;1&lt;/R&gt;&lt;C&gt;1&lt;/C&gt;&lt;D xsi:type="xsd:double"&gt;1.10125&lt;/D&gt;&lt;/FQL&gt;&lt;FQL&gt;&lt;Q&gt;EURUSD^FG_PRICE(43703)&lt;/Q&gt;&lt;R&gt;1&lt;/R&gt;&lt;C&gt;1&lt;/C&gt;&lt;D xsi:type="xsd:double"&gt;1.1113499&lt;/D&gt;&lt;/FQL&gt;&lt;FQL&gt;&lt;Q&gt;EURUSD^FG_PRICE(43699)&lt;/Q&gt;&lt;R&gt;1&lt;/R&gt;&lt;C&gt;1&lt;/C&gt;&lt;D xsi:type="xsd:double"&gt;1.10805&lt;/D&gt;&lt;/FQL&gt;&lt;FQL&gt;&lt;Q&gt;EURUSD^FG_PRICE(43695)&lt;/Q&gt;&lt;R&gt;1&lt;/R&gt;&lt;C&gt;1&lt;/C&gt;&lt;D xsi:type="xsd:double"&gt;1.11045&lt;/D&gt;&lt;/FQL&gt;&lt;FQL&gt;&lt;Q&gt;EURUSD^FG_PRICE(43691)&lt;/Q&gt;&lt;R&gt;1&lt;/R&gt;&lt;C&gt;1&lt;/C&gt;&lt;D xsi:type="xsd:double"&gt;1.115&lt;/D&gt;&lt;/FQL&gt;&lt;FQL&gt;&lt;Q&gt;EURUSD^FG_PRICE(43687)&lt;/Q&gt;&lt;R&gt;1&lt;/R&gt;&lt;C&gt;1&lt;/C&gt;&lt;D xsi:type="xsd:double"&gt;1.12015&lt;/D&gt;&lt;/FQL&gt;&lt;FQL&gt;&lt;Q&gt;EURUSD^FG_PRICE(43683)&lt;/Q&gt;&lt;R&gt;1&lt;/R&gt;&lt;C&gt;1&lt;/C&gt;&lt;D xsi:type="xsd:double"&gt;1.11865&lt;/D&gt;&lt;/FQL&gt;&lt;FQL&gt;&lt;Q&gt;EURUSD^FG_PRICE(43679)&lt;/Q&gt;&lt;R&gt;1&lt;/R&gt;&lt;C&gt;1&lt;/C&gt;&lt;D xsi:type="xsd:double"&gt;1.1102&lt;/D&gt;&lt;/FQL&gt;&lt;FQL&gt;&lt;Q&gt;EURUSD^FG_PRICE(43675)&lt;/Q&gt;&lt;R&gt;1&lt;/R&gt;&lt;C&gt;1&lt;/C&gt;&lt;D xsi:type="xsd:double"&gt;1.11315&lt;/D&gt;&lt;/FQL&gt;&lt;FQL&gt;&lt;Q&gt;GBPUSD^FG_PRICE(44824)&lt;/Q&gt;&lt;R&gt;1&lt;/R&gt;&lt;C&gt;1&lt;/C&gt;&lt;D xsi:type="xsd:double"&gt;1.14135&lt;/D&gt;&lt;/FQL&gt;&lt;FQL&gt;&lt;Q&gt;GBPUSD^FG_PRICE(44783)&lt;/Q&gt;&lt;R&gt;1&lt;/R&gt;&lt;C&gt;1&lt;/C&gt;&lt;D xsi:type="xsd:double"&gt;1.2262499&lt;/D&gt;&lt;/FQL&gt;&lt;FQL&gt;&lt;Q&gt;GBPUSD^FG_PRICE(44732)&lt;/Q&gt;&lt;R&gt;1&lt;/R&gt;&lt;C&gt;1&lt;/C&gt;&lt;D xsi:type="xsd:double"&gt;1.22555&lt;/D&gt;&lt;/FQL&gt;&lt;FQL&gt;&lt;Q&gt;EURUSD^FG_PRICE(44688)&lt;/Q&gt;&lt;R&gt;1&lt;/R&gt;&lt;C&gt;1&lt;/C&gt;&lt;D xsi:type="xsd:double"&gt;1.0583&lt;/D&gt;&lt;/FQL&gt;&lt;FQL&gt;&lt;Q&gt;EURUSD^FG_PRICE(44645)&lt;/Q&gt;&lt;R&gt;1&lt;/R&gt;&lt;C&gt;1&lt;/C&gt;&lt;D xsi:type="xsd:double"&gt;1.0984501&lt;/D&gt;&lt;/FQL&gt;&lt;FQL&gt;&lt;Q&gt;EURUSD^FG_PRICE(44597)&lt;/Q&gt;&lt;R&gt;1&lt;/R&gt;&lt;C&gt;1&lt;/C&gt;&lt;D xsi:type="xsd:double"&gt;1.1443&lt;/D&gt;&lt;/FQL&gt;&lt;FQL&gt;&lt;Q&gt;GBPUSD^FG_PRICE(44552)&lt;/Q&gt;&lt;R&gt;1&lt;/R&gt;&lt;C&gt;1&lt;/C&gt;&lt;D xsi:type="xsd:double"&gt;1.3346499&lt;/D&gt;&lt;/FQL&gt;&lt;FQL&gt;&lt;Q&gt;GBPUSD^FG_PRICE(44508)&lt;/Q&gt;&lt;R&gt;1&lt;/R&gt;&lt;C&gt;1&lt;/C&gt;&lt;D xsi:type="xsd:double"&gt;1.3562499&lt;/D&gt;&lt;/FQL&gt;&lt;FQL&gt;&lt;Q&gt;EURUSD^FG_PRICE(44460)&lt;/Q&gt;&lt;R&gt;1&lt;/R&gt;&lt;C&gt;1&lt;/C&gt;&lt;D xsi:type="xsd:double"&gt;1.1724501&lt;/D&gt;&lt;/FQL&gt;&lt;FQL&gt;&lt;Q&gt;GBPUSD^FG_PRICE(44415)&lt;/Q&gt;&lt;R&gt;1&lt;/R&gt;&lt;C&gt;1&lt;/C&gt;&lt;D xsi:type="xsd:double"&gt;1.38655&lt;/D&gt;&lt;/FQL&gt;&lt;FQL&gt;&lt;Q&gt;GBPUSD^FG_PRICE(44380)&lt;/Q&gt;&lt;R&gt;1&lt;/R&gt;&lt;C&gt;1&lt;/C&gt;&lt;D xsi:type="xsd:double"&gt;1.37835&lt;/D&gt;&lt;/FQL&gt;&lt;FQL&gt;&lt;Q&gt;GBPUSD^FG_PRICE(44343)&lt;/Q&gt;&lt;R&gt;1&lt;/R&gt;&lt;C&gt;1&lt;/C&gt;&lt;D xsi:type="xsd:double"&gt;1.41915&lt;/D&gt;&lt;/FQL&gt;&lt;FQL&gt;&lt;Q&gt;EURUSD^FG_PRICE(44311)&lt;/Q&gt;&lt;R&gt;1&lt;/R&gt;&lt;C&gt;1&lt;/C&gt;&lt;D xsi:type="xsd:double"&gt;1.20495&lt;/D&gt;&lt;/FQL&gt;&lt;FQL&gt;&lt;Q&gt;EURUSD^FG_PRICE(44279)&lt;/Q&gt;&lt;R&gt;1&lt;/R&gt;&lt;C&gt;1&lt;/C&gt;&lt;D xsi:type="xsd:double"&gt;1.1830499&lt;/D&gt;&lt;/FQL&gt;&lt;FQL&gt;&lt;Q&gt;GBPUSD^FG_PRICE(44240)&lt;/Q&gt;&lt;R&gt;1&lt;/R&gt;&lt;C&gt;1&lt;/C&gt;&lt;D xsi:type="xsd:double"&gt;1.38485&lt;/D&gt;&lt;/FQL&gt;&lt;FQL&gt;&lt;Q&gt;EURUSD^FG_PRICE(44208)&lt;/Q&gt;&lt;R&gt;1&lt;/R&gt;&lt;C&gt;1&lt;/C&gt;&lt;D xsi:type="xsd:double"&gt;1.21585&lt;/D&gt;&lt;/FQL&gt;&lt;FQL&gt;&lt;Q&gt;EURUSD^FG_PRICE(44176)&lt;/Q&gt;&lt;R&gt;1&lt;/R&gt;&lt;C&gt;1&lt;/C&gt;&lt;D xsi:type="xsd:double"&gt;1.21075&lt;/D&gt;&lt;/FQL&gt;&lt;FQL&gt;&lt;Q&gt;EURUSD^FG_PRICE(44139)&lt;/Q&gt;&lt;R&gt;1&lt;/R&gt;&lt;C&gt;1&lt;/C&gt;&lt;D xsi:type="xsd:double"&gt;1.17085&lt;/D&gt;&lt;/FQL&gt;&lt;FQL&gt;&lt;Q&gt;EURUSD^FG_PRICE(44108)&lt;/Q&gt;&lt;R&gt;1&lt;/R&gt;&lt;C&gt;1&lt;/C&gt;&lt;D xsi:type="xsd:double"&gt;1.17145&lt;/D&gt;&lt;/FQL&gt;&lt;FQL&gt;&lt;Q&gt;EURUSD^FG_PRICE(44087)&lt;/Q&gt;&lt;R&gt;1&lt;/R&gt;&lt;C&gt;1&lt;/C&gt;&lt;D xsi:type="xsd:double"&gt;1.1831&lt;/D&gt;&lt;/FQL&gt;&lt;FQL&gt;&lt;Q&gt;EURUSD^FG_PRICE(44061)&lt;/Q&gt;&lt;R&gt;1&lt;/R&gt;&lt;C&gt;1&lt;/C&gt;&lt;D xsi:type="xsd:double"&gt;1.19205&lt;/D&gt;&lt;/FQL&gt;&lt;FQL&gt;&lt;Q&gt;GBPUSD^FG_PRICE(44039)&lt;/Q&gt;&lt;R&gt;1&lt;/R&gt;&lt;C&gt;1&lt;/C&gt;&lt;D xsi:type="xsd:double"&gt;1.2896&lt;/D&gt;&lt;/FQL&gt;&lt;FQL&gt;&lt;Q&gt;GBPUSD^FG_PRICE(44019)&lt;/Q&gt;&lt;R&gt;1&lt;/R&gt;&lt;C&gt;1&lt;/C&gt;&lt;D xsi:type="xsd:double"&gt;1.2575&lt;/D&gt;&lt;/FQL&gt;&lt;FQL&gt;&lt;Q&gt;GBPUSD^FG_PRICE(44000)&lt;/Q&gt;&lt;R&gt;1&lt;/R&gt;&lt;C&gt;1&lt;/C&gt;&lt;D xsi:type="xsd:double"&gt;1.2417&lt;/D&gt;&lt;/FQL&gt;&lt;FQL&gt;&lt;Q&gt;EURUSD^FG_PRICE(43984)&lt;/Q&gt;&lt;R&gt;1&lt;/R&gt;&lt;C&gt;1&lt;/C&gt;&lt;D xsi:type="xsd:double"&gt;1.1183&lt;/D&gt;&lt;/FQL&gt;&lt;FQL&gt;&lt;Q&gt;EURUSD^FG_PRICE(43968)&lt;/Q&gt;&lt;R&gt;1&lt;/R&gt;&lt;C&gt;1&lt;/C&gt;&lt;D xsi:type="xsd:double"&gt;1.0818499&lt;/D&gt;&lt;/FQL&gt;&lt;FQL&gt;&lt;Q&gt;EURUSD^FG_PRICE(43949)&lt;/Q&gt;&lt;R&gt;1&lt;/R&gt;&lt;C&gt;1&lt;/C&gt;&lt;D xsi:type="xsd:double"&gt;1.0832&lt;/D&gt;&lt;/FQL&gt;&lt;FQL&gt;&lt;Q&gt;GBPUSD^FG_PRICE(43932)&lt;/Q&gt;&lt;R&gt;1&lt;/R&gt;&lt;C&gt;1&lt;/C&gt;&lt;D xsi:type="xsd:double"&gt;1.24685&lt;/D&gt;&lt;/FQL&gt;&lt;FQL&gt;&lt;Q&gt;GBPUSD^FG_PRICE(43916)&lt;/Q&gt;&lt;R&gt;1&lt;/R&gt;&lt;C&gt;1&lt;/C&gt;&lt;D xsi:type="xsd:double"&gt;1.21355&lt;/D&gt;&lt;/FQL&gt;&lt;FQL&gt;&lt;Q&gt;EURUSD^FG_PRICE(43899)&lt;/Q&gt;&lt;R&gt;1&lt;/R&gt;&lt;C&gt;1&lt;/C&gt;&lt;D xsi:type="xsd:double"&gt;1.14185&lt;/D&gt;&lt;/FQL&gt;&lt;FQL&gt;&lt;Q&gt;EURUSD^FG_PRICE(43881)&lt;/Q&gt;&lt;R&gt;1&lt;/R&gt;&lt;C&gt;1&lt;/C&gt;&lt;D xsi:type="xsd:double"&gt;1.0803499&lt;/D&gt;&lt;/FQL&gt;&lt;FQL&gt;&lt;Q&gt;EURUSD^FG_PRICE(43865)&lt;/Q&gt;&lt;R&gt;1&lt;/R&gt;&lt;C&gt;1&lt;/C&gt;&lt;D xsi:type="xsd:double"&gt;1.10385&lt;/D&gt;&lt;/FQL&gt;&lt;FQL&gt;&lt;Q&gt;GBPUSD^FG_PRICE(43847)&lt;/Q&gt;&lt;R&gt;1&lt;/R&gt;&lt;C&gt;1&lt;/C&gt;&lt;D xsi:type="xsd:double"&gt;1.3031&lt;/D&gt;&lt;/FQL&gt;&lt;FQL&gt;&lt;Q&gt;EURUSD^FG_PRICE(43831)&lt;/Q&gt;&lt;R&gt;1&lt;/R&gt;&lt;C&gt;1&lt;/C&gt;&lt;D xsi:type="xsd:double"&gt;1.1224792&lt;/D&gt;&lt;/FQL&gt;&lt;FQL&gt;&lt;Q&gt;EURUSD^FG_PRICE(43818)&lt;/Q&gt;&lt;R&gt;1&lt;/R&gt;&lt;C&gt;1&lt;/C&gt;&lt;D xsi:type="xsd:double"&gt;1.11165&lt;/D&gt;&lt;/FQL&gt;&lt;FQL&gt;&lt;Q&gt;GBPUSD^FG_PRICE(43806)&lt;/Q&gt;&lt;R&gt;1&lt;/R&gt;&lt;C&gt;1&lt;/C&gt;&lt;D xsi:type="xsd:double"&gt;1.31065&lt;/D&gt;&lt;/FQL&gt;&lt;FQL&gt;&lt;Q&gt;EURUSD^FG_PRICE(43796)&lt;/Q&gt;&lt;R&gt;1&lt;/R&gt;&lt;C&gt;1&lt;/C&gt;&lt;D xsi:type="xsd:double"&gt;1.09995&lt;/D&gt;&lt;/FQL&gt;&lt;FQL&gt;&lt;Q&gt;EURUSD^FG_PRICE(43786)&lt;/Q&gt;&lt;R&gt;1&lt;/R&gt;&lt;C&gt;1&lt;/C&gt;&lt;D xsi:type="xsd:double"&gt;1.1052&lt;/D&gt;&lt;/FQL&gt;&lt;FQL&gt;&lt;Q&gt;GBPUSD^FG_PRICE(43774)&lt;/Q&gt;&lt;R&gt;1&lt;/R&gt;&lt;C&gt;1&lt;/C&gt;&lt;D xsi:type="xsd:double"&gt;1.2868&lt;/D&gt;&lt;/FQL&gt;&lt;FQL&gt;&lt;Q&gt;EURUSD^FG_PRICE(43764)&lt;/Q&gt;&lt;R&gt;1&lt;/R&gt;&lt;C&gt;1&lt;/C&gt;&lt;D xsi:type="xsd:double"&gt;1.1091&lt;/D&gt;&lt;/FQL&gt;&lt;FQL&gt;&lt;Q&gt;EURUSD^FG_PRICE(43754)&lt;/Q&gt;&lt;R&gt;1&lt;/R&gt;&lt;C&gt;1&lt;/C&gt;&lt;D xsi:type="xsd:double"&gt;1.10505&lt;/D&gt;&lt;/FQL&gt;&lt;FQL&gt;&lt;Q&gt;GBPUSD^FG_PRICE(43742)&lt;/Q&gt;&lt;R&gt;1&lt;/R&gt;&lt;C&gt;1&lt;/C&gt;&lt;D xsi:type="xsd:double"&gt;1.22955&lt;/D&gt;&lt;/FQL&gt;&lt;FQL&gt;&lt;Q&gt;EURUSD^FG_PRICE(43732)&lt;/Q&gt;&lt;R&gt;1&lt;/R&gt;&lt;C&gt;1&lt;/C&gt;&lt;D xsi:type="xsd:double"&gt;1.0997&lt;/D&gt;&lt;/FQL&gt;&lt;FQL&gt;&lt;Q&gt;EURUSD^FG_PRICE(43722)&lt;/Q&gt;&lt;R&gt;1&lt;/R&gt;&lt;C&gt;1&lt;/C&gt;&lt;D xsi:type="xsd:double"&gt;1.1084&lt;/D&gt;&lt;/FQL&gt;&lt;FQL&gt;&lt;Q&gt;EURUSD^FG_PRICE(43714)&lt;/Q&gt;&lt;R&gt;1&lt;/R&gt;&lt;C&gt;1&lt;/C&gt;&lt;D xsi:type="xsd:double"&gt;1.10475&lt;/D&gt;&lt;/FQL&gt;&lt;FQL&gt;&lt;Q&gt;EURUSD^FG_PRICE(43706)&lt;/Q&gt;&lt;R&gt;1&lt;/R&gt;&lt;C&gt;1&lt;/C&gt;&lt;D xsi:type="xsd:double"&gt;1.10665&lt;/D&gt;&lt;/FQL&gt;&lt;FQL&gt;&lt;Q&gt;EURUSD^FG_PRICE(43698)&lt;/Q&gt;&lt;R&gt;1&lt;/R&gt;&lt;C&gt;1&lt;/C&gt;&lt;D xsi:type="xsd:double"&gt;1.10935&lt;/D&gt;&lt;/FQL&gt;&lt;FQL&gt;&lt;Q&gt;EURUSD^FG_PRICE(43690)&lt;/Q&gt;&lt;R&gt;1&lt;/R&gt;&lt;C&gt;1&lt;/C&gt;&lt;D xsi:type="xsd:double"&gt;1.1188&lt;/D&gt;&lt;/FQL&gt;&lt;FQL&gt;&lt;Q&gt;EURUSD^FG_PRICE(43682)&lt;/Q&gt;&lt;R&gt;1&lt;/R&gt;&lt;C&gt;1&lt;/C&gt;&lt;D xsi:type="xsd:double"&gt;1.1185&lt;/D&gt;&lt;/FQL&gt;&lt;FQL&gt;&lt;Q&gt;EURUSD^FG_PRICE(43674)&lt;/Q&gt;&lt;R&gt;1&lt;/R&gt;&lt;C&gt;1&lt;/C&gt;&lt;D xsi:type="xsd:double"&gt;1.1126499&lt;/D&gt;&lt;/FQL&gt;&lt;FQL&gt;&lt;Q&gt;EURUSD^FG_PRICE(43667)&lt;/Q&gt;&lt;R&gt;1&lt;/R&gt;&lt;C&gt;1&lt;/C&gt;&lt;D xsi:type="xsd:double"&gt;1.1222&lt;/D&gt;&lt;/FQL&gt;&lt;FQL&gt;&lt;Q&gt;GBPUSD^FG_PRICE(43660)&lt;/Q&gt;&lt;R&gt;1&lt;/R&gt;&lt;C&gt;1&lt;/C&gt;&lt;D xsi:type="xsd:double"&gt;1.2560999&lt;/D&gt;&lt;/FQL&gt;&lt;FQL&gt;&lt;Q&gt;GBPUSD^FG_PRICE(43654)&lt;/Q&gt;&lt;R&gt;1&lt;/R&gt;&lt;C&gt;1&lt;/C&gt;&lt;D xsi:type="xsd:double"&gt;1.25145&lt;/D&gt;&lt;/FQL&gt;&lt;FQL&gt;&lt;Q&gt;EURUSD^FG_PRICE(43648)&lt;/Q&gt;&lt;R&gt;1&lt;/R&gt;&lt;C&gt;1&lt;/C&gt;&lt;D xsi:type="xsd:double"&gt;1.1295&lt;/D&gt;&lt;/FQL&gt;&lt;FQL&gt;&lt;Q&gt;EURUSD^FG_PRICE(43644)&lt;/Q&gt;&lt;R&gt;1&lt;/R&gt;&lt;C&gt;1&lt;/C&gt;&lt;D xsi:type="xsd:double"&gt;1.1388&lt;/D&gt;&lt;/FQL&gt;&lt;FQL&gt;&lt;Q&gt;EURUSD^FG_PRICE(43640)&lt;/Q&gt;&lt;R&gt;1&lt;/R&gt;&lt;C&gt;1&lt;/C&gt;&lt;D xsi:type="xsd:double"&gt;1.13895&lt;/D&gt;&lt;/FQL&gt;&lt;FQL&gt;&lt;Q&gt;EURUSD^FG_PRICE(43636)&lt;/Q&gt;&lt;R&gt;1&lt;/R&gt;&lt;C&gt;1&lt;/C&gt;&lt;D xsi:type="xsd:double"&gt;1.1291001&lt;/D&gt;&lt;/FQL&gt;&lt;FQL&gt;&lt;Q&gt;EURUSD^FG_PRICE(43632)&lt;/Q&gt;&lt;R&gt;1&lt;/R&gt;&lt;C&gt;1&lt;/C&gt;&lt;D xsi:type="xsd:double"&gt;1.1225&lt;/D&gt;&lt;/FQL&gt;&lt;FQL&gt;&lt;Q&gt;EURUSD^FG_PRICE(43628)&lt;/Q&gt;&lt;R&gt;1&lt;/R&gt;&lt;C&gt;1&lt;/C&gt;&lt;D xsi:type="xsd:double"&gt;1.1320499&lt;/D&gt;&lt;/FQL&gt;&lt;FQL&gt;&lt;Q&gt;EURUSD^FG_PRICE(43624)&lt;/Q&gt;&lt;R&gt;1&lt;/R&gt;&lt;C&gt;1&lt;/C&gt;&lt;D xsi:type="xsd:double"&gt;1.1337501&lt;/D&gt;&lt;/FQL&gt;&lt;FQL&gt;&lt;Q&gt;EURUSD^FG_PRICE(43620)&lt;/Q&gt;&lt;R&gt;1&lt;/R&gt;&lt;C&gt;1&lt;/C&gt;&lt;D xsi:type="xsd:double"&gt;1.1233001&lt;/D&gt;&lt;/FQL&gt;&lt;FQL&gt;&lt;Q&gt;EURUSD^FG_PRICE(43616)&lt;/Q&gt;&lt;R&gt;1&lt;/R&gt;&lt;C&gt;1&lt;/C&gt;&lt;D xsi:type="xsd:double"&gt;1.1143501&lt;/D&gt;&lt;/FQL&gt;&lt;FQL&gt;&lt;Q&gt;EURUSD^FG_PRICE(43612)&lt;/Q&gt;&lt;R&gt;1&lt;/R&gt;&lt;C&gt;1&lt;/C&gt;&lt;D xsi:type="xsd:double"&gt;1.1192&lt;/D&gt;&lt;/FQL&gt;&lt;FQL&gt;&lt;Q&gt;EURUSD^FG_PRICE(43608)&lt;/Q&gt;&lt;R&gt;1&lt;/R&gt;&lt;C&gt;1&lt;/C&gt;&lt;D xsi:type="xsd:double"&gt;1.115&lt;/D&gt;&lt;/FQL&gt;&lt;FQL&gt;&lt;Q&gt;EURUSD^FG_PRICE(43604)&lt;/Q&gt;&lt;R&gt;1&lt;/R&gt;&lt;C&gt;1&lt;/C&gt;&lt;D xsi:type="xsd:double"&gt;1.11595&lt;/D&gt;&lt;/FQL&gt;&lt;FQL&gt;&lt;Q&gt;EURUSD^FG_PRICE(43600)&lt;/Q&gt;&lt;R&gt;1&lt;/R&gt;&lt;C&gt;1&lt;/C&gt;&lt;D xsi:type="xsd:double"&gt;1.1206499&lt;/D&gt;&lt;/FQL&gt;&lt;FQL&gt;&lt;Q&gt;EURUSD^FG_PRICE(43596)&lt;/Q&gt;&lt;R&gt;1&lt;/R&gt;&lt;C&gt;1&lt;/C&gt;&lt;D xsi:type="xsd:double"&gt;1.1244&lt;/D&gt;&lt;/FQL&gt;&lt;FQL&gt;&lt;Q&gt;EURUSD^FG_PRICE(43592)&lt;/Q&gt;&lt;R&gt;1&lt;/R&gt;&lt;C&gt;1&lt;/C&gt;&lt;D xsi:type="xsd:double"&gt;1.1188&lt;/D&gt;&lt;/FQL&gt;&lt;FQL&gt;&lt;Q&gt;EURUSD^FG_PRICE(43588)&lt;/Q&gt;&lt;R&gt;1&lt;/R&gt;&lt;C&gt;1&lt;/C&gt;&lt;D xsi:type="xsd:double"&gt;1.11875&lt;/D&gt;&lt;/FQL&gt;&lt;FQL&gt;&lt;Q&gt;EURUSD^FG_PRICE(43584)&lt;/Q&gt;&lt;R&gt;1&lt;/R&gt;&lt;C&gt;1&lt;/C&gt;&lt;D xsi:type="xsd:double"&gt;1.1165999&lt;/D&gt;&lt;/FQL&gt;&lt;FQL&gt;&lt;Q&gt;EURUSD^FG_PRICE(43580)&lt;/Q&gt;&lt;R&gt;1&lt;/R&gt;&lt;C&gt;1&lt;/C&gt;&lt;D xsi:type="xsd:double"&gt;1.1144&lt;/D&gt;&lt;/FQL&gt;&lt;FQL&gt;&lt;Q&gt;EURUSD^FG_PRICE(43576)&lt;/Q&gt;&lt;R&gt;1&lt;/R&gt;&lt;C&gt;1&lt;/C&gt;&lt;D xsi:type="xsd:double"&gt;1.1243681&lt;/D&gt;&lt;/FQL&gt;&lt;FQL&gt;&lt;Q&gt;EURUSD^FG_PRICE(43572)&lt;/Q&gt;&lt;R&gt;1&lt;/R&gt;&lt;C&gt;1&lt;/C&gt;&lt;D xsi:type="xsd:double"&gt;1.13025&lt;/D&gt;&lt;/FQL&gt;&lt;FQL&gt;&lt;Q&gt;EURUSD^FG_PRICE(43568)&lt;/Q&gt;&lt;R&gt;1&lt;/R&gt;&lt;C&gt;1&lt;/C&gt;&lt;D xsi:type="xsd:double"&gt;1.1314&lt;/D&gt;&lt;/FQL&gt;&lt;FQL&gt;&lt;Q&gt;EURUSD^FG_PRICE(43564)&lt;/Q&gt;&lt;R&gt;1&lt;/R&gt;&lt;C&gt;1&lt;/C&gt;&lt;D xsi:type="xsd:double"&gt;1.1273&lt;/D&gt;&lt;/FQL&gt;&lt;FQL&gt;&lt;Q&gt;EURUSD^FG_PRICE(43560)&lt;/Q&gt;&lt;R&gt;1&lt;/R&gt;&lt;C&gt;1&lt;/C&gt;&lt;D xsi:type="xsd:double"&gt;1.1223&lt;/D&gt;&lt;/FQL&gt;&lt;FQL&gt;&lt;Q&gt;EURUSD^FG_PRICE(43556)&lt;/Q&gt;&lt;R&gt;1&lt;/R&gt;&lt;C&gt;1&lt;/C&gt;&lt;D xsi:type="xsd:double"&gt;1.1221&lt;/D&gt;&lt;/FQL&gt;&lt;FQL&gt;&lt;Q&gt;EURUSD^FG_PRICE(43552)&lt;/Q&gt;&lt;R&gt;1&lt;/R&gt;&lt;C&gt;1&lt;/C&gt;&lt;D xsi:type="xsd:double"&gt;1.1235&lt;/D&gt;&lt;/FQL&gt;&lt;FQL&gt;&lt;Q&gt;EURUSD^FG_PRICE(43548)&lt;/Q&gt;&lt;R&gt;1&lt;/R&gt;&lt;C&gt;1&lt;/C&gt;&lt;D xsi:type="xsd:double"&gt;1.1283&lt;/D&gt;&lt;/FQL&gt;&lt;FQL&gt;&lt;Q&gt;EURUSD^FG_PRICE(43544)&lt;/Q&gt;&lt;R&gt;1&lt;/R&gt;&lt;C&gt;1&lt;/C&gt;&lt;D xsi:type="xsd:double"&gt;1.1352&lt;/D&gt;&lt;/FQL&gt;&lt;FQL&gt;&lt;Q&gt;EURUSD^FG_PRICE(43540)&lt;/Q&gt;&lt;R&gt;1&lt;/R&gt;&lt;C&gt;1&lt;/C&gt;&lt;D xsi:type="xsd:double"&gt;1.1326&lt;/D&gt;&lt;/FQL&gt;&lt;FQL&gt;&lt;Q&gt;EURUSD^FG_PRICE(43536)&lt;/Q&gt;&lt;R&gt;1&lt;/R&gt;&lt;C&gt;1&lt;/C&gt;&lt;D xsi:type="xsd:double"&gt;1.12745&lt;/D&gt;&lt;/FQL&gt;&lt;FQL&gt;&lt;Q&gt;EURUSD^FG_PRICE(43532)&lt;/Q&gt;&lt;R&gt;1&lt;/R&gt;&lt;C&gt;1&lt;/C&gt;&lt;D xsi:type="xsd:double"&gt;1.12345&lt;/D&gt;&lt;/FQL&gt;&lt;FQL&gt;&lt;Q&gt;EURUSD^FG_PRICE(43528)&lt;/Q&gt;&lt;R&gt;1&lt;/R&gt;&lt;C&gt;1&lt;/C&gt;&lt;D xsi:type="xsd:double"&gt;1.1321499&lt;/D&gt;&lt;/FQL&gt;&lt;FQL&gt;&lt;Q&gt;EURUSD^FG_PRICE(43524)&lt;/Q&gt;&lt;R&gt;1&lt;/R&gt;&lt;C&gt;1&lt;/C&gt;&lt;D xsi:type="xsd:double"&gt;1.1387&lt;/D&gt;&lt;/FQL&gt;&lt;FQL&gt;&lt;Q&gt;EURUSD^FG_PRICE(43520)&lt;/Q&gt;&lt;R&gt;1&lt;/R&gt;&lt;C&gt;1&lt;/C&gt;&lt;D xsi:type="xsd:double"&gt;1.13395&lt;/D&gt;&lt;/FQL&gt;&lt;FQL&gt;&lt;Q&gt;EURUSD^FG_PRICE(43516)&lt;/Q&gt;&lt;R&gt;1&lt;/R&gt;&lt;C&gt;1&lt;/C&gt;&lt;D xsi:type="xsd:double"&gt;1.1349&lt;/D&gt;&lt;/FQL&gt;&lt;FQL&gt;&lt;Q&gt;EURUSD^FG_PRICE(43512)&lt;/Q&gt;&lt;R&gt;1&lt;/R&gt;&lt;C&gt;1&lt;/C&gt;&lt;D xsi:type="xsd:double"&gt;1.1263499&lt;/D&gt;&lt;/FQL&gt;&lt;FQL&gt;&lt;Q&gt;EURUSD^FG_PRICE(43508)&lt;/Q&gt;&lt;R&gt;1&lt;/R&gt;&lt;C&gt;1&lt;/C&gt;&lt;D xsi:type="xsd:double"&gt;1.1299499&lt;/D&gt;&lt;/FQL&gt;&lt;FQL&gt;&lt;Q&gt;EURUSD^FG_PRICE(43504)&lt;/Q&gt;&lt;R&gt;1&lt;/R&gt;&lt;C&gt;1&lt;/C&gt;&lt;D xsi:type="xsd:double"&gt;1.1328&lt;/D&gt;&lt;/FQL&gt;&lt;FQL&gt;&lt;Q&gt;EURUSD^FG_PRICE(43500)&lt;/Q&gt;&lt;R&gt;1&lt;/R&gt;&lt;C&gt;1&lt;/C&gt;&lt;D xsi:type="xsd:double"&gt;1.1428499&lt;/D&gt;&lt;/FQL&gt;&lt;FQL&gt;&lt;Q&gt;EURUSD^FG_PRICE(43496)&lt;/Q&gt;&lt;R&gt;1&lt;/R&gt;&lt;C&gt;1&lt;/C&gt;&lt;D xsi:type="xsd:double"&gt;1.14745&lt;/D&gt;&lt;/FQL&gt;&lt;FQL&gt;&lt;Q&gt;EURUSD^FG_PRICE(43492)&lt;/Q&gt;&lt;R&gt;1&lt;/R&gt;&lt;C&gt;1&lt;/C&gt;&lt;D xsi:type="xsd:double"&gt;1.1398001&lt;/D&gt;&lt;/FQL&gt;&lt;FQL&gt;&lt;Q&gt;EURUSD^FG_PRICE(43488)&lt;/Q&gt;&lt;R&gt;1&lt;/R&gt;&lt;C&gt;1&lt;/C&gt;&lt;D xsi:type="xsd:double"&gt;1.1379&lt;/D&gt;&lt;/FQL&gt;&lt;FQL&gt;&lt;Q&gt;EURUSD^FG_PRICE(43484)&lt;/Q&gt;&lt;R&gt;1&lt;/R&gt;&lt;C&gt;1&lt;/C&gt;&lt;D xsi:type="xsd:double"&gt;1.13665&lt;/D&gt;&lt;/FQL&gt;&lt;FQL&gt;&lt;Q&gt;EURUSD^FG_PRICE(43480)&lt;/Q&gt;&lt;R&gt;1&lt;/R&gt;&lt;C&gt;1&lt;/C&gt;&lt;D xsi:type="xsd:double"&gt;1.14325&lt;/D&gt;&lt;/FQL&gt;&lt;FQL&gt;&lt;Q&gt;EURUSD^FG_PRICE(43476)&lt;/Q&gt;&lt;R&gt;1&lt;/R&gt;&lt;C&gt;1&lt;/C&gt;&lt;D xsi:type="xsd:double"&gt;1.14775&lt;/D&gt;&lt;/FQL&gt;&lt;FQL&gt;&lt;Q&gt;EURUSD^FG_PRICE(43472)&lt;/Q&gt;&lt;R&gt;1&lt;/R&gt;&lt;C&gt;1&lt;/C&gt;&lt;D xsi:type="xsd:double"&gt;1.14615&lt;/D&gt;&lt;/FQL&gt;&lt;FQL&gt;&lt;Q&gt;EURUSD^FG_PRICE(43468)&lt;/Q&gt;&lt;R&gt;1&lt;/R&gt;&lt;C&gt;1&lt;/C&gt;&lt;D xsi:type="xsd:double"&gt;1.1392&lt;/D&gt;&lt;/FQL&gt;&lt;FQL&gt;&lt;Q&gt;WIX-US^FE_ESTIMATE(SALES,MEAN,QTR_ROLL,2021/4F,NOW,,,'')&lt;/Q&gt;&lt;R&gt;1&lt;/R&gt;&lt;C&gt;1&lt;/C&gt;&lt;D xsi:type="xsd:double"&gt;328.342&lt;/D&gt;&lt;/FQL&gt;&lt;FQL&gt;&lt;Q&gt;GBPUSD^FG_PRICE(43479)&lt;/Q&gt;&lt;R&gt;1&lt;/R&gt;&lt;C&gt;1&lt;/C&gt;&lt;D xsi:type="xsd:double"&gt;1.2911999&lt;/D&gt;&lt;/FQL&gt;&lt;FQL&gt;&lt;Q&gt;GBPUSD^FG_PRICE(43475)&lt;/Q&gt;&lt;R&gt;1&lt;/R&gt;&lt;C&gt;1&lt;/C&gt;&lt;D xsi:type="xsd:double"&gt;1.27775&lt;/D&gt;&lt;/FQL&gt;&lt;FQL&gt;&lt;Q&gt;GBPUSD^FG_PRICE(43467)&lt;/Q&gt;&lt;R&gt;1&lt;/R&gt;&lt;C&gt;1&lt;/C&gt;&lt;D xsi:type="xsd:double"&gt;1.2601999&lt;/D&gt;&lt;/FQL&gt;&lt;FQL&gt;&lt;Q&gt;WIX-US^FE_ESTIMATE(EBITDA,MEAN,ANN_ROLL,2021,NOW,,,'')&lt;/Q&gt;&lt;R&gt;1&lt;/R&gt;&lt;C&gt;1&lt;/C&gt;&lt;D xsi:type="xsd:double"&gt;92.73587&lt;/D&gt;&lt;/FQL&gt;&lt;FQL&gt;&lt;Q&gt;EURUSD^FG_PRICE(43515)&lt;/Q&gt;&lt;R&gt;1&lt;/R&gt;&lt;C&gt;1&lt;/C&gt;&lt;D xsi:type="xsd:double"&gt;1.13345&lt;/D&gt;&lt;/FQL&gt;&lt;FQL&gt;&lt;Q&gt;EURUSD^FG_PRICE(43507)&lt;/Q&gt;&lt;R&gt;1&lt;/R&gt;&lt;C&gt;1&lt;/C&gt;&lt;D xsi:type="xsd:double"&gt;1.1276&lt;/D&gt;&lt;/FQL&gt;&lt;FQL&gt;&lt;Q&gt;EURUSD^FG_PRICE(43503)&lt;/Q&gt;&lt;R&gt;1&lt;/R&gt;&lt;C&gt;1&lt;/C&gt;&lt;D xsi:type="xsd:double"&gt;1.1356&lt;/D&gt;&lt;/FQL&gt;&lt;FQL&gt;&lt;Q&gt;EURUSD^FG_PRICE(43495)&lt;/Q&gt;&lt;R&gt;1&lt;/R&gt;&lt;C&gt;1&lt;/C&gt;&lt;D xsi:type="xsd:double"&gt;1.14255&lt;/D&gt;&lt;/FQL&gt;&lt;FQL&gt;&lt;Q&gt;EURUSD^FG_PRICE(43487)&lt;/Q&gt;&lt;R&gt;1&lt;/R&gt;&lt;C&gt;1&lt;/C&gt;&lt;D xsi:type="xsd:double"&gt;1.1356499&lt;/D&gt;&lt;/FQL&gt;&lt;FQL&gt;&lt;Q&gt;EURUSD^FG_PRICE(43479)&lt;/Q&gt;&lt;R&gt;1&lt;/R&gt;&lt;C&gt;1&lt;/C&gt;&lt;D xsi:type="xsd:double"&gt;1.14675&lt;/D&gt;&lt;/FQL&gt;&lt;FQL&gt;&lt;Q&gt;EURUSD^FG_PRICE(43475)&lt;/Q&gt;&lt;R&gt;1&lt;/R&gt;&lt;C&gt;1&lt;/C&gt;&lt;D xsi:type="xsd:double"&gt;1.1521499&lt;/D&gt;&lt;/FQL&gt;&lt;FQL&gt;&lt;Q&gt;EURUSD^FG_PRICE(43467)&lt;/Q&gt;&lt;R&gt;1&lt;/R&gt;&lt;C&gt;1&lt;/C&gt;&lt;D xsi:type="xsd:double"&gt;1.13545&lt;/D&gt;&lt;/FQL&gt;&lt;FQL&gt;&lt;Q&gt;GBPUSD^FG_PRICE(44808)&lt;/Q&gt;&lt;R&gt;1&lt;/R&gt;&lt;C&gt;1&lt;/C&gt;&lt;D xsi:type="xsd:double"&gt;1.15835&lt;/D&gt;&lt;/FQL&gt;&lt;FQL&gt;&lt;Q&gt;GBPUSD^FG_PRICE(44671)&lt;/Q&gt;&lt;R&gt;1&lt;/R&gt;&lt;C&gt;1&lt;/C&gt;&lt;D xsi:type="xsd:double"&gt;1.30475&lt;/D&gt;&lt;/FQL&gt;&lt;FQL&gt;&lt;Q&gt;GBPUSD^FG_PRICE(44579)&lt;/Q&gt;&lt;R&gt;1&lt;/R&gt;&lt;C&gt;1&lt;/C&gt;&lt;D xsi:type="xsd:double"&gt;1.35825&lt;/D&gt;&lt;/FQL&gt;&lt;FQL&gt;&lt;Q&gt;EURUSD^FG_PRICE(44492)&lt;/Q&gt;&lt;R&gt;1&lt;/R&gt;&lt;C&gt;1&lt;/C&gt;&lt;D xsi:type="xsd:double"&gt;1.16465&lt;/D&gt;&lt;/FQL&gt;&lt;FQL&gt;&lt;Q&gt;EURUSD^FG_PRICE(44400)&lt;/Q&gt;&lt;R&gt;1&lt;/R&gt;&lt;C&gt;1&lt;/C&gt;&lt;D xsi:type="xsd:double"&gt;1.17615&lt;/D&gt;&lt;/FQL&gt;&lt;FQL&gt;&lt;Q&gt;EURUSD^FG_PRICE(44368)&lt;/Q&gt;&lt;R&gt;1&lt;/R&gt;&lt;C&gt;1&lt;/C&gt;&lt;D xsi:type="xsd:double"&gt;1.1911&lt;/D&gt;&lt;/FQL&gt;&lt;FQL&gt;&lt;Q&gt;EURUSD^FG_PRICE(44297)&lt;/Q&gt;&lt;R&gt;1&lt;/R&gt;&lt;C&gt;1&lt;/C&gt;&lt;D xsi:type="xsd:double"&gt;1.18895&lt;/D&gt;&lt;/FQL&gt;&lt;FQL&gt;&lt;Q&gt;EURUSD^FG_PRICE(44228)&lt;/Q&gt;&lt;R&gt;1&lt;/R&gt;&lt;C&gt;1&lt;/C&gt;&lt;D xsi:type="xsd:double"&gt;1.20825&lt;/D&gt;&lt;/FQL&gt;&lt;FQL&gt;&lt;Q&gt;GBPUSD^FG_PRICE(44163)&lt;/Q&gt;&lt;R&gt;1&lt;/R&gt;&lt;C&gt;1&lt;/C&gt;&lt;D xsi:type="xsd:double"&gt;1.3345&lt;/D&gt;&lt;/FQL&gt;&lt;FQL&gt;&lt;Q&gt;GBPUSD^FG_PRICE(44099)&lt;/Q&gt;&lt;R&gt;1&lt;/R&gt;&lt;C&gt;1&lt;/C&gt;&lt;D xsi:type="xsd:double"&gt;1.27045&lt;/D&gt;&lt;/FQL&gt;&lt;FQL&gt;&lt;Q&gt;EURUSD^FG_PRICE(44053)&lt;/Q&gt;&lt;R&gt;1&lt;/R&gt;&lt;C&gt;1&lt;/C&gt;&lt;D xsi:type="xsd:double"&gt;1.17665&lt;/D&gt;&lt;/FQL&gt;&lt;FQL&gt;&lt;Q&gt;EURUSD^FG_PRICE(43995)&lt;/Q&gt;&lt;R&gt;1&lt;/R&gt;&lt;C&gt;1&lt;/C&gt;&lt;D xsi:type="xsd:double"&gt;1.12465&lt;/D&gt;&lt;/FQL&gt;&lt;FQL&gt;&lt;Q&gt;EURUSD^FG_PRICE(43961)&lt;/Q&gt;&lt;R&gt;1&lt;/R&gt;&lt;C&gt;1&lt;/C&gt;&lt;D xsi:type="xsd:double"&gt;1.08725&lt;/D&gt;&lt;/FQL&gt;&lt;FQL&gt;&lt;Q&gt;EURUSD^FG_PRICE(43911)&lt;/Q&gt;&lt;R&gt;1&lt;/R&gt;&lt;C&gt;1&lt;/C&gt;&lt;D xsi:type="xsd:double"&gt;1.0689&lt;/D&gt;&lt;/FQL&gt;&lt;FQL&gt;&lt;Q&gt;GBPUSD^FG_PRICE(43859)&lt;/Q&gt;&lt;R&gt;1&lt;/R&gt;&lt;C&gt;1&lt;/C&gt;&lt;D xsi:type="xsd:double"&gt;1.3002&lt;/D&gt;&lt;/FQL&gt;&lt;FQL&gt;&lt;Q&gt;EURUSD^FG_PRICE(43814)&lt;/Q&gt;&lt;R&gt;1&lt;/R&gt;&lt;C&gt;1&lt;/C&gt;&lt;D xsi:type="xsd:double"&gt;1.11365&lt;/D&gt;&lt;/FQL&gt;&lt;FQL&gt;&lt;Q&gt;EURUSD^FG_PRICE(43792)&lt;/Q&gt;&lt;R&gt;1&lt;/R&gt;&lt;C&gt;1&lt;/C&gt;&lt;D xsi:type="xsd:double"&gt;1.10335&lt;/D&gt;&lt;/FQL&gt;&lt;FQL&gt;&lt;Q&gt;EURUSD^FG_PRICE(43760)&lt;/Q&gt;&lt;R&gt;1&lt;/R&gt;&lt;C&gt;1&lt;/C&gt;&lt;D xsi:type="xsd:double"&gt;1.1130999&lt;/D&gt;&lt;/FQL&gt;&lt;FQL&gt;&lt;Q&gt;EURUSD^FG_PRICE(43728)&lt;/Q&gt;&lt;R&gt;1&lt;/R&gt;&lt;C&gt;1&lt;/C&gt;&lt;D xsi:type="xsd:double"&gt;1.10115&lt;/D&gt;&lt;/FQL&gt;&lt;FQL&gt;&lt;Q&gt;GBPUSD^FG_PRICE(43718)&lt;/Q&gt;&lt;R&gt;1&lt;/R&gt;&lt;C&gt;1&lt;/C&gt;&lt;D xsi:type="xsd:double"&gt;1.23535&lt;/D&gt;&lt;/FQL&gt;&lt;FQL&gt;&lt;Q&gt;GBPUSD^FG_PRICE(43694)&lt;/Q&gt;&lt;R&gt;1&lt;/R&gt;&lt;C&gt;1&lt;/C&gt;&lt;D xsi:type="xsd:double"&gt;1.2143&lt;/D&gt;&lt;/FQL&gt;&lt;FQL&gt;&lt;Q&gt;EURUSD^FG_PRICE(43671)&lt;/Q&gt;&lt;R&gt;1&lt;/R&gt;&lt;C&gt;1&lt;/C&gt;&lt;D xsi:type="xsd:double"&gt;1.11585&lt;/D&gt;&lt;/FQL&gt;&lt;FQL&gt;&lt;Q&gt;GBPUSD^FG_PRICE(43658)&lt;/Q&gt;&lt;R&gt;1&lt;/R&gt;&lt;C&gt;1&lt;/C&gt;&lt;D xsi:type="xsd:double"&gt;1.2560999&lt;/D&gt;&lt;/FQL&gt;&lt;FQL&gt;&lt;Q&gt;GBPUSD^FG_PRICE(43642)&lt;/Q&gt;&lt;R&gt;1&lt;/R&gt;&lt;C&gt;1&lt;/C&gt;&lt;D xsi:type="xsd:double"&gt;1.26775&lt;/D&gt;&lt;/FQL&gt;&lt;FQL&gt;&lt;Q&gt;GBPUSD^FG_PRICE(43634)&lt;/Q&gt;&lt;R&gt;1&lt;/R&gt;&lt;C&gt;1&lt;/C&gt;&lt;D xsi:type="xsd:double"&gt;1.2542&lt;/D&gt;&lt;/FQL&gt;&lt;FQL&gt;&lt;Q&gt;GBPUSD^FG_PRICE(43626)&lt;/Q&gt;&lt;R&gt;1&lt;/R&gt;&lt;C&gt;1&lt;/C&gt;&lt;D xsi:type="xsd:double"&gt;1.269&lt;/D&gt;&lt;/FQL&gt;&lt;FQL&gt;&lt;Q&gt;GBPUSD^FG_PRICE(43614)&lt;/Q&gt;&lt;R&gt;1&lt;/R&gt;&lt;C&gt;1&lt;/C&gt;&lt;D xsi:type="xsd:double"&gt;1.26315&lt;/D&gt;&lt;/FQL&gt;&lt;FQL&gt;&lt;Q&gt;GBPUSD^FG_PRICE(43602)&lt;/Q&gt;&lt;R&gt;1&lt;/R&gt;&lt;C&gt;1&lt;/C&gt;&lt;D xsi:type="xsd:double"&gt;1.27345&lt;/D&gt;&lt;/FQL&gt;&lt;FQL&gt;&lt;Q&gt;GBPUSD^FG_PRICE(43598)&lt;/Q&gt;&lt;R&gt;1&lt;/R&gt;&lt;C&gt;1&lt;/C&gt;&lt;D xsi:type="xsd:double"&gt;1.2986499&lt;/D&gt;&lt;/FQL&gt;&lt;FQL&gt;&lt;Q&gt;GBPUSD^FG_PRICE(43586)&lt;/Q&gt;&lt;R&gt;1&lt;/R&gt;&lt;C&gt;1&lt;/C&gt;&lt;D xsi:type="xsd:double"&gt;1.30825&lt;/D&gt;&lt;/FQL&gt;&lt;FQL&gt;&lt;Q&gt;GBPUSD^FG_PRICE(43574)&lt;/Q&gt;&lt;R&gt;1&lt;/R&gt;&lt;C&gt;1&lt;/C&gt;&lt;D xsi:type="xsd:double"&gt;1.30095&lt;/D&gt;&lt;/FQL&gt;&lt;FQL&gt;&lt;Q&gt;GBPUSD^FG_PRICE(43566)&lt;/Q&gt;&lt;R&gt;1&lt;/R&gt;&lt;C&gt;1&lt;/C&gt;&lt;D xsi:type="xsd:double"&gt;1.30855&lt;/D&gt;&lt;/FQL&gt;&lt;FQL&gt;&lt;Q&gt;GBPUSD^FG_PRICE(43554)&lt;/Q&gt;&lt;R&gt;1&lt;/R&gt;&lt;C&gt;1&lt;/C&gt;&lt;D xsi:type="xsd:double"&gt;1.30305&lt;/D&gt;&lt;/FQL&gt;&lt;FQL&gt;&lt;Q&gt;GBPUSD^FG_PRICE(43542)&lt;/Q&gt;&lt;R&gt;1&lt;/R&gt;&lt;C&gt;1&lt;/C&gt;&lt;D xsi:type="xsd:double"&gt;1.3219999&lt;/D&gt;&lt;/FQL&gt;&lt;FQL&gt;&lt;Q&gt;GBPUSD^FG_PRICE(43534)&lt;/Q&gt;&lt;R&gt;1&lt;/R&gt;&lt;C&gt;1&lt;/C&gt;&lt;D xsi:type="xsd:double"&gt;1.3017&lt;/D&gt;&lt;/FQL&gt;&lt;FQL&gt;&lt;Q&gt;GBPUSD^FG_PRICE(43526)&lt;/Q&gt;&lt;R&gt;1&lt;/R&gt;&lt;C&gt;1&lt;/C&gt;&lt;D xsi:type="xsd:double"&gt;1.32435&lt;/D&gt;&lt;/FQL&gt;&lt;FQL&gt;&lt;Q&gt;GBPUSD^FG_PRICE(43518)&lt;/Q&gt;&lt;R&gt;1&lt;/R&gt;&lt;C&gt;1&lt;/C&gt;&lt;D xsi:type="xsd:double"&gt;1.3057&lt;/D&gt;&lt;/FQL&gt;&lt;FQL&gt;&lt;Q&gt;GBPUSD^FG_PRICE(43506)&lt;/Q&gt;&lt;R&gt;1&lt;/R&gt;&lt;C&gt;1&lt;/C&gt;&lt;D xsi:type="xsd:double"&gt;1.2944001&lt;/D&gt;&lt;/FQL&gt;&lt;FQL&gt;&lt;Q&gt;GBPUSD^FG_PRICE(43494)&lt;/Q&gt;&lt;R&gt;1&lt;/R&gt;&lt;C&gt;1&lt;/C&gt;&lt;D xsi:type="xsd:double"&gt;1.3146&lt;/D&gt;&lt;/FQL&gt;&lt;FQL&gt;&lt;Q&gt;GBPUSD^FG_PRICE(43482)&lt;/Q&gt;&lt;R&gt;1&lt;/R&gt;&lt;C&gt;1&lt;/C&gt;&lt;D xsi:type="xsd:double"&gt;1.2909&lt;/D&gt;&lt;/FQL&gt;&lt;FQL&gt;&lt;Q&gt;GBPUSD^FG_PRICE(43474)&lt;/Q&gt;&lt;R&gt;1&lt;/R&gt;&lt;C&gt;1&lt;/C&gt;&lt;D xsi:type="xsd:double"&gt;1.2742001&lt;/D&gt;&lt;/FQL&gt;&lt;FQL&gt;&lt;Q&gt;WIX-US^FE_ESTIMATE(SALES,MEAN,QTR_ROLL,2022/3F,NOW,,,'')&lt;/Q&gt;&lt;R&gt;1&lt;/R&gt;&lt;C&gt;1&lt;/C&gt;&lt;D xsi:type="xsd:double"&gt;345.805&lt;/D&gt;&lt;/FQL&gt;&lt;FQL&gt;&lt;Q&gt;EURUSD^FG_PRICE(43497)&lt;/Q&gt;&lt;R&gt;1&lt;/R&gt;&lt;C&gt;1&lt;/C&gt;&lt;D xsi:type="xsd:double"&gt;1.1468&lt;/D&gt;&lt;/FQL&gt;&lt;FQL&gt;&lt;Q&gt;EURUSD^FG_PRICE(43481)&lt;/Q&gt;&lt;R&gt;1&lt;/R&gt;&lt;C&gt;1&lt;/C&gt;&lt;D xsi:type="xsd:double"&gt;1.13945&lt;/D&gt;&lt;/FQL&gt;&lt;FQL&gt;&lt;Q&gt;WIX-US^FE_ESTIMATE(SALES,MEAN,QTR_ROLL,2022/1F,NOW,,,'')&lt;/Q&gt;&lt;R&gt;1&lt;/R&gt;&lt;C&gt;1&lt;/C&gt;&lt;D xsi:type="xsd:double"&gt;341.597&lt;/D&gt;&lt;/FQL&gt;&lt;FQL&gt;&lt;Q&gt;EURUSD^FG_PRICE(44784)&lt;/Q&gt;&lt;R&gt;1&lt;/R&gt;&lt;C&gt;1&lt;/C&gt;&lt;D xsi:type="xsd:double"&gt;1.0345501&lt;/D&gt;&lt;/FQL&gt;&lt;FQL&gt;&lt;Q&gt;GBPUSD^FG_PRICE(44424)&lt;/Q&gt;&lt;R&gt;1&lt;/R&gt;&lt;C&gt;1&lt;/C&gt;&lt;D xsi:type="xsd:double"&gt;1.38605&lt;/D&gt;&lt;/FQL&gt;&lt;FQL&gt;&lt;Q&gt;GBPUSD^FG_PRICE(44279)&lt;/Q&gt;&lt;R&gt;1&lt;/R&gt;&lt;C&gt;1&lt;/C&gt;&lt;D xsi:type="xsd:double"&gt;1.3721&lt;/D&gt;&lt;/FQL&gt;&lt;FQL&gt;&lt;Q&gt;EURUSD^FG_PRICE(44144)&lt;/Q&gt;&lt;R&gt;1&lt;/R&gt;&lt;C&gt;1&lt;/C&gt;&lt;D xsi:type="xsd:double"&gt;1.1824&lt;/D&gt;&lt;/FQL&gt;&lt;FQL&gt;&lt;Q&gt;EURUSD^FG_PRICE(44044)&lt;/Q&gt;&lt;R&gt;1&lt;/R&gt;&lt;C&gt;1&lt;/C&gt;&lt;D xsi:type="xsd:double"&gt;1.1825&lt;/D&gt;&lt;/FQL&gt;&lt;FQL&gt;&lt;Q&gt;EURUSD^FG_PRICE(43952)&lt;/Q&gt;&lt;R&gt;1&lt;/R&gt;&lt;C&gt;1&lt;/C&gt;&lt;D xsi:type="xsd:double"&gt;1.10085&lt;/D&gt;&lt;/FQL&gt;&lt;FQL&gt;&lt;Q&gt;GBPUSD^FG_PRICE(43884)&lt;/Q&gt;&lt;R&gt;1&lt;/R&gt;&lt;C&gt;1&lt;/C&gt;&lt;D xsi:type="xsd:double"&gt;1.2959&lt;/D&gt;&lt;/FQL&gt;&lt;FQL&gt;&lt;Q&gt;EURUSD^FG_PRICE(43819)&lt;/Q&gt;&lt;R&gt;1&lt;/R&gt;&lt;C&gt;1&lt;/C&gt;&lt;D xsi:type="xsd:double"&gt;1.1085&lt;/D&gt;&lt;/FQL&gt;&lt;FQL&gt;&lt;Q&gt;EURUSD^FG_PRICE(43766)&lt;/Q&gt;&lt;R&gt;1&lt;/R&gt;&lt;C&gt;1&lt;/C&gt;&lt;D xsi:type="xsd:double"&gt;1.1092501&lt;/D&gt;&lt;/FQL&gt;&lt;FQL&gt;&lt;Q&gt;EURUSD^FG_PRICE(43734)&lt;/Q&gt;&lt;R&gt;1&lt;/R&gt;&lt;C&gt;1&lt;/C&gt;&lt;D xsi:type="xsd:double"&gt;1.0941501&lt;/D&gt;&lt;/FQL&gt;&lt;FQL&gt;&lt;Q&gt;GBPUSD^FG_PRICE(43698)&lt;/Q&gt;&lt;R&gt;1&lt;/R&gt;&lt;C&gt;1&lt;/C&gt;&lt;D xsi:type="xsd:double"&gt;1.21305&lt;/D&gt;&lt;/FQL&gt;&lt;FQL&gt;&lt;Q&gt;EURUSD^FG_PRICE(43662)&lt;/Q&gt;&lt;R&gt;1&lt;/R&gt;&lt;C&gt;1&lt;/C&gt;&lt;D xsi:type="xsd:double"&gt;1.12235&lt;/D&gt;&lt;/FQL&gt;&lt;FQL&gt;&lt;Q&gt;GBPUSD^FG_PRICE(43620)&lt;/Q&gt;&lt;R&gt;1&lt;/R&gt;&lt;C&gt;1&lt;/C&gt;&lt;D xsi:type="xsd:double"&gt;1.2674&lt;/D&gt;&lt;/FQL&gt;&lt;FQL&gt;&lt;Q&gt;GBPUSD^FG_PRICE(43592)&lt;/Q&gt;&lt;R&gt;1&lt;/R&gt;&lt;C&gt;1&lt;/C&gt;&lt;D xsi:type="xsd:double"&gt;1.3050001&lt;/D&gt;&lt;/FQL&gt;&lt;FQL&gt;&lt;Q&gt;GBPUSD^FG_PRICE(43576)&lt;/Q&gt;&lt;R&gt;1&lt;/R&gt;&lt;C&gt;1&lt;/C&gt;&lt;D xsi:type="xsd:double"&gt;1.30095&lt;/D&gt;&lt;/FQL&gt;&lt;FQL&gt;&lt;Q&gt;GBPUSD^FG_PRICE(43560)&lt;/Q&gt;&lt;R&gt;1&lt;/R&gt;&lt;C&gt;1&lt;/C&gt;&lt;D xsi:type="xsd:double"&gt;1.3010501&lt;/D&gt;&lt;/FQL&gt;&lt;FQL&gt;&lt;Q&gt;GBPUSD^FG_PRICE(43544)&lt;/Q&gt;&lt;R&gt;1&lt;/R&gt;&lt;C&gt;1&lt;/C&gt;&lt;D xsi:type="xsd:double"&gt;1.31885&lt;/D&gt;&lt;/FQL&gt;&lt;FQL&gt;&lt;Q&gt;GBPUSD^FG_PRICE(43516)&lt;/Q&gt;&lt;R&gt;1&lt;/R&gt;&lt;C&gt;1&lt;/C&gt;&lt;D xsi:type="xsd:double"&gt;1.3064&lt;/D&gt;&lt;/FQL&gt;&lt;FQL&gt;&lt;Q&gt;GBPUSD^FG_PRICE(43488)&lt;/Q&gt;&lt;R&gt;1&lt;/R&gt;&lt;C&gt;1&lt;/C&gt;&lt;D xsi:type="xsd:double"&gt;1.3062&lt;/D&gt;&lt;/FQL&gt;&lt;FQL&gt;&lt;Q&gt;GBPUSD^FG_PRICE(43468)&lt;/Q&gt;&lt;R&gt;1&lt;/R&gt;&lt;C&gt;1&lt;/C&gt;&lt;D xsi:type="xsd:double"&gt;1.26005&lt;/D&gt;&lt;/FQL&gt;&lt;FQL&gt;&lt;Q&gt;EURUSD^FG_PRICE(44819)&lt;/Q&gt;&lt;R&gt;1&lt;/R&gt;&lt;C&gt;1&lt;/C&gt;&lt;D xsi:type="xsd:double"&gt;0.9995499&lt;/D&gt;&lt;/FQL&gt;&lt;FQL&gt;&lt;Q&gt;EURUSD^FG_PRICE(44773)&lt;/Q&gt;&lt;R&gt;1&lt;/R&gt;&lt;C&gt;1&lt;/C&gt;&lt;D xsi:type="xsd:double"&gt;1.01965&lt;/D&gt;&lt;/FQL&gt;&lt;FQL&gt;&lt;Q&gt;EURUSD^FG_PRICE(44732)&lt;/Q&gt;&lt;R&gt;1&lt;/R&gt;&lt;C&gt;1&lt;/C&gt;&lt;D xsi:type="xsd:double"&gt;1.05365&lt;/D&gt;&lt;/FQL&gt;&lt;FQL&gt;&lt;Q&gt;EURUSD^FG_PRICE(44681)&lt;/Q&gt;&lt;R&gt;1&lt;/R&gt;&lt;C&gt;1&lt;/C&gt;&lt;D xsi:type="xsd:double"&gt;1.05495&lt;/D&gt;&lt;/FQL&gt;&lt;FQL&gt;&lt;Q&gt;GBPUSD^FG_PRICE(44636)&lt;/Q&gt;&lt;R&gt;1&lt;/R&gt;&lt;C&gt;1&lt;/C&gt;&lt;D xsi:type="xsd:double"&gt;1.3096&lt;/D&gt;&lt;/FQL&gt;&lt;FQL&gt;&lt;Q&gt;EURUSD^FG_PRICE(44595)&lt;/Q&gt;&lt;R&gt;1&lt;/R&gt;&lt;C&gt;1&lt;/C&gt;&lt;D xsi:type="xsd:double"&gt;1.14175&lt;/D&gt;&lt;/FQL&gt;&lt;FQL&gt;&lt;Q&gt;EURUSD^FG_PRICE(44547)&lt;/Q&gt;&lt;R&gt;1&lt;/R&gt;&lt;C&gt;1&lt;/C&gt;&lt;D xsi:type="xsd:double"&gt;1.12745&lt;/D&gt;&lt;/FQL&gt;&lt;FQL&gt;&lt;Q&gt;EURUSD^FG_PRICE(44501)&lt;/Q&gt;&lt;R&gt;1&lt;/R&gt;&lt;C&gt;1&lt;/C&gt;&lt;D xsi:type="xsd:double"&gt;1.15905&lt;/D&gt;&lt;/FQL&gt;&lt;FQL&gt;&lt;Q&gt;EURUSD^FG_PRICE(44457)&lt;/Q&gt;&lt;R&gt;1&lt;/R&gt;&lt;C&gt;1&lt;/C&gt;&lt;D xsi:type="xsd:double"&gt;1.1737&lt;/D&gt;&lt;/FQL&gt;&lt;FQL&gt;&lt;Q&gt;GBPUSD^FG_PRICE(44408)&lt;/Q&gt;&lt;R&gt;1&lt;/R&gt;&lt;C&gt;1&lt;/C&gt;&lt;D xsi:type="xsd:double"&gt;1.39035&lt;/D&gt;&lt;/FQL&gt;&lt;FQL&gt;&lt;Q&gt;EURUSD^FG_PRICE(44375)&lt;/Q&gt;&lt;R&gt;1&lt;/R&gt;&lt;C&gt;1&lt;/C&gt;&lt;D xsi:type="xsd:double"&gt;1.19265&lt;/D&gt;&lt;/FQL&gt;&lt;FQL&gt;&lt;Q&gt;EURUSD^FG_PRICE(44343)&lt;/Q&gt;&lt;R&gt;1&lt;/R&gt;&lt;C&gt;1&lt;/C&gt;&lt;D xsi:type="xsd:double"&gt;1.22015&lt;/D&gt;&lt;/FQL&gt;&lt;FQL&gt;&lt;Q&gt;GBPUSD^FG_PRICE(44304)&lt;/Q&gt;&lt;R&gt;1&lt;/R&gt;&lt;C&gt;1&lt;/C&gt;&lt;D xsi:type="xsd:double"&gt;1.382&lt;/D&gt;&lt;/FQL&gt;&lt;FQL&gt;&lt;Q&gt;EURUSD^FG_PRICE(44272)&lt;/Q&gt;&lt;R&gt;1&lt;/R&gt;&lt;C&gt;1&lt;/C&gt;&lt;D xsi:type="xsd:double"&gt;1.1904501&lt;/D&gt;&lt;/FQL&gt;&lt;FQL&gt;&lt;Q&gt;EURUSD^FG_PRICE(44240)&lt;/Q&gt;&lt;R&gt;1&lt;/R&gt;&lt;C&gt;1&lt;/C&gt;&lt;D xsi:type="xsd:double"&gt;1.21185&lt;/D&gt;&lt;/FQL&gt;&lt;FQL&gt;&lt;Q&gt;EURUSD^FG_PRICE(44203)&lt;/Q&gt;&lt;R&gt;1&lt;/R&gt;&lt;C&gt;1&lt;/C&gt;&lt;D xsi:type="xsd:double"&gt;1.22595&lt;/D&gt;&lt;/FQL&gt;&lt;FQL&gt;&lt;Q&gt;EURUSD^FG_PRICE(44169)&lt;/Q&gt;&lt;R&gt;1&lt;/R&gt;&lt;C&gt;1&lt;/C&gt;&lt;D xsi:type="xsd:double"&gt;1.2141501&lt;/D&gt;&lt;/FQL&gt;&lt;FQL&gt;&lt;Q&gt;EURUSD^FG_PRICE(44137)&lt;/Q&gt;&lt;R&gt;1&lt;/R&gt;&lt;C&gt;1&lt;/C&gt;&lt;D xsi:type="xsd:double"&gt;1.16365&lt;/D&gt;&lt;/FQL&gt;&lt;FQL&gt;&lt;Q&gt;GBPUSD^FG_PRICE(44104)&lt;/Q&gt;&lt;R&gt;1&lt;/R&gt;&lt;C&gt;1&lt;/C&gt;&lt;D xsi:type="xsd:double"&gt;1.2928&lt;/D&gt;&lt;/FQL&gt;&lt;FQL&gt;&lt;Q&gt;EURUSD^FG_PRICE(44083)&lt;/Q&gt;&lt;R&gt;1&lt;/R&gt;&lt;C&gt;1&lt;/C&gt;&lt;D xsi:type="xsd:double"&gt;1.1809&lt;/D&gt;&lt;/FQL&gt;&lt;FQL&gt;&lt;Q&gt;GBPUSD^FG_PRICE(44060)&lt;/Q&gt;&lt;R&gt;1&lt;/R&gt;&lt;C&gt;1&lt;/C&gt;&lt;D xsi:type="xsd:double"&gt;1.3098999&lt;/D&gt;&lt;/FQL&gt;&lt;FQL&gt;&lt;Q&gt;EURUSD^FG_PRICE(44036)&lt;/Q&gt;&lt;R&gt;1&lt;/R&gt;&lt;C&gt;1&lt;/C&gt;&lt;D xsi:type="xsd:double"&gt;1.16245&lt;/D&gt;&lt;/FQL&gt;&lt;FQL&gt;&lt;Q&gt;EURUSD^FG_PRICE(44016)&lt;/Q&gt;&lt;R&gt;1&lt;/R&gt;&lt;C&gt;1&lt;/C&gt;&lt;D xsi:type="xsd:double"&gt;1.1242499&lt;/D&gt;&lt;/FQL&gt;&lt;FQL&gt;&lt;Q&gt;EURUSD^FG_PRICE(44000)&lt;/Q&gt;&lt;R&gt;1&lt;/R&gt;&lt;C&gt;1&lt;/C&gt;&lt;D xsi:type="xsd:double"&gt;1.12195&lt;/D&gt;&lt;/FQL&gt;&lt;FQL&gt;&lt;Q&gt;EURUSD^FG_PRICE(43981)&lt;/Q&gt;&lt;R&gt;1&lt;/R&gt;&lt;C&gt;1&lt;/C&gt;&lt;D xsi:type="xsd:double"&gt;1.11235&lt;/D&gt;&lt;/FQL&gt;&lt;FQL&gt;&lt;Q&gt;GBPUSD^FG_PRICE(43964)&lt;/Q&gt;&lt;R&gt;1&lt;/R&gt;&lt;C&gt;1&lt;/C&gt;&lt;D xsi:type="xsd:double"&gt;1.2226&lt;/D&gt;&lt;/FQL&gt;&lt;FQL&gt;&lt;Q&gt;GBPUSD^FG_PRICE(43948)&lt;/Q&gt;&lt;R&gt;1&lt;/R&gt;&lt;C&gt;1&lt;/C&gt;&lt;D xsi:type="xsd:double"&gt;1.24095&lt;/D&gt;&lt;/FQL&gt;&lt;FQL&gt;&lt;Q&gt;EURUSD^FG_PRICE(43931)&lt;/Q&gt;&lt;R&gt;1&lt;/R&gt;&lt;C&gt;1&lt;/C&gt;&lt;D xsi:type="xsd:double"&gt;1.093824&lt;/D&gt;&lt;/FQL&gt;&lt;FQL&gt;&lt;Q&gt;EURUSD^FG_PRICE(43913)&lt;/Q&gt;&lt;R&gt;1&lt;/R&gt;&lt;C&gt;1&lt;/C&gt;&lt;D xsi:type="xsd:double"&gt;1.07595&lt;/D&gt;&lt;/FQL&gt;&lt;FQL&gt;&lt;Q&gt;EURUSD^FG_PRICE(43897)&lt;/Q&gt;&lt;R&gt;1&lt;/R&gt;&lt;C&gt;1&lt;/C&gt;&lt;D xsi:type="xsd:double"&gt;1.13105&lt;/D&gt;&lt;/FQL&gt;&lt;FQL&gt;&lt;Q&gt;GBPUSD^FG_PRICE(43879)&lt;/Q&gt;&lt;R&gt;1&lt;/R&gt;&lt;C&gt;1&lt;/C&gt;&lt;D xsi:type="xsd:double"&gt;1.30375&lt;/D&gt;&lt;/FQL&gt;&lt;FQL&gt;&lt;Q&gt;EURUSD^FG_PRICE(43863)&lt;/Q&gt;&lt;R&gt;1&lt;/R&gt;&lt;C&gt;1&lt;/C&gt;&lt;D xsi:type="xsd:double"&gt;1.1082&lt;/D&gt;&lt;/FQL&gt;&lt;FQL&gt;&lt;Q&gt;EURUSD^FG_PRICE(43847)&lt;/Q&gt;&lt;R&gt;1&lt;/R&gt;&lt;C&gt;1&lt;/C&gt;&lt;D xsi:type="xsd:double"&gt;1.1095&lt;/D&gt;&lt;/FQL&gt;&lt;FQL&gt;&lt;Q&gt;GBPUSD^FG_PRICE(43828)&lt;/Q&gt;&lt;R&gt;1&lt;/R&gt;&lt;C&gt;1&lt;/C&gt;&lt;D xsi:type="xsd:double"&gt;1.309&lt;/D&gt;&lt;/FQL&gt;&lt;FQL&gt;&lt;Q&gt;EURUSD^FG_PRICE(43816)&lt;/Q&gt;&lt;R&gt;1&lt;/R&gt;&lt;C&gt;1&lt;/C&gt;&lt;D xsi:type="xsd:double"&gt;1.11535&lt;/D&gt;&lt;/FQL&gt;&lt;FQL&gt;&lt;Q&gt;EURUSD^FG_PRICE(43806)&lt;/Q&gt;&lt;R&gt;1&lt;/R&gt;&lt;C&gt;1&lt;/C&gt;&lt;D xsi:type="xsd:double"&gt;1.1049&lt;/D&gt;&lt;/FQL&gt;&lt;FQL&gt;&lt;Q&gt;GBPUSD^FG_PRICE(43794)&lt;/Q&gt;&lt;R&gt;1&lt;/R&gt;&lt;C&gt;1&lt;/C&gt;&lt;D xsi:type="xsd:double"&gt;1.2907001&lt;/D&gt;&lt;/FQL&gt;&lt;FQL&gt;&lt;Q&gt;EURUSD^FG_PRICE(43784)&lt;/Q&gt;&lt;R&gt;1&lt;/R&gt;&lt;C&gt;1&lt;/C&gt;&lt;D xsi:type="xsd:double"&gt;1.1052&lt;/D&gt;&lt;/FQL&gt;&lt;FQL&gt;&lt;Q&gt;EURUSD^FG_PRICE(43774)&lt;/Q&gt;&lt;R&gt;1&lt;/R&gt;&lt;C&gt;1&lt;/C&gt;&lt;D xsi:type="xsd:double"&gt;1.10745&lt;/D&gt;&lt;/FQL&gt;&lt;FQL&gt;&lt;Q&gt;GBPUSD^FG_PRICE(43762)&lt;/Q&gt;&lt;R&gt;1&lt;/R&gt;&lt;C&gt;1&lt;/C&gt;&lt;D xsi:type="xsd:double"&gt;1.28485&lt;/D&gt;&lt;/FQL&gt;&lt;FQL&gt;&lt;Q&gt;EURUSD^FG_PRICE(43752)&lt;/Q&gt;&lt;R&gt;1&lt;/R&gt;&lt;C&gt;1&lt;/C&gt;&lt;D xsi:type="xsd:double"&gt;1.10255&lt;/D&gt;&lt;/FQL&gt;&lt;FQL&gt;&lt;Q&gt;EURUSD^FG_PRICE(43742)&lt;/Q&gt;&lt;R&gt;1&lt;/R&gt;&lt;C&gt;1&lt;/C&gt;&lt;D xsi:type="xsd:double"&gt;1.09795&lt;/D&gt;&lt;/FQL&gt;&lt;FQL&gt;&lt;Q&gt;GBPUSD^FG_PRICE(43730)&lt;/Q&gt;&lt;R&gt;1&lt;/R&gt;&lt;C&gt;1&lt;/C&gt;&lt;D xsi:type="xsd:double"&gt;1.2503&lt;/D&gt;&lt;/FQL&gt;&lt;FQL&gt;&lt;Q&gt;GBPUSD^FG_PRICE(43720)&lt;/Q&gt;&lt;R&gt;1&lt;/R&gt;&lt;C&gt;1&lt;/C&gt;&lt;D xsi:type="xsd:double"&gt;1.23315&lt;/D&gt;&lt;/FQL&gt;&lt;FQL&gt;&lt;Q&gt;GBPUSD^FG_PRICE(43712)&lt;/Q&gt;&lt;R&gt;1&lt;/R&gt;&lt;C&gt;1&lt;/C&gt;&lt;D xsi:type="xsd:double"&gt;1.2193&lt;/D&gt;&lt;/FQL&gt;&lt;FQL&gt;&lt;Q&gt;GBPUSD^FG_PRICE(43704)&lt;/Q&gt;&lt;R&gt;1&lt;/R&gt;&lt;C&gt;1&lt;/C&gt;&lt;D xsi:type="xsd:double"&gt;1.22755&lt;/D&gt;&lt;/FQL&gt;&lt;FQL&gt;&lt;Q&gt;GBPUSD^FG_PRICE(43696)&lt;/Q&gt;&lt;R&gt;1&lt;/R&gt;&lt;C&gt;1&lt;/C&gt;&lt;D xsi:type="xsd:double"&gt;1.2134501&lt;/D&gt;&lt;/FQL&gt;&lt;FQL&gt;&lt;Q&gt;GBPUSD^FG_PRICE(43688)&lt;/Q&gt;&lt;R&gt;1&lt;/R&gt;&lt;C&gt;1&lt;/C&gt;&lt;D xsi:type="xsd:double"&gt;1.2078999&lt;/D&gt;&lt;/FQL&gt;&lt;FQL&gt;&lt;Q&gt;GBPUSD^FG_PRICE(43680)&lt;/Q&gt;&lt;R&gt;1&lt;/R&gt;&lt;C&gt;1&lt;/C&gt;&lt;D xsi:type="xsd:double"&gt;1.2119&lt;/D&gt;&lt;/FQL&gt;&lt;FQL&gt;&lt;Q&gt;GBPUSD^FG_PRICE(43672)&lt;/Q&gt;&lt;R&gt;1&lt;/R&gt;&lt;C&gt;1&lt;/C&gt;&lt;D xsi:type="xsd:double"&gt;1.2387&lt;/D&gt;&lt;/FQL&gt;&lt;FQL&gt;&lt;Q&gt;GBPUSD^FG_PRICE(43666)&lt;/Q&gt;&lt;R&gt;1&lt;/R&gt;&lt;C&gt;1&lt;/C&gt;&lt;D xsi:type="xsd:double"&gt;1.2504001&lt;/D&gt;&lt;/FQL&gt;&lt;FQL&gt;&lt;Q&gt;EURUSD^FG_PRICE(43660)&lt;/Q&gt;&lt;R&gt;1&lt;/R&gt;&lt;C&gt;1&lt;/C&gt;&lt;D xsi:type="xsd:double"&gt;1.12525&lt;/D&gt;&lt;/FQL&gt;&lt;FQL&gt;&lt;Q&gt;EURUSD^FG_PRICE(43654)&lt;/Q&gt;&lt;R&gt;1&lt;/R&gt;&lt;C&gt;1&lt;/C&gt;&lt;D xsi:type="xsd:double"&gt;1.12155&lt;/D&gt;&lt;/FQL&gt;&lt;FQL&gt;&lt;Q&gt;GBPUSD^FG_PRICE(43647)&lt;/Q&gt;&lt;R&gt;1&lt;/R&gt;&lt;C&gt;1&lt;/C&gt;&lt;D xsi:type="xsd:double"&gt;1.26515&lt;/D&gt;&lt;/FQL&gt;&lt;FQL&gt;&lt;Q&gt;GBPUSD^FG_PRICE(43643)&lt;/Q&gt;&lt;R&gt;1&lt;/R&gt;&lt;C&gt;1&lt;/C&gt;&lt;D xsi:type="xsd:double"&gt;1.26765&lt;/D&gt;&lt;/FQL&gt;&lt;FQL&gt;&lt;Q&gt;GBPUSD^FG_PRICE(43639)&lt;/Q&gt;&lt;R&gt;1&lt;/R&gt;&lt;C&gt;1&lt;/C&gt;&lt;D xsi:type="xsd:double"&gt;1.26955&lt;/D&gt;&lt;/FQL&gt;&lt;FQL&gt;&lt;Q&gt;GBPUSD^FG_PRICE(43635)&lt;/Q&gt;&lt;R&gt;1&lt;/R&gt;&lt;C&gt;1&lt;/C&gt;&lt;D xsi:type="xsd:double"&gt;1.26315&lt;/D&gt;&lt;/FQL&gt;&lt;FQL&gt;&lt;Q&gt;GBPUSD^FG_PRICE(43631)&lt;/Q&gt;&lt;R&gt;1&lt;/R&gt;&lt;C&gt;1&lt;/C&gt;&lt;D xsi:type="xsd:double"&gt;1.2608&lt;/D&gt;&lt;/FQL&gt;&lt;FQL&gt;&lt;Q&gt;GBPUSD^FG_PRICE(43627)&lt;/Q&gt;&lt;R&gt;1&lt;/R&gt;&lt;C&gt;1&lt;/C&gt;&lt;D xsi:type="xsd:double"&gt;1.2719&lt;/D&gt;&lt;/FQL&gt;&lt;FQL&gt;&lt;Q&gt;GBPUSD^FG_PRICE(43623)&lt;/Q&gt;&lt;R&gt;1&lt;/R&gt;&lt;C&gt;1&lt;/C&gt;&lt;D xsi:type="xsd:double"&gt;1.2757001&lt;/D&gt;&lt;/FQL&gt;&lt;FQL&gt;&lt;Q&gt;GBPUSD^FG_PRICE(43619)&lt;/Q&gt;&lt;R&gt;1&lt;/R&gt;&lt;C&gt;1&lt;/C&gt;&lt;D xsi:type="xsd:double"&gt;1.263&lt;/D&gt;&lt;/FQL&gt;&lt;FQL&gt;&lt;Q&gt;GBPUSD^FG_PRICE(43615)&lt;/Q&gt;&lt;R&gt;1&lt;/R&gt;&lt;C&gt;1&lt;/C&gt;&lt;D xsi:type="xsd:double"&gt;1.2592&lt;/D&gt;&lt;/FQL&gt;&lt;FQL&gt;&lt;Q&gt;GBPUSD^FG_PRICE(43611)&lt;/Q&gt;&lt;R&gt;1&lt;/R&gt;&lt;C&gt;1&lt;/C&gt;&lt;D xsi:type="xsd:double"&gt;1.2692&lt;/D&gt;&lt;/FQL&gt;&lt;FQL&gt;&lt;Q&gt;GBPUSD^FG_PRICE(43607)&lt;/Q&gt;&lt;R&gt;1&lt;/R&gt;&lt;C&gt;1&lt;/C&gt;&lt;D xsi:type="xsd:double"&gt;1.2659&lt;/D&gt;&lt;/FQL&gt;&lt;FQL&gt;&lt;Q&gt;GBPUSD^FG_PRICE(43603)&lt;/Q&gt;&lt;R&gt;1&lt;/R&gt;&lt;C&gt;1&lt;/C&gt;&lt;D xsi:type="xsd:double"&gt;1.27345&lt;/D&gt;&lt;/FQL&gt;&lt;FQL&gt;&lt;Q&gt;GBPUSD^FG_PRICE(43599)&lt;/Q&gt;&lt;R&gt;1&lt;/R&gt;&lt;C&gt;1&lt;/C&gt;&lt;D xsi:type="xsd:double"&gt;1.2917&lt;/D&gt;&lt;/FQL&gt;&lt;FQL&gt;&lt;Q&gt;GBPUSD^FG_PRICE(43595)&lt;/Q&gt;&lt;R&gt;1&lt;/R&gt;&lt;C&gt;1&lt;/C&gt;&lt;D xsi:type="xsd:double"&gt;1.3033&lt;/D&gt;&lt;/FQL&gt;&lt;FQL&gt;&lt;Q&gt;GBPUSD^FG_PRICE(43591)&lt;/Q&gt;&lt;R&gt;1&lt;/R&gt;&lt;C&gt;1&lt;/C&gt;&lt;D xsi:type="xsd:double"&gt;1.3092&lt;/D&gt;&lt;/FQL&gt;&lt;FQL&gt;&lt;Q&gt;GBPUSD^FG_PRICE(43587)&lt;/Q&gt;&lt;R&gt;1&lt;/R&gt;&lt;C&gt;1&lt;/C&gt;&lt;D xsi:type="xsd:double"&gt;1.30355&lt;/D&gt;&lt;/FQL&gt;&lt;FQL&gt;&lt;Q&gt;GBPUSD^FG_PRICE(43583)&lt;/Q&gt;&lt;R&gt;1&lt;/R&gt;&lt;C&gt;1&lt;/C&gt;&lt;D xsi:type="xsd:double"&gt;1.29355&lt;/D&gt;&lt;/FQL&gt;&lt;FQL&gt;&lt;Q&gt;GBPUSD^FG_PRICE(43579)&lt;/Q&gt;&lt;R&gt;1&lt;/R&gt;&lt;C&gt;1&lt;/C&gt;&lt;D xsi:type="xsd:double"&gt;1.29555&lt;/D&gt;&lt;/FQL&gt;&lt;FQL&gt;&lt;Q&gt;GBPUSD^FG_PRICE(43575)&lt;/Q&gt;&lt;R&gt;1&lt;/R&gt;&lt;C&gt;1&lt;/C&gt;&lt;D xsi:type="xsd:double"&gt;1.30095&lt;/D&gt;&lt;/FQL&gt;&lt;FQL&gt;&lt;Q&gt;GBPUSD^FG_PRICE(43571)&lt;/Q&gt;&lt;R&gt;1&lt;/R&gt;&lt;C&gt;1&lt;/C&gt;&lt;D xsi:type="xsd:double"&gt;1.3054&lt;/D&gt;&lt;/FQL&gt;&lt;FQL&gt;&lt;Q&gt;GBPUSD^FG_PRICE(43567)&lt;/Q&gt;&lt;R&gt;1&lt;/R&gt;&lt;C&gt;1&lt;/C&gt;&lt;D xsi:type="xsd:double"&gt;1.3101&lt;/D&gt;&lt;/FQL&gt;&lt;FQL&gt;&lt;Q&gt;GBPUSD^FG_PRICE(43563)&lt;/Q&gt;&lt;R&gt;1&lt;/R&gt;&lt;C&gt;1&lt;/C&gt;&lt;D xsi:type="xsd:double"&gt;1.30485&lt;/D&gt;&lt;/FQL&gt;&lt;FQL&gt;&lt;Q&gt;GBPUSD^FG_PRICE(43559)&lt;/Q&gt;&lt;R&gt;1&lt;/R&gt;&lt;C&gt;1&lt;/C&gt;&lt;D xsi:type="xsd:double"&gt;1.308&lt;/D&gt;&lt;/FQL&gt;&lt;FQL&gt;&lt;Q&gt;GBPUSD^FG_PRICE(43555)&lt;/Q&gt;&lt;R&gt;1&lt;/R&gt;&lt;C&gt;1&lt;/C&gt;&lt;D xsi:type="xsd:double"&gt;1.30305&lt;/D&gt;&lt;/FQL&gt;&lt;FQL&gt;&lt;Q&gt;GBPUSD^FG_PRICE(43551)&lt;/Q&gt;&lt;R&gt;1&lt;/R&gt;&lt;C&gt;1&lt;/C&gt;&lt;D xsi:type="xsd:double"&gt;1.3191&lt;/D&gt;&lt;/FQL&gt;&lt;FQL&gt;&lt;Q&gt;GBPUSD^FG_PRICE(43547)&lt;/Q&gt;&lt;R&gt;1&lt;/R&gt;&lt;C&gt;1&lt;/C&gt;&lt;D xsi:type="xsd:double"&gt;1.3219999&lt;/D&gt;&lt;/FQL&gt;&lt;FQL&gt;&lt;Q&gt;GBPUSD^FG_PRICE(43543)&lt;/Q&gt;&lt;R&gt;1&lt;/R&gt;&lt;C&gt;1&lt;/C&gt;&lt;D xsi:type="xsd:double"&gt;1.3263&lt;/D&gt;&lt;/FQL&gt;&lt;FQL&gt;&lt;Q&gt;GBPUSD^FG_PRICE(43539)&lt;/Q&gt;&lt;R&gt;1&lt;/R&gt;&lt;C&gt;1&lt;/C&gt;&lt;D xsi:type="xsd:double"&gt;1.3276501&lt;/D&gt;&lt;/FQL&gt;&lt;FQL&gt;&lt;Q&gt;GBPUSD^FG_PRICE(43535)&lt;/Q&gt;&lt;R&gt;1&lt;/R&gt;&lt;C&gt;1&lt;/C&gt;&lt;D xsi:type="xsd:double"&gt;1.3097&lt;/D&gt;&lt;/FQL&gt;&lt;FQL&gt;&lt;Q&gt;GBPUSD^FG_PRICE(43531)&lt;/Q&gt;&lt;R&gt;1&lt;/R&gt;&lt;C&gt;1&lt;/C&gt;&lt;D xsi:type="xsd:double"&gt;1.3118&lt;/D&gt;&lt;/FQL&gt;&lt;FQL&gt;&lt;Q&gt;GBPUSD^FG_PRICE(43527)&lt;/Q&gt;&lt;R&gt;1&lt;/R&gt;&lt;C&gt;1&lt;/C&gt;&lt;D xsi:type="xsd:double"&gt;1.32435&lt;/D&gt;&lt;/FQL&gt;&lt;FQL&gt;&lt;Q&gt;GBPUSD^FG_PRICE(43523)&lt;/Q&gt;&lt;R&gt;1&lt;/R&gt;&lt;C&gt;1&lt;/C&gt;&lt;D xsi:type="xsd:double"&gt;1.3336&lt;/D&gt;&lt;/FQL&gt;&lt;FQL&gt;&lt;Q&gt;GBPUSD^FG_PRICE(43519)&lt;/Q&gt;&lt;R&gt;1&lt;/R&gt;&lt;C&gt;1&lt;/C&gt;&lt;D xsi:type="xsd:double"&gt;1.3057&lt;/D&gt;&lt;/FQL&gt;&lt;FQL&gt;&lt;Q&gt;GBPUSD^FG_PRICE(43515)&lt;/Q&gt;&lt;R&gt;1&lt;/R&gt;&lt;C&gt;1&lt;/C&gt;&lt;D xsi:type="xsd:double"&gt;1.30315&lt;/D&gt;&lt;/FQL&gt;&lt;FQL&gt;&lt;Q&gt;GBPUSD^FG_PRICE(43511)&lt;/Q&gt;&lt;R&gt;1&lt;/R&gt;&lt;C&gt;1&lt;/C&gt;&lt;D xsi:type="xsd:double"&gt;1.28475&lt;/D&gt;&lt;/FQL&gt;&lt;FQL&gt;&lt;Q&gt;GBPUSD^FG_PRICE(43507)&lt;/Q&gt;&lt;R&gt;1&lt;/R&gt;&lt;C&gt;1&lt;/C&gt;&lt;D xsi:type="xsd:double"&gt;1.2865&lt;/D&gt;&lt;/FQL&gt;&lt;FQL&gt;&lt;Q&gt;GBPUSD^FG_PRICE(43503)&lt;/Q&gt;&lt;R&gt;1&lt;/R&gt;&lt;C&gt;1&lt;/C&gt;&lt;D xsi:type="xsd:double"&gt;1.2973&lt;/D&gt;&lt;/FQL&gt;&lt;FQL&gt;&lt;Q&gt;GBPUSD^FG_PRICE(43499)&lt;/Q&gt;&lt;R&gt;1&lt;/R&gt;&lt;C&gt;1&lt;/C&gt;&lt;D xsi:type="xsd:double"&gt;1.3093001&lt;/D&gt;&lt;/FQL&gt;&lt;FQL&gt;&lt;Q&gt;GBPUSD^FG_PRICE(43495)&lt;/Q&gt;&lt;R&gt;1&lt;/R&gt;&lt;C&gt;1&lt;/C&gt;&lt;D xsi:type="xsd:double"&gt;1.3069999&lt;/D&gt;&lt;/FQL&gt;&lt;FQL&gt;&lt;Q&gt;GBPUSD^FG_PRICE(43491)&lt;/Q&gt;&lt;R&gt;1&lt;/R&gt;&lt;C&gt;1&lt;/C&gt;&lt;D xsi:type="xsd:double"&gt;1.31695&lt;/D&gt;&lt;/FQL&gt;&lt;FQL&gt;&lt;Q&gt;GBPUSD^FG_PRICE(43487)&lt;/Q&gt;&lt;R&gt;1&lt;/R&gt;&lt;C&gt;1&lt;/C&gt;&lt;D xsi:type="xsd:double"&gt;1.2959&lt;/D&gt;&lt;/FQL&gt;&lt;FQL&gt;&lt;Q&gt;GBPUSD^FG_PRICE(43483)&lt;/Q&gt;&lt;R&gt;1&lt;/R&gt;&lt;C&gt;1&lt;/C&gt;&lt;D xsi:type="xsd:double"&gt;1.2906001&lt;/D&gt;&lt;/FQL&gt;&lt;FQL&gt;&lt;Q&gt;GBPUSD^FG_PRICE(43471)&lt;/Q&gt;&lt;R&gt;1&lt;/R&gt;&lt;C&gt;1&lt;/C&gt;&lt;D xsi:type="xsd:double"&gt;1.2720001&lt;/D&gt;&lt;/FQL&gt;&lt;FQL&gt;&lt;Q&gt;EURUSD^FG_PRICE(43519)&lt;/Q&gt;&lt;R&gt;1&lt;/R&gt;&lt;C&gt;1&lt;/C&gt;&lt;D xsi:type="xsd:double"&gt;1.13395&lt;/D&gt;&lt;/FQL&gt;&lt;FQL&gt;&lt;Q&gt;EURUSD^FG_PRICE(43511)&lt;/Q&gt;&lt;R&gt;1&lt;/R&gt;&lt;C&gt;1&lt;/C&gt;&lt;D xsi:type="xsd:double"&gt;1.1263499&lt;/D&gt;&lt;/FQL&gt;&lt;FQL&gt;&lt;Q&gt;EURUSD^FG_PRICE(43499)&lt;/Q&gt;&lt;R&gt;1&lt;/R&gt;&lt;C&gt;1&lt;/C&gt;&lt;D xsi:type="xsd:double"&gt;1.1468&lt;/D&gt;&lt;/FQL&gt;&lt;FQL&gt;&lt;Q&gt;EURUSD^FG_PRICE(43491)&lt;/Q&gt;&lt;R&gt;1&lt;/R&gt;&lt;C&gt;1&lt;/C&gt;&lt;D xsi:type="xsd:double"&gt;1.1398001&lt;/D&gt;&lt;/FQL&gt;&lt;FQL&gt;&lt;Q&gt;EURUSD^FG_PRICE(43483)&lt;/Q&gt;&lt;R&gt;1&lt;/R&gt;&lt;C&gt;1&lt;/C&gt;&lt;D xsi:type="xsd:double"&gt;1.13665&lt;/D&gt;&lt;/FQL&gt;&lt;FQL&gt;&lt;Q&gt;EURUSD^FG_PRICE(43471)&lt;/Q&gt;&lt;R&gt;1&lt;/R&gt;&lt;C&gt;1&lt;/C&gt;&lt;D xsi:type="xsd:double"&gt;1.14095&lt;/D&gt;&lt;/FQL&gt;&lt;FQL&gt;&lt;Q&gt;GBPUSD^FG_PRICE(44764)&lt;/Q&gt;&lt;R&gt;1&lt;/R&gt;&lt;C&gt;1&lt;/C&gt;&lt;D xsi:type="xsd:double"&gt;1.20415&lt;/D&gt;&lt;/FQL&gt;&lt;FQL&gt;&lt;Q&gt;EURUSD^FG_PRICE(44629)&lt;/Q&gt;&lt;R&gt;1&lt;/R&gt;&lt;C&gt;1&lt;/C&gt;&lt;D xsi:type="xsd:double"&gt;1.10455&lt;/D&gt;&lt;/FQL&gt;&lt;FQL&gt;&lt;Q&gt;EURUSD^FG_PRICE(44535)&lt;/Q&gt;&lt;R&gt;1&lt;/R&gt;&lt;C&gt;1&lt;/C&gt;&lt;D xsi:type="xsd:double"&gt;1.128&lt;/D&gt;&lt;/FQL&gt;&lt;FQL&gt;&lt;Q&gt;EURUSD^FG_PRICE(44444)&lt;/Q&gt;&lt;R&gt;1&lt;/R&gt;&lt;C&gt;1&lt;/C&gt;&lt;D xsi:type="xsd:double"&gt;1.1881&lt;/D&gt;&lt;/FQL&gt;&lt;FQL&gt;&lt;Q&gt;EURUSD^FG_PRICE(44331)&lt;/Q&gt;&lt;R&gt;1&lt;/R&gt;&lt;C&gt;1&lt;/C&gt;&lt;D xsi:type="xsd:double"&gt;1.2133499&lt;/D&gt;&lt;/FQL&gt;&lt;FQL&gt;&lt;Q&gt;EURUSD^FG_PRICE(44265)&lt;/Q&gt;&lt;R&gt;1&lt;/R&gt;&lt;C&gt;1&lt;/C&gt;&lt;D xsi:type="xsd:double"&gt;1.1896499&lt;/D&gt;&lt;/FQL&gt;&lt;FQL&gt;&lt;Q&gt;GBPUSD^FG_PRICE(44195)&lt;/Q&gt;&lt;R&gt;1&lt;/R&gt;&lt;C&gt;1&lt;/C&gt;&lt;D xsi:type="xsd:double"&gt;1.36095&lt;/D&gt;&lt;/FQL&gt;&lt;FQL&gt;&lt;Q&gt;EURUSD^FG_PRICE(44077)&lt;/Q&gt;&lt;R&gt;1&lt;/R&gt;&lt;C&gt;1&lt;/C&gt;&lt;D xsi:type="xsd:double"&gt;1.1837499&lt;/D&gt;&lt;/FQL&gt;&lt;FQL&gt;&lt;Q&gt;GBPUSD^FG_PRICE(44012)&lt;/Q&gt;&lt;R&gt;1&lt;/R&gt;&lt;C&gt;1&lt;/C&gt;&lt;D xsi:type="xsd:double"&gt;1.2356&lt;/D&gt;&lt;/FQL&gt;&lt;FQL&gt;&lt;Q&gt;GBPUSD^FG_PRICE(43943)&lt;/Q&gt;&lt;R&gt;1&lt;/R&gt;&lt;C&gt;1&lt;/C&gt;&lt;D xsi:type="xsd:double"&gt;1.2327&lt;/D&gt;&lt;/FQL&gt;&lt;FQL&gt;&lt;Q&gt;EURUSD^FG_PRICE(43892)&lt;/Q&gt;&lt;R&gt;1&lt;/R&gt;&lt;C&gt;1&lt;/C&gt;&lt;D xsi:type="xsd:double"&gt;1.11315&lt;/D&gt;&lt;/FQL&gt;&lt;FQL&gt;&lt;Q&gt;EURUSD^FG_PRICE(43825)&lt;/Q&gt;&lt;R&gt;1&lt;/R&gt;&lt;C&gt;1&lt;/C&gt;&lt;D xsi:type="xsd:double"&gt;1.1098499&lt;/D&gt;&lt;/FQL&gt;&lt;FQL&gt;&lt;Q&gt;EURUSD^FG_PRICE(43782)&lt;/Q&gt;&lt;R&gt;1&lt;/R&gt;&lt;C&gt;1&lt;/C&gt;&lt;D xsi:type="xsd:double"&gt;1.10095&lt;/D&gt;&lt;/FQL&gt;&lt;FQL&gt;&lt;Q&gt;EURUSD^FG_PRICE(43750)&lt;/Q&gt;&lt;R&gt;1&lt;/R&gt;&lt;C&gt;1&lt;/C&gt;&lt;D xsi:type="xsd:double"&gt;1.1036&lt;/D&gt;&lt;/FQL&gt;&lt;FQL&gt;&lt;Q&gt;GBPUSD^FG_PRICE(43710)&lt;/Q&gt;&lt;R&gt;1&lt;/R&gt;&lt;C&gt;1&lt;/C&gt;&lt;D xsi:type="xsd:double"&gt;1.20625&lt;/D&gt;&lt;/FQL&gt;&lt;FQL&gt;&lt;Q&gt;GBPUSD^FG_PRICE(43678)&lt;/Q&gt;&lt;R&gt;1&lt;/R&gt;&lt;C&gt;1&lt;/C&gt;&lt;D xsi:type="xsd:double"&gt;1.21495&lt;/D&gt;&lt;/FQL&gt;&lt;FQL&gt;&lt;Q&gt;EURUSD^FG_PRICE(43652)&lt;/Q&gt;&lt;R&gt;1&lt;/R&gt;&lt;C&gt;1&lt;/C&gt;&lt;D xsi:type="xsd:double"&gt;1.1222501&lt;/D&gt;&lt;/FQL&gt;&lt;FQL&gt;&lt;Q&gt;GBPUSD^FG_PRICE(43638)&lt;/Q&gt;&lt;R&gt;1&lt;/R&gt;&lt;C&gt;1&lt;/C&gt;&lt;D xsi:type="xsd:double"&gt;1.26955&lt;/D&gt;&lt;/FQL&gt;&lt;FQL&gt;&lt;Q&gt;GBPUSD^FG_PRICE(43622)&lt;/Q&gt;&lt;R&gt;1&lt;/R&gt;&lt;C&gt;1&lt;/C&gt;&lt;D xsi:type="xsd:double"&gt;1.2713&lt;/D&gt;&lt;/FQL&gt;&lt;FQL&gt;&lt;Q&gt;GBPUSD^FG_PRICE(43610)&lt;/Q&gt;&lt;R&gt;1&lt;/R&gt;&lt;C&gt;1&lt;/C&gt;&lt;D xsi:type="xsd:double"&gt;1.2692&lt;/D&gt;&lt;/FQL&gt;&lt;FQL&gt;&lt;Q&gt;GBPUSD^FG_PRICE(43590)&lt;/Q&gt;&lt;R&gt;1&lt;/R&gt;&lt;C&gt;1&lt;/C&gt;&lt;D xsi:type="xsd:double"&gt;1.3119&lt;/D&gt;&lt;/FQL&gt;&lt;FQL&gt;&lt;Q&gt;GBPUSD^FG_PRICE(43578)&lt;/Q&gt;&lt;R&gt;1&lt;/R&gt;&lt;C&gt;1&lt;/C&gt;&lt;D xsi:type="xsd:double"&gt;1.2938501&lt;/D&gt;&lt;/FQL&gt;&lt;FQL&gt;&lt;Q&gt;GBPUSD^FG_PRICE(43562)&lt;/Q&gt;&lt;R&gt;1&lt;/R&gt;&lt;C&gt;1&lt;/C&gt;&lt;D xsi:type="xsd:double"&gt;1.3010501&lt;/D&gt;&lt;/FQL&gt;&lt;FQL&gt;&lt;Q&gt;GBPUSD^FG_PRICE(43546)&lt;/Q&gt;&lt;R&gt;1&lt;/R&gt;&lt;C&gt;1&lt;/C&gt;&lt;D xsi:type="xsd:double"&gt;1.3219999&lt;/D&gt;&lt;/FQL&gt;&lt;FQL&gt;&lt;Q&gt;GBPUSD^FG_PRICE(43530)&lt;/Q&gt;&lt;R&gt;1&lt;/R&gt;&lt;C&gt;1&lt;/C&gt;&lt;D xsi:type="xsd:double"&gt;1.31515&lt;/D&gt;&lt;/FQL&gt;&lt;FQL&gt;&lt;Q&gt;GBPUSD^FG_PRICE(43514)&lt;/Q&gt;&lt;R&gt;1&lt;/R&gt;&lt;C&gt;1&lt;/C&gt;&lt;D xsi:type="xsd:double"&gt;1.29275&lt;/D&gt;&lt;/FQL&gt;&lt;FQL&gt;&lt;Q&gt;GBPUSD^FG_PRICE(43502)&lt;/Q&gt;&lt;R&gt;1&lt;/R&gt;&lt;C&gt;1&lt;/C&gt;&lt;D xsi:type="xsd:double"&gt;1.2964001&lt;/D&gt;&lt;/FQL&gt;&lt;FQL&gt;&lt;Q&gt;GBPUSD^FG_PRICE(43486)&lt;/Q&gt;&lt;R&gt;1&lt;/R&gt;&lt;C&gt;1&lt;/C&gt;&lt;D xsi:type="xsd:double"&gt;1.2893&lt;/D&gt;&lt;/FQL&gt;&lt;FQL&gt;&lt;Q&gt;GBPUSD^FG_PRICE(43470)&lt;/Q&gt;&lt;R&gt;1&lt;/R&gt;&lt;C&gt;1&lt;/C&gt;&lt;D xsi:type="xsd:double"&gt;1.2720001&lt;/D&gt;&lt;/FQL&gt;&lt;FQL&gt;&lt;Q&gt;EURUSD^FG_PRICE(43513)&lt;/Q&gt;&lt;R&gt;1&lt;/R&gt;&lt;C&gt;1&lt;/C&gt;&lt;D xsi:type="xsd:double"&gt;1.1263499&lt;/D&gt;&lt;/FQL&gt;&lt;FQL&gt;&lt;Q&gt;EURUSD^FG_PRICE(43477)&lt;/Q&gt;&lt;R&gt;1&lt;/R&gt;&lt;C&gt;1&lt;/C&gt;&lt;D xsi:type="xsd:double"&gt;1.14775&lt;/D&gt;&lt;/FQL&gt;&lt;FQL&gt;&lt;Q&gt;GBPUSD^FG_PRICE(44739)&lt;/Q&gt;&lt;R&gt;1&lt;/R&gt;&lt;C&gt;1&lt;/C&gt;&lt;D xsi:type="xsd:double"&gt;1.2303&lt;/D&gt;&lt;/FQL&gt;&lt;FQL&gt;&lt;Q&gt;EURUSD^FG_PRICE(44020)&lt;/Q&gt;&lt;R&gt;1&lt;/R&gt;&lt;C&gt;1&lt;/C&gt;&lt;D xsi:type="xsd:double"&gt;1.13275&lt;/D&gt;&lt;/FQL&gt;&lt;FQL&gt;&lt;Q&gt;EURUSD^FG_PRICE(43867)&lt;/Q&gt;&lt;R&gt;1&lt;/R&gt;&lt;C&gt;1&lt;/C&gt;&lt;D xsi:type="xsd:double"&gt;1.09775&lt;/D&gt;&lt;/FQL&gt;&lt;FQL&gt;&lt;Q&gt;EURUSD^FG_PRICE(43776)&lt;/Q&gt;&lt;R&gt;1&lt;/R&gt;&lt;C&gt;1&lt;/C&gt;&lt;D xsi:type="xsd:double"&gt;1.10445&lt;/D&gt;&lt;/FQL&gt;&lt;FQL&gt;&lt;Q&gt;GBPUSD^FG_PRICE(43722)&lt;/Q&gt;&lt;R&gt;1&lt;/R&gt;&lt;C&gt;1&lt;/C&gt;&lt;D xsi:type="xsd:double"&gt;1.2459&lt;/D&gt;&lt;/FQL&gt;&lt;FQL&gt;&lt;Q&gt;GBPUSD^FG_PRICE(43674)&lt;/Q&gt;&lt;R&gt;1&lt;/R&gt;&lt;C&gt;1&lt;/C&gt;&lt;D xsi:type="xsd:double"&gt;1.2387&lt;/D&gt;&lt;/FQL&gt;&lt;FQL&gt;&lt;Q&gt;GBPUSD^FG_PRICE(43644)&lt;/Q&gt;&lt;R&gt;1&lt;/R&gt;&lt;C&gt;1&lt;/C&gt;&lt;D xsi:type="xsd:double"&gt;1.2727&lt;/D&gt;&lt;/FQL&gt;&lt;FQL&gt;&lt;Q&gt;GBPUSD^FG_PRICE(43628)&lt;/Q&gt;&lt;R&gt;1&lt;/R&gt;&lt;C&gt;1&lt;/C&gt;&lt;D xsi:type="xsd:double"&gt;1.2724&lt;/D&gt;&lt;/FQL&gt;&lt;FQL&gt;&lt;Q&gt;GBPUSD^FG_PRICE(43604)&lt;/Q&gt;&lt;R&gt;1&lt;/R&gt;&lt;C&gt;1&lt;/C&gt;&lt;D xsi:type="xsd:double"&gt;1.27345&lt;/D&gt;&lt;/FQL&gt;&lt;FQL&gt;&lt;Q&gt;GBPUSD^FG_PRICE(43580)&lt;/Q&gt;&lt;R&gt;1&lt;/R&gt;&lt;C&gt;1&lt;/C&gt;&lt;D xsi:type="xsd:double"&gt;1.2907001&lt;/D&gt;&lt;/FQL&gt;&lt;FQL&gt;&lt;Q&gt;GBPUSD^FG_PRICE(43556)&lt;/Q&gt;&lt;R&gt;1&lt;/R&gt;&lt;C&gt;1&lt;/C&gt;&lt;D xsi:type="xsd:double"&gt;1.3145&lt;/D&gt;&lt;/FQL&gt;&lt;FQL&gt;&lt;Q&gt;GBPUSD^FG_PRICE(43536)&lt;/Q&gt;&lt;R&gt;1&lt;/R&gt;&lt;C&gt;1&lt;/C&gt;&lt;D xsi:type="xsd:double"&gt;1.30955&lt;/D&gt;&lt;/FQL&gt;&lt;FQL&gt;&lt;Q&gt;GBPUSD^FG_PRICE(43520)&lt;/Q&gt;&lt;R&gt;1&lt;/R&gt;&lt;C&gt;1&lt;/C&gt;&lt;D xsi:type="xsd:double"&gt;1.3057&lt;/D&gt;&lt;/FQL&gt;&lt;FQL&gt;&lt;Q&gt;GBPUSD^FG_PRICE(43500)&lt;/Q&gt;&lt;R&gt;1&lt;/R&gt;&lt;C&gt;1&lt;/C&gt;&lt;D xsi:type="xsd:double"&gt;1.3082999&lt;/D&gt;&lt;/FQL&gt;&lt;FQL&gt;&lt;Q&gt;GBPUSD^FG_PRICE(43472)&lt;/Q&gt;&lt;R&gt;1&lt;/R&gt;&lt;C&gt;1&lt;/C&gt;&lt;D xsi:type="xsd:double"&gt;1.2768&lt;/D&gt;&lt;/FQL&gt;&lt;FQL&gt;&lt;Q&gt;EURUSD^FG_PRICE(44816)&lt;/Q&gt;&lt;R&gt;1&lt;/R&gt;&lt;C&gt;1&lt;/C&gt;&lt;D xsi:type="xsd:double"&gt;1.0131&lt;/D&gt;&lt;/FQL&gt;&lt;FQL&gt;&lt;Q&gt;GBPUSD^FG_PRICE(44767)&lt;/Q&gt;&lt;R&gt;1&lt;/R&gt;&lt;C&gt;1&lt;/C&gt;&lt;D xsi:type="xsd:double"&gt;1.2045001&lt;/D&gt;&lt;/FQL&gt;&lt;FQL&gt;&lt;Q&gt;EURUSD^FG_PRICE(44723)&lt;/Q&gt;&lt;R&gt;1&lt;/R&gt;&lt;C&gt;1&lt;/C&gt;&lt;D xsi:type="xsd:double"&gt;1.05305&lt;/D&gt;&lt;/FQL&gt;&lt;FQL&gt;&lt;Q&gt;GBPUSD^FG_PRICE(44680)&lt;/Q&gt;&lt;R&gt;1&lt;/R&gt;&lt;C&gt;1&lt;/C&gt;&lt;D xsi:type="xsd:double"&gt;1.2555&lt;/D&gt;&lt;/FQL&gt;&lt;FQL&gt;&lt;Q&gt;EURUSD^FG_PRICE(44631)&lt;/Q&gt;&lt;R&gt;1&lt;/R&gt;&lt;C&gt;1&lt;/C&gt;&lt;D xsi:type="xsd:double"&gt;1.09665&lt;/D&gt;&lt;/FQL&gt;&lt;FQL&gt;&lt;Q&gt;EURUSD^FG_PRICE(44585)&lt;/Q&gt;&lt;R&gt;1&lt;/R&gt;&lt;C&gt;1&lt;/C&gt;&lt;D xsi:type="xsd:double"&gt;1.1309&lt;/D&gt;&lt;/FQL&gt;&lt;FQL&gt;&lt;Q&gt;GBPUSD^FG_PRICE(44543)&lt;/Q&gt;&lt;R&gt;1&lt;/R&gt;&lt;C&gt;1&lt;/C&gt;&lt;D xsi:type="xsd:double"&gt;1.32295&lt;/D&gt;&lt;/FQL&gt;&lt;FQL&gt;&lt;Q&gt;GBPUSD^FG_PRICE(44495)&lt;/Q&gt;&lt;R&gt;1&lt;/R&gt;&lt;C&gt;1&lt;/C&gt;&lt;D xsi:type="xsd:double"&gt;1.3791&lt;/D&gt;&lt;/FQL&gt;&lt;FQL&gt;&lt;Q&gt;EURUSD^FG_PRICE(44451)&lt;/Q&gt;&lt;R&gt;1&lt;/R&gt;&lt;C&gt;1&lt;/C&gt;&lt;D xsi:type="xsd:double"&gt;1.18345&lt;/D&gt;&lt;/FQL&gt;&lt;FQL&gt;&lt;Q&gt;EURUSD^FG_PRICE(44407)&lt;/Q&gt;&lt;R&gt;1&lt;/R&gt;&lt;C&gt;1&lt;/C&gt;&lt;D xsi:type="xsd:double"&gt;1.1858001&lt;/D&gt;&lt;/FQL&gt;&lt;FQL&gt;&lt;Q&gt;GBPUSD^FG_PRICE(44368)&lt;/Q&gt;&lt;R&gt;1&lt;/R&gt;&lt;C&gt;1&lt;/C&gt;&lt;D xsi:type="xsd:double"&gt;1.3904&lt;/D&gt;&lt;/FQL&gt;&lt;FQL&gt;&lt;Q&gt;EURUSD^FG_PRICE(44336)&lt;/Q&gt;&lt;R&gt;1&lt;/R&gt;&lt;C&gt;1&lt;/C&gt;&lt;D xsi:type="xsd:double"&gt;1.22155&lt;/D&gt;&lt;/FQL&gt;&lt;FQL&gt;&lt;Q&gt;EURUSD^FG_PRICE(44304)&lt;/Q&gt;&lt;R&gt;1&lt;/R&gt;&lt;C&gt;1&lt;/C&gt;&lt;D xsi:type="xsd:double"&gt;1.19795&lt;/D&gt;&lt;/FQL&gt;&lt;FQL&gt;&lt;Q&gt;EURUSD^FG_PRICE(44267)&lt;/Q&gt;&lt;R&gt;1&lt;/R&gt;&lt;C&gt;1&lt;/C&gt;&lt;D xsi:type="xsd:double"&gt;1.1938&lt;/D&gt;&lt;/FQL&gt;&lt;FQL&gt;&lt;Q&gt;EUR</t>
        </r>
      </text>
    </comment>
    <comment ref="A18" authorId="0" shapeId="0" xr:uid="{BF0E8ADC-E0ED-4365-98BB-236A3F5137B5}">
      <text>
        <r>
          <rPr>
            <b/>
            <sz val="9"/>
            <color indexed="81"/>
            <rFont val="Tahoma"/>
            <family val="2"/>
          </rPr>
          <t>USD^FG_PRICE(44233)&lt;/Q&gt;&lt;R&gt;1&lt;/R&gt;&lt;C&gt;1&lt;/C&gt;&lt;D xsi:type="xsd:double"&gt;1.2025499&lt;/D&gt;&lt;/FQL&gt;&lt;FQL&gt;&lt;Q&gt;EURUSD^FG_PRICE(44201)&lt;/Q&gt;&lt;R&gt;1&lt;/R&gt;&lt;C&gt;1&lt;/C&gt;&lt;D xsi:type="xsd:double"&gt;1.22765&lt;/D&gt;&lt;/FQL&gt;&lt;FQL&gt;&lt;Q&gt;EURUSD^FG_PRICE(44164)&lt;/Q&gt;&lt;R&gt;1&lt;/R&gt;&lt;C&gt;1&lt;/C&gt;&lt;D xsi:type="xsd:double"&gt;1.19485&lt;/D&gt;&lt;/FQL&gt;&lt;FQL&gt;&lt;Q&gt;GBPUSD^FG_PRICE(44131)&lt;/Q&gt;&lt;R&gt;1&lt;/R&gt;&lt;C&gt;1&lt;/C&gt;&lt;D xsi:type="xsd:double"&gt;1.3064499999999999&lt;/D&gt;&lt;/FQL&gt;&lt;FQL&gt;&lt;Q&gt;GBPUSD^FG_PRICE(44103)&lt;/Q&gt;&lt;R&gt;1&lt;/R&gt;&lt;C&gt;1&lt;/C&gt;&lt;D xsi:type="xsd:double"&gt;1.28405&lt;/D&gt;&lt;/FQL&gt;&lt;FQL&gt;&lt;Q&gt;GBPUSD^FG_PRICE(44079)&lt;/Q&gt;&lt;R&gt;1&lt;/R&gt;&lt;C&gt;1&lt;/C&gt;&lt;D xsi:type="xsd:double"&gt;1.3208&lt;/D&gt;&lt;/FQL&gt;&lt;FQL&gt;&lt;Q&gt;GBPUSD^FG_PRICE(44056)&lt;/Q&gt;&lt;R&gt;1&lt;/R&gt;&lt;C&gt;1&lt;/C&gt;&lt;D xsi:type="xsd:double"&gt;1.30945&lt;/D&gt;&lt;/FQL&gt;&lt;FQL&gt;&lt;Q&gt;GBPUSD^FG_PRICE(44035)&lt;/Q&gt;&lt;R&gt;1&lt;/R&gt;&lt;C&gt;1&lt;/C&gt;&lt;D xsi:type="xsd:double"&gt;1.2744501&lt;/D&gt;&lt;/FQL&gt;&lt;FQL&gt;&lt;Q&gt;EURUSD^FG_PRICE(44013)&lt;/Q&gt;&lt;R&gt;1&lt;/R&gt;&lt;C&gt;1&lt;/C&gt;&lt;D xsi:type="xsd:double"&gt;1.1261001&lt;/D&gt;&lt;/FQL&gt;&lt;FQL&gt;&lt;Q&gt;GBPUSD^FG_PRICE(43996)&lt;/Q&gt;&lt;R&gt;1&lt;/R&gt;&lt;C&gt;1&lt;/C&gt;&lt;D xsi:type="xsd:double"&gt;1.2540001&lt;/D&gt;&lt;/FQL&gt;&lt;FQL&gt;&lt;Q&gt;GBPUSD^FG_PRICE(43980)&lt;/Q&gt;&lt;R&gt;1&lt;/R&gt;&lt;C&gt;1&lt;/C&gt;&lt;D xsi:type="xsd:double"&gt;1.2363&lt;/D&gt;&lt;/FQL&gt;&lt;FQL&gt;&lt;Q&gt;EURUSD^FG_PRICE(43963)&lt;/Q&gt;&lt;R&gt;1&lt;/R&gt;&lt;C&gt;1&lt;/C&gt;&lt;D xsi:type="xsd:double"&gt;1.08745&lt;/D&gt;&lt;/FQL&gt;&lt;FQL&gt;&lt;Q&gt;EURUSD^FG_PRICE(43945)&lt;/Q&gt;&lt;R&gt;1&lt;/R&gt;&lt;C&gt;1&lt;/C&gt;&lt;D xsi:type="xsd:double"&gt;1.0812501&lt;/D&gt;&lt;/FQL&gt;&lt;FQL&gt;&lt;Q&gt;EURUSD^FG_PRICE(43929)&lt;/Q&gt;&lt;R&gt;1&lt;/R&gt;&lt;C&gt;1&lt;/C&gt;&lt;D xsi:type="xsd:double"&gt;1.08635&lt;/D&gt;&lt;/FQL&gt;&lt;FQL&gt;&lt;Q&gt;GBPUSD^FG_PRICE(43911)&lt;/Q&gt;&lt;R&gt;1&lt;/R&gt;&lt;C&gt;1&lt;/C&gt;&lt;D xsi:type="xsd:double"&gt;1.17435&lt;/D&gt;&lt;/FQL&gt;&lt;FQL&gt;&lt;Q&gt;EURUSD^FG_PRICE(43895)&lt;/Q&gt;&lt;R&gt;1&lt;/R&gt;&lt;C&gt;1&lt;/C&gt;&lt;D xsi:type="xsd:double"&gt;1.1189&lt;/D&gt;&lt;/FQL&gt;&lt;FQL&gt;&lt;Q&gt;EURUSD^FG_PRICE(43879)&lt;/Q&gt;&lt;R&gt;1&lt;/R&gt;&lt;C&gt;1&lt;/C&gt;&lt;D xsi:type="xsd:double"&gt;1.0823&lt;/D&gt;&lt;/FQL&gt;&lt;FQL&gt;&lt;Q&gt;EURUSD^FG_PRICE(43860)&lt;/Q&gt;&lt;R&gt;1&lt;/R&gt;&lt;C&gt;1&lt;/C&gt;&lt;D xsi:type="xsd:double"&gt;1.1035&lt;/D&gt;&lt;/FQL&gt;&lt;FQL&gt;&lt;Q&gt;GBPUSD^FG_PRICE(43843)&lt;/Q&gt;&lt;R&gt;1&lt;/R&gt;&lt;C&gt;1&lt;/C&gt;&lt;D xsi:type="xsd:double"&gt;1.2978&lt;/D&gt;&lt;/FQL&gt;&lt;FQL&gt;&lt;Q&gt;EURUSD^FG_PRICE(43828)&lt;/Q&gt;&lt;R&gt;1&lt;/R&gt;&lt;C&gt;1&lt;/C&gt;&lt;D xsi:type="xsd:double"&gt;1.1163&lt;/D&gt;&lt;/FQL&gt;&lt;FQL&gt;&lt;Q&gt;GBPUSD^FG_PRICE(43814)&lt;/Q&gt;&lt;R&gt;1&lt;/R&gt;&lt;C&gt;1&lt;/C&gt;&lt;D xsi:type="xsd:double"&gt;1.33445&lt;/D&gt;&lt;/FQL&gt;&lt;FQL&gt;&lt;Q&gt;EURUSD^FG_PRICE(43804)&lt;/Q&gt;&lt;R&gt;1&lt;/R&gt;&lt;C&gt;1&lt;/C&gt;&lt;D xsi:type="xsd:double"&gt;1.1092501&lt;/D&gt;&lt;/FQL&gt;&lt;FQL&gt;&lt;Q&gt;EURUSD^FG_PRICE(43794)&lt;/Q&gt;&lt;R&gt;1&lt;/R&gt;&lt;C&gt;1&lt;/C&gt;&lt;D xsi:type="xsd:double"&gt;1.1012&lt;/D&gt;&lt;/FQL&gt;&lt;FQL&gt;&lt;Q&gt;GBPUSD^FG_PRICE(43782)&lt;/Q&gt;&lt;R&gt;1&lt;/R&gt;&lt;C&gt;1&lt;/C&gt;&lt;D xsi:type="xsd:double"&gt;1.2839501&lt;/D&gt;&lt;/FQL&gt;&lt;FQL&gt;&lt;Q&gt;EURUSD^FG_PRICE(43772)&lt;/Q&gt;&lt;R&gt;1&lt;/R&gt;&lt;C&gt;1&lt;/C&gt;&lt;D xsi:type="xsd:double"&gt;1.11695&lt;/D&gt;&lt;/FQL&gt;&lt;FQL&gt;&lt;Q&gt;EURUSD^FG_PRICE(43762)&lt;/Q&gt;&lt;R&gt;1&lt;/R&gt;&lt;C&gt;1&lt;/C&gt;&lt;D xsi:type="xsd:double"&gt;1.11045&lt;/D&gt;&lt;/FQL&gt;&lt;FQL&gt;&lt;Q&gt;GBPUSD^FG_PRICE(43750)&lt;/Q&gt;&lt;R&gt;1&lt;/R&gt;&lt;C&gt;1&lt;/C&gt;&lt;D xsi:type="xsd:double"&gt;1.2685&lt;/D&gt;&lt;/FQL&gt;&lt;FQL&gt;&lt;Q&gt;EURUSD^FG_PRICE(43740)&lt;/Q&gt;&lt;R&gt;1&lt;/R&gt;&lt;C&gt;1&lt;/C&gt;&lt;D xsi:type="xsd:double"&gt;1.09455&lt;/D&gt;&lt;/FQL&gt;&lt;FQL&gt;&lt;Q&gt;EURUSD^FG_PRICE(43730)&lt;/Q&gt;&lt;R&gt;1&lt;/R&gt;&lt;C&gt;1&lt;/C&gt;&lt;D xsi:type="xsd:double"&gt;1.10115&lt;/D&gt;&lt;/FQL&gt;&lt;FQL&gt;&lt;Q&gt;EURUSD^FG_PRICE(43720)&lt;/Q&gt;&lt;R&gt;1&lt;/R&gt;&lt;C&gt;1&lt;/C&gt;&lt;D xsi:type="xsd:double"&gt;1.10305&lt;/D&gt;&lt;/FQL&gt;&lt;FQL&gt;&lt;Q&gt;EURUSD^FG_PRICE(43712)&lt;/Q&gt;&lt;R&gt;1&lt;/R&gt;&lt;C&gt;1&lt;/C&gt;&lt;D xsi:type="xsd:double"&gt;1.10295&lt;/D&gt;&lt;/FQL&gt;&lt;FQL&gt;&lt;Q&gt;EURUSD^FG_PRICE(43704)&lt;/Q&gt;&lt;R&gt;1&lt;/R&gt;&lt;C&gt;1&lt;/C&gt;&lt;D xsi:type="xsd:double"&gt;1.1101&lt;/D&gt;&lt;/FQL&gt;&lt;FQL&gt;&lt;Q&gt;EURUSD^FG_PRICE(43696)&lt;/Q&gt;&lt;R&gt;1&lt;/R&gt;&lt;C&gt;1&lt;/C&gt;&lt;D xsi:type="xsd:double"&gt;1.10955&lt;/D&gt;&lt;/FQL&gt;&lt;FQL&gt;&lt;Q&gt;EURUSD^FG_PRICE(43688)&lt;/Q&gt;&lt;R&gt;1&lt;/R&gt;&lt;C&gt;1&lt;/C&gt;&lt;D xsi:type="xsd:double"&gt;1.12015&lt;/D&gt;&lt;/FQL&gt;&lt;FQL&gt;&lt;Q&gt;EURUSD^FG_PRICE(43680)&lt;/Q&gt;&lt;R&gt;1&lt;/R&gt;&lt;C&gt;1&lt;/C&gt;&lt;D xsi:type="xsd:double"&gt;1.1102&lt;/D&gt;&lt;/FQL&gt;&lt;FQL&gt;&lt;Q&gt;EURUSD^FG_PRICE(43672)&lt;/Q&gt;&lt;R&gt;1&lt;/R&gt;&lt;C&gt;1&lt;/C&gt;&lt;D xsi:type="xsd:double"&gt;1.1126499&lt;/D&gt;&lt;/FQL&gt;&lt;FQL&gt;&lt;Q&gt;EURUSD^FG_PRICE(43666)&lt;/Q&gt;&lt;R&gt;1&lt;/R&gt;&lt;C&gt;1&lt;/C&gt;&lt;D xsi:type="xsd:double"&gt;1.1222&lt;/D&gt;&lt;/FQL&gt;&lt;FQL&gt;&lt;Q&gt;EURUSD^FG_PRICE(43659)&lt;/Q&gt;&lt;R&gt;1&lt;/R&gt;&lt;C&gt;1&lt;/C&gt;&lt;D xsi:type="xsd:double"&gt;1.12525&lt;/D&gt;&lt;/FQL&gt;&lt;FQL&gt;&lt;Q&gt;GBPUSD^FG_PRICE(43652)&lt;/Q&gt;&lt;R&gt;1&lt;/R&gt;&lt;C&gt;1&lt;/C&gt;&lt;D xsi:type="xsd:double"&gt;1.2508&lt;/D&gt;&lt;/FQL&gt;&lt;FQL&gt;&lt;Q&gt;EURUSD^FG_PRICE(43647)&lt;/Q&gt;&lt;R&gt;1&lt;/R&gt;&lt;C&gt;1&lt;/C&gt;&lt;D xsi:type="xsd:double"&gt;1.13245&lt;/D&gt;&lt;/FQL&gt;&lt;FQL&gt;&lt;Q&gt;EURUSD^FG_PRICE(43643)&lt;/Q&gt;&lt;R&gt;1&lt;/R&gt;&lt;C&gt;1&lt;/C&gt;&lt;D xsi:type="xsd:double"&gt;1.13685&lt;/D&gt;&lt;/FQL&gt;&lt;FQL&gt;&lt;Q&gt;EURUSD^FG_PRICE(43639)&lt;/Q&gt;&lt;R&gt;1&lt;/R&gt;&lt;C&gt;1&lt;/C&gt;&lt;D xsi:type="xsd:double"&gt;1.1320499&lt;/D&gt;&lt;/FQL&gt;&lt;FQL&gt;&lt;Q&gt;EURUSD^FG_PRICE(43635)&lt;/Q&gt;&lt;R&gt;1&lt;/R&gt;&lt;C&gt;1&lt;/C&gt;&lt;D xsi:type="xsd:double"&gt;1.12155&lt;/D&gt;&lt;/FQL&gt;&lt;FQL&gt;&lt;Q&gt;EURUSD^FG_PRICE(43631)&lt;/Q&gt;&lt;R&gt;1&lt;/R&gt;&lt;C&gt;1&lt;/C&gt;&lt;D xsi:type="xsd:double"&gt;1.1225&lt;/D&gt;&lt;/FQL&gt;&lt;FQL&gt;&lt;Q&gt;EURUSD^FG_PRICE(43627)&lt;/Q&gt;&lt;R&gt;1&lt;/R&gt;&lt;C&gt;1&lt;/C&gt;&lt;D xsi:type="xsd:double"&gt;1.1314499&lt;/D&gt;&lt;/FQL&gt;&lt;FQL&gt;&lt;Q&gt;EURUSD^FG_PRICE(43623)&lt;/Q&gt;&lt;R&gt;1&lt;/R&gt;&lt;C&gt;1&lt;/C&gt;&lt;D xsi:type="xsd:double"&gt;1.1337501&lt;/D&gt;&lt;/FQL&gt;&lt;FQL&gt;&lt;Q&gt;EURUSD^FG_PRICE(43619)&lt;/Q&gt;&lt;R&gt;1&lt;/R&gt;&lt;C&gt;1&lt;/C&gt;&lt;D xsi:type="xsd:double"&gt;1.12015&lt;/D&gt;&lt;/FQL&gt;&lt;FQL&gt;&lt;Q&gt;EURUSD^FG_PRICE(43615)&lt;/Q&gt;&lt;R&gt;1&lt;/R&gt;&lt;C&gt;1&lt;/C&gt;&lt;D xsi:type="xsd:double"&gt;1.1126499&lt;/D&gt;&lt;/FQL&gt;&lt;FQL&gt;&lt;Q&gt;EURUSD^FG_PRICE(43611)&lt;/Q&gt;&lt;R&gt;1&lt;/R&gt;&lt;C&gt;1&lt;/C&gt;&lt;D xsi:type="xsd:double"&gt;1.1204001&lt;/D&gt;&lt;/FQL&gt;&lt;FQL&gt;&lt;Q&gt;EURUSD^FG_PRICE(43607)&lt;/Q&gt;&lt;R&gt;1&lt;/R&gt;&lt;C&gt;1&lt;/C&gt;&lt;D xsi:type="xsd:double"&gt;1.1154001&lt;/D&gt;&lt;/FQL&gt;&lt;FQL&gt;&lt;Q&gt;EURUSD^FG_PRICE(43603)&lt;/Q&gt;&lt;R&gt;1&lt;/R&gt;&lt;C&gt;1&lt;/C&gt;&lt;D xsi:type="xsd:double"&gt;1.11595&lt;/D&gt;&lt;/FQL&gt;&lt;FQL&gt;&lt;Q&gt;EURUSD^FG_PRICE(43599)&lt;/Q&gt;&lt;R&gt;1&lt;/R&gt;&lt;C&gt;1&lt;/C&gt;&lt;D xsi:type="xsd:double"&gt;1.1212&lt;/D&gt;&lt;/FQL&gt;&lt;FQL&gt;&lt;Q&gt;EURUSD^FG_PRICE(43595)&lt;/Q&gt;&lt;R&gt;1&lt;/R&gt;&lt;C&gt;1&lt;/C&gt;&lt;D xsi:type="xsd:double"&gt;1.1244&lt;/D&gt;&lt;/FQL&gt;&lt;FQL&gt;&lt;Q&gt;EURUSD^FG_PRICE(43591)&lt;/Q&gt;&lt;R&gt;1&lt;/R&gt;&lt;C&gt;1&lt;/C&gt;&lt;D xsi:type="xsd:double"&gt;1.1195&lt;/D&gt;&lt;/FQL&gt;&lt;FQL&gt;&lt;Q&gt;EURUSD^FG_PRICE(43587)&lt;/Q&gt;&lt;R&gt;1&lt;/R&gt;&lt;C&gt;1&lt;/C&gt;&lt;D xsi:type="xsd:double"&gt;1.11835&lt;/D&gt;&lt;/FQL&gt;&lt;FQL&gt;&lt;Q&gt;EURUSD^FG_PRICE(43583)&lt;/Q&gt;&lt;R&gt;1&lt;/R&gt;&lt;C&gt;1&lt;/C&gt;&lt;D xsi:type="xsd:double"&gt;1.11625&lt;/D&gt;&lt;/FQL&gt;&lt;FQL&gt;&lt;Q&gt;EURUSD^FG_PRICE(43579)&lt;/Q&gt;&lt;R&gt;1&lt;/R&gt;&lt;C&gt;1&lt;/C&gt;&lt;D xsi:type="xsd:double"&gt;1.12025&lt;/D&gt;&lt;/FQL&gt;&lt;FQL&gt;&lt;Q&gt;EURUSD^FG_PRICE(43575)&lt;/Q&gt;&lt;R&gt;1&lt;/R&gt;&lt;C&gt;1&lt;/C&gt;&lt;D xsi:type="xsd:double"&gt;1.1243681&lt;/D&gt;&lt;/FQL&gt;&lt;FQL&gt;&lt;Q&gt;EURUSD^FG_PRICE(43571)&lt;/Q&gt;&lt;R&gt;1&lt;/R&gt;&lt;C&gt;1&lt;/C&gt;&lt;D xsi:type="xsd:double"&gt;1.13&lt;/D&gt;&lt;/FQL&gt;&lt;FQL&gt;&lt;Q&gt;EURUSD^FG_PRICE(43567)&lt;/Q&gt;&lt;R&gt;1&lt;/R&gt;&lt;C&gt;1&lt;/C&gt;&lt;D xsi:type="xsd:double"&gt;1.1314&lt;/D&gt;&lt;/FQL&gt;&lt;FQL&gt;&lt;Q&gt;EURUSD^FG_PRICE(43563)&lt;/Q&gt;&lt;R&gt;1&lt;/R&gt;&lt;C&gt;1&lt;/C&gt;&lt;D xsi:type="xsd:double"&gt;1.12615&lt;/D&gt;&lt;/FQL&gt;&lt;FQL&gt;&lt;Q&gt;EURUSD^FG_PRICE(43559)&lt;/Q&gt;&lt;R&gt;1&lt;/R&gt;&lt;C&gt;1&lt;/C&gt;&lt;D xsi:type="xsd:double"&gt;1.12165&lt;/D&gt;&lt;/FQL&gt;&lt;FQL&gt;&lt;Q&gt;EURUSD^FG_PRICE(43555)&lt;/Q&gt;&lt;R&gt;1&lt;/R&gt;&lt;C&gt;1&lt;/C&gt;&lt;D xsi:type="xsd:double"&gt;1.1228501&lt;/D&gt;&lt;/FQL&gt;&lt;FQL&gt;&lt;Q&gt;EURUSD^FG_PRICE(43551)&lt;/Q&gt;&lt;R&gt;1&lt;/R&gt;&lt;C&gt;1&lt;/C&gt;&lt;D xsi:type="xsd:double"&gt;1.1252&lt;/D&gt;&lt;/FQL&gt;&lt;FQL&gt;&lt;Q&gt;EURUSD^FG_PRICE(43547)&lt;/Q&gt;&lt;R&gt;1&lt;/R&gt;&lt;C&gt;1&lt;/C&gt;&lt;D xsi:type="xsd:double"&gt;1.1283&lt;/D&gt;&lt;/FQL&gt;&lt;FQL&gt;&lt;Q&gt;EURUSD^FG_PRICE(43543)&lt;/Q&gt;&lt;R&gt;1&lt;/R&gt;&lt;C&gt;1&lt;/C&gt;&lt;D xsi:type="xsd:double"&gt;1.13465&lt;/D&gt;&lt;/FQL&gt;&lt;FQL&gt;&lt;Q&gt;EURUSD^FG_PRICE(43539)&lt;/Q&gt;&lt;R&gt;1&lt;/R&gt;&lt;C&gt;1&lt;/C&gt;&lt;D xsi:type="xsd:double"&gt;1.1326&lt;/D&gt;&lt;/FQL&gt;&lt;FQL&gt;&lt;Q&gt;EURUSD^FG_PRICE(43535)&lt;/Q&gt;&lt;R&gt;1&lt;/R&gt;&lt;C&gt;1&lt;/C&gt;&lt;D xsi:type="xsd:double"&gt;1.1223999&lt;/D&gt;&lt;/FQL&gt;&lt;FQL&gt;&lt;Q&gt;EURUSD^FG_PRICE(43531)&lt;/Q&gt;&lt;R&gt;1&lt;/R&gt;&lt;C&gt;1&lt;/C&gt;&lt;D xsi:type="xsd:double"&gt;1.12315&lt;/D&gt;&lt;/FQL&gt;&lt;FQL&gt;&lt;Q&gt;EURUSD^FG_PRICE(43527)&lt;/Q&gt;&lt;R&gt;1&lt;/R&gt;&lt;C&gt;1&lt;/C&gt;&lt;D xsi:type="xsd:double"&gt;1.13875&lt;/D&gt;&lt;/FQL&gt;&lt;FQL&gt;&lt;Q&gt;EURUSD^FG_PRICE(43523)&lt;/Q&gt;&lt;R&gt;1&lt;/R&gt;&lt;C&gt;1&lt;/C&gt;&lt;D xsi:type="xsd:double"&gt;1.13825&lt;/D&gt;&lt;/FQL&gt;&lt;FQL&gt;&lt;Q&gt;WIX-US^FE_ESTIMATE(EBITDA,MEAN,QTR_ROLL,2021/4F,NOW,,,'')&lt;/Q&gt;&lt;R&gt;1&lt;/R&gt;&lt;C&gt;1&lt;/C&gt;&lt;D xsi:type="xsd:double"&gt;-2.9668&lt;/D&gt;&lt;/FQL&gt;&lt;FQL&gt;&lt;Q&gt;EURUSD^FG_PRICE(44716)&lt;/Q&gt;&lt;R&gt;1&lt;/R&gt;&lt;C&gt;1&lt;/C&gt;&lt;D xsi:type="xsd:double"&gt;1.0722&lt;/D&gt;&lt;/FQL&gt;&lt;FQL&gt;&lt;Q&gt;EURUSD^FG_PRICE(44125)&lt;/Q&gt;&lt;R&gt;1&lt;/R&gt;&lt;C&gt;1&lt;/C&gt;&lt;D xsi:type="xsd:double"&gt;1.1874499&lt;/D&gt;&lt;/FQL&gt;&lt;FQL&gt;&lt;Q&gt;GBPUSD^FG_PRICE(44031)&lt;/Q&gt;&lt;R&gt;1&lt;/R&gt;&lt;C&gt;1&lt;/C&gt;&lt;D xsi:type="xsd:double"&gt;1.2535&lt;/D&gt;&lt;/FQL&gt;&lt;FQL&gt;&lt;Q&gt;EURUSD^FG_PRICE(43977)&lt;/Q&gt;&lt;R&gt;1&lt;/R&gt;&lt;C&gt;1&lt;/C&gt;&lt;D xsi:type="xsd:double"&gt;1.0984501&lt;/D&gt;&lt;/FQL&gt;&lt;FQL&gt;&lt;Q&gt;EURUSD^FG_PRICE(43927)&lt;/Q&gt;&lt;R&gt;1&lt;/R&gt;&lt;C&gt;1&lt;/C&gt;&lt;D xsi:type="xsd:double"&gt;1.07835&lt;/D&gt;&lt;/FQL&gt;&lt;FQL&gt;&lt;Q&gt;GBPUSD^FG_PRICE(43875)&lt;/Q&gt;&lt;R&gt;1&lt;/R&gt;&lt;C&gt;1&lt;/C&gt;&lt;D xsi:type="xsd:double"&gt;1.30145&lt;/D&gt;&lt;/FQL&gt;&lt;FQL&gt;&lt;Q&gt;GBPUSD^FG_PRICE(43840)&lt;/Q&gt;&lt;R&gt;1&lt;/R&gt;&lt;C&gt;1&lt;/C&gt;&lt;D xsi:type="xsd:double"&gt;1.30605&lt;/D&gt;&lt;/FQL&gt;&lt;FQL&gt;&lt;Q&gt;GBPUSD^FG_PRICE(43802)&lt;/Q&gt;&lt;R&gt;1&lt;/R&gt;&lt;C&gt;1&lt;/C&gt;&lt;D xsi:type="xsd:double"&gt;1.29935&lt;/D&gt;&lt;/FQL&gt;&lt;FQL&gt;&lt;Q&gt;GBPUSD^FG_PRICE(43770)&lt;/Q&gt;&lt;R&gt;1&lt;/R&gt;&lt;C&gt;1&lt;/C&gt;&lt;D xsi:type="xsd:double"&gt;1.2949&lt;/D&gt;&lt;/FQL&gt;&lt;FQL&gt;&lt;Q&gt;GBPUSD^FG_PRICE(43738)&lt;/Q&gt;&lt;R&gt;1&lt;/R&gt;&lt;C&gt;1&lt;/C&gt;&lt;D xsi:type="xsd:double"&gt;1.2323&lt;/D&gt;&lt;/FQL&gt;&lt;FQL&gt;&lt;Q&gt;GBPUSD^FG_PRICE(43702)&lt;/Q&gt;&lt;R&gt;1&lt;/R&gt;&lt;C&gt;1&lt;/C&gt;&lt;D xsi:type="xsd:double"&gt;1.22745&lt;/D&gt;&lt;/FQL&gt;&lt;FQL&gt;&lt;Q&gt;GBPUSD^FG_PRICE(43686)&lt;/Q&gt;&lt;R&gt;1&lt;/R&gt;&lt;C&gt;1&lt;/C&gt;&lt;D xsi:type="xsd:double"&gt;1.2078999&lt;/D&gt;&lt;/FQL&gt;&lt;FQL&gt;&lt;Q&gt;GBPUSD^FG_PRICE(43664)&lt;/Q&gt;&lt;R&gt;1&lt;/R&gt;&lt;C&gt;1&lt;/C&gt;&lt;D xsi:type="xsd:double"&gt;1.2484&lt;/D&gt;&lt;/FQL&gt;&lt;FQL&gt;&lt;Q&gt;GBPUSD^FG_PRICE(43646)&lt;/Q&gt;&lt;R&gt;1&lt;/R&gt;&lt;C&gt;1&lt;/C&gt;&lt;D xsi:type="xsd:double"&gt;1.2727&lt;/D&gt;&lt;/FQL&gt;&lt;FQL&gt;&lt;Q&gt;GBPUSD^FG_PRICE(43630)&lt;/Q&gt;&lt;R&gt;1&lt;/R&gt;&lt;C&gt;1&lt;/C&gt;&lt;D xsi:type="xsd:double"&gt;1.2608&lt;/D&gt;&lt;/FQL&gt;&lt;FQL&gt;&lt;Q&gt;GBPUSD^FG_PRICE(43618)&lt;/Q&gt;&lt;R&gt;1&lt;/R&gt;&lt;C&gt;1&lt;/C&gt;&lt;D xsi:type="xsd:double"&gt;1.2604&lt;/D&gt;&lt;/FQL&gt;&lt;FQL&gt;&lt;Q&gt;GBPUSD^FG_PRICE(43606)&lt;/Q&gt;&lt;R&gt;1&lt;/R&gt;&lt;C&gt;1&lt;/C&gt;&lt;D xsi:type="xsd:double"&gt;1.2784&lt;/D&gt;&lt;/FQL&gt;&lt;FQL&gt;&lt;Q&gt;GBPUSD^FG_PRICE(43594)&lt;/Q&gt;&lt;R&gt;1&lt;/R&gt;&lt;C&gt;1&lt;/C&gt;&lt;D xsi:type="xsd:double"&gt;1.3019999&lt;/D&gt;&lt;/FQL&gt;&lt;FQL&gt;&lt;Q&gt;GBPUSD^FG_PRICE(43582)&lt;/Q&gt;&lt;R&gt;1&lt;/R&gt;&lt;C&gt;1&lt;/C&gt;&lt;D xsi:type="xsd:double"&gt;1.29355&lt;/D&gt;&lt;/FQL&gt;&lt;FQL&gt;&lt;Q&gt;GBPUSD^FG_PRICE(43570)&lt;/Q&gt;&lt;R&gt;1&lt;/R&gt;&lt;C&gt;1&lt;/C&gt;&lt;D xsi:type="xsd:double"&gt;1.3115001&lt;/D&gt;&lt;/FQL&gt;&lt;FQL&gt;&lt;Q&gt;GBPUSD^FG_PRICE(43558)&lt;/Q&gt;&lt;R&gt;1&lt;/R&gt;&lt;C&gt;1&lt;/C&gt;&lt;D xsi:type="xsd:double"&gt;1.3159&lt;/D&gt;&lt;/FQL&gt;&lt;FQL&gt;&lt;Q&gt;GBPUSD^FG_PRICE(43550)&lt;/Q&gt;&lt;R&gt;1&lt;/R&gt;&lt;C&gt;1&lt;/C&gt;&lt;D xsi:type="xsd:double"&gt;1.3213&lt;/D&gt;&lt;/FQL&gt;&lt;FQL&gt;&lt;Q&gt;GBPUSD^FG_PRICE(43538)&lt;/Q&gt;&lt;R&gt;1&lt;/R&gt;&lt;C&gt;1&lt;/C&gt;&lt;D xsi:type="xsd:double"&gt;1.3283&lt;/D&gt;&lt;/FQL&gt;&lt;FQL&gt;&lt;Q&gt;GBPUSD^FG_PRICE(43522)&lt;/Q&gt;&lt;R&gt;1&lt;/R&gt;&lt;C&gt;1&lt;/C&gt;&lt;D xsi:type="xsd:double"&gt;1.3239001&lt;/D&gt;&lt;/FQL&gt;&lt;FQL&gt;&lt;Q&gt;GBPUSD^FG_PRICE(43510)&lt;/Q&gt;&lt;R&gt;1&lt;/R&gt;&lt;C&gt;1&lt;/C&gt;&lt;D xsi:type="xsd:double"&gt;1.2780501&lt;/D&gt;&lt;/FQL&gt;&lt;FQL&gt;&lt;Q&gt;GBPUSD^FG_PRICE(43498)&lt;/Q&gt;&lt;R&gt;1&lt;/R&gt;&lt;C&gt;1&lt;/C&gt;&lt;D xsi:type="xsd:double"&gt;1.3093001&lt;/D&gt;&lt;/FQL&gt;&lt;FQL&gt;&lt;Q&gt;GBPUSD^FG_PRICE(43490)&lt;/Q&gt;&lt;R&gt;1&lt;/R&gt;&lt;C&gt;1&lt;/C&gt;&lt;D xsi:type="xsd:double"&gt;1.31695&lt;/D&gt;&lt;/FQL&gt;&lt;FQL&gt;&lt;Q&gt;GBPUSD^FG_PRICE(43478)&lt;/Q&gt;&lt;R&gt;1&lt;/R&gt;&lt;C&gt;1&lt;/C&gt;&lt;D xsi:type="xsd:double"&gt;1.28225&lt;/D&gt;&lt;/FQL&gt;&lt;FQL&gt;&lt;Q&gt;GBPUSD^FG_PRICE(43466)&lt;/Q&gt;&lt;R&gt;1&lt;/R&gt;&lt;C&gt;1&lt;/C&gt;&lt;D xsi:type="xsd:double"&gt;1.2736&lt;/D&gt;&lt;/FQL&gt;&lt;FQL&gt;&lt;Q&gt;EURUSD^FG_PRICE(43501)&lt;/Q&gt;&lt;R&gt;1&lt;/R&gt;&lt;C&gt;1&lt;/C&gt;&lt;D xsi:type="xsd:double"&gt;1.141&lt;/D&gt;&lt;/FQL&gt;&lt;FQL&gt;&lt;Q&gt;EURUSD^FG_PRICE(43485)&lt;/Q&gt;&lt;R&gt;1&lt;/R&gt;&lt;C&gt;1&lt;/C&gt;&lt;D xsi:type="xsd:double"&gt;1.13665&lt;/D&gt;&lt;/FQL&gt;&lt;FQL&gt;&lt;Q&gt;WIX-US^FE_ESTIMATE(SALES,MEAN,QTR_ROLL,2022/2F,NOW,,,'')&lt;/Q&gt;&lt;R&gt;1&lt;/R&gt;&lt;C&gt;1&lt;/C&gt;&lt;D xsi:type="xsd:double"&gt;345.224&lt;/D&gt;&lt;/FQL&gt;&lt;FQL&gt;&lt;Q&gt;GBPUSD^FG_PRICE(44696)&lt;/Q&gt;&lt;R&gt;1&lt;/R&gt;&lt;C&gt;1&lt;/C&gt;&lt;D xsi:type="xsd:double"&gt;1.22205&lt;/D&gt;&lt;/FQL&gt;&lt;FQL&gt;&lt;Q&gt;EURUSD^FG_PRICE(44467)&lt;/Q&gt;&lt;R&gt;1&lt;/R&gt;&lt;C&gt;1&lt;/C&gt;&lt;D xsi:type="xsd:double"&gt;1.16735&lt;/D&gt;&lt;/FQL&gt;&lt;FQL&gt;&lt;Q&gt;GBPUSD^FG_PRICE(44316)&lt;/Q&gt;&lt;R&gt;1&lt;/R&gt;&lt;C&gt;1&lt;/C&gt;&lt;D xsi:type="xsd:double"&gt;1.3845501&lt;/D&gt;&lt;/FQL&gt;&lt;FQL&gt;&lt;Q&gt;GBPUSD^FG_PRICE(44176)&lt;/Q&gt;&lt;R&gt;1&lt;/R&gt;&lt;C&gt;1&lt;/C&gt;&lt;D xsi:type="xsd:double"&gt;1.3211&lt;/D&gt;&lt;/FQL&gt;&lt;FQL&gt;&lt;Q&gt;GBPUSD^FG_PRICE(44087)&lt;/Q&gt;&lt;R&gt;1&lt;/R&gt;&lt;C&gt;1&lt;/C&gt;&lt;D xsi:type="xsd:double"&gt;1.2783&lt;/D&gt;&lt;/FQL&gt;&lt;FQL&gt;&lt;Q&gt;GBPUSD^FG_PRICE(43987)&lt;/Q&gt;&lt;R&gt;1&lt;/R&gt;&lt;C&gt;1&lt;/C&gt;&lt;D xsi:type="xsd:double"&gt;1.27255&lt;/D&gt;&lt;/FQL&gt;&lt;FQL&gt;&lt;Q&gt;EURUSD^FG_PRICE(43917)&lt;/Q&gt;&lt;R&gt;1&lt;/R&gt;&lt;C&gt;1&lt;/C&gt;&lt;D xsi:type="xsd:double"&gt;1.1058&lt;/D&gt;&lt;/FQL&gt;&lt;FQL&gt;&lt;Q&gt;EURUSD^FG_PRICE(43833)&lt;/Q&gt;&lt;R&gt;1&lt;/R&gt;&lt;C&gt;1&lt;/C&gt;&lt;D xsi:type="xsd:double"&gt;1.1165&lt;/D&gt;&lt;/FQL&gt;&lt;FQL&gt;&lt;Q&gt;GBPUSD^FG_PRICE(43786)&lt;/Q&gt;&lt;R&gt;1&lt;/R&gt;&lt;C&gt;1&lt;/C&gt;&lt;D xsi:type="xsd:double"&gt;1.29035&lt;/D&gt;&lt;/FQL&gt;&lt;FQL&gt;&lt;Q&gt;GBPUSD^FG_PRICE(43682)&lt;/Q&gt;&lt;R&gt;1&lt;/R&gt;&lt;C&gt;1&lt;/C&gt;&lt;D xsi:type="xsd:double"&gt;1.214&lt;/D&gt;&lt;/FQL&gt;&lt;FQL&gt;&lt;Q&gt;GBPUSD^FG_PRICE(43640)&lt;/Q&gt;&lt;R&gt;1&lt;/R&gt;&lt;C&gt;1&lt;/C&gt;&lt;D xsi:type="xsd:double"&gt;1.2724999&lt;/D&gt;&lt;/FQL&gt;&lt;FQL&gt;&lt;Q&gt;GBPUSD^FG_PRICE(43624)&lt;/Q&gt;&lt;R&gt;1&lt;/R&gt;&lt;C&gt;1&lt;/C&gt;&lt;D xsi:type="xsd:double"&gt;1.2757001&lt;/D&gt;&lt;/FQL&gt;&lt;FQL&gt;&lt;Q&gt;GBPUSD^FG_PRICE(43608)&lt;/Q&gt;&lt;R&gt;1&lt;/R&gt;&lt;C&gt;1&lt;/C&gt;&lt;D xsi:type="xsd:double"&gt;1.2669001&lt;/D&gt;&lt;/FQL&gt;&lt;FQL&gt;&lt;Q&gt;GBPUSD^FG_PRICE(43564)&lt;/Q&gt;&lt;R&gt;1&lt;/R&gt;&lt;C&gt;1&lt;/C&gt;&lt;D xsi:type="xsd:double"&gt;1.3046501&lt;/D&gt;&lt;/FQL&gt;&lt;FQL&gt;&lt;Q&gt;GBPUSD^FG_PRICE(43540)&lt;/Q&gt;&lt;R&gt;1&lt;/R&gt;&lt;C&gt;1&lt;/C&gt;&lt;D xsi:type="xsd:double"&gt;1.3276501&lt;/D&gt;&lt;/FQL&gt;&lt;FQL&gt;&lt;Q&gt;GBPUSD^FG_PRICE(43524)&lt;/Q&gt;&lt;R&gt;1&lt;/R&gt;&lt;C&gt;1&lt;/C&gt;&lt;D xsi:type="xsd:double"&gt;1.3300999&lt;/D&gt;&lt;/FQL&gt;&lt;FQL&gt;&lt;Q&gt;GBPUSD^FG_PRICE(43504)&lt;/Q&gt;&lt;R&gt;1&lt;/R&gt;&lt;C&gt;1&lt;/C&gt;&lt;D xsi:type="xsd:double"&gt;1.2944001&lt;/D&gt;&lt;/FQL&gt;&lt;FQL&gt;&lt;Q&gt;GBPUSD^FG_PRICE(43484)&lt;/Q&gt;&lt;R&gt;1&lt;/R&gt;&lt;C&gt;1&lt;/C&gt;&lt;D xsi:type="xsd:double"&gt;1.2906001&lt;/D&gt;&lt;/FQL&gt;&lt;FQL&gt;&lt;Q&gt;WIX-US^FE_ESTIMATE(SALES,MEAN,ANN_ROLL,2021,NOW,,,'')&lt;/Q&gt;&lt;R&gt;1&lt;/R&gt;&lt;C&gt;1&lt;/C&gt;&lt;D xsi:type="xsd:double"&gt;1269.657&lt;/D&gt;&lt;/FQL&gt;&lt;FQL&gt;&lt;Q&gt;EURUSD^FG_PRICE(44803)&lt;/Q&gt;&lt;R&gt;1&lt;/R&gt;&lt;C&gt;1&lt;/C&gt;&lt;D xsi:type="xsd:double"&gt;0.99885&lt;/D&gt;&lt;/FQL&gt;&lt;FQL&gt;&lt;Q&gt;EURUSD^FG_PRICE(44757)&lt;/Q&gt;&lt;R&gt;1&lt;/R&gt;&lt;C&gt;1&lt;/C&gt;&lt;D xsi:type="xsd:double"&gt;1.0079501&lt;/D&gt;&lt;/FQL&gt;&lt;FQL&gt;&lt;Q&gt;EURUSD^FG_PRICE(44713)&lt;/Q&gt;&lt;R&gt;1&lt;/R&gt;&lt;C&gt;1&lt;/C&gt;&lt;D xsi:type="xsd:double"&gt;1.06675&lt;/D&gt;&lt;/FQL&gt;&lt;FQL&gt;&lt;Q&gt;GBPUSD^FG_PRICE(44664)&lt;/Q&gt;&lt;R&gt;1&lt;/R&gt;&lt;C&gt;1&lt;/C&gt;&lt;D xsi:type="xsd:double"&gt;1.30385&lt;/D&gt;&lt;/FQL&gt;&lt;FQL&gt;&lt;Q&gt;EURUSD^FG_PRICE(44620)&lt;/Q&gt;&lt;R&gt;1&lt;/R&gt;&lt;C&gt;1&lt;/C&gt;&lt;D xsi:type="xsd:double"&gt;1.1232&lt;/D&gt;&lt;/FQL&gt;&lt;FQL&gt;&lt;Q&gt;EURUSD^FG_PRICE(44579)&lt;/Q&gt;&lt;R&gt;1&lt;/R&gt;&lt;C&gt;1&lt;/C&gt;&lt;D xsi:type="xsd:double"&gt;1.1343&lt;/D&gt;&lt;/FQL&gt;&lt;FQL&gt;&lt;Q&gt;EURUSD^FG_PRICE(44528)&lt;/Q&gt;&lt;R&gt;1&lt;/R&gt;&lt;C&gt;1&lt;/C&gt;&lt;D xsi:type="xsd:double"&gt;1.1315501&lt;/D&gt;&lt;/FQL&gt;&lt;FQL&gt;&lt;Q&gt;GBPUSD^FG_PRICE(44483)&lt;/Q&gt;&lt;R&gt;1&lt;/R&gt;&lt;C&gt;1&lt;/C&gt;&lt;D xsi:type="xsd:double"&gt;1.3682001&lt;/D&gt;&lt;/FQL&gt;&lt;FQL&gt;&lt;Q&gt;GBPUSD^FG_PRICE(44440)&lt;/Q&gt;&lt;R&gt;1&lt;/R&gt;&lt;C&gt;1&lt;/C&gt;&lt;D xsi:type="xsd:double"&gt;1.3786&lt;/D&gt;&lt;/FQL&gt;&lt;FQL&gt;&lt;Q&gt;EURUSD^FG_PRICE(44395)&lt;/Q&gt;&lt;R&gt;1&lt;/R&gt;&lt;C&gt;1&lt;/C&gt;&lt;D xsi:type="xsd:double"&gt;1.1809&lt;/D&gt;&lt;/FQL&gt;&lt;FQL&gt;&lt;Q&gt;EURUSD^FG_PRICE(44361)&lt;/Q&gt;&lt;R&gt;1&lt;/R&gt;&lt;C&gt;1&lt;/C&gt;&lt;D xsi:type="xsd:double"&gt;1.21245&lt;/D&gt;&lt;/FQL&gt;&lt;FQL&gt;&lt;Q&gt;EURUSD^FG_PRICE(44329)&lt;/Q&gt;&lt;R&gt;1&lt;/R&gt;&lt;C&gt;1&lt;/C&gt;&lt;D xsi:type="xsd:double"&gt;1.2074001&lt;/D&gt;&lt;/FQL&gt;&lt;FQL&gt;&lt;Q&gt;EURUSD^FG_PRICE(44292)&lt;/Q&gt;&lt;R&gt;1&lt;/R&gt;&lt;C&gt;1&lt;/C&gt;&lt;D xsi:type="xsd:double"&gt;1.1839&lt;/D&gt;&lt;/FQL&gt;&lt;FQL&gt;&lt;Q&gt;GBPUSD^FG_PRICE(44259)&lt;/Q&gt;&lt;R&gt;1&lt;/R&gt;&lt;C&gt;1&lt;/C&gt;&lt;D xsi:type="xsd:double"&gt;1.3991001&lt;/D&gt;&lt;/FQL&gt;&lt;FQL&gt;&lt;Q&gt;GBPUSD^FG_PRICE(44227)&lt;/Q&gt;&lt;R&gt;1&lt;/R&gt;&lt;C&gt;1&lt;/C&gt;&lt;D xsi:type="xsd:double"&gt;1.3731999&lt;/D&gt;&lt;/FQL&gt;&lt;FQL&gt;&lt;Q&gt;EURUSD^FG_PRICE(44189)&lt;/Q&gt;&lt;R&gt;1&lt;/R&gt;&lt;C&gt;1&lt;/C&gt;&lt;D xsi:type="xsd:double"&gt;1.21835&lt;/D&gt;&lt;/FQL&gt;&lt;FQL&gt;&lt;Q&gt;GBPUSD^FG_PRICE(44156)&lt;/Q&gt;&lt;R&gt;1&lt;/R&gt;&lt;C&gt;1&lt;/C&gt;&lt;D xsi:type="xsd:double"&gt;1.3287001&lt;/D&gt;&lt;/FQL&gt;&lt;FQL&gt;&lt;Q&gt;GBPUSD^FG_PRICE(44124)&lt;/Q&gt;&lt;R&gt;1&lt;/R&gt;&lt;C&gt;1&lt;/C&gt;&lt;D xsi:type="xsd:double"&gt;1.29625&lt;/D&gt;&lt;/FQL&gt;&lt;FQL&gt;&lt;Q&gt;EURUSD^FG_PRICE(44096)&lt;/Q&gt;&lt;R&gt;1&lt;/R&gt;&lt;C&gt;1&lt;/C&gt;&lt;D xsi:type="xsd:double"&gt;1.17055&lt;/D&gt;&lt;/FQL&gt;&lt;FQL&gt;&lt;Q&gt;EURUSD^FG_PRICE(44073)&lt;/Q&gt;&lt;R&gt;1&lt;/R&gt;&lt;C&gt;1&lt;/C&gt;&lt;D xsi:type="xsd:double"&gt;1.1898&lt;/D&gt;&lt;/FQL&gt;&lt;FQL&gt;&lt;Q&gt;EURUSD^FG_PRICE(44052)&lt;/Q&gt;&lt;R&gt;1&lt;/R&gt;&lt;C&gt;1&lt;/C&gt;&lt;D xsi:type="xsd:double"&gt;1.1788499&lt;/D&gt;&lt;/FQL&gt;&lt;FQL&gt;&lt;Q&gt;EURUSD^FG_PRICE(44028)&lt;/Q&gt;&lt;R&gt;1&lt;/R&gt;&lt;C&gt;1&lt;/C&gt;&lt;D xsi:type="xsd:double"&gt;1.14315&lt;/D&gt;&lt;/FQL&gt;&lt;FQL&gt;&lt;Q&gt;EURUSD^FG_PRICE(44009)&lt;/Q&gt;&lt;R&gt;1&lt;/R&gt;&lt;C&gt;1&lt;/C&gt;&lt;D xsi:type="xsd:double"&gt;1.1201999&lt;/D&gt;&lt;/FQL&gt;&lt;FQL&gt;&lt;Q&gt;EURUSD^FG_PRICE(43993)&lt;/Q&gt;&lt;R&gt;1&lt;/R&gt;&lt;C&gt;1&lt;/C&gt;&lt;D xsi:type="xsd:double"&gt;1.1381&lt;/D&gt;&lt;/FQL&gt;&lt;FQL&gt;&lt;Q&gt;GBPUSD^FG_PRICE(43975)&lt;/Q&gt;&lt;R&gt;1&lt;/R&gt;&lt;C&gt;1&lt;/C&gt;&lt;D xsi:type="xsd:double"&gt;1.21895&lt;/D&gt;&lt;/FQL&gt;&lt;FQL&gt;&lt;Q&gt;EURUSD^FG_PRICE(43959)&lt;/Q&gt;&lt;R&gt;1&lt;/R&gt;&lt;C&gt;1&lt;/C&gt;&lt;D xsi:type="xsd:double"&gt;1.08725&lt;/D&gt;&lt;/FQL&gt;&lt;FQL&gt;&lt;Q&gt;EURUSD^FG_PRICE(43943)&lt;/Q&gt;&lt;R&gt;1&lt;/R&gt;&lt;C&gt;1&lt;/C&gt;&lt;D xsi:type="xsd:double"&gt;1.0827501&lt;/D&gt;&lt;/FQL&gt;&lt;FQL&gt;&lt;Q&gt;EURUSD^FG_PRICE(43924)&lt;/Q&gt;&lt;R&gt;1&lt;/R&gt;&lt;C&gt;1&lt;/C&gt;&lt;D xsi:type="xsd:double"&gt;1.07985&lt;/D&gt;&lt;/FQL&gt;&lt;FQL&gt;&lt;Q&gt;GBPUSD^FG_PRICE(43907)&lt;/Q&gt;&lt;R&gt;1&lt;/R&gt;&lt;C&gt;1&lt;/C&gt;&lt;D xsi:type="xsd:double"&gt;1.2011&lt;/D&gt;&lt;/FQL&gt;&lt;FQL&gt;&lt;Q&gt;GBPUSD^FG_PRICE(43891)&lt;/Q&gt;&lt;R&gt;1&lt;/R&gt;&lt;C&gt;1&lt;/C&gt;&lt;D xsi:type="xsd:double"&gt;1.2773&lt;/D&gt;&lt;/FQL&gt;&lt;FQL&gt;&lt;Q&gt;GBPUSD^FG_PRICE(43872)&lt;/Q&gt;&lt;R&gt;1&lt;/R&gt;&lt;C&gt;1&lt;/C&gt;&lt;D xsi:type="xsd:double"&gt;1.2944001&lt;/D&gt;&lt;/FQL&gt;&lt;FQL&gt;&lt;Q&gt;EURUSD^FG_PRICE(43856)&lt;/Q&gt;&lt;R&gt;1&lt;/R&gt;&lt;C&gt;1&lt;/C&gt;&lt;D xsi:type="xsd:double"&gt;1.1025001&lt;/D&gt;&lt;/FQL&gt;&lt;FQL&gt;&lt;Q&gt;EURUSD^FG_PRICE(43840)&lt;/Q&gt;&lt;R&gt;1&lt;/R&gt;&lt;C&gt;1&lt;/C&gt;&lt;D xsi:type="xsd:double"&gt;1.1113499&lt;/D&gt;&lt;/FQL&gt;&lt;FQL&gt;&lt;Q&gt;GBPUSD^FG_PRICE(43823)&lt;/Q&gt;&lt;R&gt;1&lt;/R&gt;&lt;C&gt;1&lt;/C&gt;&lt;D xsi:type="xsd:double"&gt;1.2962999&lt;/D&gt;&lt;/FQL&gt;&lt;FQL&gt;&lt;Q&gt;EURUSD^FG_PRICE(43812)&lt;/Q&gt;&lt;R&gt;1&lt;/R&gt;&lt;C&gt;1&lt;/C&gt;&lt;D xsi:type="xsd:double"&gt;1.11365&lt;/D&gt;&lt;/FQL&gt;&lt;FQL&gt;&lt;Q&gt;EURUSD^FG_PRICE(43802)&lt;/Q&gt;&lt;R&gt;1&lt;/R&gt;&lt;C&gt;1&lt;/C&gt;&lt;D xsi:type="xsd:double"&gt;1.10835&lt;/D&gt;&lt;/FQL&gt;&lt;FQL&gt;&lt;Q&gt;GBPUSD^FG_PRICE(43790)&lt;/Q&gt;&lt;R&gt;1&lt;/R&gt;&lt;C&gt;1&lt;/C&gt;&lt;D xsi:type="xsd:double"&gt;1.2923499&lt;/D&gt;&lt;/FQL&gt;&lt;FQL&gt;&lt;Q&gt;EURUSD^FG_PRICE(43780)&lt;/Q&gt;&lt;R&gt;1&lt;/R&gt;&lt;C&gt;1&lt;/C&gt;&lt;D xsi:type="xsd:double"&gt;1.1034501&lt;/D&gt;&lt;/FQL&gt;&lt;FQL&gt;&lt;Q&gt;EURUSD^FG_PRICE(43770)&lt;/Q&gt;&lt;R&gt;1&lt;/R&gt;&lt;C&gt;1&lt;/C&gt;&lt;D xsi:type="xsd:double"&gt;1.11695&lt;/D&gt;&lt;/FQL&gt;&lt;FQL&gt;&lt;Q&gt;GBPUSD^FG_PRICE(43758)&lt;/Q&gt;&lt;R&gt;1&lt;/R&gt;&lt;C&gt;1&lt;/C&gt;&lt;D xsi:type="xsd:double"&gt;1.29005&lt;/D&gt;&lt;/FQL&gt;&lt;FQL&gt;&lt;Q&gt;EURUSD^FG_PRICE(43748)&lt;/Q&gt;&lt;R&gt;1&lt;/R&gt;&lt;C&gt;1&lt;/C&gt;&lt;D xsi:type="xsd:double"&gt;1.10135&lt;/D&gt;&lt;/FQL&gt;&lt;FQL&gt;&lt;Q&gt;EURUSD^FG_PRICE(43738)&lt;/Q&gt;&lt;R&gt;1&lt;/R&gt;&lt;C&gt;1&lt;/C&gt;&lt;D xsi:type="xsd:double"&gt;1.0902&lt;/D&gt;&lt;/FQL&gt;&lt;FQL&gt;&lt;Q&gt;GBPUSD^FG_PRICE(43726)&lt;/Q&gt;&lt;R&gt;1&lt;/R&gt;&lt;C&gt;1&lt;/C&gt;&lt;D xsi:type="xsd:double"&gt;1.24835&lt;/D&gt;&lt;/FQL&gt;&lt;FQL&gt;&lt;Q&gt;EURUSD^FG_PRICE(43718)&lt;/Q&gt;&lt;R&gt;1&lt;/R&gt;&lt;C&gt;1&lt;/C&gt;&lt;D xsi:type="xsd:double"&gt;1.1041&lt;/D&gt;&lt;/FQL&gt;&lt;FQL&gt;&lt;Q&gt;EURUSD^FG_PRICE(43710)&lt;/Q&gt;&lt;R&gt;1&lt;/R&gt;&lt;C&gt;1&lt;/C&gt;&lt;D xsi:type="xsd:double"&gt;1.09675&lt;/D&gt;&lt;/FQL&gt;&lt;FQL&gt;&lt;Q&gt;EURUSD^FG_PRICE(43702)&lt;/Q&gt;&lt;R&gt;1&lt;/R&gt;&lt;C&gt;1&lt;/C&gt;&lt;D xsi:type="xsd:double"&gt;1.11085&lt;/D&gt;&lt;/FQL&gt;&lt;FQL&gt;&lt;Q&gt;EURUSD^FG_PRICE(43694)&lt;/Q&gt;&lt;R&gt;1&lt;/R&gt;&lt;C&gt;1&lt;/C&gt;&lt;D xsi:type="xsd:double"&gt;1.11045&lt;/D&gt;&lt;/FQL&gt;&lt;FQL&gt;&lt;Q&gt;EURUSD^FG_PRICE(43686)&lt;/Q&gt;&lt;R&gt;1&lt;/R&gt;&lt;C&gt;1&lt;/C&gt;&lt;D xsi:type="xsd:double"&gt;1.12015&lt;/D&gt;&lt;/FQL&gt;&lt;FQL&gt;&lt;Q&gt;EURUSD^FG_PRICE(43678)&lt;/Q&gt;&lt;R&gt;1&lt;/R&gt;&lt;C&gt;1&lt;/C&gt;&lt;D xsi:type="xsd:double"&gt;1.10585&lt;/D&gt;&lt;/FQL&gt;&lt;FQL&gt;&lt;Q&gt;GBPUSD^FG_PRICE(43670)&lt;/Q&gt;&lt;R&gt;1&lt;/R&gt;&lt;C&gt;1&lt;/C&gt;&lt;D xsi:type="xsd:double"&gt;1.2499499&lt;/D&gt;&lt;/FQL&gt;&lt;FQL&gt;&lt;Q&gt;EURUSD^FG_PRICE(43664)&lt;/Q&gt;&lt;R&gt;1&lt;/R&gt;&lt;C&gt;1&lt;/C&gt;&lt;D xsi:type="xsd:double"&gt;1.12185&lt;/D&gt;&lt;/FQL&gt;&lt;FQL&gt;&lt;Q&gt;EURUSD^FG_PRICE(43658)&lt;/Q&gt;&lt;R&gt;1&lt;/R&gt;&lt;C&gt;1&lt;/C&gt;&lt;D xsi:type="xsd:double"&gt;1.12525&lt;/D&gt;&lt;/FQL&gt;&lt;FQL&gt;&lt;Q&gt;EURUSD^FG_PRICE(43651)&lt;/Q&gt;&lt;R&gt;1&lt;/R&gt;&lt;C&gt;1&lt;/C&gt;&lt;D xsi:type="xsd:double"&gt;1.1222501&lt;/D&gt;&lt;/FQL&gt;&lt;FQL&gt;&lt;Q&gt;EURUSD^FG_PRICE(43646)&lt;/Q&gt;&lt;R&gt;1&lt;/R&gt;&lt;C&gt;1&lt;/C&gt;&lt;D xsi:type="xsd:double"&gt;1.1388&lt;/D&gt;&lt;/FQL&gt;&lt;FQL&gt;&lt;Q&gt;EURUSD^FG_PRICE(43642)&lt;/Q&gt;&lt;R&gt;1&lt;/R&gt;&lt;C&gt;1&lt;/C&gt;&lt;D xsi:type="xsd:double"&gt;1.13765&lt;/D&gt;&lt;/FQL&gt;&lt;FQL&gt;&lt;Q&gt;EURUSD^FG_PRICE(43638)&lt;/Q&gt;&lt;R&gt;1&lt;/R&gt;&lt;C&gt;1&lt;/C&gt;&lt;D xsi:type="xsd:double"&gt;1.1320499&lt;/D&gt;&lt;/FQL&gt;&lt;FQL&gt;&lt;Q&gt;EURUSD^FG_PRICE(43634)&lt;/Q&gt;&lt;R&gt;1&lt;/R&gt;&lt;C&gt;1&lt;/C&gt;&lt;D xsi:type="xsd:double"&gt;1.11855&lt;/D&gt;&lt;/FQL&gt;&lt;FQL&gt;&lt;Q&gt;EURUSD^FG_PRICE(43630)&lt;/Q&gt;&lt;R&gt;1&lt;/R&gt;&lt;C&gt;1&lt;/C&gt;&lt;D xsi:type="xsd:double"&gt;1.1225&lt;/D&gt;&lt;/FQL&gt;&lt;FQL&gt;&lt;Q&gt;EURUSD^FG_PRICE(43626)&lt;/Q&gt;&lt;R&gt;1&lt;/R&gt;&lt;C&gt;1&lt;/C&gt;&lt;D xsi:type="xsd:double"&gt;1.1315&lt;/D&gt;&lt;/FQL&gt;&lt;FQL&gt;&lt;Q&gt;EURUSD^FG_PRICE(43622)&lt;/Q&gt;&lt;R&gt;1&lt;/R&gt;&lt;C&gt;1&lt;/C&gt;&lt;D xsi:type="xsd:double"&gt;1.12825&lt;/D&gt;&lt;/FQL&gt;&lt;FQL&gt;&lt;Q&gt;EURUSD^FG_PRICE(43618)&lt;/Q&gt;&lt;R&gt;1&lt;/R&gt;&lt;C&gt;1&lt;/C&gt;&lt;D xsi:type="xsd:double"&gt;1.1143501&lt;/D&gt;&lt;/FQL&gt;&lt;FQL&gt;&lt;Q&gt;EURUSD^FG_PRICE(43614)&lt;/Q&gt;&lt;R&gt;1&lt;/R&gt;&lt;C&gt;1&lt;/C&gt;&lt;D xsi:type="xsd:double"&gt;1.1142501&lt;/D&gt;&lt;/FQL&gt;&lt;FQL&gt;&lt;Q&gt;EURUSD^FG_PRICE(43610)&lt;/Q&gt;&lt;R&gt;1&lt;/R&gt;&lt;C&gt;1&lt;/C&gt;&lt;D xsi:type="xsd:double"&gt;1.1204001&lt;/D&gt;&lt;/FQL&gt;&lt;FQL&gt;&lt;Q&gt;EURUSD^FG_PRICE(43606)&lt;/Q&gt;&lt;R&gt;1&lt;/R&gt;&lt;C&gt;1&lt;/C&gt;&lt;D xsi:type="xsd:double"&gt;1.11815&lt;/D&gt;&lt;/FQL&gt;&lt;FQL&gt;&lt;Q&gt;EURUSD^FG_PRICE(43602)&lt;/Q&gt;&lt;R&gt;1&lt;/R&gt;&lt;C&gt;1&lt;/C&gt;&lt;D xsi:type="xsd:double"&gt;1.11595&lt;/D&gt;&lt;/FQL&gt;&lt;FQL&gt;&lt;Q&gt;EURUSD^FG_PRICE(43598)&lt;/Q&gt;&lt;R&gt;1&lt;/R&gt;&lt;C&gt;1&lt;/C&gt;&lt;D xsi:type="xsd:double"&gt;1.1243&lt;/D&gt;&lt;/FQL&gt;&lt;FQL&gt;&lt;Q&gt;EURUSD^FG_PRICE(43594)&lt;/Q&gt;&lt;R&gt;1&lt;/R&gt;&lt;C&gt;1&lt;/C&gt;&lt;D xsi:type="xsd:double"&gt;1.1229501&lt;/D&gt;&lt;/FQL&gt;&lt;FQL&gt;&lt;Q&gt;EURUSD^FG_PRICE(43590)&lt;/Q&gt;&lt;R&gt;1&lt;/R&gt;&lt;C&gt;1&lt;/C&gt;&lt;D xsi:type="xsd:double"&gt;1.11875&lt;/D&gt;&lt;/FQL&gt;&lt;FQL&gt;&lt;Q&gt;EURUSD^FG_PRICE(43586)&lt;/Q&gt;&lt;R&gt;1&lt;/R&gt;&lt;C&gt;1&lt;/C&gt;&lt;D xsi:type="xsd:double"&gt;1.12405&lt;/D&gt;&lt;/FQL&gt;&lt;FQL&gt;&lt;Q&gt;EURUSD^FG_PRICE(43582)&lt;/Q&gt;&lt;R&gt;1&lt;/R&gt;&lt;C&gt;1&lt;/C&gt;&lt;D xsi:type="xsd:double"&gt;1.11625&lt;/D&gt;&lt;/FQL&gt;&lt;FQL&gt;&lt;Q&gt;EURUSD^FG_PRICE(43578)&lt;/Q&gt;&lt;R&gt;1&lt;/R&gt;&lt;C&gt;1&lt;/C&gt;&lt;D xsi:type="xsd:double"&gt;1.1207&lt;/D&gt;&lt;/FQL&gt;&lt;FQL&gt;&lt;Q&gt;EURUSD^FG_PRICE(43574)&lt;/Q&gt;&lt;R&gt;1&lt;/R&gt;&lt;C&gt;1&lt;/C&gt;&lt;D xsi:type="xsd:double"&gt;1.1243681&lt;/D&gt;&lt;/FQL&gt;&lt;FQL&gt;&lt;Q&gt;EURUSD^FG_PRICE(43570)&lt;/Q&gt;&lt;R&gt;1&lt;/R&gt;&lt;C&gt;1&lt;/C&gt;&lt;D xsi:type="xsd:double"&gt;1.13095&lt;/D&gt;&lt;/FQL&gt;&lt;FQL&gt;&lt;Q&gt;EURUSD^FG_PRICE(43566)&lt;/Q&gt;&lt;R&gt;1&lt;/R&gt;&lt;C&gt;1&lt;/C&gt;&lt;D xsi:type="xsd:double"&gt;1.1273&lt;/D&gt;&lt;/FQL&gt;&lt;FQL&gt;&lt;Q&gt;EURUSD^FG_PRICE(43562)&lt;/Q&gt;&lt;R&gt;1&lt;/R&gt;&lt;C&gt;1&lt;/C&gt;&lt;D xsi:type="xsd:double"&gt;1.1223&lt;/D&gt;&lt;/FQL&gt;&lt;FQL&gt;&lt;Q&gt;EURUSD^FG_PRICE(43558)&lt;/Q&gt;&lt;R&gt;1&lt;/R&gt;&lt;C&gt;1&lt;/C&gt;&lt;D xsi:type="xsd:double"&gt;1.1229501&lt;/D&gt;&lt;/FQL&gt;&lt;FQL&gt;&lt;Q&gt;EURUSD^FG_PRICE(43554)&lt;/Q&gt;&lt;R&gt;1&lt;/R&gt;&lt;C&gt;1&lt;/C&gt;&lt;D xsi:type="xsd:double"&gt;1.1228501&lt;/D&gt;&lt;/FQL&gt;&lt;FQL&gt;&lt;Q&gt;EURUSD^FG_PRICE(43550)&lt;/Q&gt;&lt;R&gt;1&lt;/R&gt;&lt;C&gt;1&lt;/C&gt;&lt;D xsi:type="xsd:double"&gt;1.12805&lt;/D&gt;&lt;/FQL&gt;&lt;FQL&gt;&lt;Q&gt;EURUSD^FG_PRICE(43546)&lt;/Q&gt;&lt;R&gt;1&lt;/R&gt;&lt;C&gt;1&lt;/C&gt;&lt;D xsi:type="xsd:double"&gt;1.1283&lt;/D&gt;&lt;/FQL&gt;&lt;FQL&gt;&lt;Q&gt;EURUSD^FG_PRICE(43542)&lt;/Q&gt;&lt;R&gt;1&lt;/R&gt;&lt;C&gt;1&lt;/C&gt;&lt;D xsi:type="xsd:double"&gt;1.1337501&lt;/D&gt;&lt;/FQL&gt;&lt;FQL&gt;&lt;Q&gt;EURUSD^FG_PRICE(43538)&lt;/Q&gt;&lt;R&gt;1&lt;/R&gt;&lt;C&gt;1&lt;/C&gt;&lt;D xsi:type="xsd:double"&gt;1.13045&lt;/D&gt;&lt;/FQL&gt;&lt;FQL&gt;&lt;Q&gt;EURUSD^FG_PRICE(43534)&lt;/Q&gt;&lt;R&gt;1&lt;/R&gt;&lt;C&gt;1&lt;/C&gt;&lt;D xsi:type="xsd:double"&gt;1.12345&lt;/D&gt;&lt;/FQL&gt;&lt;FQL&gt;&lt;Q&gt;EURUSD^FG_PRICE(43530)&lt;/Q&gt;&lt;R&gt;1&lt;/R&gt;&lt;C&gt;1&lt;/C&gt;&lt;D xsi:type="xsd:double"&gt;1.13175&lt;/D&gt;&lt;/FQL&gt;&lt;FQL&gt;&lt;Q&gt;EURUSD^FG_PRICE(43526)&lt;/Q&gt;&lt;R&gt;1&lt;/R&gt;&lt;C&gt;1&lt;/C&gt;&lt;D xsi:type="xsd:double"&gt;1.13875&lt;/D&gt;&lt;/FQL&gt;&lt;FQL&gt;&lt;Q&gt;EURUSD^FG_PRICE(43522)&lt;/Q&gt;&lt;R&gt;1&lt;/R&gt;&lt;C&gt;1&lt;/C&gt;&lt;D xsi:type="xsd:double"&gt;1.1358501&lt;/D&gt;&lt;/FQL&gt;&lt;FQL&gt;&lt;Q&gt;EURUSD^FG_PRICE(43518)&lt;/Q&gt;&lt;R&gt;1&lt;/R&gt;&lt;C&gt;1&lt;/C&gt;&lt;D xsi:type="xsd:double"&gt;1.13395&lt;/D&gt;&lt;/FQL&gt;&lt;FQL&gt;&lt;Q&gt;EURUSD^FG_PRICE(43514)&lt;/Q&gt;&lt;R&gt;1&lt;/R&gt;&lt;C&gt;1&lt;/C&gt;&lt;D xsi:type="xsd:double"&gt;1.1307&lt;/D&gt;&lt;/FQL&gt;&lt;FQL&gt;&lt;Q&gt;EURUSD^FG_PRICE(43510)&lt;/Q&gt;&lt;R&gt;1&lt;/R&gt;&lt;C&gt;1&lt;/C&gt;&lt;D xsi:type="xsd:double"&gt;1.1275&lt;/D&gt;&lt;/FQL&gt;&lt;FQL&gt;&lt;Q&gt;EURUSD^FG_PRICE(43506)&lt;/Q&gt;&lt;R&gt;1&lt;/R&gt;&lt;C&gt;1&lt;/C&gt;&lt;D xsi:type="xsd:double"&gt;1.1328&lt;/D&gt;&lt;/FQL&gt;&lt;FQL&gt;&lt;Q&gt;EURUSD^FG_PRICE(43502)&lt;/Q&gt;&lt;R&gt;1&lt;/R&gt;&lt;C&gt;1&lt;/C&gt;&lt;D xsi:type="xsd:double"&gt;1.13785&lt;/D&gt;&lt;/FQL&gt;&lt;FQL&gt;&lt;Q&gt;EURUSD^FG_PRICE(43498)&lt;/Q&gt;&lt;R&gt;1&lt;/R&gt;&lt;C&gt;1&lt;/C&gt;&lt;D xsi:type="xsd:double"&gt;1.1468&lt;/D&gt;&lt;/FQL&gt;&lt;FQL&gt;&lt;Q&gt;EURUSD^FG_PRICE(43494)&lt;/Q&gt;&lt;R&gt;1&lt;/R&gt;&lt;C&gt;1&lt;/C&gt;&lt;D xsi:type="xsd:double"&gt;1.1415&lt;/D&gt;&lt;/FQL&gt;&lt;FQL&gt;&lt;Q&gt;EURUSD^FG_PRICE(43490)&lt;/Q&gt;&lt;R&gt;1&lt;/R&gt;&lt;C&gt;1&lt;/C&gt;&lt;D xsi:type="xsd:double"&gt;1.1398001&lt;/D&gt;&lt;/FQL&gt;&lt;FQL&gt;&lt;Q&gt;EURUSD^FG_PRICE(43486)&lt;/Q&gt;&lt;R&gt;1&lt;/R&gt;&lt;C&gt;1&lt;/C&gt;&lt;D xsi:type="xsd:double"&gt;1.1365501&lt;/D&gt;&lt;/FQL&gt;&lt;FQL&gt;&lt;Q&gt;EURUSD^FG_PRICE(43482)&lt;/Q&gt;&lt;R&gt;1&lt;/R&gt;&lt;C&gt;1&lt;/C&gt;&lt;D xsi:type="xsd:double"&gt;1.1379501&lt;/D&gt;&lt;/FQL&gt;&lt;FQL&gt;&lt;Q&gt;EURUSD^FG_PRICE(43478)&lt;/Q&gt;&lt;R&gt;1&lt;/R&gt;&lt;C&gt;1&lt;/C&gt;&lt;D xsi:type="xsd:double"&gt;1.14775&lt;/D&gt;&lt;/FQL&gt;&lt;FQL&gt;&lt;Q&gt;EURUSD^FG_PRICE(43474)&lt;/Q&gt;&lt;R&gt;1&lt;/R&gt;&lt;C&gt;1&lt;/C&gt;&lt;D xsi:type="xsd:double"&gt;1.1511&lt;/D&gt;&lt;/FQL&gt;&lt;FQL&gt;&lt;Q&gt;EURUSD^FG_PRICE(43470)&lt;/Q&gt;&lt;R&gt;1&lt;/R&gt;&lt;C&gt;1&lt;/C&gt;&lt;D xsi:type="xsd:double"&gt;1.14095&lt;/D&gt;&lt;/FQL&gt;&lt;FQL&gt;&lt;Q&gt;EURUSD^FG_PRICE(43466)&lt;/Q&gt;&lt;R&gt;1&lt;/R&gt;&lt;C&gt;1&lt;/C&gt;&lt;D xsi:type="xsd:double"&gt;1.1431649&lt;/D&gt;&lt;/FQL&gt;&lt;FQL&gt;&lt;Q&gt;WIX-US^FE_ESTIMATE(EBITDA,MEAN,QTR_ROLL,2022/3F,NOW,,,'')&lt;/Q&gt;&lt;R&gt;1&lt;/R&gt;&lt;C&gt;1&lt;/C&gt;&lt;D xsi:type="xsd:double"&gt;0.645&lt;/D&gt;&lt;/FQL&gt;&lt;FQL&gt;&lt;Q&gt;EURUSD^FG_PRICE(44748)&lt;/Q&gt;&lt;R&gt;1&lt;/R&gt;&lt;C&gt;1&lt;/C&gt;&lt;D xsi:type="xsd:double"&gt;1.01945&lt;/D&gt;&lt;/FQL&gt;&lt;FQL&gt;&lt;Q&gt;GBPUSD^FG_PRICE(44611)&lt;/Q&gt;&lt;R&gt;1&lt;/R&gt;&lt;C&gt;1&lt;/C&gt;&lt;D xsi:type="xsd:double"&gt;1.35835&lt;/D&gt;&lt;/FQL&gt;&lt;FQL&gt;&lt;Q&gt;EURUSD^FG_PRICE(44517)&lt;/Q&gt;&lt;R&gt;1&lt;/R&gt;&lt;C&gt;1&lt;/C&gt;&lt;D xsi:type="xsd:double"&gt;1.1308&lt;/D&gt;&lt;/FQL&gt;&lt;FQL&gt;&lt;Q&gt;EURUSD^FG_PRICE(44425)&lt;/Q&gt;&lt;R&gt;1&lt;/R&gt;&lt;C&gt;1&lt;/C&gt;&lt;D xsi:type="xsd:double"&gt;1.17165&lt;/D&gt;&lt;/FQL&gt;&lt;FQL&gt;&lt;Q&gt;GBPUSD^FG_PRICE(44355)&lt;/Q&gt;&lt;R&gt;1&lt;/R&gt;&lt;C&gt;1&lt;/C&gt;&lt;D xsi:type="xsd:double"&gt;1.415&lt;/D&gt;&lt;/FQL&gt;&lt;FQL&gt;&lt;Q&gt;GBPUSD^FG_PRICE(44284)&lt;/Q&gt;&lt;R&gt;1&lt;/R&gt;&lt;C&gt;1&lt;/C&gt;&lt;D xsi:type="xsd:double"&gt;1.37705&lt;/D&gt;&lt;/FQL&gt;&lt;FQL&gt;&lt;Q&gt;GBPUSD^FG_PRICE(44215)&lt;/Q&gt;&lt;R&gt;1&lt;/R&gt;&lt;C&gt;1&lt;/C&gt;&lt;D xsi:type="xsd:double"&gt;1.3616&lt;/D&gt;&lt;/FQL&gt;&lt;FQL&gt;&lt;Q&gt;EURUSD^FG_PRICE(44151)&lt;/Q&gt;&lt;R&gt;1&lt;/R&gt;&lt;C&gt;1&lt;/C&gt;&lt;D xsi:type="xsd:double"&gt;1.18365&lt;/D&gt;&lt;/FQL&gt;&lt;FQL&gt;&lt;Q&gt;EURUSD^FG_PRICE(44091)&lt;/Q&gt;&lt;R&gt;1&lt;/R&gt;&lt;C&gt;1&lt;/C&gt;&lt;D xsi:type="xsd:double"&gt;1.18075&lt;/D&gt;&lt;/FQL&gt;&lt;FQL&gt;&lt;Q&gt;GBPUSD^FG_PRICE(44044)&lt;/Q&gt;&lt;R&gt;1&lt;/R&gt;&lt;C&gt;1&lt;/C&gt;&lt;D xsi:type="xsd:double"&gt;1.3125&lt;/D&gt;&lt;/FQL&gt;&lt;FQL&gt;&lt;Q&gt;EURUSD^FG_PRICE(44007)&lt;/Q&gt;&lt;R&gt;1&lt;/R&gt;&lt;C&gt;1&lt;/C&gt;&lt;D xsi:type="xsd:double"&gt;1.12135&lt;/D&gt;&lt;/FQL&gt;&lt;FQL&gt;&lt;Q&gt;GBPUSD^FG_PRICE(43971)&lt;/Q&gt;&lt;R&gt;1&lt;/R&gt;&lt;C&gt;1&lt;/C&gt;&lt;D xsi:type="xsd:double"&gt;1.227&lt;/D&gt;&lt;/FQL&gt;&lt;FQL&gt;&lt;Q&gt;GBPUSD^FG_PRICE(43936)&lt;/Q&gt;&lt;R&gt;1&lt;/R&gt;&lt;C&gt;1&lt;/C&gt;&lt;D xsi:type="xsd:double"&gt;1.24975&lt;/D&gt;&lt;/FQL&gt;&lt;FQL&gt;&lt;Q&gt;EURUSD^FG_PRICE(43904)&lt;/Q&gt;&lt;R&gt;1&lt;/R&gt;&lt;C&gt;1&lt;/C&gt;&lt;D xsi:type="xsd:double"&gt;1.1069&lt;/D&gt;&lt;/FQL&gt;&lt;FQL&gt;&lt;Q&gt;GBPUSD^FG_PRICE(43868)&lt;/Q&gt;&lt;R&gt;1&lt;/R&gt;&lt;C&gt;1&lt;/C&gt;&lt;D xsi:type="xsd:double"&gt;1.2938501&lt;/D&gt;&lt;/FQL&gt;&lt;FQL&gt;&lt;Q&gt;GBPUSD^FG_PRICE(43820)&lt;/Q&gt;&lt;R&gt;1&lt;/R&gt;&lt;C&gt;1&lt;/C&gt;&lt;D xsi:type="xsd:double"&gt;1.30485&lt;/D&gt;&lt;/FQL&gt;&lt;FQL&gt;&lt;Q&gt;GBPUSD^FG_PRICE(43798)&lt;/Q&gt;&lt;R&gt;1&lt;/R&gt;&lt;C&gt;1&lt;/C&gt;&lt;D xsi:type="xsd:double"&gt;1.2935&lt;/D&gt;&lt;/FQL&gt;&lt;FQL&gt;&lt;Q&gt;EURUSD^FG_PRICE(43788)&lt;/Q&gt;&lt;R&gt;1&lt;/R&gt;&lt;C&gt;1&lt;/C&gt;&lt;D xsi:type="xsd:double"&gt;1.10795&lt;/D&gt;&lt;/FQL&gt;&lt;FQL&gt;&lt;Q&gt;GBPUSD^FG_PRICE(43766)&lt;/Q&gt;&lt;R&gt;1&lt;/R&gt;&lt;C&gt;1&lt;/C&gt;&lt;D xsi:type="xsd:double"&gt;1.2857&lt;/D&gt;&lt;/FQL&gt;&lt;FQL&gt;&lt;Q&gt;EURUSD^FG_PRICE(43746)&lt;/Q&gt;&lt;R&gt;1&lt;/R&gt;&lt;C&gt;1&lt;/C&gt;&lt;D xsi:type="xsd:double"&gt;1.09565&lt;/D&gt;&lt;/FQL&gt;&lt;FQL&gt;&lt;Q&gt;EURUSD^FG_PRICE(43724)&lt;/Q&gt;&lt;R&gt;1&lt;/R&gt;&lt;C&gt;1&lt;/C&gt;&lt;D xsi:type="xsd:double"&gt;1.0997499&lt;/D&gt;&lt;/FQL&gt;&lt;FQL&gt;&lt;Q&gt;EURUSD^FG_PRICE(43708)&lt;/Q&gt;&lt;R&gt;1&lt;/R&gt;&lt;C&gt;1&lt;/C&gt;&lt;D xsi:type="xsd:double"&gt;1.10125&lt;/D&gt;&lt;/FQL&gt;&lt;FQL&gt;&lt;Q&gt;EURUSD^FG_PRICE(43692)&lt;/Q&gt;&lt;R&gt;1&lt;/R&gt;&lt;C&gt;1&lt;/C&gt;&lt;D xsi:type="xsd:double"&gt;1.11085&lt;/D&gt;&lt;/FQL&gt;&lt;FQL&gt;&lt;Q&gt;EURUSD^FG_PRICE(43676)&lt;/Q&gt;&lt;R&gt;1&lt;/R&gt;&lt;C&gt;1&lt;/C&gt;&lt;D xsi:type="xsd:double"&gt;1.11395&lt;/D&gt;&lt;/FQL&gt;&lt;FQL&gt;&lt;Q&gt;GBPUSD^FG_PRICE(43662)&lt;/Q&gt;&lt;R&gt;1&lt;/R&gt;&lt;C&gt;1&lt;/C&gt;&lt;D xsi:type="xsd:double"&gt;1.2418&lt;/D&gt;&lt;/FQL&gt;&lt;FQL&gt;&lt;Q&gt;EURUSD^FG_PRICE(43650)&lt;/Q&gt;&lt;R&gt;1&lt;/R&gt;&lt;C&gt;1&lt;/C&gt;&lt;D xsi:type="xsd:double"&gt;1.1281999&lt;/D&gt;&lt;/FQL&gt;&lt;FQL&gt;&lt;Q&gt;EURUSD^FG_PRICE(43641)&lt;/Q&gt;&lt;R&gt;1&lt;/R&gt;&lt;C&gt;1&lt;/C&gt;&lt;D xsi:type="xsd:double"&gt;1.13825&lt;/D&gt;&lt;/FQL&gt;&lt;FQL&gt;&lt;Q&gt;EURUSD^FG_PRICE(43633)&lt;/Q&gt;&lt;R&gt;1&lt;/R&gt;&lt;C&gt;1&lt;/C&gt;&lt;D xsi:type="xsd:double"&gt;1.1226001&lt;/D&gt;&lt;/FQL&gt;&lt;FQL&gt;&lt;Q&gt;EURUSD^FG_PRICE(43625)&lt;/Q&gt;&lt;R&gt;1&lt;/R&gt;&lt;C&gt;1&lt;/C&gt;&lt;D xsi:type="xsd:double"&gt;1.1337501&lt;/D&gt;&lt;/FQL&gt;&lt;FQL&gt;&lt;Q&gt;EURUSD^FG_PRICE(43617)&lt;/Q&gt;&lt;R&gt;1&lt;/R&gt;&lt;C&gt;1&lt;/C&gt;&lt;D xsi:type="xsd:double"&gt;1.1143501&lt;/D&gt;&lt;/FQL&gt;&lt;FQL&gt;&lt;Q&gt;EURUSD^FG_PRICE(43609)&lt;/Q&gt;&lt;R&gt;1&lt;/R&gt;&lt;C&gt;1&lt;/C&gt;&lt;D xsi:type="xsd:double"&gt;1.1204001&lt;/D&gt;&lt;/FQL&gt;&lt;FQL&gt;&lt;Q&gt;EURUSD^FG_PRICE(43601)&lt;/Q&gt;&lt;R&gt;1&lt;/R&gt;&lt;C&gt;1&lt;/C&gt;&lt;D xsi:type="xsd:double"&gt;1.1179&lt;/D&gt;&lt;/FQL&gt;&lt;FQL&gt;&lt;Q&gt;EURUSD^FG_PRICE(43593)&lt;/Q&gt;&lt;R&gt;1&lt;/R&gt;&lt;C&gt;1&lt;/C&gt;&lt;D xsi:type="xsd:double"&gt;1.1201999&lt;/D&gt;&lt;/FQL&gt;&lt;FQL&gt;&lt;Q&gt;EURUSD^FG_PRICE(43585)&lt;/Q&gt;&lt;R&gt;1&lt;/R&gt;&lt;C&gt;1&lt;/C&gt;&lt;D xsi:type="xsd:double"&gt;1.1207&lt;/D&gt;&lt;/FQL&gt;&lt;FQL&gt;&lt;Q&gt;EURUSD^FG_PRICE(43577)&lt;/Q&gt;&lt;R&gt;1&lt;/R&gt;&lt;C&gt;1&lt;/C&gt;&lt;D xsi:type="xsd:double"&gt;1.1255&lt;/D&gt;&lt;/FQL&gt;&lt;FQL&gt;&lt;Q&gt;EURUSD^FG_PRICE(43569)&lt;/Q&gt;&lt;R&gt;1&lt;/R&gt;&lt;C&gt;1&lt;/C&gt;&lt;D xsi:type="xsd:double"&gt;1.1314&lt;/D&gt;&lt;/FQL&gt;&lt;FQL&gt;&lt;Q&gt;EURUSD^FG_PRICE(43561)&lt;/Q&gt;&lt;R&gt;1&lt;/R&gt;&lt;C&gt;1&lt;/C&gt;&lt;D xsi:type="xsd:double"&gt;1.1223&lt;/D&gt;&lt;/FQL&gt;&lt;FQL&gt;&lt;Q&gt;EURUSD^FG_PRICE(43553)&lt;/Q&gt;&lt;R&gt;1&lt;/R&gt;&lt;C&gt;1&lt;/C&gt;&lt;D xsi:type="xsd:double"&gt;1.1228501&lt;/D&gt;&lt;/FQL&gt;&lt;FQL&gt;&lt;Q&gt;EURUSD^FG_PRICE(43545)&lt;/Q&gt;&lt;R&gt;1&lt;/R&gt;&lt;C&gt;1&lt;/C&gt;&lt;D xsi:type="xsd:double"&gt;1.13605&lt;/D&gt;&lt;/FQL&gt;&lt;FQL&gt;&lt;Q&gt;EURUSD^FG_PRICE(43537)&lt;/Q&gt;&lt;R&gt;1&lt;/R&gt;&lt;C&gt;1&lt;/C&gt;&lt;D xsi:type="xsd:double"&gt;1.13095&lt;/D&gt;&lt;/FQL&gt;&lt;FQL&gt;&lt;Q&gt;EURUSD^FG_PRICE(43529)&lt;/Q&gt;&lt;R&gt;1&lt;/R&gt;&lt;C&gt;1&lt;/C&gt;&lt;D xsi:type="xsd:double"&gt;1.13055&lt;/D&gt;&lt;/FQL&gt;&lt;FQL&gt;&lt;Q&gt;EURUSD^FG_PRICE(43521)&lt;/Q&gt;&lt;R&gt;1&lt;/R&gt;&lt;C&gt;1&lt;/C&gt;&lt;D xsi:type="xsd:double"&gt;1.13475&lt;/D&gt;&lt;/FQL&gt;&lt;FQL&gt;&lt;Q&gt;EURUSD^FG_PRICE(43505)&lt;/Q&gt;&lt;R&gt;1&lt;/R&gt;&lt;C&gt;1&lt;/C&gt;&lt;D xsi:type="xsd:double"&gt;1.1328&lt;/D&gt;&lt;/FQL&gt;&lt;FQL&gt;&lt;Q&gt;EURUSD^FG_PRICE(43489)&lt;/Q&gt;&lt;R&gt;1&lt;/R&gt;&lt;C&gt;1&lt;/C&gt;&lt;D xsi:type="xsd:double"&gt;1.13535&lt;/D&gt;&lt;/FQL&gt;&lt;FQL&gt;&lt;Q&gt;EURUSD^FG_PRICE(43469)&lt;/Q&gt;&lt;R&gt;1&lt;/R&gt;&lt;C&gt;1&lt;/C&gt;&lt;D xsi:type="xsd:double"&gt;1.14095&lt;/D&gt;&lt;/FQL&gt;&lt;FQL&gt;&lt;Q&gt;EURUSD^FG_PRICE(44604)&lt;/Q&gt;&lt;R&gt;1&lt;/R&gt;&lt;C&gt;1&lt;/C&gt;&lt;D xsi:type="xsd:double"&gt;1.14035&lt;/D&gt;&lt;/FQL&gt;&lt;FQL&gt;&lt;Q&gt;GBPUSD^FG_PRICE(44511)&lt;/Q&gt;&lt;R&gt;1&lt;/R&gt;&lt;C&gt;1&lt;/C&gt;&lt;D xsi:type="xsd:double"&gt;1.33895&lt;/D&gt;&lt;/FQL&gt;&lt;FQL&gt;&lt;Q&gt;GBPUSD^FG_PRICE(44348)&lt;/Q&gt;&lt;R&gt;1&lt;/R&gt;&lt;C&gt;1&lt;/C&gt;&lt;D xsi:type="xsd:double"&gt;1.4171499&lt;/D&gt;&lt;/FQL&gt;&lt;FQL&gt;&lt;Q&gt;EURUSD^FG_PRICE(44215)&lt;/Q&gt;&lt;R&gt;1&lt;/R&gt;&lt;C&gt;1&lt;/C&gt;&lt;D xsi:type="xsd:double"&gt;1.21275&lt;/D&gt;&lt;/FQL&gt;&lt;FQL&gt;&lt;Q&gt;GBPUSD^FG_PRICE(44064)&lt;/Q&gt;&lt;R&gt;1&lt;/R&gt;&lt;C&gt;1&lt;/C&gt;&lt;D xsi:type="xsd:double"&gt;1.30725&lt;/D&gt;&lt;/FQL&gt;&lt;FQL&gt;&lt;Q&gt;GBPUSD^FG_PRICE(43968)&lt;/Q&gt;&lt;R&gt;1&lt;/R&gt;&lt;C&gt;1&lt;/C&gt;&lt;D xsi:type="xsd:double"&gt;1.2125&lt;/D&gt;&lt;/FQL&gt;&lt;FQL&gt;&lt;Q&gt;GBPUSD^FG_PRICE(43900)&lt;/Q&gt;&lt;R&gt;1&lt;/R&gt;&lt;C&gt;1&lt;/C&gt;&lt;D xsi:type="xsd:double"&gt;1.2938501&lt;/D&gt;&lt;/FQL&gt;&lt;FQL&gt;&lt;Q&gt;EURUSD^FG_PRICE(43808)&lt;/Q&gt;&lt;R&gt;1&lt;/R&gt;&lt;C&gt;1&lt;/C&gt;&lt;D xsi:type="xsd:double"&gt;1.1069499&lt;/D&gt;&lt;/FQL&gt;&lt;FQL&gt;&lt;Q&gt;GBPUSD^FG_PRICE(43754)&lt;/Q&gt;&lt;R&gt;1&lt;/R&gt;&lt;C&gt;1&lt;/C&gt;&lt;D xsi:type="xsd:double"&gt;1.28045&lt;/D&gt;&lt;/FQL&gt;&lt;FQL&gt;&lt;Q&gt;GBPUSD^FG_PRICE(43714)&lt;/Q&gt;&lt;R&gt;1&lt;/R&gt;&lt;C&gt;1&lt;/C&gt;&lt;D xsi:type="xsd:double"&gt;1.2314&lt;/D&gt;&lt;/FQL&gt;&lt;FQL&gt;&lt;Q&gt;GBPUSD^FG_PRICE(43690)&lt;/Q&gt;&lt;R&gt;1&lt;/R&gt;&lt;C&gt;1&lt;/C&gt;&lt;D xsi:type="xsd:double"&gt;1.20715&lt;/D&gt;&lt;/FQL&gt;&lt;FQL&gt;&lt;Q&gt;EURUSD^FG_PRICE(43655)&lt;/Q&gt;&lt;R&gt;1&lt;/R&gt;&lt;C&gt;1&lt;/C&gt;&lt;D xsi:type="xsd:double"&gt;1.1206499&lt;/D&gt;&lt;/FQL&gt;&lt;FQL&gt;&lt;Q&gt;GBPUSD^FG_PRICE(43632)&lt;/Q&gt;&lt;R&gt;1&lt;/R&gt;&lt;C&gt;1&lt;/C&gt;&lt;D xsi:type="xsd:double"&gt;1.2608&lt;/D&gt;&lt;/FQL&gt;&lt;FQL&gt;&lt;Q&gt;GBPUSD^FG_PRICE(43616)&lt;/Q&gt;&lt;R&gt;1&lt;/R&gt;&lt;C&gt;1&lt;/C&gt;&lt;D xsi:type="xsd:double"&gt;1.2604&lt;/D&gt;&lt;/FQL&gt;&lt;FQL&gt;&lt;Q&gt;GBPUSD^FG_PRICE(43600)&lt;/Q&gt;&lt;R&gt;1&lt;/R&gt;&lt;C&gt;1&lt;/C&gt;&lt;D xsi:type="xsd:double"&gt;1.2865&lt;/D&gt;&lt;/FQL&gt;&lt;FQL&gt;&lt;Q&gt;GBPUSD^FG_PRICE(43588)&lt;/Q&gt;&lt;R&gt;1&lt;/R&gt;&lt;C&gt;1&lt;/C&gt;&lt;D xsi:type="xsd:double"&gt;1.3119&lt;/D&gt;&lt;/FQL&gt;&lt;FQL&gt;&lt;Q&gt;GBPUSD^FG_PRICE(43572)&lt;/Q&gt;&lt;R&gt;1&lt;/R&gt;&lt;C&gt;1&lt;/C&gt;&lt;D xsi:type="xsd:double"&gt;1.3049&lt;/D&gt;&lt;/FQL&gt;&lt;FQL&gt;&lt;Q&gt;GBPUSD^FG_PRICE(43552)&lt;/Q&gt;&lt;R&gt;1&lt;/R&gt;&lt;C&gt;1&lt;/C&gt;&lt;D xsi:type="xsd:double"&gt;1.3086&lt;/D&gt;&lt;/FQL&gt;&lt;FQL&gt;&lt;Q&gt;GBPUSD^FG_PRICE(43528)&lt;/Q&gt;&lt;R&gt;1&lt;/R&gt;&lt;C&gt;1&lt;/C&gt;&lt;D xsi:type="xsd:double"&gt;1.3172001&lt;/D&gt;&lt;/FQL&gt;&lt;FQL&gt;&lt;Q&gt;GBPUSD^FG_PRICE(43508)&lt;/Q&gt;&lt;R&gt;1&lt;/R&gt;&lt;C&gt;1&lt;/C&gt;&lt;D xsi:type="xsd:double"&gt;1.28835&lt;/D&gt;&lt;/FQL&gt;&lt;FQL&gt;&lt;Q&gt;GBPUSD^FG_PRICE(43492)&lt;/Q&gt;&lt;R&gt;1&lt;/R&gt;&lt;C&gt;1&lt;/C&gt;&lt;D xsi:type="xsd:double"&gt;1.31695&lt;/D&gt;&lt;/FQL&gt;&lt;FQL&gt;&lt;Q&gt;GBPUSD^FG_PRICE(43480)&lt;/Q&gt;&lt;R&gt;1&lt;/R&gt;&lt;C&gt;1&lt;/C&gt;&lt;D xsi:type="xsd:double"&gt;1.2807&lt;/D&gt;&lt;/FQL&gt;&lt;FQL&gt;&lt;Q&gt;GBPUSD^FG_PRICE(44799)&lt;/Q&gt;&lt;R&gt;1&lt;/R&gt;&lt;C&gt;1&lt;/C&gt;&lt;D xsi:type="xsd:double"&gt;1.17915&lt;/D&gt;&lt;/FQL&gt;&lt;FQL&gt;&lt;Q&gt;GBPUSD^FG_PRICE(44751)&lt;/Q&gt;&lt;R&gt;1&lt;/R&gt;&lt;C&gt;1&lt;/C&gt;&lt;D xsi:type="xsd:double"&gt;1.2026&lt;/D&gt;&lt;/FQL&gt;&lt;FQL&gt;&lt;Q&gt;EURUSD^FG_PRICE(44707)&lt;/Q&gt;&lt;R&gt;1&lt;/R&gt;&lt;C&gt;1&lt;/C&gt;&lt;D xsi:type="xsd:double"&gt;1.0717499&lt;/D&gt;&lt;/FQL&gt;&lt;FQL&gt;&lt;Q&gt;EURUSD^FG_PRICE(44663)&lt;/Q&gt;&lt;R&gt;1&lt;/R&gt;&lt;C&gt;1&lt;/C&gt;&lt;D xsi:type="xsd:double"&gt;1.08735&lt;/D&gt;&lt;/FQL&gt;&lt;FQL&gt;&lt;Q&gt;EURUSD^FG_PRICE(44613)&lt;/Q&gt;&lt;R&gt;1&lt;/R&gt;&lt;C&gt;1&lt;/C&gt;&lt;D xsi:type="xsd:double"&gt;1.1336&lt;/D&gt;&lt;/FQL&gt;&lt;FQL&gt;&lt;Q&gt;GBPUSD^FG_PRICE(44568)&lt;/Q&gt;&lt;R&gt;1&lt;/R&gt;&lt;C&gt;1&lt;/C&gt;&lt;D xsi:type="xsd:double"&gt;1.35735&lt;/D&gt;&lt;/FQL&gt;&lt;FQL&gt;&lt;Q&gt;GBPUSD^FG_PRICE(44527)&lt;/Q&gt;&lt;R&gt;1&lt;/R&gt;&lt;C&gt;1&lt;/C&gt;&lt;D xsi:type="xsd:double"&gt;1.33365&lt;/D&gt;&lt;/FQL&gt;&lt;FQL&gt;&lt;Q&gt;GBPUSD^FG_PRICE(44476)&lt;/Q&gt;&lt;R&gt;1&lt;/R&gt;&lt;C&gt;1&lt;/C&gt;&lt;D xsi:type="xsd:double"&gt;1.36225&lt;/D&gt;&lt;/FQL&gt;&lt;FQL&gt;&lt;Q&gt;EURUSD^FG_PRICE(44432)&lt;/Q&gt;&lt;R&gt;1&lt;/R&gt;&lt;C&gt;1&lt;/C&gt;&lt;D xsi:type="xsd:double"&gt;1.17605&lt;/D&gt;&lt;/FQL&gt;&lt;FQL&gt;&lt;Q&gt;EURUSD^FG_PRICE(44393)&lt;/Q&gt;&lt;R&gt;1&lt;/R&gt;&lt;C&gt;1&lt;/C&gt;&lt;D xsi:type="xsd:double"&gt;1.1809&lt;/D&gt;&lt;/FQL&gt;&lt;FQL&gt;&lt;Q&gt;EURUSD^FG_PRICE(44356)&lt;/Q&gt;&lt;R&gt;1&lt;/R&gt;&lt;C&gt;1&lt;/C&gt;&lt;D xsi:type="xsd:double"&gt;1.21855&lt;/D&gt;&lt;/FQL&gt;&lt;FQL&gt;&lt;Q&gt;GBPUSD^FG_PRICE(44323)&lt;/Q&gt;&lt;R&gt;1&lt;/R&gt;&lt;C&gt;1&lt;/C&gt;&lt;D xsi:type="xsd:double"&gt;1.3979&lt;/D&gt;&lt;/FQL&gt;&lt;FQL&gt;&lt;Q&gt;GBPUSD^FG_PRICE(44291)&lt;/Q&gt;&lt;R&gt;1&lt;/R&gt;&lt;C&gt;1&lt;/C&gt;&lt;D xsi:type="xsd:double"&gt;1.38935&lt;/D&gt;&lt;/FQL&gt;&lt;FQL&gt;&lt;Q&gt;EURUSD^FG_PRICE(44253)&lt;/Q&gt;&lt;R&gt;1&lt;/R&gt;&lt;C&gt;1&lt;/C&gt;&lt;D xsi:type="xsd:double"&gt;1.2138&lt;/D&gt;&lt;/FQL&gt;&lt;FQL&gt;&lt;Q&gt;GBPUSD^FG_PRICE(44220)&lt;/Q&gt;&lt;R&gt;1&lt;/R&gt;&lt;C&gt;1&lt;/C&gt;&lt;D xsi:type="xsd:double"&gt;1.36715&lt;/D&gt;&lt;/FQL&gt;&lt;FQL&gt;&lt;Q&gt;GBPUSD^FG_PRICE(44188)&lt;/Q&gt;&lt;R&gt;1&lt;/R&gt;&lt;C&gt;1&lt;/C&gt;&lt;D xsi:type="xsd:double"&gt;1.35215&lt;/D&gt;&lt;/FQL&gt;&lt;FQL&gt;&lt;Q&gt;GBPUSD^FG_PRICE(44151)&lt;/Q&gt;&lt;R&gt;1&lt;/R&gt;&lt;C&gt;1&lt;/C&gt;&lt;D xsi:type="xsd:double"&gt;1.3177&lt;/D&gt;&lt;/FQL&gt;&lt;FQL&gt;&lt;Q&gt;EURUSD^FG_PRICE(44119)&lt;/Q&gt;&lt;R&gt;1&lt;/R&gt;&lt;C&gt;1&lt;/C&gt;&lt;D xsi:type="xsd:double"&gt;1.16995&lt;/D&gt;&lt;/FQL&gt;&lt;FQL&gt;&lt;Q&gt;GBPUSD^FG_PRICE(44095)&lt;/Q&gt;&lt;R&gt;1&lt;/R&gt;&lt;C&gt;1&lt;/C&gt;&lt;D xsi:type="xsd:double"&gt;1.27955&lt;/D&gt;&lt;/FQL&gt;&lt;FQL&gt;&lt;Q&gt;EURUSD^FG_PRICE(44071)&lt;/Q&gt;&lt;R&gt;1&lt;/R&gt;&lt;C&gt;1&lt;/C&gt;&lt;D xsi:type="xsd:double"&gt;1.1898&lt;/D&gt;&lt;/FQL&gt;&lt;FQL&gt;&lt;Q&gt;EURUSD^FG_PRICE(44048)&lt;/Q&gt;&lt;R&gt;1&lt;/R&gt;&lt;C&gt;1&lt;/C&gt;&lt;D xsi:type="xsd:double"&gt;1.1882501&lt;/D&gt;&lt;/FQL&gt;&lt;FQL&gt;&lt;Q&gt;EURUSD^FG_PRICE(44027)&lt;/Q&gt;&lt;R&gt;1&lt;/R&gt;&lt;C&gt;1&lt;/C&gt;&lt;D xsi:type="xsd:double"&gt;1.1417999&lt;/D&gt;&lt;/FQL&gt;&lt;FQL&gt;&lt;Q&gt;GBPUSD^FG_PRICE(44007)&lt;/Q&gt;&lt;R&gt;1&lt;/R&gt;&lt;C&gt;1&lt;/C&gt;&lt;D xsi:type="xsd:double"&gt;1.2405001&lt;/D&gt;&lt;/FQL&gt;&lt;FQL&gt;&lt;Q&gt;EURUSD^FG_PRICE(43991)&lt;/Q&gt;&lt;R&gt;1&lt;/R&gt;&lt;C&gt;1&lt;/C&gt;&lt;D xsi:type="xsd:double"&gt;1.13545&lt;/D&gt;&lt;/FQL&gt;&lt;FQL&gt;&lt;Q&gt;EURUSD^FG_PRICE(43975)&lt;/Q&gt;&lt;R&gt;1&lt;/R&gt;&lt;C&gt;1&lt;/C&gt;&lt;D xsi:type="xsd:double"&gt;1.08905&lt;/D&gt;&lt;/FQL&gt;&lt;FQL&gt;&lt;Q&gt;EURUSD^FG_PRICE(43956)&lt;/Q&gt;&lt;R&gt;1&lt;/R&gt;&lt;C&gt;1&lt;/C&gt;&lt;D xsi:type="xsd:double"&gt;1.0840499&lt;/D&gt;&lt;/FQL&gt;&lt;FQL&gt;&lt;Q&gt;GBPUSD^FG_PRICE(43939)&lt;/Q&gt;&lt;R&gt;1&lt;/R&gt;&lt;C&gt;1&lt;/C&gt;&lt;D xsi:type="xsd:double"&gt;1.2504001&lt;/D&gt;&lt;/FQL&gt;&lt;FQL&gt;&lt;Q&gt;GBPUSD^FG_PRICE(43923)&lt;/Q&gt;&lt;R&gt;1&lt;/R&gt;&lt;C&gt;1&lt;/C&gt;&lt;D xsi:type="xsd:double"&gt;1.2378999&lt;/D&gt;&lt;/FQL&gt;&lt;FQL&gt;&lt;Q&gt;GBPUSD^FG_PRICE(43904)&lt;/Q&gt;&lt;R&gt;1&lt;/R&gt;&lt;C&gt;1&lt;/C&gt;&lt;D xsi:type="xsd:double"&gt;1.2401&lt;/D&gt;&lt;/FQL&gt;&lt;FQL&gt;&lt;Q&gt;EURUSD^FG_PRICE(43888)&lt;/Q&gt;&lt;R&gt;1&lt;/R&gt;&lt;C&gt;1&lt;/C&gt;&lt;D xsi:type="xsd:double"&gt;1.0986&lt;/D&gt;&lt;/FQL&gt;&lt;FQL&gt;&lt;Q&gt;EURUSD^FG_PRICE(43872)&lt;/Q&gt;&lt;R&gt;1&lt;/R&gt;&lt;C&gt;1&lt;/C&gt;&lt;D xsi:type="xsd:double"&gt;1.09155&lt;/D&gt;&lt;/FQL&gt;&lt;FQL&gt;&lt;Q&gt;EURUSD^FG_PRICE(43853)&lt;/Q&gt;&lt;R&gt;1&lt;/R&gt;&lt;C&gt;1&lt;/C&gt;&lt;D xsi:type="xsd:double"&gt;1.10455&lt;/D&gt;&lt;/FQL&gt;&lt;FQL&gt;&lt;Q&gt;GBPUSD^FG_PRICE(43836)&lt;/Q&gt;&lt;R&gt;1&lt;/R&gt;&lt;C&gt;1&lt;/C&gt;&lt;D xsi:type="xsd:double"&gt;1.316&lt;/D&gt;&lt;/FQL&gt;&lt;FQL&gt;&lt;Q&gt;EURUSD^FG_PRICE(43823)&lt;/Q&gt;&lt;R&gt;1&lt;/R&gt;&lt;C&gt;1&lt;/C&gt;&lt;D xsi:type="xsd:double"&gt;1.109&lt;/D&gt;&lt;/FQL&gt;&lt;FQL&gt;&lt;Q&gt;GBPUSD^FG_PRICE(43810)&lt;/Q&gt;&lt;R&gt;1&lt;/R&gt;&lt;C&gt;1&lt;/C&gt;&lt;D xsi:type="xsd:double"&gt;1.3177&lt;/D&gt;&lt;/FQL&gt;&lt;FQL&gt;&lt;Q&gt;EURUSD^FG_PRICE(43800)&lt;/Q&gt;&lt;R&gt;1&lt;/R&gt;&lt;C&gt;1&lt;/C&gt;&lt;D xsi:type="xsd:double"&gt;1.1026&lt;/D&gt;&lt;/FQL&gt;&lt;FQL&gt;&lt;Q&gt;EURUSD^FG_PRICE(43790)&lt;/Q&gt;&lt;R&gt;1&lt;/R&gt;&lt;C&gt;1&lt;/C&gt;&lt;D xsi:type="xsd:double"&gt;1.1076&lt;/D&gt;&lt;/FQL&gt;&lt;FQL&gt;&lt;Q&gt;GBPUSD^FG_PRICE(43778)&lt;/Q&gt;&lt;R&gt;1&lt;/R&gt;&lt;C&gt;1&lt;/C&gt;&lt;D xsi:type="xsd:double"&gt;1.2794&lt;/D&gt;&lt;/FQL&gt;&lt;FQL&gt;&lt;Q&gt;EURUSD^FG_PRICE(43768)&lt;/Q&gt;&lt;R&gt;1&lt;/R&gt;&lt;C&gt;1&lt;/C&gt;&lt;D xsi:type="xsd:double"&gt;1.1123&lt;/D&gt;&lt;/FQL&gt;&lt;FQL&gt;&lt;Q&gt;EURUSD^FG_PRICE(43758)&lt;/Q&gt;&lt;R&gt;1&lt;/R&gt;&lt;C&gt;1&lt;/C&gt;&lt;D xsi:type="xsd:double"&gt;1.11395&lt;/D&gt;&lt;/FQL&gt;&lt;FQL&gt;&lt;Q&gt;GBPUSD^FG_PRICE(43746)&lt;/Q&gt;&lt;R&gt;1&lt;/R&gt;&lt;C&gt;1&lt;/C&gt;&lt;D xsi:type="xsd:double"&gt;1.2215&lt;/D&gt;&lt;/FQL&gt;&lt;FQL&gt;&lt;Q&gt;EURUSD^FG_PRICE(43736)&lt;/Q&gt;&lt;R&gt;1&lt;/R&gt;&lt;C&gt;1&lt;/C&gt;&lt;D xsi:type="xsd:double"&gt;1.09475&lt;/D&gt;&lt;/FQL&gt;&lt;FQL&gt;&lt;Q&gt;EURUSD^FG_PRICE(43726)&lt;/Q&gt;&lt;R&gt;1&lt;/R&gt;&lt;C&gt;1&lt;/C&gt;&lt;D xsi:type="xsd:double"&gt;1.10595&lt;/D&gt;&lt;/FQL&gt;&lt;FQL&gt;&lt;Q&gt;GBPUSD^FG_PRICE(43716)&lt;/Q&gt;&lt;R&gt;1&lt;/R&gt;&lt;C&gt;1&lt;/C&gt;&lt;D xsi:type="xsd:double"&gt;1.2314&lt;/D&gt;&lt;/FQL&gt;&lt;FQL&gt;&lt;Q&gt;GBPUSD^FG_PRICE(43708)&lt;/Q&gt;&lt;R&gt;1&lt;/R&gt;&lt;C&gt;1&lt;/C&gt;&lt;D xsi:type="xsd:double"&gt;1.21785&lt;/D&gt;&lt;/FQL&gt;&lt;FQL&gt;&lt;Q&gt;GBPUSD^FG_PRICE(43700)&lt;/Q&gt;&lt;R&gt;1&lt;/R&gt;&lt;C&gt;1&lt;/C&gt;&lt;D xsi:type="xsd:double"&gt;1.22745&lt;/D&gt;&lt;/FQL&gt;&lt;FQL&gt;&lt;Q&gt;GBPUSD^FG_PRICE(43692)&lt;/Q&gt;&lt;R&gt;1&lt;/R&gt;&lt;C&gt;1&lt;/C&gt;&lt;D xsi:type="xsd:double"&gt;1.21125&lt;/D&gt;&lt;/FQL&gt;&lt;FQL&gt;&lt;Q&gt;GBPUSD^FG_PRICE(43684)&lt;/Q&gt;&lt;R&gt;1&lt;/R&gt;&lt;C&gt;1&lt;/C&gt;&lt;D xsi:type="xsd:double"&gt;1.2153&lt;/D&gt;&lt;/FQL&gt;&lt;FQL&gt;&lt;Q&gt;GBPUSD^FG_PRICE(43676)&lt;/Q&gt;&lt;R&gt;1&lt;/R&gt;&lt;C&gt;1&lt;/C&gt;&lt;D xsi:type="xsd:double"&gt;1.21525&lt;/D&gt;&lt;/FQL&gt;&lt;FQL&gt;&lt;Q&gt;EURUSD^FG_PRICE(43670)&lt;/Q&gt;&lt;R&gt;1&lt;/R&gt;&lt;C&gt;1&lt;/C&gt;&lt;D xsi:type="xsd:double"&gt;1.1143&lt;/D&gt;&lt;/FQL&gt;&lt;FQL&gt;&lt;Q&gt;EURUSD^FG_PRICE(43663)&lt;/Q&gt;&lt;R&gt;1&lt;/R&gt;&lt;C&gt;1&lt;/C&gt;&lt;D xsi:type="xsd:double"&gt;1.12255&lt;/D&gt;&lt;/FQL&gt;&lt;FQL&gt;&lt;Q&gt;GBPUSD^FG_PRICE(43656)&lt;/Q&gt;&lt;R&gt;1&lt;/R&gt;&lt;C&gt;1&lt;/C&gt;&lt;D xsi:type="xsd:double"&gt;1.2494999&lt;/D&gt;&lt;/FQL&gt;&lt;FQL&gt;&lt;Q&gt;GBPUSD^FG_PRICE(43650)&lt;/Q&gt;&lt;R&gt;1&lt;/R&gt;&lt;C&gt;1&lt;/C&gt;&lt;D xsi:type="xsd:double"&gt;1.2573999&lt;/D&gt;&lt;/FQL&gt;&lt;FQL&gt;&lt;Q&gt;GBPUSD^FG_PRICE(43645)&lt;/Q&gt;&lt;R&gt;1&lt;/R&gt;&lt;C&gt;1&lt;/C&gt;&lt;D xsi:type="xsd:double"&gt;1.2727&lt;/D&gt;&lt;/FQL&gt;&lt;FQL&gt;&lt;Q&gt;GBPUSD^FG_PRICE(43641)&lt;/Q&gt;&lt;R&gt;1&lt;/R&gt;&lt;C&gt;1&lt;/C&gt;&lt;D xsi:type="xsd:double"&gt;1.2721001&lt;/D&gt;&lt;/FQL&gt;&lt;FQL&gt;&lt;Q&gt;GBPUSD^FG_PRICE(43637)&lt;/Q&gt;&lt;R&gt;1&lt;/R&gt;&lt;C&gt;1&lt;/C&gt;&lt;D xsi:type="xsd:double"&gt;1.26955&lt;/D&gt;&lt;/FQL&gt;&lt;FQL&gt;&lt;Q&gt;GBPUSD^FG_PRICE(43633)&lt;/Q&gt;&lt;R&gt;1&lt;/R&gt;&lt;C&gt;1&lt;/C&gt;&lt;D xsi:type="xsd:double"&gt;1.25565&lt;/D&gt;&lt;/FQL&gt;&lt;FQL&gt;&lt;Q&gt;GBPUSD^FG_PRICE(43629)&lt;/Q&gt;&lt;R&gt;1&lt;/R&gt;&lt;C&gt;1&lt;/C&gt;&lt;D xsi:type="xsd:double"&gt;1.2684001&lt;/D&gt;&lt;/FQL&gt;&lt;FQL&gt;&lt;Q&gt;GBPUSD^FG_PRICE(43625)&lt;/Q&gt;&lt;R&gt;1&lt;/R&gt;&lt;C&gt;1&lt;/C&gt;&lt;D xsi:type="xsd:double"&gt;1.2757001&lt;/D&gt;&lt;/FQL&gt;&lt;FQL&gt;&lt;Q&gt;GBPUSD^FG_PRICE(43621)&lt;/Q&gt;&lt;R&gt;1&lt;/R&gt;&lt;C&gt;1&lt;/C&gt;&lt;D xsi:type="xsd:double"&gt;1.2731&lt;/D&gt;&lt;/FQL&gt;&lt;FQL&gt;&lt;Q&gt;GBPUSD^FG_PRICE(43617)&lt;/Q&gt;&lt;R&gt;1&lt;/R&gt;&lt;C&gt;1&lt;/C&gt;&lt;D xsi:type="xsd:double"&gt;1.2604&lt;/D&gt;&lt;/FQL&gt;&lt;FQL&gt;&lt;Q&gt;GBPUSD^FG_PRICE(43613)&lt;/Q&gt;&lt;R&gt;1&lt;/R&gt;&lt;C&gt;1&lt;/C&gt;&lt;D xsi:type="xsd:double"&gt;1.2674501&lt;/D&gt;&lt;/FQL&gt;&lt;FQL&gt;&lt;Q&gt;GBPUSD^FG_PRICE(43609)&lt;/Q&gt;&lt;R&gt;1&lt;/R&gt;&lt;C&gt;1&lt;/C&gt;&lt;D xsi:type="xsd:double"&gt;1.2692&lt;/D&gt;&lt;/FQL&gt;&lt;FQL&gt;&lt;Q&gt;GBPUSD^FG_PRICE(43605)&lt;/Q&gt;&lt;R&gt;1&lt;/R&gt;&lt;C&gt;1&lt;/C&gt;&lt;D xsi:type="xsd:double"&gt;1.2735&lt;/D&gt;&lt;/FQL&gt;&lt;</t>
        </r>
      </text>
    </comment>
    <comment ref="A19" authorId="0" shapeId="0" xr:uid="{764944F1-36D2-415E-B0F3-25771A601F32}">
      <text>
        <r>
          <rPr>
            <b/>
            <sz val="9"/>
            <color indexed="81"/>
            <rFont val="Tahoma"/>
            <family val="2"/>
          </rPr>
          <t>FQL&gt;&lt;Q&gt;GBPUSD^FG_PRICE(43601)&lt;/Q&gt;&lt;R&gt;1&lt;/R&gt;&lt;C&gt;1&lt;/C&gt;&lt;D xsi:type="xsd:double"&gt;1.27915&lt;/D&gt;&lt;/FQL&gt;&lt;FQL&gt;&lt;Q&gt;GBPUSD^FG_PRICE(43597)&lt;/Q&gt;&lt;R&gt;1&lt;/R&gt;&lt;C&gt;1&lt;/C&gt;&lt;D xsi:type="xsd:double"&gt;1.3033&lt;/D&gt;&lt;/FQL&gt;&lt;FQL&gt;&lt;Q&gt;GBPUSD^FG_PRICE(43593)&lt;/Q&gt;&lt;R&gt;1&lt;/R&gt;&lt;C&gt;1&lt;/C&gt;&lt;D xsi:type="xsd:double"&gt;1.2997999&lt;/D&gt;&lt;/FQL&gt;&lt;FQL&gt;&lt;Q&gt;GBPUSD^FG_PRICE(43589)&lt;/Q&gt;&lt;R&gt;1&lt;/R&gt;&lt;C&gt;1&lt;/C&gt;&lt;D xsi:type="xsd:double"&gt;1.3119&lt;/D&gt;&lt;/FQL&gt;&lt;FQL&gt;&lt;Q&gt;GBPUSD^FG_PRICE(43585)&lt;/Q&gt;&lt;R&gt;1&lt;/R&gt;&lt;C&gt;1&lt;/C&gt;&lt;D xsi:type="xsd:double"&gt;1.30365&lt;/D&gt;&lt;/FQL&gt;&lt;FQL&gt;&lt;Q&gt;GBPUSD^FG_PRICE(43581)&lt;/Q&gt;&lt;R&gt;1&lt;/R&gt;&lt;C&gt;1&lt;/C&gt;&lt;D xsi:type="xsd:double"&gt;1.29355&lt;/D&gt;&lt;/FQL&gt;&lt;FQL&gt;&lt;Q&gt;GBPUSD^FG_PRICE(43577)&lt;/Q&gt;&lt;R&gt;1&lt;/R&gt;&lt;C&gt;1&lt;/C&gt;&lt;D xsi:type="xsd:double"&gt;1.29775&lt;/D&gt;&lt;/FQL&gt;&lt;FQL&gt;&lt;Q&gt;GBPUSD^FG_PRICE(43573)&lt;/Q&gt;&lt;R&gt;1&lt;/R&gt;&lt;C&gt;1&lt;/C&gt;&lt;D xsi:type="xsd:double"&gt;1.3009499&lt;/D&gt;&lt;/FQL&gt;&lt;FQL&gt;&lt;Q&gt;GBPUSD^FG_PRICE(43569)&lt;/Q&gt;&lt;R&gt;1&lt;/R&gt;&lt;C&gt;1&lt;/C&gt;&lt;D xsi:type="xsd:double"&gt;1.3101&lt;/D&gt;&lt;/FQL&gt;&lt;FQL&gt;&lt;Q&gt;GBPUSD^FG_PRICE(43565)&lt;/Q&gt;&lt;R&gt;1&lt;/R&gt;&lt;C&gt;1&lt;/C&gt;&lt;D xsi:type="xsd:double"&gt;1.3089&lt;/D&gt;&lt;/FQL&gt;&lt;FQL&gt;&lt;Q&gt;GBPUSD^FG_PRICE(43561)&lt;/Q&gt;&lt;R&gt;1&lt;/R&gt;&lt;C&gt;1&lt;/C&gt;&lt;D xsi:type="xsd:double"&gt;1.3010501&lt;/D&gt;&lt;/FQL&gt;&lt;FQL&gt;&lt;Q&gt;GBPUSD^FG_PRICE(43557)&lt;/Q&gt;&lt;R&gt;1&lt;/R&gt;&lt;C&gt;1&lt;/C&gt;&lt;D xsi:type="xsd:double"&gt;1.3031&lt;/D&gt;&lt;/FQL&gt;&lt;FQL&gt;&lt;Q&gt;GBPUSD^FG_PRICE(43553)&lt;/Q&gt;&lt;R&gt;1&lt;/R&gt;&lt;C&gt;1&lt;/C&gt;&lt;D xsi:type="xsd:double"&gt;1.30305&lt;/D&gt;&lt;/FQL&gt;&lt;FQL&gt;&lt;Q&gt;GBPUSD^FG_PRICE(43549)&lt;/Q&gt;&lt;R&gt;1&lt;/R&gt;&lt;C&gt;1&lt;/C&gt;&lt;D xsi:type="xsd:double"&gt;1.32005&lt;/D&gt;&lt;/FQL&gt;&lt;FQL&gt;&lt;Q&gt;GBPUSD^FG_PRICE(43545)&lt;/Q&gt;&lt;R&gt;1&lt;/R&gt;&lt;C&gt;1&lt;/C&gt;&lt;D xsi:type="xsd:double"&gt;1.3072&lt;/D&gt;&lt;/FQL&gt;&lt;FQL&gt;&lt;Q&gt;GBPUSD^FG_PRICE(43541)&lt;/Q&gt;&lt;R&gt;1&lt;/R&gt;&lt;C&gt;1&lt;/C&gt;&lt;D xsi:type="xsd:double"&gt;1.3276501&lt;/D&gt;&lt;/FQL&gt;&lt;FQL&gt;&lt;Q&gt;GBPUSD^FG_PRICE(43537)&lt;/Q&gt;&lt;R&gt;1&lt;/R&gt;&lt;C&gt;1&lt;/C&gt;&lt;D xsi:type="xsd:double"&gt;1.3227&lt;/D&gt;&lt;/FQL&gt;&lt;FQL&gt;&lt;Q&gt;GBPUSD^FG_PRICE(43533)&lt;/Q&gt;&lt;R&gt;1&lt;/R&gt;&lt;C&gt;1&lt;/C&gt;&lt;D xsi:type="xsd:double"&gt;1.3017&lt;/D&gt;&lt;/FQL&gt;&lt;FQL&gt;&lt;Q&gt;GBPUSD^FG_PRICE(43529)&lt;/Q&gt;&lt;R&gt;1&lt;/R&gt;&lt;C&gt;1&lt;/C&gt;&lt;D xsi:type="xsd:double"&gt;1.3112&lt;/D&gt;&lt;/FQL&gt;&lt;FQL&gt;&lt;Q&gt;GBPUSD^FG_PRICE(43525)&lt;/Q&gt;&lt;R&gt;1&lt;/R&gt;&lt;C&gt;1&lt;/C&gt;&lt;D xsi:type="xsd:double"&gt;1.32435&lt;/D&gt;&lt;/FQL&gt;&lt;FQL&gt;&lt;Q&gt;GBPUSD^FG_PRICE(43521)&lt;/Q&gt;&lt;R&gt;1&lt;/R&gt;&lt;C&gt;1&lt;/C&gt;&lt;D xsi:type="xsd:double"&gt;1.30665&lt;/D&gt;&lt;/FQL&gt;&lt;FQL&gt;&lt;Q&gt;GBPUSD^FG_PRICE(43517)&lt;/Q&gt;&lt;R&gt;1&lt;/R&gt;&lt;C&gt;1&lt;/C&gt;&lt;D xsi:type="xsd:double"&gt;1.30665&lt;/D&gt;&lt;/FQL&gt;&lt;FQL&gt;&lt;Q&gt;GBPUSD^FG_PRICE(43513)&lt;/Q&gt;&lt;R&gt;1&lt;/R&gt;&lt;C&gt;1&lt;/C&gt;&lt;D xsi:type="xsd:double"&gt;1.28475&lt;/D&gt;&lt;/FQL&gt;&lt;FQL&gt;&lt;Q&gt;GBPUSD^FG_PRICE(43509)&lt;/Q&gt;&lt;R&gt;1&lt;/R&gt;&lt;C&gt;1&lt;/C&gt;&lt;D xsi:type="xsd:double"&gt;1.2882&lt;/D&gt;&lt;/FQL&gt;&lt;FQL&gt;&lt;Q&gt;GBPUSD^FG_PRICE(43505)&lt;/Q&gt;&lt;R&gt;1&lt;/R&gt;&lt;C&gt;1&lt;/C&gt;&lt;D xsi:type="xsd:double"&gt;1.2944001&lt;/D&gt;&lt;/FQL&gt;&lt;FQL&gt;&lt;Q&gt;GBPUSD^FG_PRICE(43501)&lt;/Q&gt;&lt;R&gt;1&lt;/R&gt;&lt;C&gt;1&lt;/C&gt;&lt;D xsi:type="xsd:double"&gt;1.294&lt;/D&gt;&lt;/FQL&gt;&lt;FQL&gt;&lt;Q&gt;GBPUSD^FG_PRICE(43497)&lt;/Q&gt;&lt;R&gt;1&lt;/R&gt;&lt;C&gt;1&lt;/C&gt;&lt;D xsi:type="xsd:double"&gt;1.3093001&lt;/D&gt;&lt;/FQL&gt;&lt;FQL&gt;&lt;Q&gt;GBPUSD^FG_PRICE(43493)&lt;/Q&gt;&lt;R&gt;1&lt;/R&gt;&lt;C&gt;1&lt;/C&gt;&lt;D xsi:type="xsd:double"&gt;1.31555&lt;/D&gt;&lt;/FQL&gt;&lt;FQL&gt;&lt;Q&gt;GBPUSD^FG_PRICE(43489)&lt;/Q&gt;&lt;R&gt;1&lt;/R&gt;&lt;C&gt;1&lt;/C&gt;&lt;D xsi:type="xsd:double"&gt;1.3044&lt;/D&gt;&lt;/FQL&gt;&lt;FQL&gt;&lt;Q&gt;GBPUSD^FG_PRICE(43485)&lt;/Q&gt;&lt;R&gt;1&lt;/R&gt;&lt;C&gt;1&lt;/C&gt;&lt;D xsi:type="xsd:double"&gt;1.2906001&lt;/D&gt;&lt;/FQL&gt;&lt;FQL&gt;&lt;Q&gt;GBPUSD^FG_PRICE(43481)&lt;/Q&gt;&lt;R&gt;1&lt;/R&gt;&lt;C&gt;1&lt;/C&gt;&lt;D xsi:type="xsd:double"&gt;1.2860501&lt;/D&gt;&lt;/FQL&gt;&lt;FQL&gt;&lt;Q&gt;GBPUSD^FG_PRICE(43477)&lt;/Q&gt;&lt;R&gt;1&lt;/R&gt;&lt;C&gt;1&lt;/C&gt;&lt;D xsi:type="xsd:double"&gt;1.28225&lt;/D&gt;&lt;/FQL&gt;&lt;FQL&gt;&lt;Q&gt;GBPUSD^FG_PRICE(43473)&lt;/Q&gt;&lt;R&gt;1&lt;/R&gt;&lt;C&gt;1&lt;/C&gt;&lt;D xsi:type="xsd:double"&gt;1.2732&lt;/D&gt;&lt;/FQL&gt;&lt;FQL&gt;&lt;Q&gt;GBPUSD^FG_PRICE(43469)&lt;/Q&gt;&lt;R&gt;1&lt;/R&gt;&lt;C&gt;1&lt;/C&gt;&lt;D xsi:type="xsd:double"&gt;1.2720001&lt;/D&gt;&lt;/FQL&gt;&lt;FQL&gt;&lt;Q&gt;WIX-US^FE_ESTIMATE(EBITDA,MEAN,QTR_ROLL,2022/1F,NOW,,,'')&lt;/Q&gt;&lt;R&gt;1&lt;/R&gt;&lt;C&gt;1&lt;/C&gt;&lt;D xsi:type="xsd:double"&gt;-4.36&lt;/D&gt;&lt;/FQL&gt;&lt;FQL&gt;&lt;Q&gt;WIX-US^FE_ESTIMATE(EBITDA,MEAN,QTR_ROLL,2022/2F,NOW,,,'')&lt;/Q&gt;&lt;R&gt;1&lt;/R&gt;&lt;C&gt;1&lt;/C&gt;&lt;D xsi:type="xsd:double"&gt;-8.899143&lt;/D&gt;&lt;/FQL&gt;&lt;FQL&gt;&lt;Q&gt;EURUSD^FG_PRICE(44791)&lt;/Q&gt;&lt;R&gt;1&lt;/R&gt;&lt;C&gt;1&lt;/C&gt;&lt;D xsi:type="xsd:double"&gt;1.01295&lt;/D&gt;&lt;/FQL&gt;&lt;FQL&gt;&lt;Q&gt;EURUSD^FG_PRICE(44700)&lt;/Q&gt;&lt;R&gt;1&lt;/R&gt;&lt;C&gt;1&lt;/C&gt;&lt;D xsi:type="xsd:double"&gt;1.05895&lt;/D&gt;&lt;/FQL&gt;&lt;FQL&gt;&lt;Q&gt;GBPUSD^FG_PRICE(44655)&lt;/Q&gt;&lt;R&gt;1&lt;/R&gt;&lt;C&gt;1&lt;/C&gt;&lt;D xsi:type="xsd:double"&gt;1.31155&lt;/D&gt;&lt;/FQL&gt;&lt;FQL&gt;&lt;Q&gt;EURUSD^FG_PRICE(44563)&lt;/Q&gt;&lt;R&gt;1&lt;/R&gt;&lt;C&gt;1&lt;/C&gt;&lt;D xsi:type="xsd:double"&gt;1.1372&lt;/D&gt;&lt;/FQL&gt;&lt;FQL&gt;&lt;Q&gt;EURUSD^FG_PRICE(44476)&lt;/Q&gt;&lt;R&gt;1&lt;/R&gt;&lt;C&gt;1&lt;/C&gt;&lt;D xsi:type="xsd:double"&gt;1.15605&lt;/D&gt;&lt;/FQL&gt;&lt;FQL&gt;&lt;Q&gt;GBPUSD^FG_PRICE(44387)&lt;/Q&gt;&lt;R&gt;1&lt;/R&gt;&lt;C&gt;1&lt;/C&gt;&lt;D xsi:type="xsd:double"&gt;1.38335&lt;/D&gt;&lt;/FQL&gt;&lt;FQL&gt;&lt;Q&gt;EURUSD^FG_PRICE(44317)&lt;/Q&gt;&lt;R&gt;1&lt;/R&gt;&lt;C&gt;1&lt;/C&gt;&lt;D xsi:type="xsd:double"&gt;1.2038&lt;/D&gt;&lt;/FQL&gt;&lt;FQL&gt;&lt;Q&gt;GBPUSD^FG_PRICE(44252)&lt;/Q&gt;&lt;R&gt;1&lt;/R&gt;&lt;C&gt;1&lt;/C&gt;&lt;D xsi:type="xsd:double"&gt;1.41325&lt;/D&gt;&lt;/FQL&gt;&lt;FQL&gt;&lt;Q&gt;EURUSD^FG_PRICE(44183)&lt;/Q&gt;&lt;R&gt;1&lt;/R&gt;&lt;C&gt;1&lt;/C&gt;&lt;D xsi:type="xsd:double"&gt;1.22345&lt;/D&gt;&lt;/FQL&gt;&lt;FQL&gt;&lt;Q&gt;EURUSD^FG_PRICE(44115)&lt;/Q&gt;&lt;R&gt;1&lt;/R&gt;&lt;C&gt;1&lt;/C&gt;&lt;D xsi:type="xsd:double"&gt;1.18145&lt;/D&gt;&lt;/FQL&gt;&lt;FQL&gt;&lt;Q&gt;EURUSD^FG_PRICE(44069)&lt;/Q&gt;&lt;R&gt;1&lt;/R&gt;&lt;C&gt;1&lt;/C&gt;&lt;D xsi:type="xsd:double"&gt;1.1817499&lt;/D&gt;&lt;/FQL&gt;&lt;FQL&gt;&lt;Q&gt;EURUSD^FG_PRICE(44023)&lt;/Q&gt;&lt;R&gt;1&lt;/R&gt;&lt;C&gt;1&lt;/C&gt;&lt;D xsi:type="xsd:double"&gt;1.13185&lt;/D&gt;&lt;/FQL&gt;&lt;FQL&gt;&lt;Q&gt;EURUSD^FG_PRICE(43988)&lt;/Q&gt;&lt;R&gt;1&lt;/R&gt;&lt;C&gt;1&lt;/C&gt;&lt;D xsi:type="xsd:double"&gt;1.13135&lt;/D&gt;&lt;/FQL&gt;&lt;FQL&gt;&lt;Q&gt;GBPUSD^FG_PRICE(43955)&lt;/Q&gt;&lt;R&gt;1&lt;/R&gt;&lt;C&gt;1&lt;/C&gt;&lt;D xsi:type="xsd:double"&gt;1.2421&lt;/D&gt;&lt;/FQL&gt;&lt;FQL&gt;&lt;Q&gt;EURUSD^FG_PRICE(43920)&lt;/Q&gt;&lt;R&gt;1&lt;/R&gt;&lt;C&gt;1&lt;/C&gt;&lt;D xsi:type="xsd:double"&gt;1.10295&lt;/D&gt;&lt;/FQL&gt;&lt;FQL&gt;&lt;Q&gt;EURUSD^FG_PRICE(43885)&lt;/Q&gt;&lt;R&gt;1&lt;/R&gt;&lt;C&gt;1&lt;/C&gt;&lt;D xsi:type="xsd:double"&gt;1.08565&lt;/D&gt;&lt;/FQL&gt;&lt;FQL&gt;&lt;Q&gt;GBPUSD^FG_PRICE(43852)&lt;/Q&gt;&lt;R&gt;1&lt;/R&gt;&lt;C&gt;1&lt;/C&gt;&lt;D xsi:type="xsd:double"&gt;1.31405&lt;/D&gt;&lt;/FQL&gt;&lt;FQL&gt;&lt;Q&gt;EURUSD^FG_PRICE(43835)&lt;/Q&gt;&lt;R&gt;1&lt;/R&gt;&lt;C&gt;1&lt;/C&gt;&lt;D xsi:type="xsd:double"&gt;1.1165&lt;/D&gt;&lt;/FQL&gt;&lt;FQL&gt;&lt;Q&gt;EURUSD^FG_PRICE(43810)&lt;/Q&gt;&lt;R&gt;1&lt;/R&gt;&lt;C&gt;1&lt;/C&gt;&lt;D xsi:type="xsd:double"&gt;1.10855&lt;/D&gt;&lt;/FQL&gt;&lt;FQL&gt;&lt;Q&gt;EURUSD^FG_PRICE(43778)&lt;/Q&gt;&lt;R&gt;1&lt;/R&gt;&lt;C&gt;1&lt;/C&gt;&lt;D xsi:type="xsd:double"&gt;1.1021&lt;/D&gt;&lt;/FQL&gt;&lt;FQL&gt;&lt;Q&gt;EURUSD^FG_PRICE(43756)&lt;/Q&gt;&lt;R&gt;1&lt;/R&gt;&lt;C&gt;1&lt;/C&gt;&lt;D xsi:type="xsd:double"&gt;1.11395&lt;/D&gt;&lt;/FQL&gt;&lt;FQL&gt;&lt;Q&gt;GBPUSD^FG_PRICE(43734)&lt;/Q&gt;&lt;R&gt;1&lt;/R&gt;&lt;C&gt;1&lt;/C&gt;&lt;D xsi:type="xsd:double"&gt;1.23355&lt;/D&gt;&lt;/FQL&gt;&lt;FQL&gt;&lt;Q&gt;EURUSD^FG_PRICE(43716)&lt;/Q&gt;&lt;R&gt;1&lt;/R&gt;&lt;C&gt;1&lt;/C&gt;&lt;D xsi:type="xsd:double"&gt;1.10475&lt;/D&gt;&lt;/FQL&gt;&lt;FQL&gt;&lt;Q&gt;EURUSD^FG_PRICE(43700)&lt;/Q&gt;&lt;R&gt;1&lt;/R&gt;&lt;C&gt;1&lt;/C&gt;&lt;D xsi:type="xsd:double"&gt;1.11085&lt;/D&gt;&lt;/FQL&gt;&lt;FQL&gt;&lt;Q&gt;EURUSD^FG_PRICE(43684)&lt;/Q&gt;&lt;R&gt;1&lt;/R&gt;&lt;C&gt;1&lt;/C&gt;&lt;D xsi:type="xsd:double"&gt;1.12155&lt;/D&gt;&lt;/FQL&gt;&lt;FQL&gt;&lt;Q&gt;GBPUSD^FG_PRICE(43668)&lt;/Q&gt;&lt;R&gt;1&lt;/R&gt;&lt;C&gt;1&lt;/C&gt;&lt;D xsi:type="xsd:double"&gt;1.24965&lt;/D&gt;&lt;/FQL&gt;&lt;FQL&gt;&lt;Q&gt;EURUSD^FG_PRICE(43656)&lt;/Q&gt;&lt;R&gt;1&lt;/R&gt;&lt;C&gt;1&lt;/C&gt;&lt;D xsi:type="xsd:double"&gt;1.1251&lt;/D&gt;&lt;/FQL&gt;&lt;FQL&gt;&lt;Q&gt;EURUSD^FG_PRICE(43645)&lt;/Q&gt;&lt;R&gt;1&lt;/R&gt;&lt;C&gt;1&lt;/C&gt;&lt;D xsi:type="xsd:double"&gt;1.1388&lt;/D&gt;&lt;/FQL&gt;&lt;FQL&gt;&lt;Q&gt;EURUSD^FG_PRICE(43637)&lt;/Q&gt;&lt;R&gt;1&lt;/R&gt;&lt;C&gt;1&lt;/C&gt;&lt;D xsi:type="xsd:double"&gt;1.1320499&lt;/D&gt;&lt;/FQL&gt;&lt;FQL&gt;&lt;Q&gt;EURUSD^FG_PRICE(43629)&lt;/Q&gt;&lt;R&gt;1&lt;/R&gt;&lt;C&gt;1&lt;/C&gt;&lt;D xsi:type="xsd:double"&gt;1.1272501&lt;/D&gt;&lt;/FQL&gt;&lt;FQL&gt;&lt;Q&gt;EURUSD^FG_PRICE(43621)&lt;/Q&gt;&lt;R&gt;1&lt;/R&gt;&lt;C&gt;1&lt;/C&gt;&lt;D xsi:type="xsd:double"&gt;1.1262&lt;/D&gt;&lt;/FQL&gt;&lt;FQL&gt;&lt;Q&gt;EURUSD^FG_PRICE(43613)&lt;/Q&gt;&lt;R&gt;1&lt;/R&gt;&lt;C&gt;1&lt;/C&gt;&lt;D xsi:type="xsd:double"&gt;1.1174&lt;/D&gt;&lt;/FQL&gt;&lt;FQL&gt;&lt;Q&gt;EURUSD^FG_PRICE(43605)&lt;/Q&gt;&lt;R&gt;1&lt;/R&gt;&lt;C&gt;1&lt;/C&gt;&lt;D xsi:type="xsd:double"&gt;1.1165&lt;/D&gt;&lt;/FQL&gt;&lt;FQL&gt;&lt;Q&gt;EURUSD^FG_PRICE(43597)&lt;/Q&gt;&lt;R&gt;1&lt;/R&gt;&lt;C&gt;1&lt;/C&gt;&lt;D xsi:type="xsd:double"&gt;1.1244&lt;/D&gt;&lt;/FQL&gt;&lt;FQL&gt;&lt;Q&gt;EURUSD^FG_PRICE(43589)&lt;/Q&gt;&lt;R&gt;1&lt;/R&gt;&lt;C&gt;1&lt;/C&gt;&lt;D xsi:type="xsd:double"&gt;1.11875&lt;/D&gt;&lt;/FQL&gt;&lt;FQL&gt;&lt;Q&gt;EURUSD^FG_PRICE(43581)&lt;/Q&gt;&lt;R&gt;1&lt;/R&gt;&lt;C&gt;1&lt;/C&gt;&lt;D xsi:type="xsd:double"&gt;1.11625&lt;/D&gt;&lt;/FQL&gt;&lt;FQL&gt;&lt;Q&gt;EURUSD^FG_PRICE(43573)&lt;/Q&gt;&lt;R&gt;1&lt;/R&gt;&lt;C&gt;1&lt;/C&gt;&lt;D xsi:type="xsd:double"&gt;1.1243501&lt;/D&gt;&lt;/FQL&gt;&lt;FQL&gt;&lt;Q&gt;EURUSD^FG_PRICE(43565)&lt;/Q&gt;&lt;R&gt;1&lt;/R&gt;&lt;C&gt;1&lt;/C&gt;&lt;D xsi:type="xsd:double"&gt;1.1251&lt;/D&gt;&lt;/FQL&gt;&lt;FQL&gt;&lt;Q&gt;EURUSD^FG_PRICE(43557)&lt;/Q&gt;&lt;R&gt;1&lt;/R&gt;&lt;C&gt;1&lt;/C&gt;&lt;D xsi:type="xsd:double"&gt;1.11905&lt;/D&gt;&lt;/FQL&gt;&lt;FQL&gt;&lt;Q&gt;EURUSD^FG_PRICE(43549)&lt;/Q&gt;&lt;R&gt;1&lt;/R&gt;&lt;C&gt;1&lt;/C&gt;&lt;D xsi:type="xsd:double"&gt;1.13225&lt;/D&gt;&lt;/FQL&gt;&lt;FQL&gt;&lt;Q&gt;EURUSD^FG_PRICE(43541)&lt;/Q&gt;&lt;R&gt;1&lt;/R&gt;&lt;C&gt;1&lt;/C&gt;&lt;D xsi:type="xsd:double"&gt;1.1326&lt;/D&gt;&lt;/FQL&gt;&lt;FQL&gt;&lt;Q&gt;EURUSD^FG_PRICE(43533)&lt;/Q&gt;&lt;R&gt;1&lt;/R&gt;&lt;C&gt;1&lt;/C&gt;&lt;D xsi:type="xsd:double"&gt;1.12345&lt;/D&gt;&lt;/FQL&gt;&lt;FQL&gt;&lt;Q&gt;EURUSD^FG_PRICE(43525)&lt;/Q&gt;&lt;R&gt;1&lt;/R&gt;&lt;C&gt;1&lt;/C&gt;&lt;D xsi:type="xsd:double"&gt;1.13875&lt;/D&gt;&lt;/FQL&gt;&lt;FQL&gt;&lt;Q&gt;EURUSD^FG_PRICE(43517)&lt;/Q&gt;&lt;R&gt;1&lt;/R&gt;&lt;C&gt;1&lt;/C&gt;&lt;D xsi:type="xsd:double"&gt;1.13475&lt;/D&gt;&lt;/FQL&gt;&lt;FQL&gt;&lt;Q&gt;EURUSD^FG_PRICE(43509)&lt;/Q&gt;&lt;R&gt;1&lt;/R&gt;&lt;C&gt;1&lt;/C&gt;&lt;D xsi:type="xsd:double"&gt;1.12875&lt;/D&gt;&lt;/FQL&gt;&lt;FQL&gt;&lt;Q&gt;EURUSD^FG_PRICE(43493)&lt;/Q&gt;&lt;R&gt;1&lt;/R&gt;&lt;C&gt;1&lt;/C&gt;&lt;D xsi:type="xsd:double"&gt;1.1435499&lt;/D&gt;&lt;/FQL&gt;&lt;FQL&gt;&lt;Q&gt;EURUSD^FG_PRICE(43473)&lt;/Q&gt;&lt;R&gt;1&lt;/R&gt;&lt;C&gt;1&lt;/C&gt;&lt;D xsi:type="xsd:double"&gt;1.14415&lt;/D&gt;&lt;/FQL&gt;&lt;FQL&gt;&lt;Q&gt;GBPUSD^FG_PRICE(44648)&lt;/Q&gt;&lt;R&gt;1&lt;/R&gt;&lt;C&gt;1&lt;/C&gt;&lt;D xsi:type="xsd:double"&gt;1.3084501&lt;/D&gt;&lt;/FQL&gt;&lt;FQL&gt;&lt;Q&gt;EURUSD^FG_PRICE(44560)&lt;/Q&gt;&lt;R&gt;1&lt;/R&gt;&lt;C&gt;1&lt;/C&gt;&lt;D xsi:type="xsd:double"&gt;1.1331&lt;/D&gt;&lt;/FQL&gt;&lt;FQL&gt;&lt;Q&gt;EURUSD^FG_PRICE(44381)&lt;/Q&gt;&lt;R&gt;1&lt;/R&gt;&lt;C&gt;1&lt;/C&gt;&lt;D xsi:type="xsd:double"&gt;1.1843001&lt;/D&gt;&lt;/FQL&gt;&lt;FQL&gt;&lt;Q&gt;EURUSD^FG_PRICE(44247)&lt;/Q&gt;&lt;R&gt;1&lt;/R&gt;&lt;C&gt;1&lt;/C&gt;&lt;D xsi:type="xsd:double"&gt;1.2127&lt;/D&gt;&lt;/FQL&gt;&lt;FQL&gt;&lt;Q&gt;GBPUSD^FG_PRICE(44112)&lt;/Q&gt;&lt;R&gt;1&lt;/R&gt;&lt;C&gt;1&lt;/C&gt;&lt;D xsi:type="xsd:double"&gt;1.2929&lt;/D&gt;&lt;/FQL&gt;&lt;FQL&gt;&lt;Q&gt;GBPUSD^FG_PRICE(44003)&lt;/Q&gt;&lt;R&gt;1&lt;/R&gt;&lt;C&gt;1&lt;/C&gt;&lt;D xsi:type="xsd:double"&gt;1.2364&lt;/D&gt;&lt;/FQL&gt;&lt;FQL&gt;&lt;Q&gt;EURUSD^FG_PRICE(43936)&lt;/Q&gt;&lt;R&gt;1&lt;/R&gt;&lt;C&gt;1&lt;/C&gt;&lt;D xsi:type="xsd:double"&gt;1.0905&lt;/D&gt;&lt;/FQL&gt;&lt;FQL&gt;&lt;Q&gt;EURUSD^FG_PRICE(43849)&lt;/Q&gt;&lt;R&gt;1&lt;/R&gt;&lt;C&gt;1&lt;/C&gt;&lt;D xsi:type="xsd:double"&gt;1.1095&lt;/D&gt;&lt;/FQL&gt;&lt;FQL&gt;&lt;Q&gt;EURUSD^FG_PRICE(43798)&lt;/Q&gt;&lt;R&gt;1&lt;/R&gt;&lt;C&gt;1&lt;/C&gt;&lt;D xsi:type="xsd:double"&gt;1.1026&lt;/D&gt;&lt;/FQL&gt;&lt;FQL&gt;&lt;Q&gt;EURUSD^FG_PRICE(43744)&lt;/Q&gt;&lt;R&gt;1&lt;/R&gt;&lt;C&gt;1&lt;/C&gt;&lt;D xsi:type="xsd:double"&gt;1.09795&lt;/D&gt;&lt;/FQL&gt;&lt;FQL&gt;&lt;Q&gt;GBPUSD^FG_PRICE(43706)&lt;/Q&gt;&lt;R&gt;1&lt;/R&gt;&lt;C&gt;1&lt;/C&gt;&lt;D xsi:type="xsd:double"&gt;1.2204&lt;/D&gt;&lt;/FQL&gt;&lt;FQL&gt;&lt;Q&gt;EURUSD^FG_PRICE(43668)&lt;/Q&gt;&lt;R&gt;1&lt;/R&gt;&lt;C&gt;1&lt;/C&gt;&lt;D xsi:type="xsd:double"&gt;1.1222501&lt;/D&gt;&lt;/FQL&gt;&lt;FQL&gt;&lt;Q&gt;GBPUSD^FG_PRICE(43648)&lt;/Q&gt;&lt;R&gt;1&lt;/R&gt;&lt;C&gt;1&lt;/C&gt;&lt;D xsi:type="xsd:double"&gt;1.2593501&lt;/D&gt;&lt;/FQL&gt;&lt;FQL&gt;&lt;Q&gt;GBPUSD^FG_PRICE(43636)&lt;/Q&gt;&lt;R&gt;1&lt;/R&gt;&lt;C&gt;1&lt;/C&gt;&lt;D xsi:type="xsd:double"&gt;1.27005&lt;/D&gt;&lt;/FQL&gt;&lt;FQL&gt;&lt;Q&gt;GBPUSD^FG_PRICE(43612)&lt;/Q&gt;&lt;R&gt;1&lt;/R&gt;&lt;C&gt;1&lt;/C&gt;&lt;D xsi:type="xsd:double"&gt;1.2679499&lt;/D&gt;&lt;/FQL&gt;&lt;FQL&gt;&lt;Q&gt;GBPUSD^FG_PRICE(43596)&lt;/Q&gt;&lt;R&gt;1&lt;/R&gt;&lt;C&gt;1&lt;/C&gt;&lt;D xsi:type="xsd:double"&gt;1.3033&lt;/D&gt;&lt;/FQL&gt;&lt;FQL&gt;&lt;Q&gt;GBPUSD^FG_PRICE(43584)&lt;/Q&gt;&lt;R&gt;1&lt;/R&gt;&lt;C&gt;1&lt;/C&gt;&lt;D xsi:type="xsd:double"&gt;1.2923&lt;/D&gt;&lt;/FQL&gt;&lt;FQL&gt;&lt;Q&gt;GBPUSD^FG_PRICE(43568)&lt;/Q&gt;&lt;R&gt;1&lt;/R&gt;&lt;C&gt;1&lt;/C&gt;&lt;D xsi:type="xsd:double"&gt;1.3101&lt;/D&gt;&lt;/FQL&gt;&lt;FQL&gt;&lt;Q&gt;GBPUSD^FG_PRICE(43548)&lt;/Q&gt;&lt;R&gt;1&lt;/R&gt;&lt;C&gt;1&lt;/C&gt;&lt;D xsi:type="xsd:double"&gt;1.3219999&lt;/D&gt;&lt;/FQL&gt;&lt;FQL&gt;&lt;Q&gt;GBPUSD^FG_PRICE(43532)&lt;/Q&gt;&lt;R&gt;1&lt;/R&gt;&lt;C&gt;1&lt;/C&gt;&lt;D xsi:type="xsd:double"&gt;1.3017&lt;/D&gt;&lt;/FQL&gt;&lt;FQL&gt;&lt;Q&gt;GBPUSD^FG_PRICE(43512)&lt;/Q&gt;&lt;R&gt;1&lt;/R&gt;&lt;C&gt;1&lt;/C&gt;&lt;D xsi:type="xsd:double"&gt;1.28475&lt;/D&gt;&lt;/FQL&gt;&lt;FQL&gt;&lt;Q&gt;GBPUSD^FG_PRICE(43496)&lt;/Q&gt;&lt;R&gt;1&lt;/R&gt;&lt;C&gt;1&lt;/C&gt;&lt;D xsi:type="xsd:double"&gt;1.31545&lt;/D&gt;&lt;/FQL&gt;&lt;FQL&gt;&lt;Q&gt;GBPUSD^FG_PRICE(43476)&lt;/Q&gt;&lt;R&gt;1&lt;/R&gt;&lt;C&gt;1&lt;/C&gt;&lt;D xsi:type="xsd:double"&gt;1.28225&lt;/D&gt;&lt;/FQL&gt;&lt;/Schema&gt;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McTernan, Bernard</author>
    <author>Crist, Stefanos</author>
    <author>Lutsch, Justin</author>
    <author>Pierce, Chris</author>
    <author>Tan, Spencer</author>
  </authors>
  <commentList>
    <comment ref="AP30" authorId="0" shapeId="0" xr:uid="{9C53BC2E-9309-4532-8934-9ED5300C5B5D}">
      <text>
        <r>
          <rPr>
            <b/>
            <sz val="9"/>
            <color indexed="81"/>
            <rFont val="Tahoma"/>
            <family val="2"/>
          </rPr>
          <t>McTernan, Bernard:</t>
        </r>
        <r>
          <rPr>
            <sz val="9"/>
            <color indexed="81"/>
            <rFont val="Tahoma"/>
            <family val="2"/>
          </rPr>
          <t xml:space="preserve">
flat YoY</t>
        </r>
      </text>
    </comment>
    <comment ref="AJ32" authorId="0" shapeId="0" xr:uid="{E72628FA-DAD5-4A17-B893-F6B10CB56837}">
      <text>
        <r>
          <rPr>
            <b/>
            <sz val="9"/>
            <color indexed="81"/>
            <rFont val="Tahoma"/>
            <family val="2"/>
          </rPr>
          <t>McTernan, Bernard:</t>
        </r>
        <r>
          <rPr>
            <sz val="9"/>
            <color indexed="81"/>
            <rFont val="Tahoma"/>
            <family val="2"/>
          </rPr>
          <t xml:space="preserve">
positive</t>
        </r>
      </text>
    </comment>
    <comment ref="AP32" authorId="0" shapeId="0" xr:uid="{C24EB14D-F5AD-47AE-9D69-E4F7DAB1BC39}">
      <text>
        <r>
          <rPr>
            <b/>
            <sz val="9"/>
            <color indexed="81"/>
            <rFont val="Tahoma"/>
            <family val="2"/>
          </rPr>
          <t>McTernan, Bernard:</t>
        </r>
        <r>
          <rPr>
            <sz val="9"/>
            <color indexed="81"/>
            <rFont val="Tahoma"/>
            <family val="2"/>
          </rPr>
          <t xml:space="preserve">
&gt;$100M</t>
        </r>
      </text>
    </comment>
    <comment ref="AP41" authorId="0" shapeId="0" xr:uid="{EC7B74B3-66C9-4D59-9616-FDD2B6959AE5}">
      <text>
        <r>
          <rPr>
            <b/>
            <sz val="9"/>
            <color indexed="81"/>
            <rFont val="Tahoma"/>
            <family val="2"/>
          </rPr>
          <t>McTernan, Bernard:</t>
        </r>
        <r>
          <rPr>
            <sz val="9"/>
            <color indexed="81"/>
            <rFont val="Tahoma"/>
            <family val="2"/>
          </rPr>
          <t xml:space="preserve">
17M to 19M</t>
        </r>
      </text>
    </comment>
    <comment ref="AP45" authorId="1" shapeId="0" xr:uid="{05AA34BE-D2AD-4C88-B82D-E23EE2F71DBC}">
      <text>
        <r>
          <rPr>
            <b/>
            <sz val="9"/>
            <color indexed="81"/>
            <rFont val="Tahoma"/>
            <family val="2"/>
          </rPr>
          <t>Crist, Stefanos:</t>
        </r>
        <r>
          <rPr>
            <sz val="9"/>
            <color indexed="81"/>
            <rFont val="Tahoma"/>
            <family val="2"/>
          </rPr>
          <t xml:space="preserve">
14% of revenue</t>
        </r>
      </text>
    </comment>
    <comment ref="B48" authorId="2" shapeId="0" xr:uid="{1493D2B3-31AF-47ED-AB22-F3CBCC4EDE7D}">
      <text>
        <r>
          <rPr>
            <b/>
            <sz val="8"/>
            <color indexed="81"/>
            <rFont val="Tahoma"/>
            <family val="2"/>
          </rPr>
          <t>Lutsch, Justin:</t>
        </r>
        <r>
          <rPr>
            <sz val="8"/>
            <color indexed="81"/>
            <rFont val="Tahoma"/>
            <family val="2"/>
          </rPr>
          <t xml:space="preserve">
Consists of amort of debt discount, unrealized gain on equity, non-operating foreign exchange, and provision for income tax effects</t>
        </r>
      </text>
    </comment>
    <comment ref="AM48" authorId="0" shapeId="0" xr:uid="{725BBE8F-DF81-48BF-83D8-FCC3BC5A7E5F}">
      <text>
        <r>
          <rPr>
            <b/>
            <sz val="9"/>
            <color indexed="81"/>
            <rFont val="Tahoma"/>
            <family val="2"/>
          </rPr>
          <t>McTernan, Bernard:</t>
        </r>
        <r>
          <rPr>
            <sz val="9"/>
            <color indexed="81"/>
            <rFont val="Tahoma"/>
            <family val="2"/>
          </rPr>
          <t xml:space="preserve">
restructuring</t>
        </r>
      </text>
    </comment>
    <comment ref="AT78" authorId="0" shapeId="0" xr:uid="{674D0C33-0E8B-43F7-B852-A570ABA86BEC}">
      <text>
        <r>
          <rPr>
            <b/>
            <sz val="9"/>
            <color indexed="81"/>
            <rFont val="Tahoma"/>
            <family val="2"/>
          </rPr>
          <t>McTernan, Bernard:</t>
        </r>
        <r>
          <rPr>
            <sz val="9"/>
            <color indexed="81"/>
            <rFont val="Tahoma"/>
            <family val="2"/>
          </rPr>
          <t xml:space="preserve">
expect to end the year with 62-63M shares</t>
        </r>
      </text>
    </comment>
    <comment ref="AX82" authorId="1" shapeId="0" xr:uid="{270ECBB3-C759-4624-BD6A-9805F6E53F48}">
      <text>
        <r>
          <rPr>
            <b/>
            <sz val="9"/>
            <color indexed="81"/>
            <rFont val="Tahoma"/>
            <family val="2"/>
          </rPr>
          <t>Crist, Stefanos:</t>
        </r>
        <r>
          <rPr>
            <sz val="9"/>
            <color indexed="81"/>
            <rFont val="Tahoma"/>
            <family val="2"/>
          </rPr>
          <t xml:space="preserve">
acquisition costs</t>
        </r>
      </text>
    </comment>
    <comment ref="AP83" authorId="0" shapeId="0" xr:uid="{C21A740F-C83B-4016-B31F-154D86E95D90}">
      <text>
        <r>
          <rPr>
            <b/>
            <sz val="9"/>
            <color indexed="81"/>
            <rFont val="Tahoma"/>
            <family val="2"/>
          </rPr>
          <t>McTernan, Bernard:</t>
        </r>
        <r>
          <rPr>
            <sz val="9"/>
            <color indexed="81"/>
            <rFont val="Tahoma"/>
            <family val="2"/>
          </rPr>
          <t xml:space="preserve">
&gt;$3.50</t>
        </r>
      </text>
    </comment>
    <comment ref="AP97" authorId="0" shapeId="0" xr:uid="{2DEEB10D-C581-4C7A-B687-01429F6D2A0C}">
      <text>
        <r>
          <rPr>
            <b/>
            <sz val="9"/>
            <color indexed="81"/>
            <rFont val="Tahoma"/>
            <family val="2"/>
          </rPr>
          <t>McTernan, Bernard:</t>
        </r>
        <r>
          <rPr>
            <sz val="9"/>
            <color indexed="81"/>
            <rFont val="Tahoma"/>
            <family val="2"/>
          </rPr>
          <t xml:space="preserve">
Guide raised to 68%</t>
        </r>
      </text>
    </comment>
    <comment ref="AU97" authorId="0" shapeId="0" xr:uid="{2D85979A-9B8A-4917-96AB-585E28EA8285}">
      <text>
        <r>
          <rPr>
            <b/>
            <sz val="9"/>
            <color indexed="81"/>
            <rFont val="Tahoma"/>
            <family val="2"/>
          </rPr>
          <t>McTernan, Bernard:</t>
        </r>
        <r>
          <rPr>
            <sz val="9"/>
            <color indexed="81"/>
            <rFont val="Tahoma"/>
            <family val="2"/>
          </rPr>
          <t xml:space="preserve">
69%, was 68-69%</t>
        </r>
      </text>
    </comment>
    <comment ref="AZ97" authorId="1" shapeId="0" xr:uid="{0EFA43C7-C6F8-4E37-81D5-0C04DA65A362}">
      <text>
        <r>
          <rPr>
            <b/>
            <sz val="9"/>
            <color indexed="81"/>
            <rFont val="Tahoma"/>
            <family val="2"/>
          </rPr>
          <t>Crist, Stefanos:</t>
        </r>
        <r>
          <rPr>
            <sz val="9"/>
            <color indexed="81"/>
            <rFont val="Tahoma"/>
            <family val="2"/>
          </rPr>
          <t xml:space="preserve">
68-69%</t>
        </r>
      </text>
    </comment>
    <comment ref="AP98" authorId="0" shapeId="0" xr:uid="{AEB7E5FA-7373-4D32-8F14-5D8AEE193352}">
      <text>
        <r>
          <rPr>
            <b/>
            <sz val="9"/>
            <color indexed="81"/>
            <rFont val="Tahoma"/>
            <family val="2"/>
          </rPr>
          <t>McTernan, Bernard:</t>
        </r>
        <r>
          <rPr>
            <sz val="9"/>
            <color indexed="81"/>
            <rFont val="Tahoma"/>
            <family val="2"/>
          </rPr>
          <t xml:space="preserve">
53-54%</t>
        </r>
      </text>
    </comment>
    <comment ref="AU98" authorId="0" shapeId="0" xr:uid="{462EB1FB-94A5-4424-86B4-FF650568A931}">
      <text>
        <r>
          <rPr>
            <b/>
            <sz val="9"/>
            <color indexed="81"/>
            <rFont val="Tahoma"/>
            <family val="2"/>
          </rPr>
          <t>McTernan, Bernard:</t>
        </r>
        <r>
          <rPr>
            <sz val="9"/>
            <color indexed="81"/>
            <rFont val="Tahoma"/>
            <family val="2"/>
          </rPr>
          <t xml:space="preserve">
49% 3Q24
~50% 2Q24
50-51% 1Q24 
</t>
        </r>
      </text>
    </comment>
    <comment ref="AZ98" authorId="0" shapeId="0" xr:uid="{0D0CFF72-59BF-4AF3-BA53-41E1E5DFED15}">
      <text>
        <r>
          <rPr>
            <b/>
            <sz val="9"/>
            <color indexed="81"/>
            <rFont val="Tahoma"/>
            <family val="2"/>
          </rPr>
          <t>McTernan, Bernard:</t>
        </r>
        <r>
          <rPr>
            <sz val="9"/>
            <color indexed="81"/>
            <rFont val="Tahoma"/>
            <family val="2"/>
          </rPr>
          <t xml:space="preserve">
50%, was 49%</t>
        </r>
      </text>
    </comment>
    <comment ref="AP99" authorId="0" shapeId="0" xr:uid="{10E8FEBC-F793-43B3-90FA-C200144E9F38}">
      <text>
        <r>
          <rPr>
            <b/>
            <sz val="9"/>
            <color indexed="81"/>
            <rFont val="Tahoma"/>
            <family val="2"/>
          </rPr>
          <t>McTernan, Bernard:</t>
        </r>
        <r>
          <rPr>
            <sz val="9"/>
            <color indexed="81"/>
            <rFont val="Tahoma"/>
            <family val="2"/>
          </rPr>
          <t xml:space="preserve">
23-24%%</t>
        </r>
      </text>
    </comment>
    <comment ref="AO107" authorId="1" shapeId="0" xr:uid="{364D4655-AB6B-4B1D-B773-637D64BF7877}">
      <text>
        <r>
          <rPr>
            <b/>
            <sz val="9"/>
            <color indexed="81"/>
            <rFont val="Tahoma"/>
            <family val="2"/>
          </rPr>
          <t>Crist, Stefanos:</t>
        </r>
        <r>
          <rPr>
            <sz val="9"/>
            <color indexed="81"/>
            <rFont val="Tahoma"/>
            <family val="2"/>
          </rPr>
          <t xml:space="preserve">
15% exiting FY23</t>
        </r>
      </text>
    </comment>
    <comment ref="AZ107" authorId="1" shapeId="0" xr:uid="{09B7F00B-CE4F-4056-B193-3EC41701F078}">
      <text>
        <r>
          <rPr>
            <b/>
            <sz val="9"/>
            <color indexed="81"/>
            <rFont val="Tahoma"/>
            <family val="2"/>
          </rPr>
          <t>Crist, Stefanos:</t>
        </r>
        <r>
          <rPr>
            <sz val="9"/>
            <color indexed="81"/>
            <rFont val="Tahoma"/>
            <family val="2"/>
          </rPr>
          <t xml:space="preserve">
30% or $600M of FCF</t>
        </r>
      </text>
    </comment>
    <comment ref="B152" authorId="3" shapeId="0" xr:uid="{39E1C670-39DA-4067-A7D8-949F5B49A71C}">
      <text>
        <r>
          <rPr>
            <b/>
            <sz val="9"/>
            <color indexed="81"/>
            <rFont val="Tahoma"/>
            <family val="2"/>
          </rPr>
          <t>Pierce, Chris:</t>
        </r>
        <r>
          <rPr>
            <sz val="9"/>
            <color indexed="81"/>
            <rFont val="Tahoma"/>
            <family val="2"/>
          </rPr>
          <t xml:space="preserve">
non GAAP as of 1Q20</t>
        </r>
      </text>
    </comment>
    <comment ref="AP154" authorId="0" shapeId="0" xr:uid="{574AA8C7-BFA1-4E39-8191-45E140C83DCE}">
      <text>
        <r>
          <rPr>
            <b/>
            <sz val="9"/>
            <color indexed="81"/>
            <rFont val="Tahoma"/>
            <family val="2"/>
          </rPr>
          <t>McTernan, Bernard:</t>
        </r>
        <r>
          <rPr>
            <sz val="9"/>
            <color indexed="81"/>
            <rFont val="Tahoma"/>
            <family val="2"/>
          </rPr>
          <t xml:space="preserve">
82%</t>
        </r>
      </text>
    </comment>
    <comment ref="AF170" authorId="3" shapeId="0" xr:uid="{2E04B284-7CA9-4A39-B0C6-7FBDD78CE9E6}">
      <text>
        <r>
          <rPr>
            <b/>
            <sz val="9"/>
            <color indexed="81"/>
            <rFont val="Tahoma"/>
            <family val="2"/>
          </rPr>
          <t>Pierce, Chris:</t>
        </r>
        <r>
          <rPr>
            <sz val="9"/>
            <color indexed="81"/>
            <rFont val="Tahoma"/>
            <family val="2"/>
          </rPr>
          <t xml:space="preserve">
10B guide</t>
        </r>
      </text>
    </comment>
    <comment ref="AI170" authorId="0" shapeId="0" xr:uid="{AC3B9D62-148D-489C-88AA-DB2DD048DA8C}">
      <text>
        <r>
          <rPr>
            <b/>
            <sz val="9"/>
            <color indexed="81"/>
            <rFont val="Tahoma"/>
            <family val="2"/>
          </rPr>
          <t>McTernan, Bernard:</t>
        </r>
        <r>
          <rPr>
            <sz val="9"/>
            <color indexed="81"/>
            <rFont val="Tahoma"/>
            <family val="2"/>
          </rPr>
          <t xml:space="preserve">
flat YoY</t>
        </r>
      </text>
    </comment>
    <comment ref="AK170" authorId="0" shapeId="0" xr:uid="{F94B3692-114D-4BFA-AD3C-9975DD7073B6}">
      <text>
        <r>
          <rPr>
            <b/>
            <sz val="9"/>
            <color indexed="81"/>
            <rFont val="Tahoma"/>
            <family val="2"/>
          </rPr>
          <t>McTernan, Bernard:</t>
        </r>
        <r>
          <rPr>
            <sz val="9"/>
            <color indexed="81"/>
            <rFont val="Tahoma"/>
            <family val="2"/>
          </rPr>
          <t xml:space="preserve">
$10.3B</t>
        </r>
      </text>
    </comment>
    <comment ref="AL170" authorId="0" shapeId="0" xr:uid="{8221EC17-AD07-41D1-95A8-25886F67B06C}">
      <text>
        <r>
          <rPr>
            <b/>
            <sz val="9"/>
            <color indexed="81"/>
            <rFont val="Tahoma"/>
            <family val="2"/>
          </rPr>
          <t>McTernan, Bernard:</t>
        </r>
        <r>
          <rPr>
            <sz val="9"/>
            <color indexed="81"/>
            <rFont val="Tahoma"/>
            <family val="2"/>
          </rPr>
          <t xml:space="preserve">
2.7B</t>
        </r>
      </text>
    </comment>
    <comment ref="AN170" authorId="0" shapeId="0" xr:uid="{DA80B70E-CB0D-4573-971B-6066CDB15313}">
      <text>
        <r>
          <rPr>
            <b/>
            <sz val="9"/>
            <color indexed="81"/>
            <rFont val="Tahoma"/>
            <family val="2"/>
          </rPr>
          <t>McTernan, Bernard:</t>
        </r>
        <r>
          <rPr>
            <sz val="9"/>
            <color indexed="81"/>
            <rFont val="Tahoma"/>
            <family val="2"/>
          </rPr>
          <t xml:space="preserve">
2.9B, +14% YoY</t>
        </r>
      </text>
    </comment>
    <comment ref="AO170" authorId="1" shapeId="0" xr:uid="{018E95FB-6D59-4DC3-987A-667FB601F6BF}">
      <text>
        <r>
          <rPr>
            <b/>
            <sz val="9"/>
            <color indexed="81"/>
            <rFont val="Tahoma"/>
            <family val="2"/>
          </rPr>
          <t>Crist, Stefanos:</t>
        </r>
        <r>
          <rPr>
            <sz val="9"/>
            <color indexed="81"/>
            <rFont val="Tahoma"/>
            <family val="2"/>
          </rPr>
          <t xml:space="preserve">
13.5% Y/y growth, $3.0</t>
        </r>
      </text>
    </comment>
    <comment ref="AS170" authorId="1" shapeId="0" xr:uid="{4138DAE0-B096-4D29-B9C2-1E828C54678E}">
      <text>
        <r>
          <rPr>
            <b/>
            <sz val="9"/>
            <color indexed="81"/>
            <rFont val="Tahoma"/>
            <family val="2"/>
          </rPr>
          <t>Crist, Stefanos:</t>
        </r>
        <r>
          <rPr>
            <sz val="9"/>
            <color indexed="81"/>
            <rFont val="Tahoma"/>
            <family val="2"/>
          </rPr>
          <t xml:space="preserve">
14% growth YoY</t>
        </r>
      </text>
    </comment>
    <comment ref="AU170" authorId="1" shapeId="0" xr:uid="{19149AE6-59B4-4D8F-9C73-7BD60CDFB509}">
      <text>
        <r>
          <rPr>
            <b/>
            <sz val="9"/>
            <color indexed="81"/>
            <rFont val="Tahoma"/>
            <family val="2"/>
          </rPr>
          <t>Crist, Stefanos:</t>
        </r>
        <r>
          <rPr>
            <sz val="9"/>
            <color indexed="81"/>
            <rFont val="Tahoma"/>
            <family val="2"/>
          </rPr>
          <t xml:space="preserve">
$13.0B FY24, slide deck 4Q</t>
        </r>
      </text>
    </comment>
    <comment ref="B182" authorId="3" shapeId="0" xr:uid="{12854805-0341-42FC-8500-A2EFDF7C22C4}">
      <text>
        <r>
          <rPr>
            <b/>
            <sz val="9"/>
            <color indexed="81"/>
            <rFont val="Tahoma"/>
            <family val="2"/>
          </rPr>
          <t>Pierce, Chris:</t>
        </r>
        <r>
          <rPr>
            <sz val="9"/>
            <color indexed="81"/>
            <rFont val="Tahoma"/>
            <family val="2"/>
          </rPr>
          <t xml:space="preserve">
non GAAP as of 1Q20</t>
        </r>
      </text>
    </comment>
    <comment ref="AP184" authorId="0" shapeId="0" xr:uid="{3BAB00C7-EBC6-47BC-B902-B711F5E1075D}">
      <text>
        <r>
          <rPr>
            <b/>
            <sz val="9"/>
            <color indexed="81"/>
            <rFont val="Tahoma"/>
            <family val="2"/>
          </rPr>
          <t>McTernan, Bernard:</t>
        </r>
        <r>
          <rPr>
            <sz val="9"/>
            <color indexed="81"/>
            <rFont val="Tahoma"/>
            <family val="2"/>
          </rPr>
          <t xml:space="preserve">
28%</t>
        </r>
      </text>
    </comment>
    <comment ref="AU184" authorId="0" shapeId="0" xr:uid="{A90D6E60-0447-4687-B860-294143573ADB}">
      <text>
        <r>
          <rPr>
            <b/>
            <sz val="9"/>
            <color indexed="81"/>
            <rFont val="Tahoma"/>
            <family val="2"/>
          </rPr>
          <t>McTernan, Bernard:</t>
        </r>
        <r>
          <rPr>
            <sz val="9"/>
            <color indexed="81"/>
            <rFont val="Tahoma"/>
            <family val="2"/>
          </rPr>
          <t xml:space="preserve">
Exceed 30% 3Q24 Earnings</t>
        </r>
      </text>
    </comment>
    <comment ref="AB245" authorId="3" shapeId="0" xr:uid="{3BD1ED0C-88AF-4EB6-8403-9C9B2410FA82}">
      <text>
        <r>
          <rPr>
            <b/>
            <sz val="9"/>
            <color indexed="81"/>
            <rFont val="Tahoma"/>
            <family val="2"/>
          </rPr>
          <t>Pierce, Chris:</t>
        </r>
        <r>
          <rPr>
            <sz val="9"/>
            <color indexed="81"/>
            <rFont val="Tahoma"/>
            <family val="2"/>
          </rPr>
          <t xml:space="preserve">
WIX stopped providing these metrics quarterly. Provided directional context in shareholder letter.
</t>
        </r>
        <r>
          <rPr>
            <b/>
            <sz val="9"/>
            <color indexed="81"/>
            <rFont val="Tahoma"/>
            <family val="2"/>
          </rPr>
          <t>In Q1 2021, over 7.5 million new users came to Wix to build an online
presence, bringing our total registered users to over 204 million.</t>
        </r>
      </text>
    </comment>
    <comment ref="V250" authorId="4" shapeId="0" xr:uid="{00000000-0006-0000-0200-000002000000}">
      <text>
        <r>
          <rPr>
            <b/>
            <sz val="9"/>
            <color indexed="81"/>
            <rFont val="Tahoma"/>
            <family val="2"/>
          </rPr>
          <t>Tan, Spencer:</t>
        </r>
        <r>
          <rPr>
            <sz val="9"/>
            <color indexed="81"/>
            <rFont val="Tahoma"/>
            <family val="2"/>
          </rPr>
          <t xml:space="preserve">
450-500k</t>
        </r>
      </text>
    </comment>
    <comment ref="AB250" authorId="3" shapeId="0" xr:uid="{71AD0261-43E9-4A4D-B78A-50151B90C343}">
      <text>
        <r>
          <rPr>
            <b/>
            <sz val="9"/>
            <color indexed="81"/>
            <rFont val="Tahoma"/>
            <family val="2"/>
          </rPr>
          <t>Pierce, Chris:</t>
        </r>
        <r>
          <rPr>
            <sz val="9"/>
            <color indexed="81"/>
            <rFont val="Tahoma"/>
            <family val="2"/>
          </rPr>
          <t xml:space="preserve">
Directional only. From the shareholder letter:
</t>
        </r>
        <r>
          <rPr>
            <b/>
            <sz val="9"/>
            <color indexed="81"/>
            <rFont val="Tahoma"/>
            <family val="2"/>
          </rPr>
          <t>The strong results in Creative Subscriptions were driven by the continued addition of premium subscriptions during the quarter -- which on a net basis were nearly 50% more in Q1 2021 than the year ago quarter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Lutsch, Justin</author>
    <author>McTernan, Bernard</author>
  </authors>
  <commentList>
    <comment ref="D6" authorId="0" shapeId="0" xr:uid="{7C3283B2-F425-4E78-97DA-7D4AC7781958}">
      <text>
        <r>
          <rPr>
            <b/>
            <sz val="9"/>
            <color indexed="81"/>
            <rFont val="Tahoma"/>
            <family val="2"/>
          </rPr>
          <t>Lutsch, Justin:</t>
        </r>
        <r>
          <rPr>
            <sz val="9"/>
            <color indexed="81"/>
            <rFont val="Tahoma"/>
            <family val="2"/>
          </rPr>
          <t xml:space="preserve">
from 1Q22 sharedholder slides</t>
        </r>
      </text>
    </comment>
    <comment ref="E6" authorId="0" shapeId="0" xr:uid="{A3D26766-C440-424E-8E37-5560B082E5A9}">
      <text>
        <r>
          <rPr>
            <b/>
            <sz val="9"/>
            <color indexed="81"/>
            <rFont val="Tahoma"/>
            <family val="2"/>
          </rPr>
          <t>Lutsch, Justin:</t>
        </r>
        <r>
          <rPr>
            <sz val="9"/>
            <color indexed="81"/>
            <rFont val="Tahoma"/>
            <family val="2"/>
          </rPr>
          <t xml:space="preserve">
from 1Q22 sharedholder slides</t>
        </r>
      </text>
    </comment>
    <comment ref="F6" authorId="0" shapeId="0" xr:uid="{169369FC-E9E4-427E-9271-EDF47E177F93}">
      <text>
        <r>
          <rPr>
            <b/>
            <sz val="9"/>
            <color indexed="81"/>
            <rFont val="Tahoma"/>
            <family val="2"/>
          </rPr>
          <t>Lutsch, Justin:</t>
        </r>
        <r>
          <rPr>
            <sz val="9"/>
            <color indexed="81"/>
            <rFont val="Tahoma"/>
            <family val="2"/>
          </rPr>
          <t xml:space="preserve">
from 1Q22 sharedholder slides</t>
        </r>
      </text>
    </comment>
    <comment ref="AI6" authorId="1" shapeId="0" xr:uid="{9042EB69-4CBD-4750-AE82-B6582EB950FB}">
      <text>
        <r>
          <rPr>
            <b/>
            <sz val="9"/>
            <color indexed="81"/>
            <rFont val="Tahoma"/>
            <family val="2"/>
          </rPr>
          <t>McTernan, Bernard:</t>
        </r>
        <r>
          <rPr>
            <sz val="9"/>
            <color indexed="81"/>
            <rFont val="Tahoma"/>
            <family val="2"/>
          </rPr>
          <t xml:space="preserve">
vistaprint hitting</t>
        </r>
      </text>
    </comment>
    <comment ref="AL6" authorId="1" shapeId="0" xr:uid="{83037310-9891-49B1-9B61-F43CD64DD1C0}">
      <text>
        <r>
          <rPr>
            <b/>
            <sz val="9"/>
            <color indexed="81"/>
            <rFont val="Tahoma"/>
            <family val="2"/>
          </rPr>
          <t>McTernan, Bernard:</t>
        </r>
        <r>
          <rPr>
            <sz val="9"/>
            <color indexed="81"/>
            <rFont val="Tahoma"/>
            <family val="2"/>
          </rPr>
          <t xml:space="preserve">
legalzoom expected to start in '23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Pierce, Chris</author>
    <author>Crist, Stefanos</author>
    <author>McTernan, Bernard</author>
  </authors>
  <commentList>
    <comment ref="AG8" authorId="0" shapeId="0" xr:uid="{0A52FE79-6838-4D8D-971D-CBCD0F031F04}">
      <text>
        <r>
          <rPr>
            <b/>
            <sz val="9"/>
            <color indexed="81"/>
            <rFont val="Tahoma"/>
            <family val="2"/>
          </rPr>
          <t>Pierce, Chris:</t>
        </r>
        <r>
          <rPr>
            <sz val="9"/>
            <color indexed="81"/>
            <rFont val="Tahoma"/>
            <family val="2"/>
          </rPr>
          <t xml:space="preserve">
don’t use Q4 as a go fwd, Q1-3 better as a guide</t>
        </r>
      </text>
    </comment>
    <comment ref="AV30" authorId="1" shapeId="0" xr:uid="{5094EA11-BD2F-4166-A3A9-D5CBD538E374}">
      <text>
        <r>
          <rPr>
            <b/>
            <sz val="9"/>
            <color indexed="81"/>
            <rFont val="Tahoma"/>
            <family val="2"/>
          </rPr>
          <t>Crist, Stefanos:</t>
        </r>
        <r>
          <rPr>
            <sz val="9"/>
            <color indexed="81"/>
            <rFont val="Tahoma"/>
            <family val="2"/>
          </rPr>
          <t xml:space="preserve">
$200M in January </t>
        </r>
      </text>
    </comment>
    <comment ref="AX31" authorId="1" shapeId="0" xr:uid="{6D6E51F2-BB6A-434F-861E-1DB351271966}">
      <text>
        <r>
          <rPr>
            <b/>
            <sz val="9"/>
            <color indexed="81"/>
            <rFont val="Tahoma"/>
            <family val="2"/>
          </rPr>
          <t>Crist, Stefanos:</t>
        </r>
        <r>
          <rPr>
            <sz val="9"/>
            <color indexed="81"/>
            <rFont val="Tahoma"/>
            <family val="2"/>
          </rPr>
          <t xml:space="preserve">
August Convertible</t>
        </r>
      </text>
    </comment>
    <comment ref="AQ42" authorId="1" shapeId="0" xr:uid="{3B811400-0AB2-48BE-AD16-4F834AF2A1A6}">
      <text>
        <r>
          <rPr>
            <b/>
            <sz val="9"/>
            <color indexed="81"/>
            <rFont val="Tahoma"/>
            <family val="2"/>
          </rPr>
          <t>Crist, Stefanos:</t>
        </r>
        <r>
          <rPr>
            <sz val="9"/>
            <color indexed="81"/>
            <rFont val="Tahoma"/>
            <family val="2"/>
          </rPr>
          <t xml:space="preserve">
$8-10M in first half of the year</t>
        </r>
      </text>
    </comment>
    <comment ref="AU44" authorId="1" shapeId="0" xr:uid="{4A3BEBAB-051A-4FDF-ACB8-92325B7C8500}">
      <text>
        <r>
          <rPr>
            <b/>
            <sz val="9"/>
            <color indexed="81"/>
            <rFont val="Tahoma"/>
            <family val="2"/>
          </rPr>
          <t>Crist, Stefanos:</t>
        </r>
        <r>
          <rPr>
            <sz val="9"/>
            <color indexed="81"/>
            <rFont val="Tahoma"/>
            <family val="2"/>
          </rPr>
          <t xml:space="preserve">
$7-10M Guidance</t>
        </r>
      </text>
    </comment>
    <comment ref="AZ47" authorId="2" shapeId="0" xr:uid="{4DCB1566-E786-4C83-B74C-FC706B5E3795}">
      <text>
        <r>
          <rPr>
            <b/>
            <sz val="9"/>
            <color indexed="81"/>
            <rFont val="Tahoma"/>
            <family val="2"/>
          </rPr>
          <t>McTernan, Bernard:</t>
        </r>
        <r>
          <rPr>
            <sz val="9"/>
            <color indexed="81"/>
            <rFont val="Tahoma"/>
            <family val="2"/>
          </rPr>
          <t xml:space="preserve">
25% guide</t>
        </r>
      </text>
    </comment>
    <comment ref="BE47" authorId="2" shapeId="0" xr:uid="{8EFC0DCC-5E89-4109-AD89-976D644FDE38}">
      <text>
        <r>
          <rPr>
            <b/>
            <sz val="9"/>
            <color indexed="81"/>
            <rFont val="Tahoma"/>
            <family val="2"/>
          </rPr>
          <t>McTernan, Bernard:</t>
        </r>
        <r>
          <rPr>
            <sz val="9"/>
            <color indexed="81"/>
            <rFont val="Tahoma"/>
            <family val="2"/>
          </rPr>
          <t xml:space="preserve">
low to mid 20%</t>
        </r>
      </text>
    </comment>
    <comment ref="AU48" authorId="2" shapeId="0" xr:uid="{23B610C8-9ECC-433E-A0C4-121378751809}">
      <text>
        <r>
          <rPr>
            <b/>
            <sz val="9"/>
            <color indexed="81"/>
            <rFont val="Tahoma"/>
            <family val="2"/>
          </rPr>
          <t>McTernan, Bernard:</t>
        </r>
        <r>
          <rPr>
            <sz val="9"/>
            <color indexed="81"/>
            <rFont val="Tahoma"/>
            <family val="2"/>
          </rPr>
          <t xml:space="preserve">
483-488M: 3Q24</t>
        </r>
      </text>
    </comment>
    <comment ref="AO49" authorId="2" shapeId="0" xr:uid="{EA96763F-4077-49FF-A4D1-F43A9BC69879}">
      <text>
        <r>
          <rPr>
            <b/>
            <sz val="9"/>
            <color indexed="81"/>
            <rFont val="Tahoma"/>
            <family val="2"/>
          </rPr>
          <t>McTernan, Bernard:</t>
        </r>
        <r>
          <rPr>
            <sz val="9"/>
            <color indexed="81"/>
            <rFont val="Tahoma"/>
            <family val="2"/>
          </rPr>
          <t xml:space="preserve">
exit run rate of 12-13%
improved to 15%</t>
        </r>
      </text>
    </comment>
    <comment ref="AP49" authorId="2" shapeId="0" xr:uid="{155CB8E5-BB9B-4086-B682-8B582D9DFAD8}">
      <text>
        <r>
          <rPr>
            <b/>
            <sz val="9"/>
            <color indexed="81"/>
            <rFont val="Tahoma"/>
            <family val="2"/>
          </rPr>
          <t>McTernan, Bernard:</t>
        </r>
        <r>
          <rPr>
            <sz val="9"/>
            <color indexed="81"/>
            <rFont val="Tahoma"/>
            <family val="2"/>
          </rPr>
          <t xml:space="preserve">
10%-11%
improved to 13%</t>
        </r>
      </text>
    </comment>
    <comment ref="AP65" authorId="2" shapeId="0" xr:uid="{DB630FDC-2475-4125-918A-788655286F91}">
      <text>
        <r>
          <rPr>
            <b/>
            <sz val="9"/>
            <color indexed="81"/>
            <rFont val="Tahoma"/>
            <family val="2"/>
          </rPr>
          <t>McTernan, Bernard:</t>
        </r>
        <r>
          <rPr>
            <sz val="9"/>
            <color indexed="81"/>
            <rFont val="Tahoma"/>
            <family val="2"/>
          </rPr>
          <t xml:space="preserve">
14%</t>
        </r>
      </text>
    </comment>
  </commentList>
</comments>
</file>

<file path=xl/sharedStrings.xml><?xml version="1.0" encoding="utf-8"?>
<sst xmlns="http://schemas.openxmlformats.org/spreadsheetml/2006/main" count="503" uniqueCount="330">
  <si>
    <t>1Q16</t>
  </si>
  <si>
    <t>2Q16</t>
  </si>
  <si>
    <t>3Q16</t>
  </si>
  <si>
    <t>4Q16</t>
  </si>
  <si>
    <t>1Q17</t>
  </si>
  <si>
    <t>2Q17</t>
  </si>
  <si>
    <t>3Q17</t>
  </si>
  <si>
    <t>4Q17</t>
  </si>
  <si>
    <t>1Q18</t>
  </si>
  <si>
    <t>2Q18</t>
  </si>
  <si>
    <t>1Q20E</t>
  </si>
  <si>
    <t>2Q20E</t>
  </si>
  <si>
    <t>3Q20E</t>
  </si>
  <si>
    <t>4Q20E</t>
  </si>
  <si>
    <t>2020E</t>
  </si>
  <si>
    <t>Sales &amp; marketing</t>
  </si>
  <si>
    <t>Pretax income</t>
  </si>
  <si>
    <t>Taxes</t>
  </si>
  <si>
    <t>Net Income</t>
  </si>
  <si>
    <t>Basic Non-GAAP EPS</t>
  </si>
  <si>
    <t>Dilluted Non-GAAP EPS</t>
  </si>
  <si>
    <t>Basic Shares</t>
  </si>
  <si>
    <t>FCF</t>
  </si>
  <si>
    <t>FCF/Share</t>
  </si>
  <si>
    <t>D&amp;A</t>
  </si>
  <si>
    <t>Adjusted EBITDA</t>
  </si>
  <si>
    <t>Diluted Shares</t>
  </si>
  <si>
    <t>Mar</t>
  </si>
  <si>
    <t>Jun</t>
  </si>
  <si>
    <t>Sep</t>
  </si>
  <si>
    <t>Dec</t>
  </si>
  <si>
    <t>As Percent of Revenue</t>
  </si>
  <si>
    <t>Y/Y Growth</t>
  </si>
  <si>
    <t>Q/Q Growth</t>
  </si>
  <si>
    <t>Tax Rate</t>
  </si>
  <si>
    <t>Cash and cash equivalents</t>
  </si>
  <si>
    <t>Total Current Assets</t>
  </si>
  <si>
    <t>Total Assets</t>
  </si>
  <si>
    <t>Liabilities and SE</t>
  </si>
  <si>
    <t>Assets</t>
  </si>
  <si>
    <t>Total current liabilities</t>
  </si>
  <si>
    <t>Total Liabilities</t>
  </si>
  <si>
    <t>Stockholders' Equity</t>
  </si>
  <si>
    <t>Total Liabilities and SE</t>
  </si>
  <si>
    <t>Shares</t>
  </si>
  <si>
    <t>Cash</t>
  </si>
  <si>
    <t>EBITDA</t>
  </si>
  <si>
    <t>Operating Activities</t>
  </si>
  <si>
    <t>Depreciation and Amortization</t>
  </si>
  <si>
    <t>Stock-Based Comp</t>
  </si>
  <si>
    <t>Changes in Working Capital</t>
  </si>
  <si>
    <t>Cash from Operations</t>
  </si>
  <si>
    <t>Investing activies</t>
  </si>
  <si>
    <t>Purchase of PPE</t>
  </si>
  <si>
    <t>Capitalized website/software</t>
  </si>
  <si>
    <t>Other investing</t>
  </si>
  <si>
    <t>Cash from Investing</t>
  </si>
  <si>
    <t>Financing Activities</t>
  </si>
  <si>
    <t>Cash from Financing</t>
  </si>
  <si>
    <t>Effect of Foreign Exchange</t>
  </si>
  <si>
    <t xml:space="preserve"> Net Change in Cash</t>
  </si>
  <si>
    <t>Net Cash</t>
  </si>
  <si>
    <t>Net Cash/Share</t>
  </si>
  <si>
    <t>DSO</t>
  </si>
  <si>
    <t>Days Payable</t>
  </si>
  <si>
    <t>Revenue</t>
  </si>
  <si>
    <t>Days in Quarter</t>
  </si>
  <si>
    <t>3Q18</t>
  </si>
  <si>
    <t>4Q18</t>
  </si>
  <si>
    <t>Gross profit</t>
  </si>
  <si>
    <t>Cost of Goods Sold</t>
  </si>
  <si>
    <t>(Amounts in millions, except per share data)</t>
  </si>
  <si>
    <t>Y/Y</t>
  </si>
  <si>
    <t>1Q19</t>
  </si>
  <si>
    <t>New</t>
  </si>
  <si>
    <t>Total Revenue q/q</t>
  </si>
  <si>
    <t>Adjusted EBITDA q/q</t>
  </si>
  <si>
    <t>2Q19</t>
  </si>
  <si>
    <t>Revenue Drivers</t>
  </si>
  <si>
    <t>Non-GAAP Adjustments</t>
  </si>
  <si>
    <t>Change in deferred revenue</t>
  </si>
  <si>
    <t>Collections</t>
  </si>
  <si>
    <t>Non-GAAP Net Income</t>
  </si>
  <si>
    <t>Non-GAAP Operating Income</t>
  </si>
  <si>
    <t>y/y</t>
  </si>
  <si>
    <t>q/q</t>
  </si>
  <si>
    <t>Number of registered users (000's)</t>
  </si>
  <si>
    <t>Number of premium subscription users (000's)</t>
  </si>
  <si>
    <t>Short term deposits</t>
  </si>
  <si>
    <t>Restricted deposits</t>
  </si>
  <si>
    <t>Prepaid expenses and other</t>
  </si>
  <si>
    <t>Marketable securities</t>
  </si>
  <si>
    <t>Deferred revenue</t>
  </si>
  <si>
    <t>Long term loan</t>
  </si>
  <si>
    <t>Convertible senior note</t>
  </si>
  <si>
    <t>3Q19</t>
  </si>
  <si>
    <t>Operating lease</t>
  </si>
  <si>
    <t>PP&amp;E, net</t>
  </si>
  <si>
    <t>Amortization of debt discount</t>
  </si>
  <si>
    <t>Amortization of premium and discount on marketable securities</t>
  </si>
  <si>
    <t>Deferred income taxes, net</t>
  </si>
  <si>
    <t>Proceeds (investments) from/in deposits</t>
  </si>
  <si>
    <t>Proceeds (investments) from/in marketable securities</t>
  </si>
  <si>
    <t>Payments of debt issuance costs</t>
  </si>
  <si>
    <t>Net new users (000's)</t>
  </si>
  <si>
    <t>1-Year or longer subscriptions</t>
  </si>
  <si>
    <t>Monthly subscriptions</t>
  </si>
  <si>
    <t>Current user cohorts</t>
  </si>
  <si>
    <t>Prior user cohorts</t>
  </si>
  <si>
    <t>Revenue by geography</t>
  </si>
  <si>
    <t>North America</t>
  </si>
  <si>
    <t>Europe</t>
  </si>
  <si>
    <t>Latin America</t>
  </si>
  <si>
    <t>Asia and Others</t>
  </si>
  <si>
    <t>Total</t>
  </si>
  <si>
    <t>Average annual revenue per subscription (ARPS)</t>
  </si>
  <si>
    <t>% of registered users</t>
  </si>
  <si>
    <t>Current ratio</t>
  </si>
  <si>
    <t>2021E</t>
  </si>
  <si>
    <t>2023E</t>
  </si>
  <si>
    <t>2024E</t>
  </si>
  <si>
    <t>2025E</t>
  </si>
  <si>
    <t>2026E</t>
  </si>
  <si>
    <t>2027E</t>
  </si>
  <si>
    <t>2028E</t>
  </si>
  <si>
    <t>This sheet contains FactSet XML data for use with this workbook's =FDS codes.  Modifying the worksheet's contents may damage the workbook's =FDS functionality.</t>
  </si>
  <si>
    <t>Average annual collections per subscription (ACPS)</t>
  </si>
  <si>
    <t>R&amp;D</t>
  </si>
  <si>
    <t>G&amp;A</t>
  </si>
  <si>
    <t>Implied average monthly subscription</t>
  </si>
  <si>
    <t>FCF y/y</t>
  </si>
  <si>
    <t>FCF q/q</t>
  </si>
  <si>
    <t>Premium q/q net adds</t>
  </si>
  <si>
    <t>Registered users q/q net adds</t>
  </si>
  <si>
    <t>Marginal conversion</t>
  </si>
  <si>
    <t>4Q19</t>
  </si>
  <si>
    <t>Creative Subscriptions</t>
  </si>
  <si>
    <t>Business Solutions</t>
  </si>
  <si>
    <t>Q/Q</t>
  </si>
  <si>
    <t>Change in Deferred</t>
  </si>
  <si>
    <t>ARR</t>
  </si>
  <si>
    <t>Quarterly ARR</t>
  </si>
  <si>
    <t>Business Solutions Revenue</t>
  </si>
  <si>
    <t>Creative Subscription Revenue</t>
  </si>
  <si>
    <t>Relative to ARR</t>
  </si>
  <si>
    <t>Total Collections</t>
  </si>
  <si>
    <t>Total Revenues</t>
  </si>
  <si>
    <t>Non-GAAP Net income</t>
  </si>
  <si>
    <t>NE</t>
  </si>
  <si>
    <t>1Q20</t>
  </si>
  <si>
    <t>Operating margin</t>
  </si>
  <si>
    <t>Decrease (increase) in accrued int and FX rate on deposits</t>
  </si>
  <si>
    <t>2Q20</t>
  </si>
  <si>
    <t>3Q20</t>
  </si>
  <si>
    <t>Trade receivables</t>
  </si>
  <si>
    <t>Prepaid expenses &amp; other</t>
  </si>
  <si>
    <t>Intangible assets and goodwill</t>
  </si>
  <si>
    <t>Trade payables</t>
  </si>
  <si>
    <t>Employees and payroll accruals</t>
  </si>
  <si>
    <t>Accrued expenses and other</t>
  </si>
  <si>
    <t>Long term deferred revenue</t>
  </si>
  <si>
    <t>Long-term deferred tax liabilities</t>
  </si>
  <si>
    <t>Process from exercise of options and ESPP shs</t>
  </si>
  <si>
    <t>4Q20</t>
  </si>
  <si>
    <t>2029E</t>
  </si>
  <si>
    <t>2030E</t>
  </si>
  <si>
    <t>2031E</t>
  </si>
  <si>
    <t>Discontinued metrics</t>
  </si>
  <si>
    <t>GPV</t>
  </si>
  <si>
    <t>BS collections per premium subscribers per month</t>
  </si>
  <si>
    <t>CS collections per premium subscribers per month</t>
  </si>
  <si>
    <t>Take Rate</t>
  </si>
  <si>
    <t>Payments y/y</t>
  </si>
  <si>
    <t>Payments %</t>
  </si>
  <si>
    <t>Ex Payments %</t>
  </si>
  <si>
    <t>Ex Payments y/y</t>
  </si>
  <si>
    <t>Adj. EBITDA</t>
  </si>
  <si>
    <t>1Q21</t>
  </si>
  <si>
    <t>Prior</t>
  </si>
  <si>
    <t>Beg Period Cash</t>
  </si>
  <si>
    <t>End Period Cash</t>
  </si>
  <si>
    <t>Annual Metrics</t>
  </si>
  <si>
    <t>Guide</t>
  </si>
  <si>
    <t>2Q21</t>
  </si>
  <si>
    <t>Gain on equity securities</t>
  </si>
  <si>
    <t>Payment for business acquired, net of cash</t>
  </si>
  <si>
    <t>3Q21</t>
  </si>
  <si>
    <t>Gross profit, non GAAP</t>
  </si>
  <si>
    <t>Sales &amp; marketing, non GAAP</t>
  </si>
  <si>
    <t>Research and development, non GAAP</t>
  </si>
  <si>
    <t>General &amp; administrative, non GAAP</t>
  </si>
  <si>
    <t>Depreciation</t>
  </si>
  <si>
    <t>Purchase of capped call / Other</t>
  </si>
  <si>
    <t>HQ Capex</t>
  </si>
  <si>
    <t>Net Capex, ex HQ</t>
  </si>
  <si>
    <t>Total Capex</t>
  </si>
  <si>
    <t>FCF, ex HQ capex</t>
  </si>
  <si>
    <t>Total Revenue</t>
  </si>
  <si>
    <t>4Q21</t>
  </si>
  <si>
    <t>Needham</t>
  </si>
  <si>
    <t>cons</t>
  </si>
  <si>
    <t>Other long term liabilites</t>
  </si>
  <si>
    <t>Business Solutions Bookings</t>
  </si>
  <si>
    <t>Bookings</t>
  </si>
  <si>
    <t>Creative Subscription Bookings</t>
  </si>
  <si>
    <t>Partner Revenue</t>
  </si>
  <si>
    <t>Partner %</t>
  </si>
  <si>
    <t>adj EBITDA margin (Bookings)</t>
  </si>
  <si>
    <t>FCF Margin (Bookings)</t>
  </si>
  <si>
    <t>FCF Margin (Revenues)</t>
  </si>
  <si>
    <t>Seasonality</t>
  </si>
  <si>
    <t>Cost of revenue, non GAAP</t>
  </si>
  <si>
    <t>Ex  GPV</t>
  </si>
  <si>
    <t>Gross margin, non GAAP</t>
  </si>
  <si>
    <t>High</t>
  </si>
  <si>
    <t>Midpoint</t>
  </si>
  <si>
    <t>Low</t>
  </si>
  <si>
    <t>Needham vs Midpoint</t>
  </si>
  <si>
    <t>Partner Creative Subscription</t>
  </si>
  <si>
    <t>Partner Business Solutions</t>
  </si>
  <si>
    <t>% CS</t>
  </si>
  <si>
    <t>% BS</t>
  </si>
  <si>
    <t>Transaction Revenue</t>
  </si>
  <si>
    <t>YoY Growth</t>
  </si>
  <si>
    <t>YoY</t>
  </si>
  <si>
    <t>QoQ</t>
  </si>
  <si>
    <t>1Q22</t>
  </si>
  <si>
    <t>3Q22</t>
  </si>
  <si>
    <t>QoQ Growth</t>
  </si>
  <si>
    <t>1Q23</t>
  </si>
  <si>
    <t>3Q23</t>
  </si>
  <si>
    <t>adj EBITDA margin (Revenues)</t>
  </si>
  <si>
    <t>CAGR</t>
  </si>
  <si>
    <t>GAAP Net Income</t>
  </si>
  <si>
    <t>Operating Non GAAP adjustments</t>
  </si>
  <si>
    <t>SBC</t>
  </si>
  <si>
    <t>Financial income</t>
  </si>
  <si>
    <t>Other income</t>
  </si>
  <si>
    <t>Total operating expenses</t>
  </si>
  <si>
    <t>Non GAAP net Income</t>
  </si>
  <si>
    <t>Other Non GAAP adj</t>
  </si>
  <si>
    <t>GAAP to Non GAAP Adj</t>
  </si>
  <si>
    <t>Business Solutions Gross margin, non GAAP</t>
  </si>
  <si>
    <t>Payments Gross Margin</t>
  </si>
  <si>
    <t>Payments Gross Profit</t>
  </si>
  <si>
    <t>Other Business Solutions Gross Profit</t>
  </si>
  <si>
    <t>Other Business Solutions Gross Margin</t>
  </si>
  <si>
    <t>85%+</t>
  </si>
  <si>
    <t>35%+</t>
  </si>
  <si>
    <t>FCF Margin</t>
  </si>
  <si>
    <t>Business Solutions Cost of revenue, non GAAP</t>
  </si>
  <si>
    <t>Creative Subscriptions Cost of revenue, non GAAP</t>
  </si>
  <si>
    <t>Partner BS</t>
  </si>
  <si>
    <t>Partner CS</t>
  </si>
  <si>
    <t>Self Creator BS</t>
  </si>
  <si>
    <t>Self Creator CS</t>
  </si>
  <si>
    <t>FCF ex Build Out/Share</t>
  </si>
  <si>
    <t>Increase in ST &amp; LT Deferred Revenues</t>
  </si>
  <si>
    <t>Changes in Working Capital, excl Deferred Revenue</t>
  </si>
  <si>
    <t>Changes in WC, % of revenue</t>
  </si>
  <si>
    <t>FCF, % of EBITDA</t>
  </si>
  <si>
    <t>Delta</t>
  </si>
  <si>
    <t>Partner Revenue - Creative</t>
  </si>
  <si>
    <t>Partner Revenue - Business</t>
  </si>
  <si>
    <t>Self Creator Revenue</t>
  </si>
  <si>
    <t>FCF Margin ex HQ Build</t>
  </si>
  <si>
    <t>2Q22</t>
  </si>
  <si>
    <t>4Q22</t>
  </si>
  <si>
    <t>Current portion of conv debt</t>
  </si>
  <si>
    <t>EUR</t>
  </si>
  <si>
    <t>GBP</t>
  </si>
  <si>
    <t>JPY</t>
  </si>
  <si>
    <t>Eur revs in USD</t>
  </si>
  <si>
    <t>Asia revs in USD</t>
  </si>
  <si>
    <t>Eur revs in local</t>
  </si>
  <si>
    <t>Asia revs in local</t>
  </si>
  <si>
    <t>FCF ex HQ Guide</t>
  </si>
  <si>
    <t>Buyback</t>
  </si>
  <si>
    <t>Share repurchase</t>
  </si>
  <si>
    <t>Avg price</t>
  </si>
  <si>
    <t>Shares repurchased</t>
  </si>
  <si>
    <t>Opex (of Revenue)</t>
  </si>
  <si>
    <t>Stock Comp</t>
  </si>
  <si>
    <t>% of Revenue</t>
  </si>
  <si>
    <t>Restructuring</t>
  </si>
  <si>
    <t>2Q23</t>
  </si>
  <si>
    <t>GAAP Operating Income</t>
  </si>
  <si>
    <t>Amortization</t>
  </si>
  <si>
    <t>Other</t>
  </si>
  <si>
    <t>Buyback as % of FCF</t>
  </si>
  <si>
    <t>&lt;45%</t>
  </si>
  <si>
    <t>Interest Income</t>
  </si>
  <si>
    <t>Rate</t>
  </si>
  <si>
    <t>FCF Margin ex Build Out</t>
  </si>
  <si>
    <t>4Q23</t>
  </si>
  <si>
    <t>Non-cash impairment, restructuring, and other</t>
  </si>
  <si>
    <t>1Q24</t>
  </si>
  <si>
    <t>Premium Subscriptions</t>
  </si>
  <si>
    <t>2Q24</t>
  </si>
  <si>
    <t>3Q24</t>
  </si>
  <si>
    <t>Premium Subs</t>
  </si>
  <si>
    <t>Average Subs</t>
  </si>
  <si>
    <t>CS Revenue</t>
  </si>
  <si>
    <t>CS ARPU</t>
  </si>
  <si>
    <t>Total ARPU</t>
  </si>
  <si>
    <t>BS Revenue</t>
  </si>
  <si>
    <t>BS ARPU</t>
  </si>
  <si>
    <t>Total Users</t>
  </si>
  <si>
    <t>Price increase</t>
  </si>
  <si>
    <t>early in '24</t>
  </si>
  <si>
    <t>1Q22 - most of the impact in '23</t>
  </si>
  <si>
    <t>4Q24</t>
  </si>
  <si>
    <t>Studio % of Partner</t>
  </si>
  <si>
    <t>Studio Revenue</t>
  </si>
  <si>
    <t>Non-Studio Revenue</t>
  </si>
  <si>
    <t>Rule of</t>
  </si>
  <si>
    <t>1Q25</t>
  </si>
  <si>
    <t>2Q25</t>
  </si>
  <si>
    <t>3Q25</t>
  </si>
  <si>
    <t>4Q25</t>
  </si>
  <si>
    <t>Basic GAAP EPS</t>
  </si>
  <si>
    <t>Dilluted GAAP EPS</t>
  </si>
  <si>
    <t>FCF ex Build Out and Acq Costs</t>
  </si>
  <si>
    <t>1Q26E</t>
  </si>
  <si>
    <t>2Q26E</t>
  </si>
  <si>
    <t>3Q26E</t>
  </si>
  <si>
    <t>4Q26E</t>
  </si>
  <si>
    <t>babd</t>
  </si>
  <si>
    <t>Loss from equity method</t>
  </si>
  <si>
    <t>mid teens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</si>
</sst>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6">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0.0"/>
    <numFmt numFmtId="166" formatCode="&quot;$&quot;#,##0.0"/>
    <numFmt numFmtId="167" formatCode="&quot;$&quot;#,##0.00"/>
    <numFmt numFmtId="168" formatCode="&quot;$&quot;#,##0.000"/>
    <numFmt numFmtId="169" formatCode="&quot;$&quot;#,##0"/>
    <numFmt numFmtId="170" formatCode="#,##0.0"/>
    <numFmt numFmtId="171" formatCode="0.0\x"/>
    <numFmt numFmtId="172" formatCode="_(* #,##0_);_(* \(#,##0\);_(* &quot;-&quot;??_);_(@_)"/>
    <numFmt numFmtId="173" formatCode="_(* #,##0.0_);_(* \(#,##0.0\);_(* &quot;-&quot;??_);_(@_)"/>
    <numFmt numFmtId="174" formatCode="_(&quot;$&quot;* #,##0_);_(&quot;$&quot;* \(#,##0\);_(&quot;$&quot;* &quot;-&quot;??_);_(@_)"/>
    <numFmt numFmtId="175" formatCode="0_)"/>
    <numFmt numFmtId="176" formatCode="General_)"/>
    <numFmt numFmtId="177" formatCode="[$-409]mmm\-yy;@"/>
    <numFmt numFmtId="178" formatCode="0_);\(0\)"/>
    <numFmt numFmtId="179" formatCode="#,##0.0\ \x"/>
    <numFmt numFmtId="180" formatCode="&quot;$&quot;#,##0.0;\(&quot;$&quot;#,##0.0\)"/>
    <numFmt numFmtId="181" formatCode="_(&quot;$&quot;#,##0_)&quot;millions&quot;;\(&quot;$&quot;#,##0\)&quot; millions&quot;"/>
    <numFmt numFmtId="182" formatCode="&quot;$&quot;#,##0.00_)\ \ \ ;\(&quot;$&quot;#,##0.00\)\ \ \ "/>
    <numFmt numFmtId="183" formatCode="&quot;$&quot;#,##0.00&quot;*&quot;\ \ ;\(&quot;$&quot;#,##0.00\)&quot;*&quot;\ \ "/>
    <numFmt numFmtId="184" formatCode="&quot;$&quot;#,##0.00\A_)\ ;\(&quot;$&quot;#,##0.00\A\)\ \ "/>
    <numFmt numFmtId="185" formatCode="&quot;$&quot;@\ "/>
    <numFmt numFmtId="186" formatCode="0\ %"/>
    <numFmt numFmtId="187" formatCode="0.0\ %"/>
    <numFmt numFmtId="188" formatCode="0.00\ %"/>
    <numFmt numFmtId="189" formatCode="0.0%_);\(0.0%\)"/>
    <numFmt numFmtId="190" formatCode="#,##0.0;[Red]\-#,##0.0"/>
    <numFmt numFmtId="191" formatCode=";;;"/>
    <numFmt numFmtId="192" formatCode="0.0_)\%;\(0.0\)\%;0.0_)\%;@_)_%"/>
    <numFmt numFmtId="193" formatCode="#,##0.0_)_%;\(#,##0.0\)_%;0.0_)_%;@_)_%"/>
    <numFmt numFmtId="194" formatCode="#,##0.0_);\(#,##0.0\)"/>
    <numFmt numFmtId="195" formatCode="#,##0.0_);\(#,##0.0\);#,##0.0_);@_)"/>
    <numFmt numFmtId="196" formatCode="&quot;$&quot;_(#,##0.00_);&quot;$&quot;\(#,##0.00\)"/>
    <numFmt numFmtId="197" formatCode="0.0_)"/>
    <numFmt numFmtId="198" formatCode="&quot;$&quot;_(#,##0.00_);&quot;$&quot;\(#,##0.00\);&quot;$&quot;_(0.00_);@_)"/>
    <numFmt numFmtId="199" formatCode="&quot;£&quot;_(#,##0.00_);&quot;£&quot;\(#,##0.00\)"/>
    <numFmt numFmtId="200" formatCode="#,##0.00_);\(#,##0.00\);0.00_);@_)"/>
    <numFmt numFmtId="201" formatCode="\€_(#,##0.00_);\€\(#,##0.00\);\€_(0.00_);@_)"/>
    <numFmt numFmtId="202" formatCode="#,##0.0_)\x;\(#,##0.0\)\x"/>
    <numFmt numFmtId="203" formatCode="0.00_)"/>
    <numFmt numFmtId="204" formatCode="#,##0_)\x;\(#,##0\)\x;0_)\x;@_)_x"/>
    <numFmt numFmtId="205" formatCode="#,##0.0_)\x;\(#,##0.0\)\x;0.0_)\x;@_)_x"/>
    <numFmt numFmtId="206" formatCode="#,##0.0_)_x;\(#,##0.0\)_x"/>
    <numFmt numFmtId="207" formatCode="#,##0.0_);[Red]\(#,##0.0\)"/>
    <numFmt numFmtId="208" formatCode="#,##0_)_x;\(#,##0\)_x;0_)_x;@_)_x"/>
    <numFmt numFmtId="209" formatCode="#,##0.0_)_x;\(#,##0.0\)_x;0.0_)_x;@_)_x"/>
    <numFmt numFmtId="210" formatCode="0.0_)\%;\(0.0\)\%"/>
    <numFmt numFmtId="211" formatCode="&quot;$&quot;#,##0.0_);[Red]\(&quot;$&quot;#,##0.0\)"/>
    <numFmt numFmtId="212" formatCode="#,##0.0_)_%;\(#,##0.0\)_%"/>
    <numFmt numFmtId="213" formatCode="#,##0.000_);\(#,##0.000\)"/>
    <numFmt numFmtId="214" formatCode="\£\ #,##0_);[Red]\(\£\ #,##0\)"/>
    <numFmt numFmtId="215" formatCode="\¥\ #,##0_);[Red]\(\¥\ #,##0\)"/>
    <numFmt numFmtId="216" formatCode="_(* #,##0.0_);_(* \(#,##0.0\);_(* &quot;--- &quot;_)"/>
    <numFmt numFmtId="217" formatCode="#,##0;\(#,##0\)"/>
    <numFmt numFmtId="218" formatCode="0\A"/>
    <numFmt numFmtId="219" formatCode="0.000_]"/>
    <numFmt numFmtId="220" formatCode="0.00\%;\-0.00\%;0.00\%"/>
    <numFmt numFmtId="221" formatCode="#,##0.0\ _]"/>
    <numFmt numFmtId="222" formatCode="[&gt;100]#,###;[&lt;0]\-#,###;#,###.00"/>
    <numFmt numFmtId="223" formatCode="#,##0.0&quot;*&quot;_);\(#,##0.0\)"/>
    <numFmt numFmtId="224" formatCode="0.0%;\(0.0%\)"/>
    <numFmt numFmtId="225" formatCode="#,##0\ ;\(#,##0\);\-\ \ \ \ \ "/>
    <numFmt numFmtId="226" formatCode="#,##0\ ;\(#,##0\);\–\ \ \ \ \ "/>
    <numFmt numFmtId="227" formatCode="\£#,##0_);\(\£#,##0\)"/>
    <numFmt numFmtId="228" formatCode="\•\ \ @"/>
    <numFmt numFmtId="229" formatCode="&quot;$&quot;#,##0.00;[Red]\(&quot;$&quot;#,##0.00\)"/>
    <numFmt numFmtId="230" formatCode="&quot;$&quot;#,##0.00;\(&quot;$&quot;#,##0.00\)"/>
    <numFmt numFmtId="231" formatCode="\ \ &quot;$&quot;#,##0_);\ \ \(&quot;$&quot;#,##0\)"/>
    <numFmt numFmtId="232" formatCode="0.000_)"/>
    <numFmt numFmtId="233" formatCode="#,##0\ ;\(#,##0.0\)"/>
    <numFmt numFmtId="234" formatCode="#,##0.0;[Red]\(#,##0.0\)"/>
    <numFmt numFmtId="235" formatCode="#,##0_%_);\(#,##0\)_%;#,##0_%_);@_%_)"/>
    <numFmt numFmtId="236" formatCode="#,##0_%_);\(#,##0\)_%;**;@_%_)"/>
    <numFmt numFmtId="237" formatCode="#,##0.000_%_);\(#,##0.000\)_%;**;@_%_)"/>
    <numFmt numFmtId="238" formatCode="#,##0.0\x_);\(#,##0.0\x\)"/>
    <numFmt numFmtId="239" formatCode="&quot;$&quot;0.00_)"/>
    <numFmt numFmtId="240" formatCode="0.00_);\(0.00\);0.00"/>
    <numFmt numFmtId="241" formatCode="#,##0.000_);[Red]\(#,##0.000\)"/>
    <numFmt numFmtId="242" formatCode="_(&quot;£*&quot;\ #,##0.00_);_(&quot;£*&quot;\ \(#,##0.00\);_(&quot;£*&quot;\ &quot;-&quot;??_);_(@_)"/>
    <numFmt numFmtId="243" formatCode="&quot;$&quot;\ #,##0_);\(&quot;$&quot;\ #,##0\)"/>
    <numFmt numFmtId="244" formatCode="&quot;$&quot;#,##0.0;[Red]\(&quot;$&quot;#,##0.0\)"/>
    <numFmt numFmtId="245" formatCode="&quot;$&quot;\ #,##0.0_);\(&quot;$&quot;\ #,##0.0\)"/>
    <numFmt numFmtId="246" formatCode="_(&quot;$&quot;* #,##0.0_);_(&quot;$&quot;* \(#,##0.0\);_(&quot;$&quot;* &quot;-&quot;_);_(@_)"/>
    <numFmt numFmtId="247" formatCode="&quot;$&quot;#,##0_%_);\(&quot;$&quot;#,##0\)_%;&quot;$&quot;#,##0_%_);@_%_)"/>
    <numFmt numFmtId="248" formatCode="&quot;$&quot;#,##0.000_%_);\(&quot;$&quot;#,##0.000\)_%;**;@_%_)"/>
    <numFmt numFmtId="249" formatCode="\B\t\ #,##0_);\(\B\t\ #,##0\)"/>
    <numFmt numFmtId="250" formatCode="&quot;$&quot;#,##0\ ;\(&quot;$&quot;#,##0\)"/>
    <numFmt numFmtId="251" formatCode="dd\-mmm\-yy"/>
    <numFmt numFmtId="252" formatCode="@\ \ \ \ \ "/>
    <numFmt numFmtId="253" formatCode="\ \ _•\–\ \ \ \ @"/>
    <numFmt numFmtId="254" formatCode="m/d/yy_%_)"/>
    <numFmt numFmtId="255" formatCode="0.00%_);[Red]\(0.00%\)"/>
    <numFmt numFmtId="256" formatCode="#,##0.0;\(#,##0.0\)"/>
    <numFmt numFmtId="257" formatCode="#,##0.0;\(###0.0\)"/>
    <numFmt numFmtId="258" formatCode="0_%_);\(0\)_%;0_%_);@_%_)"/>
    <numFmt numFmtId="259" formatCode="#,##0.0\ ;\(#,##0.0\)"/>
    <numFmt numFmtId="260" formatCode="#,##0.00\ &quot;mk&quot;;[Red]\-#,##0.00\ &quot;mk&quot;"/>
    <numFmt numFmtId="261" formatCode="_-&quot;€&quot;* #,##0.00_-;\-&quot;€&quot;* #,##0.00_-;_-&quot;€&quot;* &quot;-&quot;??_-;_-@_-"/>
    <numFmt numFmtId="262" formatCode="#,##0.00_)\ \ \ \ \ ;\(#,##0.00\)\ \ \ \ \ "/>
    <numFmt numFmtId="263" formatCode="&quot;$&quot;#,##0.00_)\ \ \ \ \ ;\(&quot;$&quot;#,##0.00\)\ \ \ \ \ "/>
    <numFmt numFmtId="264" formatCode="&quot;$&quot;#,##0.00\A\ \ \ \ ;\(&quot;$&quot;#,##0.00\A\)\ \ \ \ "/>
    <numFmt numFmtId="265" formatCode="&quot;$&quot;#,##0.00&quot;E&quot;\ \ \ \ ;\(&quot;$&quot;#,##0.00&quot;E&quot;\)\ \ \ \ "/>
    <numFmt numFmtId="266" formatCode="#,##0.00\A\ \ \ \ ;\(#,##0.00\A\)\ \ \ \ "/>
    <numFmt numFmtId="267" formatCode="#,##0.00&quot;E&quot;\ \ \ \ ;\(#,##0.00&quot;E&quot;\)\ \ \ \ "/>
    <numFmt numFmtId="268" formatCode="_-[$€-2]* #,##0.00_-;\-[$€-2]* #,##0.00_-;_-[$€-2]* &quot;-&quot;??_-"/>
    <numFmt numFmtId="269" formatCode="\€#,##0_);\(\€#,##0\)"/>
    <numFmt numFmtId="270" formatCode="\P\t"/>
    <numFmt numFmtId="271" formatCode="0.0&quot;  &quot;"/>
    <numFmt numFmtId="272" formatCode="&quot;$&quot;#,##0;[Red]&quot;$&quot;#,##0"/>
    <numFmt numFmtId="273" formatCode="#,##0.0000\ ;\(#,##0.0000\)"/>
    <numFmt numFmtId="274" formatCode="#,###,##0;\(#,###,##0\)"/>
    <numFmt numFmtId="275" formatCode="0%\ \ \ \ \ \ \ "/>
    <numFmt numFmtId="276" formatCode="\L\i\t#,##0\b\n;\-\L\i\t#,##0\b\n"/>
    <numFmt numFmtId="277" formatCode="#,##0.00\x_);[Red]\(#,##0.00\x\)"/>
    <numFmt numFmtId="278" formatCode="0.00%;\(0.00%\)"/>
    <numFmt numFmtId="279" formatCode="0.0\%_);\(0.0\%\);0.0\%_);@_%_)"/>
    <numFmt numFmtId="280" formatCode="_(&quot;$&quot;\ #,##0.0_);_(&quot;$&quot;\(#,##0.0\);_(\ &quot;-&quot;??_);_(@_)"/>
    <numFmt numFmtId="281" formatCode="###0"/>
    <numFmt numFmtId="282" formatCode="#,##0;[Red]\(#,##0\)"/>
    <numFmt numFmtId="283" formatCode="0.00_);\(0.00\);0.00_)"/>
    <numFmt numFmtId="284" formatCode="#,##0.00;;;[White]General"/>
    <numFmt numFmtId="285" formatCode="_(&quot;$&quot;* #,##0_)\ &quot;millions&quot;;_(&quot;$&quot;* \(#,##0\)&quot; millions&quot;"/>
    <numFmt numFmtId="286" formatCode="&quot;$&quot;#,##0\ &quot;MM&quot;;\(&quot;$&quot;#,##0.00\ &quot;MM&quot;\)"/>
    <numFmt numFmtId="287" formatCode="[Magenta]General"/>
    <numFmt numFmtId="288" formatCode="0.0%;0.0%;\-\ "/>
    <numFmt numFmtId="289" formatCode="_-* #,##0\ _F_-;\-* #,##0\ _F_-;_-* &quot;-&quot;\ _F_-;_-@_-"/>
    <numFmt numFmtId="290" formatCode="_-* #,##0.00\ _F_-;\-* #,##0.00\ _F_-;_-* &quot;-&quot;??\ _F_-;_-@_-"/>
    <numFmt numFmtId="291" formatCode="#,##0.00\ &quot;mk&quot;;\-#,##0.00\ &quot;mk&quot;"/>
    <numFmt numFmtId="292" formatCode="#,##0\ &quot;MM&quot;"/>
    <numFmt numFmtId="293" formatCode="_(&quot;R$ &quot;* #,##0_);_(&quot;R$ &quot;* \(#,##0\);_(&quot;R$ &quot;* &quot;-&quot;_);_(@_)"/>
    <numFmt numFmtId="294" formatCode="_(&quot;R$ &quot;* #,##0.00_);_(&quot;R$ &quot;* \(#,##0.00\);_(&quot;R$ &quot;* &quot;-&quot;??_);_(@_)"/>
    <numFmt numFmtId="295" formatCode="_-* #,##0\ &quot;F&quot;_-;\-* #,##0\ &quot;F&quot;_-;_-* &quot;-&quot;\ &quot;F&quot;_-;_-@_-"/>
    <numFmt numFmtId="296" formatCode="_-* #,##0.00\ &quot;F&quot;_-;\-* #,##0.00\ &quot;F&quot;_-;_-* &quot;-&quot;??\ &quot;F&quot;_-;_-@_-"/>
    <numFmt numFmtId="297" formatCode="mmm\-yyyy"/>
    <numFmt numFmtId="298" formatCode="_-* #,##0.00_-;\-* #,##0.00_-;_-* &quot;-&quot;??_-;_-@_-"/>
    <numFmt numFmtId="299" formatCode="&quot;$&quot;#,##0.000;\(&quot;$&quot;#,##0.000\)"/>
    <numFmt numFmtId="300" formatCode="&quot;$&quot;#,##0.0_);\(&quot;$&quot;#,##0.0\)"/>
    <numFmt numFmtId="301" formatCode="#\ ##0&quot;m&quot;"/>
    <numFmt numFmtId="302" formatCode="0.0_);\(0.0\)"/>
    <numFmt numFmtId="303" formatCode="#,##0.0\ \ \ ;\(#,##0.0\)\ \ "/>
    <numFmt numFmtId="304" formatCode="#,##0\ \ \ ;[Red]\(#,##0\)\ \ ;\—\ \ \ \ "/>
    <numFmt numFmtId="305" formatCode="#,##0___);\(#,##0.00\)"/>
    <numFmt numFmtId="306" formatCode="&quot;$&quot;#,##0.00&quot;E&quot;;[Red]\(&quot;$&quot;#,##0.00\)&quot;E&quot;"/>
    <numFmt numFmtId="307" formatCode="_-* #,##0.00\ &quot;mk&quot;_-;\-* #,##0.00\ &quot;mk&quot;_-;_-* &quot;-&quot;??\ &quot;mk&quot;_-;_-@_-"/>
    <numFmt numFmtId="308" formatCode="0.0\ \ \ \ \ \ "/>
    <numFmt numFmtId="309" formatCode="0.0%\ \ \ \ \ "/>
    <numFmt numFmtId="310" formatCode="#,##0&quot;%&quot;"/>
    <numFmt numFmtId="311" formatCode="0%;\(0%\)"/>
    <numFmt numFmtId="312" formatCode="\+0.0%;\-0.0%;\ \-\ "/>
    <numFmt numFmtId="313" formatCode="#,##0,"/>
    <numFmt numFmtId="314" formatCode="&quot;$&quot;0.0"/>
    <numFmt numFmtId="315" formatCode="_(#,##0.000_);_(\-#,##0.000_)"/>
    <numFmt numFmtId="316" formatCode="_-* #,##0\ _m_k_-;\-* #,##0\ _m_k_-;_-* &quot;-&quot;\ _m_k_-;_-@_-"/>
    <numFmt numFmtId="317" formatCode="&quot;$&quot;#\-##/##"/>
    <numFmt numFmtId="318" formatCode="0.00\ \ \ \ "/>
    <numFmt numFmtId="319" formatCode="yy/mm"/>
    <numFmt numFmtId="320" formatCode="&quot;$&quot;@"/>
    <numFmt numFmtId="321" formatCode="&quot;$&quot;#,##0.00&quot;A&quot;;[Red]\(&quot;$&quot;#,##0.00\)&quot;A&quot;"/>
    <numFmt numFmtId="322" formatCode="[Red]General"/>
    <numFmt numFmtId="323" formatCode="##0.00000"/>
    <numFmt numFmtId="324" formatCode="0.000"/>
    <numFmt numFmtId="325" formatCode="##0.00;\-##0.00;0.00;"/>
    <numFmt numFmtId="326" formatCode="##0.000;\-##0.000;0.000;"/>
    <numFmt numFmtId="327" formatCode="##0.0;\-##0.0;0.0;"/>
    <numFmt numFmtId="328" formatCode="##0;\-##0;0;"/>
    <numFmt numFmtId="329" formatCode="###\ ##0.0;\-###\ ##0.0;0.0;"/>
    <numFmt numFmtId="330" formatCode="#,##0\ ;[Red]\(#,##0\);\ \-\ "/>
    <numFmt numFmtId="331" formatCode="_(* #,##0_);_(* \(#,##0\)"/>
    <numFmt numFmtId="332" formatCode="_(#,##0_);_(\-#,##0_)"/>
    <numFmt numFmtId="333" formatCode="_(#,##0.00_);_(\-#,##0.00_)"/>
    <numFmt numFmtId="334" formatCode="_(#,##0.0_);_(\-#,##0.0_)"/>
    <numFmt numFmtId="335" formatCode="0.0000"/>
    <numFmt numFmtId="336" formatCode="mmm\ yy"/>
    <numFmt numFmtId="337" formatCode="00000"/>
    <numFmt numFmtId="338" formatCode="_(* #,##0.0_);_(* \(#,##0.0\);_(* &quot;-&quot;?_);_(@_)"/>
    <numFmt numFmtId="339" formatCode="_(#,##0.0_);_(\(#,##0.0\);_(* &quot;-&quot;_);_(@_)"/>
    <numFmt numFmtId="340" formatCode="_(&quot;$&quot;#,##0.0_);_(&quot;$&quot;\(#,##0.0\);_(* &quot;-&quot;_);_(@_)"/>
    <numFmt numFmtId="341" formatCode="_(* #,##0.0_);_(* \(#,##0.0\);_(* &quot;-&quot;_);_(@_)"/>
    <numFmt numFmtId="342" formatCode="\P0"/>
    <numFmt numFmtId="343" formatCode="#,##0;\(#,##0\);\–;@"/>
    <numFmt numFmtId="344" formatCode="_(&quot;CHF&quot;* #,##0.0_);_(&quot;CHF&quot;* \(#,##0.0\);_(&quot;CHF&quot;* &quot;-&quot;??_);_(@_)"/>
    <numFmt numFmtId="345" formatCode="#,##0.000\ ;\(#,##0.000\)"/>
    <numFmt numFmtId="346" formatCode="#,##0.00_)\ \x;\(#,##0.00\)\ \x"/>
    <numFmt numFmtId="347" formatCode="#,##0\ &quot;mk&quot;;\-#,##0\ &quot;mk&quot;"/>
    <numFmt numFmtId="348" formatCode="0.00\x"/>
    <numFmt numFmtId="349" formatCode="_-* #,##0_-;\-* #,##0_-;_-* &quot;-&quot;_-;_-@_-"/>
    <numFmt numFmtId="350" formatCode="#,##0.00\ ;\(#,##0.00\)"/>
    <numFmt numFmtId="351" formatCode="0.00\ "/>
    <numFmt numFmtId="352" formatCode="#,##0,;[Red]\-#,##0,"/>
    <numFmt numFmtId="353" formatCode="\+0%;[Red]\-0%;0%"/>
    <numFmt numFmtId="354" formatCode="&quot;£&quot;#,##0;[Red]\-&quot;£&quot;#,##0"/>
    <numFmt numFmtId="355" formatCode="&quot;Fr.&quot;\ #,##0.00;[Red]&quot;Fr.&quot;\ \-#,##0.00"/>
    <numFmt numFmtId="356" formatCode="\¥#,##0_);\(\¥#,##0\)"/>
    <numFmt numFmtId="357" formatCode="_ * #,##0_ ;_ * \-#,##0_ ;_ * &quot;-&quot;_ ;_ @_ "/>
    <numFmt numFmtId="358" formatCode="#,##0;&quot;▲&quot;#,##0"/>
    <numFmt numFmtId="359" formatCode="0.000000000000000%"/>
    <numFmt numFmtId="360" formatCode="0\x"/>
    <numFmt numFmtId="361" formatCode="0.000000000000000"/>
  </numFmts>
  <fonts count="282">
    <font>
      <sz val="11"/>
      <color theme="1"/>
      <name val="Calibri"/>
      <family val="2"/>
      <scheme val="minor"/>
    </font>
    <font>
      <sz val="11"/>
      <color theme="1"/>
      <name val="Calibri"/>
      <family val="2"/>
      <scheme val="minor"/>
    </font>
    <font>
      <sz val="10"/>
      <color theme="1"/>
      <name val="Calibri"/>
      <family val="2"/>
      <scheme val="minor"/>
    </font>
    <font>
      <sz val="10"/>
      <color rgb="FF0000FF"/>
      <name val="Calibri"/>
      <family val="2"/>
      <scheme val="minor"/>
    </font>
    <font>
      <b/>
      <sz val="10"/>
      <color theme="1"/>
      <name val="Calibri"/>
      <family val="2"/>
      <scheme val="minor"/>
    </font>
    <font>
      <sz val="10"/>
      <name val="Calibri"/>
      <family val="2"/>
      <scheme val="minor"/>
    </font>
    <font>
      <b/>
      <u/>
      <sz val="10"/>
      <color theme="1"/>
      <name val="Calibri"/>
      <family val="2"/>
      <scheme val="minor"/>
    </font>
    <font>
      <sz val="10"/>
      <color rgb="FF00B050"/>
      <name val="Calibri"/>
      <family val="2"/>
      <scheme val="minor"/>
    </font>
    <font>
      <i/>
      <sz val="8"/>
      <color theme="1"/>
      <name val="Calibri"/>
      <family val="2"/>
      <scheme val="minor"/>
    </font>
    <font>
      <b/>
      <sz val="11"/>
      <color theme="1"/>
      <name val="Calibri"/>
      <family val="2"/>
      <scheme val="minor"/>
    </font>
    <font>
      <sz val="10"/>
      <name val="Arial"/>
      <family val="2"/>
    </font>
    <font>
      <i/>
      <sz val="10"/>
      <name val="Arial"/>
      <family val="2"/>
    </font>
    <font>
      <u/>
      <sz val="11"/>
      <color theme="1"/>
      <name val="Calibri"/>
      <family val="2"/>
      <scheme val="minor"/>
    </font>
    <font>
      <sz val="9"/>
      <color indexed="81"/>
      <name val="Tahoma"/>
      <family val="2"/>
    </font>
    <font>
      <b/>
      <sz val="9"/>
      <color indexed="81"/>
      <name val="Tahoma"/>
      <family val="2"/>
    </font>
    <font>
      <sz val="11"/>
      <color theme="0"/>
      <name val="Calibri"/>
      <family val="2"/>
      <scheme val="minor"/>
    </font>
    <font>
      <sz val="11"/>
      <name val="Calibri"/>
      <family val="2"/>
      <scheme val="minor"/>
    </font>
    <font>
      <b/>
      <sz val="11"/>
      <name val="Calibri"/>
      <family val="2"/>
      <scheme val="minor"/>
    </font>
    <font>
      <sz val="11"/>
      <color rgb="FF0000FF"/>
      <name val="Calibri"/>
      <family val="2"/>
      <scheme val="minor"/>
    </font>
    <font>
      <sz val="10"/>
      <name val="Courier"/>
      <family val="3"/>
    </font>
    <font>
      <b/>
      <sz val="12"/>
      <name val="Arial"/>
      <family val="2"/>
    </font>
    <font>
      <b/>
      <sz val="10"/>
      <name val="Arial"/>
      <family val="2"/>
    </font>
    <font>
      <sz val="11"/>
      <color indexed="8"/>
      <name val="Calibri"/>
      <family val="2"/>
    </font>
    <font>
      <b/>
      <sz val="14"/>
      <name val="Arial"/>
      <family val="2"/>
    </font>
    <font>
      <b/>
      <sz val="12"/>
      <color indexed="9"/>
      <name val="Arial"/>
      <family val="2"/>
    </font>
    <font>
      <sz val="12"/>
      <name val="Arial"/>
      <family val="2"/>
    </font>
    <font>
      <sz val="12"/>
      <name val="Helv"/>
    </font>
    <font>
      <sz val="10"/>
      <name val="MS Sans Serif"/>
      <family val="2"/>
    </font>
    <font>
      <sz val="8"/>
      <name val="Helvetica"/>
      <family val="2"/>
    </font>
    <font>
      <sz val="10"/>
      <color indexed="9"/>
      <name val="Arial"/>
      <family val="2"/>
    </font>
    <font>
      <u/>
      <sz val="10"/>
      <color theme="10"/>
      <name val="Arial"/>
      <family val="2"/>
    </font>
    <font>
      <b/>
      <sz val="14"/>
      <color indexed="9"/>
      <name val="Arial"/>
      <family val="2"/>
    </font>
    <font>
      <sz val="10"/>
      <color indexed="10"/>
      <name val="Arial"/>
      <family val="2"/>
    </font>
    <font>
      <sz val="8"/>
      <color indexed="12"/>
      <name val="Arial"/>
      <family val="2"/>
    </font>
    <font>
      <sz val="10"/>
      <name val="Times New Roman"/>
      <family val="1"/>
    </font>
    <font>
      <b/>
      <sz val="10"/>
      <name val="MS Sans Serif"/>
      <family val="2"/>
    </font>
    <font>
      <sz val="10"/>
      <color indexed="8"/>
      <name val="Times New Roman"/>
      <family val="1"/>
    </font>
    <font>
      <sz val="10"/>
      <name val="GillSans"/>
      <family val="2"/>
    </font>
    <font>
      <sz val="8"/>
      <name val="Tms Rmn"/>
    </font>
    <font>
      <sz val="8"/>
      <name val="Arial"/>
      <family val="2"/>
    </font>
    <font>
      <sz val="8"/>
      <color indexed="49"/>
      <name val="Times New Roman"/>
      <family val="1"/>
    </font>
    <font>
      <sz val="10"/>
      <color indexed="8"/>
      <name val="MS Sans Serif"/>
      <family val="2"/>
    </font>
    <font>
      <sz val="9"/>
      <name val="Helvetica 45"/>
    </font>
    <font>
      <sz val="9"/>
      <name val="Arial"/>
      <family val="2"/>
    </font>
    <font>
      <sz val="10"/>
      <name val="GS TheSans"/>
      <family val="2"/>
    </font>
    <font>
      <sz val="8"/>
      <name val="Tahoma"/>
      <family val="2"/>
    </font>
    <font>
      <sz val="10"/>
      <name val="Helvetica"/>
      <family val="2"/>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2"/>
      <name val="Times New Roman"/>
      <family val="1"/>
    </font>
    <font>
      <sz val="11"/>
      <name val="‚l‚r ƒSƒVƒbƒN"/>
      <charset val="128"/>
    </font>
    <font>
      <sz val="10"/>
      <name val="Univers (WN)"/>
    </font>
    <font>
      <sz val="11"/>
      <color indexed="9"/>
      <name val="Calibri"/>
      <family val="2"/>
    </font>
    <font>
      <sz val="12"/>
      <name val="Arial MT"/>
    </font>
    <font>
      <sz val="9"/>
      <color indexed="12"/>
      <name val="Times New Roman"/>
      <family val="1"/>
    </font>
    <font>
      <sz val="9"/>
      <color indexed="8"/>
      <name val="Times New Roman"/>
      <family val="1"/>
    </font>
    <font>
      <b/>
      <sz val="10"/>
      <color indexed="8"/>
      <name val="Times New Roman"/>
      <family val="1"/>
    </font>
    <font>
      <sz val="10"/>
      <color indexed="12"/>
      <name val="Times New Roman"/>
      <family val="1"/>
    </font>
    <font>
      <sz val="8"/>
      <name val="Arial MT"/>
    </font>
    <font>
      <b/>
      <sz val="12"/>
      <name val="Tms Rmn"/>
    </font>
    <font>
      <b/>
      <sz val="6"/>
      <name val="Arial"/>
      <family val="2"/>
    </font>
    <font>
      <b/>
      <sz val="8"/>
      <name val="Arial"/>
      <family val="2"/>
    </font>
    <font>
      <i/>
      <sz val="8"/>
      <name val="Arial"/>
      <family val="2"/>
    </font>
    <font>
      <sz val="8"/>
      <color indexed="12"/>
      <name val="Helv"/>
    </font>
    <font>
      <sz val="10"/>
      <name val="Geneva"/>
      <family val="2"/>
    </font>
    <font>
      <sz val="9"/>
      <name val="Times New Roman"/>
      <family val="1"/>
    </font>
    <font>
      <sz val="10"/>
      <color indexed="12"/>
      <name val="Arial"/>
      <family val="2"/>
    </font>
    <font>
      <sz val="8"/>
      <name val="Times New Roman"/>
      <family val="1"/>
    </font>
    <font>
      <sz val="8"/>
      <color indexed="13"/>
      <name val="Arial"/>
      <family val="2"/>
    </font>
    <font>
      <b/>
      <sz val="9"/>
      <color indexed="0"/>
      <name val="Arial"/>
      <family val="2"/>
    </font>
    <font>
      <sz val="9"/>
      <color indexed="0"/>
      <name val="Arial"/>
      <family val="2"/>
    </font>
    <font>
      <sz val="9"/>
      <color indexed="9"/>
      <name val="Times New Roman"/>
      <family val="1"/>
    </font>
    <font>
      <sz val="8"/>
      <color indexed="12"/>
      <name val="Times"/>
      <family val="1"/>
    </font>
    <font>
      <b/>
      <sz val="10"/>
      <color indexed="9"/>
      <name val="Arial"/>
      <family val="2"/>
    </font>
    <font>
      <b/>
      <sz val="12"/>
      <name val="Times New Roman"/>
      <family val="1"/>
    </font>
    <font>
      <b/>
      <sz val="12"/>
      <name val="Times"/>
      <family val="1"/>
    </font>
    <font>
      <b/>
      <i/>
      <sz val="12"/>
      <name val="Times"/>
      <family val="1"/>
    </font>
    <font>
      <sz val="11"/>
      <name val="Times New Roman"/>
      <family val="1"/>
    </font>
    <font>
      <u val="singleAccounting"/>
      <sz val="10"/>
      <name val="Arial"/>
      <family val="2"/>
    </font>
    <font>
      <sz val="9"/>
      <color indexed="8"/>
      <name val="Tahoma"/>
      <family val="2"/>
    </font>
    <font>
      <b/>
      <sz val="8"/>
      <name val="Times New Roman"/>
      <family val="1"/>
    </font>
    <font>
      <sz val="8"/>
      <name val="Times"/>
      <family val="1"/>
    </font>
    <font>
      <sz val="10"/>
      <color indexed="18"/>
      <name val="Times New Roman"/>
      <family val="1"/>
    </font>
    <font>
      <sz val="10"/>
      <color indexed="8"/>
      <name val="Arial"/>
      <family val="2"/>
    </font>
    <font>
      <b/>
      <i/>
      <sz val="8"/>
      <name val="Arial"/>
      <family val="2"/>
    </font>
    <font>
      <b/>
      <sz val="10"/>
      <name val="Bookman"/>
      <family val="1"/>
    </font>
    <font>
      <b/>
      <sz val="7"/>
      <name val="Helvetica-Narrow"/>
      <family val="2"/>
    </font>
    <font>
      <b/>
      <sz val="7"/>
      <name val="GillSans"/>
      <family val="2"/>
    </font>
    <font>
      <b/>
      <u val="singleAccounting"/>
      <sz val="8"/>
      <color indexed="8"/>
      <name val="Arial"/>
      <family val="2"/>
    </font>
    <font>
      <sz val="10"/>
      <name val="Helv"/>
    </font>
    <font>
      <sz val="10"/>
      <name val="Helv"/>
      <family val="2"/>
    </font>
    <font>
      <b/>
      <sz val="8"/>
      <name val="Helv"/>
    </font>
    <font>
      <sz val="11"/>
      <name val="Times"/>
      <family val="1"/>
    </font>
    <font>
      <sz val="8"/>
      <name val="Palatino"/>
      <family val="1"/>
    </font>
    <font>
      <u/>
      <sz val="8"/>
      <name val="Times New Roman"/>
      <family val="1"/>
    </font>
    <font>
      <i/>
      <sz val="9"/>
      <name val="MS Sans Serif"/>
      <family val="2"/>
    </font>
    <font>
      <sz val="24"/>
      <name val="MS Sans Serif"/>
      <family val="2"/>
    </font>
    <font>
      <b/>
      <sz val="24"/>
      <name val="Times New Roman"/>
      <family val="1"/>
    </font>
    <font>
      <b/>
      <sz val="11"/>
      <name val="Times New Roman"/>
      <family val="1"/>
    </font>
    <font>
      <b/>
      <sz val="14"/>
      <name val="Book Antiqua"/>
      <family val="1"/>
    </font>
    <font>
      <sz val="10"/>
      <color indexed="12"/>
      <name val="Helv"/>
    </font>
    <font>
      <sz val="8"/>
      <color indexed="16"/>
      <name val="Palatino"/>
      <family val="1"/>
    </font>
    <font>
      <b/>
      <sz val="14"/>
      <name val="Times"/>
      <family val="1"/>
    </font>
    <font>
      <sz val="10"/>
      <color indexed="12"/>
      <name val="1000"/>
    </font>
    <font>
      <b/>
      <sz val="9"/>
      <color indexed="2"/>
      <name val="Arial"/>
      <family val="2"/>
    </font>
    <font>
      <sz val="9"/>
      <color indexed="2"/>
      <name val="Arial"/>
      <family val="2"/>
    </font>
    <font>
      <b/>
      <sz val="14"/>
      <color indexed="10"/>
      <name val="Times New Roman"/>
      <family val="1"/>
    </font>
    <font>
      <sz val="10"/>
      <color indexed="48"/>
      <name val="Times New Roman"/>
      <family val="1"/>
    </font>
    <font>
      <sz val="10"/>
      <name val="Palatino"/>
      <family val="1"/>
    </font>
    <font>
      <u val="doubleAccounting"/>
      <sz val="10"/>
      <name val="Arial"/>
      <family val="2"/>
    </font>
    <font>
      <b/>
      <i/>
      <sz val="8"/>
      <color indexed="12"/>
      <name val="Arial"/>
      <family val="2"/>
    </font>
    <font>
      <b/>
      <i/>
      <sz val="9"/>
      <color indexed="12"/>
      <name val="Arial Narrow"/>
      <family val="2"/>
    </font>
    <font>
      <u/>
      <sz val="10"/>
      <color indexed="36"/>
      <name val="Arial"/>
      <family val="2"/>
    </font>
    <font>
      <u/>
      <sz val="10"/>
      <color indexed="39"/>
      <name val="Arial"/>
      <family val="2"/>
    </font>
    <font>
      <sz val="10"/>
      <color indexed="2"/>
      <name val="Tahoma"/>
      <family val="2"/>
    </font>
    <font>
      <sz val="14"/>
      <color indexed="32"/>
      <name val="Times New Roman"/>
      <family val="1"/>
    </font>
    <font>
      <b/>
      <sz val="10"/>
      <color indexed="0"/>
      <name val="Tahoma"/>
      <family val="2"/>
    </font>
    <font>
      <sz val="10"/>
      <name val="Book Antiqua"/>
      <family val="1"/>
    </font>
    <font>
      <sz val="8"/>
      <color indexed="10"/>
      <name val="Arial"/>
      <family val="2"/>
    </font>
    <font>
      <sz val="9"/>
      <name val="GillSans Light"/>
      <family val="2"/>
    </font>
    <font>
      <sz val="7"/>
      <name val="Arial"/>
      <family val="2"/>
    </font>
    <font>
      <sz val="8"/>
      <color indexed="17"/>
      <name val="Arial"/>
      <family val="2"/>
    </font>
    <font>
      <i/>
      <sz val="8"/>
      <color indexed="62"/>
      <name val="Arial"/>
      <family val="2"/>
    </font>
    <font>
      <sz val="10"/>
      <color indexed="0"/>
      <name val="Arial"/>
      <family val="2"/>
    </font>
    <font>
      <sz val="10"/>
      <color indexed="17"/>
      <name val="Times New Roman"/>
      <family val="1"/>
    </font>
    <font>
      <sz val="8"/>
      <color indexed="17"/>
      <name val="Times New Roman"/>
      <family val="1"/>
    </font>
    <font>
      <b/>
      <sz val="7"/>
      <color indexed="17"/>
      <name val="Arial"/>
      <family val="2"/>
    </font>
    <font>
      <sz val="9"/>
      <color indexed="18"/>
      <name val="Tahoma"/>
      <family val="2"/>
    </font>
    <font>
      <sz val="9"/>
      <name val="Futura UBS Bk"/>
      <family val="2"/>
    </font>
    <font>
      <b/>
      <sz val="10"/>
      <color indexed="9"/>
      <name val="GillSans"/>
      <family val="2"/>
    </font>
    <font>
      <b/>
      <sz val="10"/>
      <color indexed="8"/>
      <name val="GillSans"/>
      <family val="2"/>
    </font>
    <font>
      <b/>
      <sz val="8"/>
      <color indexed="8"/>
      <name val="Arial"/>
      <family val="2"/>
    </font>
    <font>
      <b/>
      <i/>
      <sz val="12"/>
      <color indexed="12"/>
      <name val="Palatino"/>
      <family val="1"/>
    </font>
    <font>
      <b/>
      <sz val="10"/>
      <color indexed="12"/>
      <name val="Arial"/>
      <family val="2"/>
    </font>
    <font>
      <sz val="10"/>
      <name val="Tahoma"/>
      <family val="2"/>
    </font>
    <font>
      <sz val="8"/>
      <color indexed="8"/>
      <name val="Helv"/>
    </font>
    <font>
      <i/>
      <sz val="8"/>
      <color indexed="16"/>
      <name val="Arial"/>
      <family val="2"/>
    </font>
    <font>
      <i/>
      <sz val="8"/>
      <color indexed="12"/>
      <name val="Helv"/>
      <family val="2"/>
    </font>
    <font>
      <sz val="11"/>
      <color indexed="62"/>
      <name val="Calibri"/>
      <family val="2"/>
    </font>
    <font>
      <sz val="1"/>
      <color indexed="9"/>
      <name val="Symbol"/>
      <family val="1"/>
      <charset val="2"/>
    </font>
    <font>
      <i/>
      <sz val="8"/>
      <name val="Times New Roman"/>
      <family val="1"/>
    </font>
    <font>
      <sz val="10"/>
      <color indexed="16"/>
      <name val="Arial Narrow"/>
      <family val="2"/>
    </font>
    <font>
      <sz val="10"/>
      <name val="GillSans Light"/>
      <family val="2"/>
    </font>
    <font>
      <sz val="8"/>
      <color indexed="16"/>
      <name val="Helv"/>
      <family val="2"/>
    </font>
    <font>
      <b/>
      <sz val="10"/>
      <name val="Palatino"/>
      <family val="1"/>
    </font>
    <font>
      <sz val="9"/>
      <color indexed="17"/>
      <name val="Tahoma"/>
      <family val="2"/>
    </font>
    <font>
      <sz val="9"/>
      <color indexed="20"/>
      <name val="Tahoma"/>
      <family val="2"/>
    </font>
    <font>
      <b/>
      <sz val="12"/>
      <color indexed="17"/>
      <name val="Wingdings"/>
      <charset val="2"/>
    </font>
    <font>
      <i/>
      <sz val="9"/>
      <color indexed="20"/>
      <name val="Arial Narrow"/>
      <family val="2"/>
    </font>
    <font>
      <sz val="8"/>
      <color indexed="18"/>
      <name val="Times New Roman"/>
      <family val="1"/>
    </font>
    <font>
      <sz val="8"/>
      <name val="Book Antiqua"/>
      <family val="1"/>
    </font>
    <font>
      <b/>
      <i/>
      <sz val="10"/>
      <color indexed="4"/>
      <name val="Tahoma"/>
      <family val="2"/>
    </font>
    <font>
      <sz val="10"/>
      <color indexed="4"/>
      <name val="Tahoma"/>
      <family val="2"/>
    </font>
    <font>
      <sz val="10"/>
      <color indexed="20"/>
      <name val="Times New Roman"/>
      <family val="1"/>
    </font>
    <font>
      <i/>
      <sz val="7"/>
      <name val="Book Antiqua"/>
      <family val="1"/>
    </font>
    <font>
      <sz val="8"/>
      <color indexed="9"/>
      <name val="Arial"/>
      <family val="2"/>
    </font>
    <font>
      <sz val="12"/>
      <name val="BASKERV"/>
    </font>
    <font>
      <sz val="8"/>
      <name val="Helv"/>
    </font>
    <font>
      <sz val="11"/>
      <color indexed="60"/>
      <name val="Calibri"/>
      <family val="2"/>
    </font>
    <font>
      <b/>
      <u val="singleAccounting"/>
      <sz val="8"/>
      <color indexed="8"/>
      <name val="Verdana"/>
      <family val="2"/>
    </font>
    <font>
      <b/>
      <sz val="12"/>
      <color indexed="8"/>
      <name val="Verdana"/>
      <family val="2"/>
    </font>
    <font>
      <sz val="7"/>
      <name val="Small Fonts"/>
      <family val="2"/>
    </font>
    <font>
      <b/>
      <i/>
      <sz val="16"/>
      <name val="Helv"/>
    </font>
    <font>
      <sz val="11"/>
      <color theme="1"/>
      <name val="Arial"/>
      <family val="2"/>
    </font>
    <font>
      <sz val="12"/>
      <color theme="1"/>
      <name val="Calibri"/>
      <family val="2"/>
      <scheme val="minor"/>
    </font>
    <font>
      <i/>
      <sz val="8"/>
      <color indexed="15"/>
      <name val="Arial"/>
      <family val="2"/>
    </font>
    <font>
      <sz val="8"/>
      <color indexed="8"/>
      <name val="Times New Roman"/>
      <family val="1"/>
    </font>
    <font>
      <sz val="10"/>
      <name val="Garamond"/>
      <family val="1"/>
    </font>
    <font>
      <sz val="9"/>
      <name val="Helv"/>
    </font>
    <font>
      <b/>
      <sz val="9"/>
      <name val="Helv"/>
    </font>
    <font>
      <sz val="10"/>
      <color indexed="72"/>
      <name val="System"/>
      <family val="2"/>
    </font>
    <font>
      <b/>
      <sz val="13.5"/>
      <name val="MS Sans Serif"/>
      <family val="2"/>
    </font>
    <font>
      <b/>
      <sz val="14"/>
      <name val="Times New Roman"/>
      <family val="1"/>
    </font>
    <font>
      <sz val="10"/>
      <color indexed="16"/>
      <name val="Helvetica-Black"/>
    </font>
    <font>
      <b/>
      <sz val="10"/>
      <name val="Times New Roman"/>
      <family val="1"/>
    </font>
    <font>
      <b/>
      <sz val="9"/>
      <name val="Frutiger 45 Light"/>
      <family val="2"/>
    </font>
    <font>
      <i/>
      <sz val="9"/>
      <name val="Helv"/>
    </font>
    <font>
      <sz val="10"/>
      <color indexed="8"/>
      <name val="Helv"/>
    </font>
    <font>
      <i/>
      <sz val="8"/>
      <color indexed="14"/>
      <name val="Arial Narrow"/>
      <family val="2"/>
    </font>
    <font>
      <sz val="8"/>
      <name val="Helv"/>
      <family val="2"/>
    </font>
    <font>
      <sz val="8"/>
      <color indexed="32"/>
      <name val="Arial"/>
      <family val="2"/>
    </font>
    <font>
      <sz val="9"/>
      <color indexed="14"/>
      <name val="Tahoma"/>
      <family val="2"/>
    </font>
    <font>
      <sz val="8"/>
      <color indexed="44"/>
      <name val="Arial"/>
      <family val="2"/>
    </font>
    <font>
      <sz val="10"/>
      <color indexed="12"/>
      <name val="MS Sans Serif"/>
      <family val="2"/>
    </font>
    <font>
      <sz val="10"/>
      <color indexed="10"/>
      <name val="Times New Roman"/>
      <family val="1"/>
    </font>
    <font>
      <sz val="10"/>
      <color indexed="10"/>
      <name val="MS Sans Serif"/>
      <family val="2"/>
    </font>
    <font>
      <sz val="8"/>
      <color indexed="12"/>
      <name val="Helvetica"/>
      <family val="2"/>
    </font>
    <font>
      <sz val="8"/>
      <color indexed="8"/>
      <name val="Arial"/>
      <family val="2"/>
    </font>
    <font>
      <sz val="9.5"/>
      <color indexed="23"/>
      <name val="Helvetica-Black"/>
    </font>
    <font>
      <sz val="10"/>
      <color indexed="23"/>
      <name val="MS Sans Serif"/>
      <family val="2"/>
    </font>
    <font>
      <b/>
      <sz val="8"/>
      <color indexed="9"/>
      <name val="Verdana"/>
      <family val="2"/>
    </font>
    <font>
      <b/>
      <sz val="12"/>
      <name val="MS Sans Serif"/>
      <family val="2"/>
    </font>
    <font>
      <b/>
      <sz val="14"/>
      <name val="Bookman"/>
      <family val="1"/>
    </font>
    <font>
      <sz val="10"/>
      <name val="Times"/>
      <family val="1"/>
    </font>
    <font>
      <sz val="10"/>
      <name val="Arial Narrow"/>
      <family val="2"/>
    </font>
    <font>
      <sz val="9"/>
      <color indexed="12"/>
      <name val="Swis721 Cn BT"/>
    </font>
    <font>
      <b/>
      <sz val="12"/>
      <color indexed="10"/>
      <name val="Swis721 Cn BT"/>
    </font>
    <font>
      <sz val="12"/>
      <name val="Palatino"/>
      <family val="1"/>
    </font>
    <font>
      <b/>
      <sz val="11"/>
      <color indexed="9"/>
      <name val="Arial"/>
      <family val="2"/>
    </font>
    <font>
      <b/>
      <i/>
      <sz val="8"/>
      <color indexed="9"/>
      <name val="Arial"/>
      <family val="2"/>
    </font>
    <font>
      <b/>
      <sz val="8"/>
      <name val="HelveticaNeue Condensed"/>
    </font>
    <font>
      <sz val="8"/>
      <name val="HelveticaNeue LightCond"/>
      <family val="2"/>
    </font>
    <font>
      <b/>
      <sz val="7"/>
      <name val="HelveticaNeue Condensed"/>
      <family val="2"/>
    </font>
    <font>
      <b/>
      <sz val="9"/>
      <name val="Times New Roman"/>
      <family val="1"/>
    </font>
    <font>
      <b/>
      <sz val="10"/>
      <name val="GillSans"/>
      <family val="2"/>
    </font>
    <font>
      <b/>
      <u/>
      <sz val="9"/>
      <name val="Helv"/>
    </font>
    <font>
      <b/>
      <sz val="10"/>
      <color indexed="12"/>
      <name val="MS Sans Serif"/>
      <family val="2"/>
    </font>
    <font>
      <vertAlign val="subscript"/>
      <sz val="8"/>
      <color indexed="8"/>
      <name val="Arial"/>
      <family val="2"/>
    </font>
    <font>
      <i/>
      <sz val="12"/>
      <color indexed="12"/>
      <name val="Times New Roman"/>
      <family val="1"/>
    </font>
    <font>
      <vertAlign val="superscript"/>
      <sz val="8"/>
      <color indexed="8"/>
      <name val="Arial"/>
      <family val="2"/>
    </font>
    <font>
      <b/>
      <sz val="10"/>
      <color indexed="18"/>
      <name val="Symbol"/>
      <family val="1"/>
    </font>
    <font>
      <b/>
      <sz val="9"/>
      <name val="Palatino"/>
      <family val="1"/>
    </font>
    <font>
      <sz val="9"/>
      <color indexed="21"/>
      <name val="Helvetica-Black"/>
    </font>
    <font>
      <b/>
      <sz val="12"/>
      <color indexed="60"/>
      <name val="Swis721 Cn BT"/>
    </font>
    <font>
      <b/>
      <sz val="8.5"/>
      <color indexed="8"/>
      <name val="Arial"/>
      <family val="2"/>
    </font>
    <font>
      <b/>
      <sz val="8.5"/>
      <color indexed="17"/>
      <name val="Arial"/>
      <family val="2"/>
    </font>
    <font>
      <sz val="8.5"/>
      <color indexed="8"/>
      <name val="Arial"/>
      <family val="2"/>
    </font>
    <font>
      <sz val="9"/>
      <name val="Helvetica-Black"/>
    </font>
    <font>
      <sz val="7"/>
      <name val="Palatino"/>
      <family val="1"/>
    </font>
    <font>
      <b/>
      <sz val="12"/>
      <name val="GillSans"/>
      <family val="2"/>
    </font>
    <font>
      <sz val="12"/>
      <color indexed="8"/>
      <name val="Palatino"/>
      <family val="1"/>
    </font>
    <font>
      <sz val="11"/>
      <color indexed="8"/>
      <name val="Helvetica-Black"/>
    </font>
    <font>
      <i/>
      <sz val="8"/>
      <color indexed="8"/>
      <name val="Arial"/>
      <family val="2"/>
    </font>
    <font>
      <sz val="10"/>
      <name val="Frutiger 45 Light"/>
      <family val="2"/>
    </font>
    <font>
      <b/>
      <sz val="10"/>
      <name val="Frutiger 45"/>
      <family val="2"/>
    </font>
    <font>
      <sz val="10"/>
      <color indexed="8"/>
      <name val="Palatino"/>
      <family val="1"/>
    </font>
    <font>
      <b/>
      <u/>
      <sz val="9"/>
      <name val="Arial"/>
      <family val="2"/>
    </font>
    <font>
      <b/>
      <sz val="10"/>
      <name val="Helvetica 65"/>
      <family val="2"/>
    </font>
    <font>
      <sz val="8"/>
      <color indexed="9"/>
      <name val="Arial Black"/>
      <family val="2"/>
    </font>
    <font>
      <b/>
      <sz val="9"/>
      <name val="Helvetica 65"/>
      <family val="2"/>
    </font>
    <font>
      <b/>
      <sz val="8"/>
      <color indexed="18"/>
      <name val="Times New Roman"/>
      <family val="1"/>
    </font>
    <font>
      <b/>
      <sz val="13"/>
      <color indexed="8"/>
      <name val="Verdana"/>
      <family val="2"/>
    </font>
    <font>
      <b/>
      <sz val="7"/>
      <name val="Arial"/>
      <family val="2"/>
    </font>
    <font>
      <b/>
      <sz val="9"/>
      <name val="Arial"/>
      <family val="2"/>
    </font>
    <font>
      <u/>
      <sz val="11"/>
      <name val="GillSans"/>
      <family val="2"/>
    </font>
    <font>
      <b/>
      <sz val="10"/>
      <color indexed="16"/>
      <name val="GillSans"/>
      <family val="2"/>
    </font>
    <font>
      <u/>
      <sz val="8"/>
      <name val="Tms Rmn"/>
    </font>
    <font>
      <u/>
      <sz val="10"/>
      <name val="Helv"/>
    </font>
    <font>
      <sz val="9"/>
      <name val="Univers (W1)"/>
      <family val="2"/>
    </font>
    <font>
      <sz val="10"/>
      <color indexed="45"/>
      <name val="Arial"/>
      <family val="2"/>
    </font>
    <font>
      <sz val="9"/>
      <color indexed="10"/>
      <name val="Tahoma"/>
      <family val="2"/>
    </font>
    <font>
      <b/>
      <sz val="8"/>
      <color indexed="8"/>
      <name val="Wingdings"/>
      <charset val="2"/>
    </font>
    <font>
      <b/>
      <sz val="8"/>
      <color indexed="10"/>
      <name val="Wingdings"/>
      <charset val="2"/>
    </font>
    <font>
      <b/>
      <sz val="8"/>
      <color indexed="9"/>
      <name val="Wingdings"/>
      <charset val="2"/>
    </font>
    <font>
      <b/>
      <i/>
      <sz val="12"/>
      <name val="Times New Roman"/>
      <family val="1"/>
    </font>
    <font>
      <sz val="11"/>
      <name val="ZapfCalligr BT"/>
      <family val="1"/>
    </font>
    <font>
      <sz val="12"/>
      <name val="ＭＳ Ｐゴシック"/>
      <family val="3"/>
      <charset val="128"/>
    </font>
    <font>
      <sz val="12"/>
      <name val="바탕체"/>
      <family val="1"/>
      <charset val="129"/>
    </font>
    <font>
      <sz val="11"/>
      <name val="ＭＳ ゴシック"/>
      <family val="3"/>
      <charset val="128"/>
    </font>
    <font>
      <sz val="8"/>
      <color theme="1"/>
      <name val="Calibri"/>
      <family val="2"/>
      <scheme val="minor"/>
    </font>
    <font>
      <b/>
      <sz val="8"/>
      <color theme="1"/>
      <name val="Calibri"/>
      <family val="2"/>
      <scheme val="minor"/>
    </font>
    <font>
      <sz val="8"/>
      <color rgb="FF0000FF"/>
      <name val="Calibri"/>
      <family val="2"/>
      <scheme val="minor"/>
    </font>
    <font>
      <sz val="8"/>
      <name val="Calibri"/>
      <family val="2"/>
      <scheme val="minor"/>
    </font>
    <font>
      <b/>
      <sz val="8"/>
      <name val="Calibri"/>
      <family val="2"/>
      <scheme val="minor"/>
    </font>
    <font>
      <i/>
      <sz val="8"/>
      <color rgb="FF00B050"/>
      <name val="Calibri"/>
      <family val="2"/>
      <scheme val="minor"/>
    </font>
    <font>
      <b/>
      <i/>
      <sz val="8"/>
      <color theme="1"/>
      <name val="Calibri"/>
      <family val="2"/>
      <scheme val="minor"/>
    </font>
    <font>
      <b/>
      <u/>
      <sz val="8"/>
      <color theme="1"/>
      <name val="Calibri"/>
      <family val="2"/>
      <scheme val="minor"/>
    </font>
    <font>
      <i/>
      <sz val="8"/>
      <name val="Calibri"/>
      <family val="2"/>
      <scheme val="minor"/>
    </font>
    <font>
      <i/>
      <sz val="8"/>
      <color rgb="FF006600"/>
      <name val="Calibri"/>
      <family val="2"/>
      <scheme val="minor"/>
    </font>
    <font>
      <sz val="8"/>
      <color rgb="FF006600"/>
      <name val="Calibri"/>
      <family val="2"/>
      <scheme val="minor"/>
    </font>
    <font>
      <i/>
      <sz val="8"/>
      <color rgb="FF0000FF"/>
      <name val="Calibri"/>
      <family val="2"/>
      <scheme val="minor"/>
    </font>
    <font>
      <b/>
      <sz val="8"/>
      <color indexed="81"/>
      <name val="Tahoma"/>
      <family val="2"/>
    </font>
    <font>
      <sz val="8"/>
      <color indexed="81"/>
      <name val="Tahoma"/>
      <family val="2"/>
    </font>
    <font>
      <sz val="8"/>
      <color rgb="FFFF6699"/>
      <name val="Calibri"/>
      <family val="2"/>
      <scheme val="minor"/>
    </font>
    <font>
      <b/>
      <sz val="8"/>
      <color rgb="FF00B050"/>
      <name val="Calibri"/>
      <family val="2"/>
      <scheme val="minor"/>
    </font>
    <font>
      <sz val="10"/>
      <color rgb="FFFF6699"/>
      <name val="Calibri"/>
      <family val="2"/>
      <scheme val="minor"/>
    </font>
    <font>
      <sz val="11"/>
      <color rgb="FFFF0000"/>
      <name val="Calibri"/>
      <family val="2"/>
      <scheme val="minor"/>
    </font>
    <font>
      <sz val="11"/>
      <color theme="9" tint="-0.499984740745262"/>
      <name val="Calibri"/>
      <family val="2"/>
      <scheme val="minor"/>
    </font>
    <font>
      <sz val="8"/>
      <color theme="9" tint="-0.249977111117893"/>
      <name val="Calibri"/>
      <family val="2"/>
      <scheme val="minor"/>
    </font>
    <font>
      <sz val="11"/>
      <color rgb="FF00B050"/>
      <name val="Calibri"/>
      <family val="2"/>
      <scheme val="minor"/>
    </font>
    <font>
      <i/>
      <sz val="11"/>
      <color theme="1"/>
      <name val="Calibri"/>
      <family val="2"/>
      <scheme val="minor"/>
    </font>
    <font>
      <sz val="11"/>
      <color theme="9" tint="-0.249977111117893"/>
      <name val="Calibri"/>
      <family val="2"/>
      <scheme val="minor"/>
    </font>
    <font>
      <b/>
      <sz val="10"/>
      <color rgb="FF0000FF"/>
      <name val="Calibri"/>
      <family val="2"/>
      <scheme val="minor"/>
    </font>
    <font>
      <b/>
      <sz val="10"/>
      <name val="Calibri"/>
      <family val="2"/>
      <scheme val="minor"/>
    </font>
    <font>
      <b/>
      <sz val="10"/>
      <color rgb="FFFF6699"/>
      <name val="Calibri"/>
      <family val="2"/>
      <scheme val="minor"/>
    </font>
    <font>
      <sz val="11"/>
      <color rgb="FF000000"/>
      <name val="Calibri"/>
      <family val="2"/>
    </font>
    <font>
      <sz val="10"/>
      <color theme="9" tint="-0.249977111117893"/>
      <name val="Calibri"/>
      <family val="2"/>
      <scheme val="minor"/>
    </font>
    <font>
      <sz val="8"/>
      <color rgb="FFFF33CC"/>
      <name val="Calibri"/>
      <family val="2"/>
      <scheme val="minor"/>
    </font>
    <font>
      <sz val="11"/>
      <color rgb="FF006600"/>
      <name val="Calibri"/>
      <family val="2"/>
      <scheme val="minor"/>
    </font>
  </fonts>
  <fills count="51">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indexed="44"/>
        <bgColor indexed="64"/>
      </patternFill>
    </fill>
    <fill>
      <patternFill patternType="solid">
        <fgColor indexed="22"/>
        <bgColor indexed="64"/>
      </patternFill>
    </fill>
    <fill>
      <patternFill patternType="solid">
        <fgColor indexed="57"/>
        <bgColor indexed="64"/>
      </patternFill>
    </fill>
    <fill>
      <patternFill patternType="solid">
        <fgColor indexed="43"/>
      </patternFill>
    </fill>
    <fill>
      <patternFill patternType="solid">
        <fgColor indexed="47"/>
      </patternFill>
    </fill>
    <fill>
      <patternFill patternType="solid">
        <fgColor indexed="29"/>
      </patternFill>
    </fill>
    <fill>
      <patternFill patternType="solid">
        <fgColor indexed="27"/>
      </patternFill>
    </fill>
    <fill>
      <patternFill patternType="solid">
        <fgColor indexed="44"/>
      </patternFill>
    </fill>
    <fill>
      <patternFill patternType="solid">
        <fgColor indexed="26"/>
      </patternFill>
    </fill>
    <fill>
      <patternFill patternType="gray0625">
        <fgColor indexed="10"/>
        <bgColor indexed="9"/>
      </patternFill>
    </fill>
    <fill>
      <patternFill patternType="solid">
        <fgColor indexed="22"/>
      </patternFill>
    </fill>
    <fill>
      <patternFill patternType="solid">
        <fgColor indexed="32"/>
        <bgColor indexed="64"/>
      </patternFill>
    </fill>
    <fill>
      <patternFill patternType="solid">
        <fgColor indexed="18"/>
        <bgColor indexed="64"/>
      </patternFill>
    </fill>
    <fill>
      <patternFill patternType="lightGray">
        <fgColor indexed="14"/>
        <bgColor indexed="9"/>
      </patternFill>
    </fill>
    <fill>
      <patternFill patternType="lightGray">
        <fgColor indexed="15"/>
      </patternFill>
    </fill>
    <fill>
      <patternFill patternType="mediumGray">
        <fgColor indexed="22"/>
      </patternFill>
    </fill>
    <fill>
      <patternFill patternType="solid">
        <fgColor indexed="60"/>
        <bgColor indexed="64"/>
      </patternFill>
    </fill>
    <fill>
      <patternFill patternType="lightGray">
        <fgColor indexed="12"/>
      </patternFill>
    </fill>
    <fill>
      <patternFill patternType="solid">
        <fgColor indexed="42"/>
        <bgColor indexed="64"/>
      </patternFill>
    </fill>
    <fill>
      <patternFill patternType="solid">
        <fgColor indexed="43"/>
        <bgColor indexed="64"/>
      </patternFill>
    </fill>
    <fill>
      <patternFill patternType="gray0625">
        <fgColor indexed="13"/>
        <bgColor indexed="9"/>
      </patternFill>
    </fill>
    <fill>
      <patternFill patternType="lightGray">
        <fgColor indexed="12"/>
        <bgColor indexed="9"/>
      </patternFill>
    </fill>
    <fill>
      <patternFill patternType="solid">
        <fgColor indexed="35"/>
        <bgColor indexed="64"/>
      </patternFill>
    </fill>
    <fill>
      <patternFill patternType="solid">
        <fgColor indexed="48"/>
      </patternFill>
    </fill>
    <fill>
      <patternFill patternType="solid">
        <fgColor indexed="26"/>
        <bgColor indexed="64"/>
      </patternFill>
    </fill>
    <fill>
      <patternFill patternType="mediumGray"/>
    </fill>
    <fill>
      <patternFill patternType="solid">
        <fgColor indexed="9"/>
        <bgColor indexed="64"/>
      </patternFill>
    </fill>
    <fill>
      <patternFill patternType="solid">
        <fgColor indexed="11"/>
        <bgColor indexed="9"/>
      </patternFill>
    </fill>
    <fill>
      <patternFill patternType="solid">
        <fgColor indexed="13"/>
      </patternFill>
    </fill>
    <fill>
      <patternFill patternType="gray0625">
        <fgColor indexed="22"/>
      </patternFill>
    </fill>
    <fill>
      <patternFill patternType="solid">
        <fgColor indexed="8"/>
        <bgColor indexed="64"/>
      </patternFill>
    </fill>
    <fill>
      <patternFill patternType="solid">
        <fgColor indexed="62"/>
        <bgColor indexed="64"/>
      </patternFill>
    </fill>
    <fill>
      <patternFill patternType="solid">
        <fgColor indexed="63"/>
        <bgColor indexed="64"/>
      </patternFill>
    </fill>
    <fill>
      <patternFill patternType="solid">
        <fgColor indexed="15"/>
      </patternFill>
    </fill>
    <fill>
      <patternFill patternType="solid">
        <fgColor indexed="41"/>
        <bgColor indexed="64"/>
      </patternFill>
    </fill>
    <fill>
      <patternFill patternType="solid">
        <fgColor indexed="10"/>
        <bgColor indexed="64"/>
      </patternFill>
    </fill>
    <fill>
      <patternFill patternType="solid">
        <fgColor indexed="10"/>
      </patternFill>
    </fill>
    <fill>
      <patternFill patternType="solid">
        <fgColor indexed="56"/>
        <bgColor indexed="64"/>
      </patternFill>
    </fill>
    <fill>
      <patternFill patternType="lightGray">
        <fgColor indexed="22"/>
        <bgColor indexed="9"/>
      </patternFill>
    </fill>
    <fill>
      <patternFill patternType="solid">
        <fgColor indexed="31"/>
        <bgColor indexed="64"/>
      </patternFill>
    </fill>
    <fill>
      <patternFill patternType="solid">
        <fgColor indexed="55"/>
        <bgColor indexed="64"/>
      </patternFill>
    </fill>
    <fill>
      <patternFill patternType="solid">
        <fgColor indexed="16"/>
        <bgColor indexed="64"/>
      </patternFill>
    </fill>
    <fill>
      <patternFill patternType="solid">
        <fgColor indexed="27"/>
        <bgColor indexed="64"/>
      </patternFill>
    </fill>
    <fill>
      <patternFill patternType="solid">
        <fgColor rgb="FFFFFF00"/>
        <bgColor indexed="64"/>
      </patternFill>
    </fill>
    <fill>
      <patternFill patternType="solid">
        <fgColor rgb="FF00B0F0"/>
        <bgColor indexed="64"/>
      </patternFill>
    </fill>
  </fills>
  <borders count="68">
    <border>
      <left/>
      <right/>
      <top/>
      <bottom/>
      <diagonal/>
    </border>
    <border>
      <left/>
      <right/>
      <top/>
      <bottom style="thin">
        <color indexed="64"/>
      </bottom>
      <diagonal/>
    </border>
    <border>
      <left/>
      <right/>
      <top style="thin">
        <color indexed="64"/>
      </top>
      <bottom/>
      <diagonal/>
    </border>
    <border>
      <left/>
      <right/>
      <top/>
      <bottom style="medium">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style="thin">
        <color indexed="64"/>
      </top>
      <bottom style="thin">
        <color indexed="64"/>
      </bottom>
      <diagonal/>
    </border>
    <border>
      <left style="thin">
        <color indexed="9"/>
      </left>
      <right style="thin">
        <color indexed="9"/>
      </right>
      <top style="thin">
        <color indexed="9"/>
      </top>
      <bottom style="thin">
        <color indexed="9"/>
      </bottom>
      <diagonal/>
    </border>
    <border diagonalDown="1">
      <left/>
      <right/>
      <top/>
      <bottom/>
      <diagonal/>
    </border>
    <border>
      <left style="medium">
        <color indexed="9"/>
      </left>
      <right style="medium">
        <color indexed="9"/>
      </right>
      <top/>
      <bottom/>
      <diagonal/>
    </border>
    <border>
      <left/>
      <right/>
      <top style="medium">
        <color indexed="64"/>
      </top>
      <bottom style="thin">
        <color indexed="64"/>
      </bottom>
      <diagonal/>
    </border>
    <border>
      <left/>
      <right/>
      <top/>
      <bottom style="hair">
        <color indexed="64"/>
      </bottom>
      <diagonal/>
    </border>
    <border>
      <left/>
      <right style="thin">
        <color indexed="64"/>
      </right>
      <top style="thin">
        <color indexed="64"/>
      </top>
      <bottom style="thin">
        <color indexed="64"/>
      </bottom>
      <diagonal/>
    </border>
    <border>
      <left/>
      <right style="thin">
        <color indexed="8"/>
      </right>
      <top style="thin">
        <color indexed="8"/>
      </top>
      <bottom/>
      <diagonal/>
    </border>
    <border>
      <left style="hair">
        <color indexed="64"/>
      </left>
      <right/>
      <top style="hair">
        <color indexed="64"/>
      </top>
      <bottom style="hair">
        <color indexed="64"/>
      </bottom>
      <diagonal/>
    </border>
    <border>
      <left/>
      <right/>
      <top/>
      <bottom style="dotted">
        <color indexed="64"/>
      </bottom>
      <diagonal/>
    </border>
    <border>
      <left style="dashed">
        <color indexed="64"/>
      </left>
      <right style="dashed">
        <color indexed="64"/>
      </right>
      <top style="dashed">
        <color indexed="64"/>
      </top>
      <bottom style="dashed">
        <color indexed="64"/>
      </bottom>
      <diagonal/>
    </border>
    <border>
      <left style="dotted">
        <color indexed="12"/>
      </left>
      <right style="dotted">
        <color indexed="12"/>
      </right>
      <top style="dotted">
        <color indexed="12"/>
      </top>
      <bottom style="dotted">
        <color indexed="12"/>
      </bottom>
      <diagonal/>
    </border>
    <border>
      <left style="hair">
        <color indexed="64"/>
      </left>
      <right style="hair">
        <color indexed="64"/>
      </right>
      <top style="hair">
        <color indexed="64"/>
      </top>
      <bottom style="hair">
        <color indexed="64"/>
      </bottom>
      <diagonal/>
    </border>
    <border>
      <left style="thin">
        <color indexed="9"/>
      </left>
      <right style="thin">
        <color indexed="9"/>
      </right>
      <top/>
      <bottom/>
      <diagonal/>
    </border>
    <border>
      <left/>
      <right/>
      <top style="medium">
        <color indexed="64"/>
      </top>
      <bottom style="medium">
        <color indexed="64"/>
      </bottom>
      <diagonal/>
    </border>
    <border>
      <left/>
      <right/>
      <top/>
      <bottom style="thick">
        <color indexed="64"/>
      </bottom>
      <diagonal/>
    </border>
    <border>
      <left/>
      <right/>
      <top/>
      <bottom style="thin">
        <color indexed="9"/>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right/>
      <top style="thin">
        <color indexed="23"/>
      </top>
      <bottom/>
      <diagonal/>
    </border>
    <border>
      <left/>
      <right/>
      <top/>
      <bottom style="medium">
        <color indexed="45"/>
      </bottom>
      <diagonal/>
    </border>
    <border>
      <left/>
      <right/>
      <top/>
      <bottom style="thin">
        <color indexed="45"/>
      </bottom>
      <diagonal/>
    </border>
    <border>
      <left/>
      <right/>
      <top style="medium">
        <color indexed="45"/>
      </top>
      <bottom/>
      <diagonal/>
    </border>
    <border>
      <left/>
      <right/>
      <top/>
      <bottom style="double">
        <color indexed="45"/>
      </bottom>
      <diagonal/>
    </border>
    <border>
      <left/>
      <right/>
      <top/>
      <bottom style="medium">
        <color auto="1"/>
      </bottom>
      <diagonal/>
    </border>
    <border>
      <left style="double">
        <color indexed="12"/>
      </left>
      <right style="double">
        <color indexed="12"/>
      </right>
      <top style="double">
        <color indexed="12"/>
      </top>
      <bottom style="dotted">
        <color indexed="12"/>
      </bottom>
      <diagonal/>
    </border>
    <border>
      <left/>
      <right/>
      <top style="thin">
        <color indexed="64"/>
      </top>
      <bottom style="hair">
        <color indexed="64"/>
      </bottom>
      <diagonal/>
    </border>
    <border>
      <left/>
      <right/>
      <top style="medium">
        <color indexed="23"/>
      </top>
      <bottom style="medium">
        <color indexed="23"/>
      </bottom>
      <diagonal/>
    </border>
    <border>
      <left/>
      <right/>
      <top style="thin">
        <color indexed="64"/>
      </top>
      <bottom style="double">
        <color indexed="64"/>
      </bottom>
      <diagonal/>
    </border>
    <border>
      <left/>
      <right/>
      <top style="thin">
        <color indexed="8"/>
      </top>
      <bottom/>
      <diagonal/>
    </border>
    <border>
      <left/>
      <right/>
      <top/>
      <bottom style="thick">
        <color indexed="48"/>
      </bottom>
      <diagonal/>
    </border>
    <border>
      <left/>
      <right/>
      <top style="thick">
        <color indexed="48"/>
      </top>
      <bottom/>
      <diagonal/>
    </border>
    <border>
      <left/>
      <right/>
      <top style="thin">
        <color indexed="55"/>
      </top>
      <bottom style="thin">
        <color indexed="55"/>
      </bottom>
      <diagonal/>
    </border>
    <border>
      <left style="thin">
        <color indexed="22"/>
      </left>
      <right/>
      <top/>
      <bottom/>
      <diagonal/>
    </border>
    <border>
      <left style="thin">
        <color indexed="22"/>
      </left>
      <right/>
      <top style="thin">
        <color indexed="22"/>
      </top>
      <bottom style="thin">
        <color indexed="22"/>
      </bottom>
      <diagonal/>
    </border>
    <border>
      <left/>
      <right/>
      <top style="thin">
        <color indexed="22"/>
      </top>
      <bottom style="thin">
        <color indexed="22"/>
      </bottom>
      <diagonal/>
    </border>
    <border>
      <left style="thin">
        <color indexed="22"/>
      </left>
      <right/>
      <top style="thin">
        <color indexed="22"/>
      </top>
      <bottom/>
      <diagonal/>
    </border>
    <border>
      <left style="thin">
        <color indexed="22"/>
      </left>
      <right/>
      <top/>
      <bottom style="thin">
        <color indexed="22"/>
      </bottom>
      <diagonal/>
    </border>
    <border>
      <left/>
      <right style="thin">
        <color indexed="22"/>
      </right>
      <top style="thin">
        <color indexed="22"/>
      </top>
      <bottom/>
      <diagonal/>
    </border>
    <border>
      <left/>
      <right style="thin">
        <color indexed="22"/>
      </right>
      <top/>
      <bottom/>
      <diagonal/>
    </border>
    <border>
      <left/>
      <right style="thin">
        <color indexed="22"/>
      </right>
      <top style="thin">
        <color indexed="22"/>
      </top>
      <bottom style="thin">
        <color indexed="22"/>
      </bottom>
      <diagonal/>
    </border>
    <border>
      <left/>
      <right style="thin">
        <color indexed="22"/>
      </right>
      <top/>
      <bottom style="thin">
        <color indexed="22"/>
      </bottom>
      <diagonal/>
    </border>
    <border>
      <left/>
      <right/>
      <top style="thin">
        <color indexed="22"/>
      </top>
      <bottom/>
      <diagonal/>
    </border>
    <border>
      <left style="thick">
        <color indexed="12"/>
      </left>
      <right style="thick">
        <color indexed="12"/>
      </right>
      <top style="thick">
        <color indexed="12"/>
      </top>
      <bottom/>
      <diagonal/>
    </border>
    <border>
      <left style="thick">
        <color indexed="9"/>
      </left>
      <right style="thick">
        <color indexed="9"/>
      </right>
      <top/>
      <bottom style="double">
        <color indexed="64"/>
      </bottom>
      <diagonal/>
    </border>
    <border>
      <left/>
      <right/>
      <top style="thin">
        <color indexed="64"/>
      </top>
      <bottom style="medium">
        <color indexed="64"/>
      </bottom>
      <diagonal/>
    </border>
    <border>
      <left style="thin">
        <color indexed="8"/>
      </left>
      <right/>
      <top style="thin">
        <color indexed="8"/>
      </top>
      <bottom/>
      <diagonal/>
    </border>
    <border>
      <left/>
      <right/>
      <top style="thick">
        <color indexed="64"/>
      </top>
      <bottom/>
      <diagonal/>
    </border>
    <border>
      <left/>
      <right/>
      <top/>
      <bottom style="double">
        <color indexed="64"/>
      </bottom>
      <diagonal/>
    </border>
    <border>
      <left style="medium">
        <color indexed="9"/>
      </left>
      <right style="medium">
        <color indexed="49"/>
      </right>
      <top/>
      <bottom/>
      <diagonal/>
    </border>
    <border>
      <left style="thin">
        <color auto="1"/>
      </left>
      <right/>
      <top/>
      <bottom/>
      <diagonal/>
    </border>
    <border>
      <left style="thin">
        <color auto="1"/>
      </left>
      <right style="thin">
        <color indexed="64"/>
      </right>
      <top/>
      <bottom/>
      <diagonal/>
    </border>
  </borders>
  <cellStyleXfs count="1994">
    <xf numFmtId="0" fontId="0" fillId="0" borderId="0"/>
    <xf numFmtId="9" fontId="1" fillId="0" borderId="0" applyFont="0" applyFill="0" applyBorder="0" applyAlignment="0" applyProtection="0"/>
    <xf numFmtId="0" fontId="10" fillId="0" borderId="0"/>
    <xf numFmtId="43" fontId="10" fillId="0" borderId="0" applyFont="0" applyFill="0" applyBorder="0" applyAlignment="0" applyProtection="0"/>
    <xf numFmtId="9" fontId="10"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0" fillId="0" borderId="0"/>
    <xf numFmtId="0" fontId="28" fillId="0" borderId="0"/>
    <xf numFmtId="0" fontId="22" fillId="0" borderId="0"/>
    <xf numFmtId="0" fontId="30" fillId="0" borderId="0" applyNumberFormat="0" applyFill="0" applyBorder="0" applyAlignment="0" applyProtection="0"/>
    <xf numFmtId="178" fontId="32" fillId="0" borderId="0"/>
    <xf numFmtId="9" fontId="33" fillId="0" borderId="0">
      <alignment horizontal="right"/>
    </xf>
    <xf numFmtId="177" fontId="34" fillId="0" borderId="0" applyNumberFormat="0" applyFill="0" applyBorder="0" applyAlignment="0" applyProtection="0"/>
    <xf numFmtId="0" fontId="35" fillId="0" borderId="0" applyNumberFormat="0" applyFill="0" applyBorder="0" applyAlignment="0" applyProtection="0"/>
    <xf numFmtId="179" fontId="36" fillId="0" borderId="0">
      <alignment horizontal="right"/>
    </xf>
    <xf numFmtId="0" fontId="37" fillId="0" borderId="0"/>
    <xf numFmtId="180" fontId="38" fillId="0" borderId="0">
      <alignment horizontal="right"/>
    </xf>
    <xf numFmtId="0" fontId="37" fillId="0" borderId="0"/>
    <xf numFmtId="181" fontId="37" fillId="0" borderId="0">
      <alignment horizontal="right"/>
    </xf>
    <xf numFmtId="182" fontId="37" fillId="7" borderId="0"/>
    <xf numFmtId="183" fontId="37" fillId="7" borderId="0"/>
    <xf numFmtId="184" fontId="37" fillId="7" borderId="0"/>
    <xf numFmtId="185" fontId="37" fillId="7" borderId="0">
      <alignment horizontal="right"/>
    </xf>
    <xf numFmtId="0" fontId="10" fillId="0" borderId="0"/>
    <xf numFmtId="0" fontId="10" fillId="0" borderId="0"/>
    <xf numFmtId="0" fontId="39" fillId="0" borderId="0"/>
    <xf numFmtId="0" fontId="10" fillId="0" borderId="0"/>
    <xf numFmtId="0" fontId="10" fillId="0" borderId="0"/>
    <xf numFmtId="0" fontId="10" fillId="0" borderId="0"/>
    <xf numFmtId="164" fontId="27" fillId="0" borderId="0"/>
    <xf numFmtId="164" fontId="27" fillId="0" borderId="0"/>
    <xf numFmtId="186" fontId="27" fillId="0" borderId="0" applyFont="0" applyFill="0" applyBorder="0" applyAlignment="0" applyProtection="0"/>
    <xf numFmtId="187" fontId="27" fillId="0" borderId="0" applyFont="0" applyFill="0" applyBorder="0" applyAlignment="0" applyProtection="0"/>
    <xf numFmtId="188" fontId="27" fillId="0" borderId="0" applyFont="0" applyFill="0" applyBorder="0" applyAlignment="0" applyProtection="0"/>
    <xf numFmtId="189" fontId="4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9" fontId="40" fillId="0" borderId="0" applyFont="0" applyFill="0" applyBorder="0" applyAlignment="0" applyProtection="0"/>
    <xf numFmtId="0" fontId="10" fillId="0" borderId="0"/>
    <xf numFmtId="0" fontId="10" fillId="0" borderId="0"/>
    <xf numFmtId="0" fontId="41" fillId="0" borderId="0" applyNumberFormat="0" applyFont="0" applyFill="0" applyBorder="0" applyAlignment="0" applyProtection="0"/>
    <xf numFmtId="189" fontId="4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41" fillId="0" borderId="0" applyNumberFormat="0" applyFont="0" applyFill="0" applyBorder="0" applyAlignment="0" applyProtection="0"/>
    <xf numFmtId="0" fontId="42" fillId="0" borderId="0"/>
    <xf numFmtId="0" fontId="41" fillId="0" borderId="0" applyNumberFormat="0" applyFont="0" applyFill="0" applyBorder="0" applyAlignment="0" applyProtection="0"/>
    <xf numFmtId="190" fontId="10" fillId="0" borderId="0" applyFont="0" applyFill="0" applyBorder="0" applyAlignment="0" applyProtection="0"/>
    <xf numFmtId="191" fontId="10" fillId="0" borderId="0" applyFont="0" applyFill="0" applyBorder="0" applyAlignment="0"/>
    <xf numFmtId="0" fontId="10" fillId="0" borderId="0"/>
    <xf numFmtId="14" fontId="27" fillId="0" borderId="0"/>
    <xf numFmtId="0" fontId="10" fillId="0" borderId="0"/>
    <xf numFmtId="192" fontId="10" fillId="0" borderId="0" applyFont="0" applyFill="0" applyBorder="0" applyAlignment="0" applyProtection="0"/>
    <xf numFmtId="193" fontId="10" fillId="0" borderId="0" applyFont="0" applyFill="0" applyBorder="0" applyAlignment="0" applyProtection="0"/>
    <xf numFmtId="0" fontId="10" fillId="0" borderId="0"/>
    <xf numFmtId="3" fontId="43" fillId="0" borderId="0"/>
    <xf numFmtId="194" fontId="10" fillId="0" borderId="0" applyFont="0" applyFill="0" applyBorder="0" applyAlignment="0" applyProtection="0"/>
    <xf numFmtId="195" fontId="10" fillId="0" borderId="0" applyFont="0" applyFill="0" applyBorder="0" applyAlignment="0" applyProtection="0"/>
    <xf numFmtId="195" fontId="10" fillId="0" borderId="0" applyFont="0" applyFill="0" applyBorder="0" applyAlignment="0" applyProtection="0"/>
    <xf numFmtId="195" fontId="10"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5" fillId="0" borderId="0" applyFont="0" applyFill="0" applyBorder="0" applyAlignment="0" applyProtection="0"/>
    <xf numFmtId="195" fontId="10" fillId="0" borderId="0" applyFont="0" applyFill="0" applyBorder="0" applyAlignment="0" applyProtection="0"/>
    <xf numFmtId="195" fontId="10" fillId="0" borderId="0" applyFont="0" applyFill="0" applyBorder="0" applyAlignment="0" applyProtection="0"/>
    <xf numFmtId="194" fontId="10" fillId="0" borderId="0" applyFont="0" applyFill="0" applyBorder="0" applyAlignment="0" applyProtection="0"/>
    <xf numFmtId="194" fontId="10" fillId="0" borderId="0" applyFont="0" applyFill="0" applyBorder="0" applyAlignment="0" applyProtection="0"/>
    <xf numFmtId="195" fontId="10" fillId="0" borderId="0" applyFont="0" applyFill="0" applyBorder="0" applyAlignment="0" applyProtection="0"/>
    <xf numFmtId="195" fontId="35" fillId="0" borderId="0" applyFont="0" applyFill="0" applyBorder="0" applyAlignment="0" applyProtection="0"/>
    <xf numFmtId="195" fontId="10" fillId="0" borderId="0" applyFont="0" applyFill="0" applyBorder="0" applyAlignment="0" applyProtection="0"/>
    <xf numFmtId="195" fontId="10" fillId="0" borderId="0" applyFont="0" applyFill="0" applyBorder="0" applyAlignment="0" applyProtection="0"/>
    <xf numFmtId="195" fontId="10" fillId="0" borderId="0" applyFont="0" applyFill="0" applyBorder="0" applyAlignment="0" applyProtection="0"/>
    <xf numFmtId="195" fontId="44" fillId="0" borderId="0" applyFont="0" applyFill="0" applyBorder="0" applyAlignment="0" applyProtection="0"/>
    <xf numFmtId="194" fontId="10" fillId="0" borderId="0" applyFont="0" applyFill="0" applyBorder="0" applyAlignment="0" applyProtection="0"/>
    <xf numFmtId="194" fontId="10" fillId="0" borderId="0" applyFont="0" applyFill="0" applyBorder="0" applyAlignment="0" applyProtection="0"/>
    <xf numFmtId="194" fontId="10" fillId="0" borderId="0" applyFont="0" applyFill="0" applyBorder="0" applyAlignment="0" applyProtection="0"/>
    <xf numFmtId="195" fontId="44" fillId="0" borderId="0" applyFont="0" applyFill="0" applyBorder="0" applyAlignment="0" applyProtection="0"/>
    <xf numFmtId="195" fontId="10" fillId="0" borderId="0" applyFont="0" applyFill="0" applyBorder="0" applyAlignment="0" applyProtection="0"/>
    <xf numFmtId="195" fontId="10" fillId="0" borderId="0" applyFont="0" applyFill="0" applyBorder="0" applyAlignment="0" applyProtection="0"/>
    <xf numFmtId="195" fontId="44" fillId="0" borderId="0" applyFont="0" applyFill="0" applyBorder="0" applyAlignment="0" applyProtection="0"/>
    <xf numFmtId="194" fontId="10" fillId="0" borderId="0" applyFont="0" applyFill="0" applyBorder="0" applyAlignment="0" applyProtection="0"/>
    <xf numFmtId="194" fontId="10" fillId="0" borderId="0" applyFont="0" applyFill="0" applyBorder="0" applyAlignment="0" applyProtection="0"/>
    <xf numFmtId="194" fontId="10" fillId="0" borderId="0" applyFont="0" applyFill="0" applyBorder="0" applyAlignment="0" applyProtection="0"/>
    <xf numFmtId="195" fontId="44" fillId="0" borderId="0" applyFont="0" applyFill="0" applyBorder="0" applyAlignment="0" applyProtection="0"/>
    <xf numFmtId="195" fontId="10" fillId="0" borderId="0" applyFont="0" applyFill="0" applyBorder="0" applyAlignment="0" applyProtection="0"/>
    <xf numFmtId="195" fontId="10" fillId="0" borderId="0" applyFont="0" applyFill="0" applyBorder="0" applyAlignment="0" applyProtection="0"/>
    <xf numFmtId="195" fontId="10" fillId="0" borderId="0" applyFont="0" applyFill="0" applyBorder="0" applyAlignment="0" applyProtection="0"/>
    <xf numFmtId="196" fontId="10" fillId="0" borderId="0" applyFont="0" applyFill="0" applyBorder="0" applyAlignment="0" applyProtection="0"/>
    <xf numFmtId="197"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8" fontId="45" fillId="0" borderId="0" applyFont="0" applyFill="0" applyBorder="0" applyAlignment="0" applyProtection="0"/>
    <xf numFmtId="196" fontId="10" fillId="0" borderId="0" applyFont="0" applyFill="0" applyBorder="0" applyAlignment="0" applyProtection="0"/>
    <xf numFmtId="198" fontId="10" fillId="0" borderId="0" applyFont="0" applyFill="0" applyBorder="0" applyAlignment="0" applyProtection="0"/>
    <xf numFmtId="196" fontId="10" fillId="0" borderId="0" applyFont="0" applyFill="0" applyBorder="0" applyAlignment="0" applyProtection="0"/>
    <xf numFmtId="198"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8" fontId="10" fillId="0" borderId="0" applyFont="0" applyFill="0" applyBorder="0" applyAlignment="0" applyProtection="0"/>
    <xf numFmtId="198" fontId="35"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9"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8" fontId="44" fillId="0" borderId="0" applyFont="0" applyFill="0" applyBorder="0" applyAlignment="0" applyProtection="0"/>
    <xf numFmtId="196"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44" fillId="0" borderId="0" applyFont="0" applyFill="0" applyBorder="0" applyAlignment="0" applyProtection="0"/>
    <xf numFmtId="198" fontId="44" fillId="0" borderId="0" applyFont="0" applyFill="0" applyBorder="0" applyAlignment="0" applyProtection="0"/>
    <xf numFmtId="198" fontId="44" fillId="0" borderId="0" applyFont="0" applyFill="0" applyBorder="0" applyAlignment="0" applyProtection="0"/>
    <xf numFmtId="196" fontId="10" fillId="0" borderId="0" applyFont="0" applyFill="0" applyBorder="0" applyAlignment="0" applyProtection="0"/>
    <xf numFmtId="198" fontId="44" fillId="0" borderId="0" applyFont="0" applyFill="0" applyBorder="0" applyAlignment="0" applyProtection="0"/>
    <xf numFmtId="196" fontId="10" fillId="0" borderId="0" applyFont="0" applyFill="0" applyBorder="0" applyAlignment="0" applyProtection="0"/>
    <xf numFmtId="198" fontId="44" fillId="0" borderId="0" applyFont="0" applyFill="0" applyBorder="0" applyAlignment="0" applyProtection="0"/>
    <xf numFmtId="196"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39" fontId="10" fillId="0" borderId="0" applyFont="0" applyFill="0" applyBorder="0" applyAlignment="0" applyProtection="0"/>
    <xf numFmtId="194" fontId="10" fillId="0" borderId="0" applyFont="0" applyFill="0" applyBorder="0" applyAlignment="0" applyProtection="0"/>
    <xf numFmtId="200" fontId="10" fillId="0" borderId="0" applyFont="0" applyFill="0" applyBorder="0" applyAlignment="0" applyProtection="0"/>
    <xf numFmtId="200" fontId="10" fillId="0" borderId="0" applyFont="0" applyFill="0" applyBorder="0" applyAlignment="0" applyProtection="0"/>
    <xf numFmtId="200"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200" fontId="45" fillId="0" borderId="0" applyFont="0" applyFill="0" applyBorder="0" applyAlignment="0" applyProtection="0"/>
    <xf numFmtId="39" fontId="10" fillId="0" borderId="0" applyFont="0" applyFill="0" applyBorder="0" applyAlignment="0" applyProtection="0"/>
    <xf numFmtId="200" fontId="10" fillId="0" borderId="0" applyFont="0" applyFill="0" applyBorder="0" applyAlignment="0" applyProtection="0"/>
    <xf numFmtId="39" fontId="10" fillId="0" borderId="0" applyFont="0" applyFill="0" applyBorder="0" applyAlignment="0" applyProtection="0"/>
    <xf numFmtId="200"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200" fontId="10" fillId="0" borderId="0" applyFont="0" applyFill="0" applyBorder="0" applyAlignment="0" applyProtection="0"/>
    <xf numFmtId="200" fontId="35" fillId="0" borderId="0" applyFont="0" applyFill="0" applyBorder="0" applyAlignment="0" applyProtection="0"/>
    <xf numFmtId="200" fontId="10" fillId="0" borderId="0" applyFont="0" applyFill="0" applyBorder="0" applyAlignment="0" applyProtection="0"/>
    <xf numFmtId="200" fontId="10" fillId="0" borderId="0" applyFont="0" applyFill="0" applyBorder="0" applyAlignment="0" applyProtection="0"/>
    <xf numFmtId="200"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200" fontId="44" fillId="0" borderId="0" applyFont="0" applyFill="0" applyBorder="0" applyAlignment="0" applyProtection="0"/>
    <xf numFmtId="39" fontId="10" fillId="0" borderId="0" applyFont="0" applyFill="0" applyBorder="0" applyAlignment="0" applyProtection="0"/>
    <xf numFmtId="200" fontId="10" fillId="0" borderId="0" applyFont="0" applyFill="0" applyBorder="0" applyAlignment="0" applyProtection="0"/>
    <xf numFmtId="200" fontId="10" fillId="0" borderId="0" applyFont="0" applyFill="0" applyBorder="0" applyAlignment="0" applyProtection="0"/>
    <xf numFmtId="200" fontId="44" fillId="0" borderId="0" applyFont="0" applyFill="0" applyBorder="0" applyAlignment="0" applyProtection="0"/>
    <xf numFmtId="200" fontId="44" fillId="0" borderId="0" applyFont="0" applyFill="0" applyBorder="0" applyAlignment="0" applyProtection="0"/>
    <xf numFmtId="200" fontId="44" fillId="0" borderId="0" applyFont="0" applyFill="0" applyBorder="0" applyAlignment="0" applyProtection="0"/>
    <xf numFmtId="39" fontId="10" fillId="0" borderId="0" applyFont="0" applyFill="0" applyBorder="0" applyAlignment="0" applyProtection="0"/>
    <xf numFmtId="200" fontId="44" fillId="0" borderId="0" applyFont="0" applyFill="0" applyBorder="0" applyAlignment="0" applyProtection="0"/>
    <xf numFmtId="39" fontId="10" fillId="0" borderId="0" applyFont="0" applyFill="0" applyBorder="0" applyAlignment="0" applyProtection="0"/>
    <xf numFmtId="200" fontId="44" fillId="0" borderId="0" applyFont="0" applyFill="0" applyBorder="0" applyAlignment="0" applyProtection="0"/>
    <xf numFmtId="39" fontId="10" fillId="0" borderId="0" applyFont="0" applyFill="0" applyBorder="0" applyAlignment="0" applyProtection="0"/>
    <xf numFmtId="200" fontId="10" fillId="0" borderId="0" applyFont="0" applyFill="0" applyBorder="0" applyAlignment="0" applyProtection="0"/>
    <xf numFmtId="200" fontId="10" fillId="0" borderId="0" applyFont="0" applyFill="0" applyBorder="0" applyAlignment="0" applyProtection="0"/>
    <xf numFmtId="200" fontId="10" fillId="0" borderId="0" applyFont="0" applyFill="0" applyBorder="0" applyAlignment="0" applyProtection="0"/>
    <xf numFmtId="196" fontId="10" fillId="0" borderId="0" applyFont="0" applyFill="0" applyBorder="0" applyAlignment="0" applyProtection="0"/>
    <xf numFmtId="201" fontId="10" fillId="0" borderId="0" applyFont="0" applyFill="0" applyBorder="0" applyAlignment="0" applyProtection="0"/>
    <xf numFmtId="0" fontId="10" fillId="0" borderId="0"/>
    <xf numFmtId="0" fontId="10" fillId="0" borderId="0"/>
    <xf numFmtId="0" fontId="46" fillId="0" borderId="0"/>
    <xf numFmtId="0" fontId="47" fillId="0" borderId="0" applyNumberFormat="0" applyFill="0" applyBorder="0" applyAlignment="0" applyProtection="0"/>
    <xf numFmtId="0" fontId="10" fillId="0" borderId="0" applyNumberFormat="0" applyFill="0" applyBorder="0" applyAlignment="0" applyProtection="0"/>
    <xf numFmtId="0" fontId="47"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9" borderId="0" applyNumberFormat="0" applyFont="0" applyAlignment="0" applyProtection="0"/>
    <xf numFmtId="0" fontId="10" fillId="0" borderId="0" applyFon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xf numFmtId="0" fontId="10" fillId="0" borderId="0"/>
    <xf numFmtId="0" fontId="10" fillId="0" borderId="0"/>
    <xf numFmtId="202" fontId="10" fillId="0" borderId="0" applyFont="0" applyFill="0" applyBorder="0" applyAlignment="0" applyProtection="0"/>
    <xf numFmtId="203" fontId="10" fillId="0" borderId="0" applyFont="0" applyFill="0" applyBorder="0" applyAlignment="0" applyProtection="0"/>
    <xf numFmtId="204" fontId="10" fillId="0" borderId="0" applyFont="0" applyFill="0" applyBorder="0" applyAlignment="0" applyProtection="0"/>
    <xf numFmtId="205" fontId="10" fillId="0" borderId="0" applyFont="0" applyFill="0" applyBorder="0" applyAlignment="0" applyProtection="0"/>
    <xf numFmtId="204" fontId="10" fillId="0" borderId="0" applyFont="0" applyFill="0" applyBorder="0" applyAlignment="0" applyProtection="0"/>
    <xf numFmtId="202" fontId="10" fillId="0" borderId="0" applyFont="0" applyFill="0" applyBorder="0" applyAlignment="0" applyProtection="0"/>
    <xf numFmtId="202" fontId="10" fillId="0" borderId="0" applyFont="0" applyFill="0" applyBorder="0" applyAlignment="0" applyProtection="0"/>
    <xf numFmtId="204" fontId="45" fillId="0" borderId="0" applyFont="0" applyFill="0" applyBorder="0" applyAlignment="0" applyProtection="0"/>
    <xf numFmtId="202" fontId="10" fillId="0" borderId="0" applyFont="0" applyFill="0" applyBorder="0" applyAlignment="0" applyProtection="0"/>
    <xf numFmtId="204" fontId="10" fillId="0" borderId="0" applyFont="0" applyFill="0" applyBorder="0" applyAlignment="0" applyProtection="0"/>
    <xf numFmtId="202" fontId="10" fillId="0" borderId="0" applyFont="0" applyFill="0" applyBorder="0" applyAlignment="0" applyProtection="0"/>
    <xf numFmtId="204" fontId="10" fillId="0" borderId="0" applyFont="0" applyFill="0" applyBorder="0" applyAlignment="0" applyProtection="0"/>
    <xf numFmtId="202" fontId="10" fillId="0" borderId="0" applyFont="0" applyFill="0" applyBorder="0" applyAlignment="0" applyProtection="0"/>
    <xf numFmtId="202" fontId="10" fillId="0" borderId="0" applyFont="0" applyFill="0" applyBorder="0" applyAlignment="0" applyProtection="0"/>
    <xf numFmtId="204" fontId="10" fillId="0" borderId="0" applyFont="0" applyFill="0" applyBorder="0" applyAlignment="0" applyProtection="0"/>
    <xf numFmtId="204" fontId="35" fillId="0" borderId="0" applyFont="0" applyFill="0" applyBorder="0" applyAlignment="0" applyProtection="0"/>
    <xf numFmtId="205" fontId="10" fillId="0" borderId="0" applyFont="0" applyFill="0" applyBorder="0" applyAlignment="0" applyProtection="0"/>
    <xf numFmtId="205" fontId="10" fillId="0" borderId="0" applyFont="0" applyFill="0" applyBorder="0" applyAlignment="0" applyProtection="0"/>
    <xf numFmtId="205" fontId="10" fillId="0" borderId="0" applyFont="0" applyFill="0" applyBorder="0" applyAlignment="0" applyProtection="0"/>
    <xf numFmtId="202" fontId="10" fillId="0" borderId="0" applyFont="0" applyFill="0" applyBorder="0" applyAlignment="0" applyProtection="0"/>
    <xf numFmtId="202" fontId="10" fillId="0" borderId="0" applyFont="0" applyFill="0" applyBorder="0" applyAlignment="0" applyProtection="0"/>
    <xf numFmtId="202" fontId="10" fillId="0" borderId="0" applyFont="0" applyFill="0" applyBorder="0" applyAlignment="0" applyProtection="0"/>
    <xf numFmtId="202" fontId="10" fillId="0" borderId="0" applyFont="0" applyFill="0" applyBorder="0" applyAlignment="0" applyProtection="0"/>
    <xf numFmtId="202" fontId="10" fillId="0" borderId="0" applyFont="0" applyFill="0" applyBorder="0" applyAlignment="0" applyProtection="0"/>
    <xf numFmtId="204" fontId="44" fillId="0" borderId="0" applyFont="0" applyFill="0" applyBorder="0" applyAlignment="0" applyProtection="0"/>
    <xf numFmtId="202" fontId="10" fillId="0" borderId="0" applyFont="0" applyFill="0" applyBorder="0" applyAlignment="0" applyProtection="0"/>
    <xf numFmtId="204" fontId="10" fillId="0" borderId="0" applyFont="0" applyFill="0" applyBorder="0" applyAlignment="0" applyProtection="0"/>
    <xf numFmtId="204" fontId="10" fillId="0" borderId="0" applyFont="0" applyFill="0" applyBorder="0" applyAlignment="0" applyProtection="0"/>
    <xf numFmtId="204" fontId="44" fillId="0" borderId="0" applyFont="0" applyFill="0" applyBorder="0" applyAlignment="0" applyProtection="0"/>
    <xf numFmtId="204" fontId="44" fillId="0" borderId="0" applyFont="0" applyFill="0" applyBorder="0" applyAlignment="0" applyProtection="0"/>
    <xf numFmtId="204" fontId="44" fillId="0" borderId="0" applyFont="0" applyFill="0" applyBorder="0" applyAlignment="0" applyProtection="0"/>
    <xf numFmtId="202" fontId="10" fillId="0" borderId="0" applyFont="0" applyFill="0" applyBorder="0" applyAlignment="0" applyProtection="0"/>
    <xf numFmtId="204" fontId="44" fillId="0" borderId="0" applyFont="0" applyFill="0" applyBorder="0" applyAlignment="0" applyProtection="0"/>
    <xf numFmtId="202" fontId="10" fillId="0" borderId="0" applyFont="0" applyFill="0" applyBorder="0" applyAlignment="0" applyProtection="0"/>
    <xf numFmtId="204" fontId="44" fillId="0" borderId="0" applyFont="0" applyFill="0" applyBorder="0" applyAlignment="0" applyProtection="0"/>
    <xf numFmtId="202" fontId="10" fillId="0" borderId="0" applyFont="0" applyFill="0" applyBorder="0" applyAlignment="0" applyProtection="0"/>
    <xf numFmtId="204" fontId="10" fillId="0" borderId="0" applyFont="0" applyFill="0" applyBorder="0" applyAlignment="0" applyProtection="0"/>
    <xf numFmtId="204" fontId="10" fillId="0" borderId="0" applyFont="0" applyFill="0" applyBorder="0" applyAlignment="0" applyProtection="0"/>
    <xf numFmtId="204" fontId="10" fillId="0" borderId="0" applyFont="0" applyFill="0" applyBorder="0" applyAlignment="0" applyProtection="0"/>
    <xf numFmtId="206" fontId="10" fillId="0" borderId="0" applyFont="0" applyFill="0" applyBorder="0" applyAlignment="0" applyProtection="0"/>
    <xf numFmtId="207" fontId="10" fillId="0" borderId="0" applyFont="0" applyFill="0" applyBorder="0" applyAlignment="0" applyProtection="0"/>
    <xf numFmtId="208" fontId="10" fillId="0" borderId="0" applyFont="0" applyFill="0" applyBorder="0" applyProtection="0">
      <alignment horizontal="right"/>
    </xf>
    <xf numFmtId="209" fontId="10" fillId="0" borderId="0" applyFont="0" applyFill="0" applyBorder="0" applyAlignment="0" applyProtection="0"/>
    <xf numFmtId="208" fontId="10" fillId="0" borderId="0" applyFont="0" applyFill="0" applyBorder="0" applyProtection="0">
      <alignment horizontal="right"/>
    </xf>
    <xf numFmtId="206" fontId="10" fillId="0" borderId="0" applyFont="0" applyFill="0" applyBorder="0" applyAlignment="0" applyProtection="0"/>
    <xf numFmtId="206" fontId="10" fillId="0" borderId="0" applyFont="0" applyFill="0" applyBorder="0" applyAlignment="0" applyProtection="0"/>
    <xf numFmtId="208" fontId="45" fillId="0" borderId="0" applyFont="0" applyFill="0" applyBorder="0" applyProtection="0">
      <alignment horizontal="right"/>
    </xf>
    <xf numFmtId="206" fontId="10" fillId="0" borderId="0" applyFont="0" applyFill="0" applyBorder="0" applyAlignment="0" applyProtection="0"/>
    <xf numFmtId="208" fontId="10" fillId="0" borderId="0" applyFont="0" applyFill="0" applyBorder="0" applyProtection="0">
      <alignment horizontal="right"/>
    </xf>
    <xf numFmtId="206" fontId="10" fillId="0" borderId="0" applyFont="0" applyFill="0" applyBorder="0" applyAlignment="0" applyProtection="0"/>
    <xf numFmtId="208" fontId="10" fillId="0" borderId="0" applyFont="0" applyFill="0" applyBorder="0" applyProtection="0">
      <alignment horizontal="right"/>
    </xf>
    <xf numFmtId="206" fontId="10" fillId="0" borderId="0" applyFont="0" applyFill="0" applyBorder="0" applyAlignment="0" applyProtection="0"/>
    <xf numFmtId="206" fontId="10" fillId="0" borderId="0" applyFont="0" applyFill="0" applyBorder="0" applyAlignment="0" applyProtection="0"/>
    <xf numFmtId="208" fontId="10" fillId="0" borderId="0" applyFont="0" applyFill="0" applyBorder="0" applyProtection="0">
      <alignment horizontal="right"/>
    </xf>
    <xf numFmtId="208" fontId="35" fillId="0" borderId="0" applyFont="0" applyFill="0" applyBorder="0" applyProtection="0">
      <alignment horizontal="right"/>
    </xf>
    <xf numFmtId="209" fontId="10" fillId="0" borderId="0" applyFont="0" applyFill="0" applyBorder="0" applyAlignment="0" applyProtection="0"/>
    <xf numFmtId="209" fontId="10" fillId="0" borderId="0" applyFont="0" applyFill="0" applyBorder="0" applyAlignment="0" applyProtection="0"/>
    <xf numFmtId="209"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208" fontId="44" fillId="0" borderId="0" applyFont="0" applyFill="0" applyBorder="0" applyProtection="0">
      <alignment horizontal="right"/>
    </xf>
    <xf numFmtId="206" fontId="10" fillId="0" borderId="0" applyFont="0" applyFill="0" applyBorder="0" applyAlignment="0" applyProtection="0"/>
    <xf numFmtId="208" fontId="10" fillId="0" borderId="0" applyFont="0" applyFill="0" applyBorder="0" applyProtection="0">
      <alignment horizontal="right"/>
    </xf>
    <xf numFmtId="208" fontId="10" fillId="0" borderId="0" applyFont="0" applyFill="0" applyBorder="0" applyProtection="0">
      <alignment horizontal="right"/>
    </xf>
    <xf numFmtId="208" fontId="44" fillId="0" borderId="0" applyFont="0" applyFill="0" applyBorder="0" applyProtection="0">
      <alignment horizontal="right"/>
    </xf>
    <xf numFmtId="208" fontId="44" fillId="0" borderId="0" applyFont="0" applyFill="0" applyBorder="0" applyProtection="0">
      <alignment horizontal="right"/>
    </xf>
    <xf numFmtId="208" fontId="44" fillId="0" borderId="0" applyFont="0" applyFill="0" applyBorder="0" applyProtection="0">
      <alignment horizontal="right"/>
    </xf>
    <xf numFmtId="206" fontId="10" fillId="0" borderId="0" applyFont="0" applyFill="0" applyBorder="0" applyAlignment="0" applyProtection="0"/>
    <xf numFmtId="208" fontId="44" fillId="0" borderId="0" applyFont="0" applyFill="0" applyBorder="0" applyProtection="0">
      <alignment horizontal="right"/>
    </xf>
    <xf numFmtId="206" fontId="10" fillId="0" borderId="0" applyFont="0" applyFill="0" applyBorder="0" applyAlignment="0" applyProtection="0"/>
    <xf numFmtId="208" fontId="44" fillId="0" borderId="0" applyFont="0" applyFill="0" applyBorder="0" applyProtection="0">
      <alignment horizontal="right"/>
    </xf>
    <xf numFmtId="206" fontId="10" fillId="0" borderId="0" applyFont="0" applyFill="0" applyBorder="0" applyAlignment="0" applyProtection="0"/>
    <xf numFmtId="208" fontId="10" fillId="0" borderId="0" applyFont="0" applyFill="0" applyBorder="0" applyProtection="0">
      <alignment horizontal="right"/>
    </xf>
    <xf numFmtId="208" fontId="10" fillId="0" borderId="0" applyFont="0" applyFill="0" applyBorder="0" applyProtection="0">
      <alignment horizontal="right"/>
    </xf>
    <xf numFmtId="208" fontId="10" fillId="0" borderId="0" applyFont="0" applyFill="0" applyBorder="0" applyProtection="0">
      <alignment horizontal="right"/>
    </xf>
    <xf numFmtId="210" fontId="10" fillId="0" borderId="0" applyFont="0" applyFill="0" applyBorder="0" applyAlignment="0" applyProtection="0"/>
    <xf numFmtId="211"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Protection="0">
      <alignment horizontal="right"/>
    </xf>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212" fontId="10" fillId="0" borderId="0" applyFont="0" applyFill="0" applyBorder="0" applyAlignment="0" applyProtection="0"/>
    <xf numFmtId="213" fontId="10" fillId="0" borderId="0" applyFont="0" applyFill="0" applyBorder="0" applyAlignment="0" applyProtection="0"/>
    <xf numFmtId="193" fontId="10" fillId="0" borderId="0" applyFont="0" applyFill="0" applyBorder="0" applyProtection="0">
      <alignment horizontal="right"/>
    </xf>
    <xf numFmtId="193" fontId="10" fillId="0" borderId="0" applyFont="0" applyFill="0" applyBorder="0" applyAlignment="0" applyProtection="0"/>
    <xf numFmtId="193" fontId="10" fillId="0" borderId="0" applyFont="0" applyFill="0" applyBorder="0" applyProtection="0">
      <alignment horizontal="right"/>
    </xf>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3" fontId="43" fillId="0" borderId="0"/>
    <xf numFmtId="0" fontId="48" fillId="0" borderId="0" applyNumberFormat="0" applyFill="0" applyBorder="0" applyProtection="0">
      <alignment vertical="top"/>
    </xf>
    <xf numFmtId="0" fontId="10" fillId="0" borderId="0" applyNumberFormat="0" applyFill="0" applyBorder="0" applyAlignment="0" applyProtection="0"/>
    <xf numFmtId="0" fontId="48" fillId="0" borderId="0" applyNumberFormat="0" applyFill="0" applyBorder="0" applyProtection="0">
      <alignment vertical="top"/>
    </xf>
    <xf numFmtId="0" fontId="48" fillId="0" borderId="0" applyNumberFormat="0" applyFill="0" applyBorder="0" applyAlignment="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10" fillId="0" borderId="0" applyNumberFormat="0" applyFill="0" applyBorder="0" applyAlignment="0" applyProtection="0"/>
    <xf numFmtId="0" fontId="10" fillId="0" borderId="0" applyNumberFormat="0" applyFill="0" applyBorder="0" applyAlignment="0" applyProtection="0"/>
    <xf numFmtId="0" fontId="48" fillId="0" borderId="0" applyNumberFormat="0" applyFill="0" applyBorder="0" applyProtection="0">
      <alignment vertical="top"/>
    </xf>
    <xf numFmtId="0" fontId="10" fillId="0" borderId="0"/>
    <xf numFmtId="0" fontId="10" fillId="0" borderId="0"/>
    <xf numFmtId="0" fontId="10" fillId="0" borderId="0"/>
    <xf numFmtId="0" fontId="10" fillId="0" borderId="0"/>
    <xf numFmtId="0" fontId="10" fillId="0" borderId="0"/>
    <xf numFmtId="0" fontId="49" fillId="0" borderId="11" applyNumberFormat="0" applyFill="0" applyAlignment="0" applyProtection="0"/>
    <xf numFmtId="0" fontId="10" fillId="0" borderId="0" applyNumberFormat="0" applyFill="0" applyBorder="0" applyAlignment="0" applyProtection="0"/>
    <xf numFmtId="0" fontId="49" fillId="0" borderId="11" applyNumberFormat="0" applyFill="0" applyAlignment="0" applyProtection="0"/>
    <xf numFmtId="0" fontId="49" fillId="0" borderId="12" applyNumberFormat="0" applyFill="0" applyAlignment="0" applyProtection="0"/>
    <xf numFmtId="0" fontId="49" fillId="0" borderId="11" applyNumberFormat="0" applyFill="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9" fillId="0" borderId="11" applyNumberFormat="0" applyFill="0" applyAlignment="0" applyProtection="0"/>
    <xf numFmtId="0" fontId="50" fillId="0" borderId="13" applyNumberFormat="0" applyFill="0" applyProtection="0">
      <alignment horizontal="center"/>
    </xf>
    <xf numFmtId="0" fontId="10" fillId="0" borderId="13" applyNumberFormat="0" applyFill="0" applyProtection="0">
      <alignment horizontal="center"/>
    </xf>
    <xf numFmtId="0" fontId="10" fillId="0" borderId="13" applyNumberFormat="0" applyFill="0" applyProtection="0">
      <alignment horizontal="center"/>
    </xf>
    <xf numFmtId="0" fontId="10" fillId="0" borderId="13" applyNumberFormat="0" applyFill="0" applyProtection="0">
      <alignment horizontal="center"/>
    </xf>
    <xf numFmtId="0" fontId="10" fillId="0" borderId="14" applyNumberFormat="0" applyFont="0" applyFill="0" applyAlignment="0" applyProtection="0"/>
    <xf numFmtId="0" fontId="50" fillId="0" borderId="0" applyNumberFormat="0" applyFill="0" applyBorder="0" applyProtection="0">
      <alignment horizontal="left"/>
    </xf>
    <xf numFmtId="0" fontId="10" fillId="0" borderId="0" applyNumberFormat="0" applyFill="0" applyBorder="0" applyProtection="0">
      <alignment horizontal="left"/>
    </xf>
    <xf numFmtId="0" fontId="10" fillId="0" borderId="0" applyNumberFormat="0" applyFill="0" applyBorder="0" applyProtection="0">
      <alignment horizontal="left"/>
    </xf>
    <xf numFmtId="0" fontId="10" fillId="0" borderId="0" applyNumberFormat="0" applyFill="0" applyBorder="0" applyProtection="0">
      <alignment horizontal="left"/>
    </xf>
    <xf numFmtId="0" fontId="51" fillId="0" borderId="0" applyNumberFormat="0" applyFill="0" applyBorder="0" applyProtection="0">
      <alignment horizontal="centerContinuous"/>
    </xf>
    <xf numFmtId="0" fontId="10" fillId="0" borderId="0" applyNumberFormat="0" applyFill="0" applyBorder="0" applyProtection="0">
      <alignment horizontal="centerContinuous"/>
    </xf>
    <xf numFmtId="0" fontId="51" fillId="0" borderId="0" applyNumberFormat="0" applyFill="0" applyBorder="0" applyProtection="0">
      <alignment horizontal="centerContinuous"/>
    </xf>
    <xf numFmtId="0" fontId="51" fillId="0" borderId="0" applyNumberFormat="0" applyFill="0" applyProtection="0">
      <alignment horizontal="centerContinuous"/>
    </xf>
    <xf numFmtId="0" fontId="51" fillId="0" borderId="0" applyNumberFormat="0" applyFill="0" applyBorder="0" applyProtection="0">
      <alignment horizontal="centerContinuous"/>
    </xf>
    <xf numFmtId="0" fontId="10" fillId="0" borderId="0" applyNumberFormat="0" applyFill="0" applyBorder="0" applyProtection="0">
      <alignment horizontal="centerContinuous"/>
    </xf>
    <xf numFmtId="0" fontId="10" fillId="0" borderId="0" applyNumberFormat="0" applyFill="0" applyBorder="0" applyProtection="0">
      <alignment horizontal="centerContinuous"/>
    </xf>
    <xf numFmtId="0" fontId="51" fillId="0" borderId="0" applyNumberFormat="0" applyFill="0" applyBorder="0" applyProtection="0">
      <alignment horizontal="centerContinuous"/>
    </xf>
    <xf numFmtId="0" fontId="10" fillId="0" borderId="0" applyFont="0" applyFill="0" applyBorder="0" applyAlignment="0" applyProtection="0"/>
    <xf numFmtId="0" fontId="10" fillId="0" borderId="0" applyFill="0" applyAlignment="0">
      <protection locked="0"/>
    </xf>
    <xf numFmtId="3" fontId="43" fillId="0" borderId="0"/>
    <xf numFmtId="44" fontId="34" fillId="0" borderId="0" applyFont="0" applyFill="0" applyBorder="0" applyAlignment="0" applyProtection="0"/>
    <xf numFmtId="42" fontId="34" fillId="0" borderId="0" applyFont="0" applyFill="0" applyBorder="0" applyAlignment="0" applyProtection="0"/>
    <xf numFmtId="214" fontId="52" fillId="0" borderId="0" applyFont="0" applyFill="0" applyBorder="0" applyAlignment="0" applyProtection="0"/>
    <xf numFmtId="215" fontId="5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53" fillId="0" borderId="0"/>
    <xf numFmtId="0" fontId="34" fillId="0" borderId="0"/>
    <xf numFmtId="0" fontId="27" fillId="0" borderId="0"/>
    <xf numFmtId="0" fontId="27" fillId="0" borderId="0"/>
    <xf numFmtId="9" fontId="10" fillId="0" borderId="0"/>
    <xf numFmtId="9" fontId="10" fillId="0" borderId="0"/>
    <xf numFmtId="0" fontId="27" fillId="0" borderId="0"/>
    <xf numFmtId="0" fontId="27" fillId="0" borderId="0"/>
    <xf numFmtId="0" fontId="27" fillId="0" borderId="0"/>
    <xf numFmtId="0" fontId="27" fillId="0" borderId="0"/>
    <xf numFmtId="0" fontId="27" fillId="0" borderId="0"/>
    <xf numFmtId="2" fontId="27" fillId="0" borderId="0"/>
    <xf numFmtId="2" fontId="27" fillId="0" borderId="0"/>
    <xf numFmtId="10" fontId="27" fillId="0" borderId="0"/>
    <xf numFmtId="10" fontId="27" fillId="0" borderId="0"/>
    <xf numFmtId="2"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175" fontId="27" fillId="0" borderId="0"/>
    <xf numFmtId="165" fontId="54" fillId="0" borderId="0" applyFont="0" applyFill="0" applyBorder="0" applyAlignment="0" applyProtection="0"/>
    <xf numFmtId="194" fontId="10" fillId="0" borderId="0"/>
    <xf numFmtId="194" fontId="10" fillId="0" borderId="0"/>
    <xf numFmtId="2" fontId="54" fillId="0" borderId="0" applyFont="0" applyFill="0" applyBorder="0" applyAlignment="0" applyProtection="0"/>
    <xf numFmtId="0" fontId="22" fillId="10" borderId="0" applyNumberFormat="0" applyBorder="0" applyAlignment="0" applyProtection="0"/>
    <xf numFmtId="0" fontId="22" fillId="11"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2" borderId="0" applyNumberFormat="0" applyBorder="0" applyAlignment="0" applyProtection="0"/>
    <xf numFmtId="0" fontId="22" fillId="9" borderId="0" applyNumberFormat="0" applyBorder="0" applyAlignment="0" applyProtection="0"/>
    <xf numFmtId="0" fontId="10" fillId="0" borderId="0"/>
    <xf numFmtId="0" fontId="22" fillId="11" borderId="0" applyNumberFormat="0" applyBorder="0" applyAlignment="0" applyProtection="0"/>
    <xf numFmtId="0" fontId="22" fillId="9" borderId="0" applyNumberFormat="0" applyBorder="0" applyAlignment="0" applyProtection="0"/>
    <xf numFmtId="0" fontId="22" fillId="13" borderId="0" applyNumberFormat="0" applyBorder="0" applyAlignment="0" applyProtection="0"/>
    <xf numFmtId="0" fontId="22" fillId="9" borderId="0" applyNumberFormat="0" applyBorder="0" applyAlignment="0" applyProtection="0"/>
    <xf numFmtId="0" fontId="55" fillId="11" borderId="0" applyNumberFormat="0" applyBorder="0" applyAlignment="0" applyProtection="0"/>
    <xf numFmtId="0" fontId="55" fillId="14" borderId="0" applyNumberFormat="0" applyBorder="0" applyAlignment="0" applyProtection="0"/>
    <xf numFmtId="0" fontId="55" fillId="9" borderId="0" applyNumberFormat="0" applyBorder="0" applyAlignment="0" applyProtection="0"/>
    <xf numFmtId="37" fontId="56" fillId="0" borderId="0">
      <alignment horizontal="center"/>
    </xf>
    <xf numFmtId="0" fontId="55" fillId="11" borderId="0" applyNumberFormat="0" applyBorder="0" applyAlignment="0" applyProtection="0"/>
    <xf numFmtId="0" fontId="55" fillId="14" borderId="0" applyNumberFormat="0" applyBorder="0" applyAlignment="0" applyProtection="0"/>
    <xf numFmtId="0" fontId="55" fillId="11" borderId="0" applyNumberFormat="0" applyBorder="0" applyAlignment="0" applyProtection="0"/>
    <xf numFmtId="216" fontId="57" fillId="0" borderId="0" applyFont="0" applyFill="0" applyBorder="0" applyAlignment="0" applyProtection="0"/>
    <xf numFmtId="217" fontId="58" fillId="15" borderId="0" applyNumberFormat="0" applyFont="0" applyBorder="0" applyAlignment="0">
      <alignment horizontal="right"/>
    </xf>
    <xf numFmtId="218" fontId="59" fillId="15" borderId="15" applyFont="0">
      <alignment horizontal="right"/>
    </xf>
    <xf numFmtId="0" fontId="39" fillId="0" borderId="0" applyNumberFormat="0" applyFill="0" applyBorder="0" applyAlignment="0" applyProtection="0"/>
    <xf numFmtId="219" fontId="60" fillId="0" borderId="4"/>
    <xf numFmtId="0" fontId="10" fillId="0" borderId="0"/>
    <xf numFmtId="220" fontId="34" fillId="0" borderId="0" applyFont="0" applyFill="0" applyBorder="0" applyAlignment="0" applyProtection="0">
      <protection locked="0"/>
    </xf>
    <xf numFmtId="0" fontId="10" fillId="0" borderId="0"/>
    <xf numFmtId="221" fontId="34" fillId="0" borderId="6" applyBorder="0"/>
    <xf numFmtId="2" fontId="28" fillId="0" borderId="0" applyNumberFormat="0" applyBorder="0" applyAlignment="0"/>
    <xf numFmtId="222" fontId="10" fillId="0" borderId="0">
      <protection locked="0"/>
    </xf>
    <xf numFmtId="222" fontId="10" fillId="0" borderId="0">
      <protection locked="0"/>
    </xf>
    <xf numFmtId="176" fontId="61" fillId="0" borderId="0">
      <alignment horizontal="left"/>
    </xf>
    <xf numFmtId="170" fontId="62" fillId="0" borderId="0"/>
    <xf numFmtId="0" fontId="10" fillId="0" borderId="0" applyNumberFormat="0" applyFill="0" applyBorder="0" applyAlignment="0" applyProtection="0"/>
    <xf numFmtId="0" fontId="10" fillId="0" borderId="0" applyNumberFormat="0" applyFill="0" applyBorder="0" applyAlignment="0" applyProtection="0"/>
    <xf numFmtId="0" fontId="25" fillId="0" borderId="0" applyNumberFormat="0" applyFill="0" applyBorder="0" applyAlignment="0" applyProtection="0"/>
    <xf numFmtId="0" fontId="63" fillId="0" borderId="16" applyNumberFormat="0" applyFill="0" applyBorder="0" applyAlignment="0" applyProtection="0"/>
    <xf numFmtId="0" fontId="64" fillId="0" borderId="16" applyNumberFormat="0" applyFill="0" applyBorder="0" applyAlignment="0" applyProtection="0"/>
    <xf numFmtId="0" fontId="64" fillId="0" borderId="16" applyNumberFormat="0" applyFill="0" applyBorder="0" applyAlignment="0" applyProtection="0"/>
    <xf numFmtId="0" fontId="65" fillId="0" borderId="16" applyNumberFormat="0" applyFill="0" applyBorder="0" applyAlignment="0" applyProtection="0"/>
    <xf numFmtId="0" fontId="39" fillId="0" borderId="16" applyNumberFormat="0" applyFill="0" applyAlignment="0" applyProtection="0"/>
    <xf numFmtId="0" fontId="39" fillId="0" borderId="16" applyNumberFormat="0" applyFill="0" applyAlignment="0" applyProtection="0"/>
    <xf numFmtId="0" fontId="66" fillId="0" borderId="9">
      <protection hidden="1"/>
    </xf>
    <xf numFmtId="0" fontId="66" fillId="0" borderId="9">
      <protection hidden="1"/>
    </xf>
    <xf numFmtId="0" fontId="66" fillId="0" borderId="9">
      <protection hidden="1"/>
    </xf>
    <xf numFmtId="0" fontId="67" fillId="16" borderId="9" applyNumberFormat="0" applyFont="0" applyBorder="0" applyAlignment="0" applyProtection="0">
      <protection hidden="1"/>
    </xf>
    <xf numFmtId="0" fontId="67" fillId="16" borderId="9" applyNumberFormat="0" applyFont="0" applyBorder="0" applyAlignment="0" applyProtection="0">
      <protection hidden="1"/>
    </xf>
    <xf numFmtId="0" fontId="67" fillId="16" borderId="9" applyNumberFormat="0" applyFont="0" applyBorder="0" applyAlignment="0" applyProtection="0">
      <protection hidden="1"/>
    </xf>
    <xf numFmtId="1" fontId="64" fillId="0" borderId="0" applyFill="0" applyBorder="0" applyAlignment="0" applyProtection="0"/>
    <xf numFmtId="0" fontId="34" fillId="0" borderId="0" applyNumberFormat="0" applyFill="0" applyBorder="0" applyAlignment="0" applyProtection="0"/>
    <xf numFmtId="0" fontId="68" fillId="0" borderId="0"/>
    <xf numFmtId="189" fontId="69" fillId="0" borderId="0" applyNumberFormat="0" applyFill="0" applyBorder="0" applyAlignment="0" applyProtection="0"/>
    <xf numFmtId="194" fontId="69" fillId="0" borderId="0" applyNumberFormat="0" applyFill="0" applyBorder="0" applyAlignment="0" applyProtection="0"/>
    <xf numFmtId="15" fontId="10" fillId="0" borderId="0"/>
    <xf numFmtId="15" fontId="10" fillId="0" borderId="0"/>
    <xf numFmtId="15" fontId="10" fillId="0" borderId="0"/>
    <xf numFmtId="223" fontId="70" fillId="0" borderId="0" applyFont="0" applyFill="0" applyBorder="0" applyAlignment="0" applyProtection="0"/>
    <xf numFmtId="1" fontId="71" fillId="17" borderId="5" applyNumberFormat="0" applyBorder="0" applyAlignment="0">
      <alignment horizontal="center" vertical="top" wrapText="1"/>
      <protection hidden="1"/>
    </xf>
    <xf numFmtId="0" fontId="72" fillId="0" borderId="17">
      <alignment horizontal="left"/>
    </xf>
    <xf numFmtId="0" fontId="73" fillId="0" borderId="17">
      <alignment horizontal="left" wrapText="1"/>
    </xf>
    <xf numFmtId="224" fontId="39" fillId="0" borderId="0" applyNumberFormat="0" applyFont="0" applyAlignment="0"/>
    <xf numFmtId="0" fontId="74" fillId="0" borderId="0" applyNumberFormat="0" applyFill="0" applyBorder="0" applyAlignment="0"/>
    <xf numFmtId="194" fontId="69" fillId="0" borderId="0" applyNumberFormat="0" applyFill="0" applyBorder="0" applyAlignment="0" applyProtection="0"/>
    <xf numFmtId="0" fontId="75" fillId="0" borderId="0" applyNumberFormat="0" applyFill="0" applyBorder="0" applyAlignment="0" applyProtection="0"/>
    <xf numFmtId="0" fontId="76" fillId="18" borderId="18">
      <alignment horizontal="center"/>
    </xf>
    <xf numFmtId="194" fontId="64" fillId="0" borderId="0"/>
    <xf numFmtId="0" fontId="77" fillId="0" borderId="1" applyNumberFormat="0" applyFill="0" applyAlignment="0" applyProtection="0"/>
    <xf numFmtId="37" fontId="78" fillId="0" borderId="0"/>
    <xf numFmtId="37" fontId="79" fillId="0" borderId="0"/>
    <xf numFmtId="194" fontId="10" fillId="0" borderId="2" applyNumberFormat="0" applyFont="0" applyFill="0" applyAlignment="0" applyProtection="0"/>
    <xf numFmtId="225" fontId="80" fillId="0" borderId="3" applyNumberFormat="0" applyFill="0" applyAlignment="0" applyProtection="0">
      <alignment horizontal="center"/>
    </xf>
    <xf numFmtId="225" fontId="80" fillId="0" borderId="3" applyNumberFormat="0" applyFill="0" applyAlignment="0" applyProtection="0">
      <alignment horizontal="center"/>
    </xf>
    <xf numFmtId="7" fontId="19" fillId="0" borderId="14"/>
    <xf numFmtId="226" fontId="80" fillId="0" borderId="1" applyFill="0" applyAlignment="0" applyProtection="0">
      <alignment horizontal="center"/>
    </xf>
    <xf numFmtId="227" fontId="81" fillId="0" borderId="0" applyFont="0" applyFill="0" applyBorder="0" applyAlignment="0" applyProtection="0"/>
    <xf numFmtId="7" fontId="10" fillId="0" borderId="0"/>
    <xf numFmtId="0" fontId="52" fillId="0" borderId="0" applyFont="0" applyFill="0" applyBorder="0" applyAlignment="0" applyProtection="0"/>
    <xf numFmtId="228" fontId="52" fillId="0" borderId="0" applyFont="0" applyFill="0" applyBorder="0" applyAlignment="0" applyProtection="0"/>
    <xf numFmtId="0" fontId="59" fillId="0" borderId="0"/>
    <xf numFmtId="0" fontId="59" fillId="0" borderId="0"/>
    <xf numFmtId="0" fontId="59" fillId="0" borderId="0"/>
    <xf numFmtId="0" fontId="59" fillId="0" borderId="0"/>
    <xf numFmtId="0" fontId="59" fillId="0" borderId="0"/>
    <xf numFmtId="0" fontId="39" fillId="0" borderId="0"/>
    <xf numFmtId="2" fontId="39" fillId="19" borderId="0" applyNumberFormat="0" applyFont="0" applyBorder="0" applyAlignment="0" applyProtection="0"/>
    <xf numFmtId="178" fontId="10" fillId="0" borderId="0" applyFill="0" applyBorder="0" applyAlignment="0"/>
    <xf numFmtId="178" fontId="10" fillId="0" borderId="0" applyFill="0" applyBorder="0" applyAlignment="0"/>
    <xf numFmtId="3" fontId="82" fillId="0" borderId="0" applyNumberFormat="0" applyFill="0" applyBorder="0" applyAlignment="0" applyProtection="0"/>
    <xf numFmtId="203" fontId="39" fillId="20" borderId="0" applyNumberFormat="0" applyFont="0" applyBorder="0" applyAlignment="0">
      <protection locked="0"/>
    </xf>
    <xf numFmtId="223" fontId="83" fillId="0" borderId="0" applyFont="0" applyFill="0" applyBorder="0" applyAlignment="0" applyProtection="0"/>
    <xf numFmtId="0" fontId="73" fillId="0" borderId="0">
      <alignment horizontal="right" vertical="center"/>
    </xf>
    <xf numFmtId="229" fontId="84" fillId="0" borderId="0">
      <alignment horizontal="right"/>
    </xf>
    <xf numFmtId="0" fontId="72" fillId="0" borderId="0">
      <alignment horizontal="center" vertical="center" wrapText="1"/>
    </xf>
    <xf numFmtId="230" fontId="84" fillId="0" borderId="0"/>
    <xf numFmtId="1" fontId="85" fillId="0" borderId="0"/>
    <xf numFmtId="0" fontId="86" fillId="0" borderId="0"/>
    <xf numFmtId="0" fontId="39" fillId="0" borderId="0" applyNumberFormat="0" applyFill="0" applyBorder="0" applyAlignment="0" applyProtection="0"/>
    <xf numFmtId="0" fontId="87" fillId="0" borderId="0" applyNumberFormat="0" applyFill="0" applyBorder="0" applyAlignment="0" applyProtection="0"/>
    <xf numFmtId="0" fontId="39" fillId="0" borderId="0" applyNumberFormat="0" applyFill="0" applyBorder="0" applyAlignment="0" applyProtection="0"/>
    <xf numFmtId="0" fontId="64" fillId="21" borderId="19" applyFont="0" applyFill="0" applyBorder="0"/>
    <xf numFmtId="0" fontId="39" fillId="0" borderId="9"/>
    <xf numFmtId="203" fontId="88" fillId="0" borderId="0" applyNumberFormat="0" applyFill="0" applyBorder="0" applyProtection="0">
      <alignment horizontal="right"/>
    </xf>
    <xf numFmtId="0" fontId="10" fillId="0" borderId="1" applyNumberFormat="0" applyFill="0" applyBorder="0" applyAlignment="0" applyProtection="0">
      <alignment horizontal="center"/>
    </xf>
    <xf numFmtId="231" fontId="10" fillId="0" borderId="1">
      <alignment horizontal="right"/>
    </xf>
    <xf numFmtId="0" fontId="27" fillId="0" borderId="0">
      <alignment horizontal="center" wrapText="1"/>
      <protection hidden="1"/>
    </xf>
    <xf numFmtId="0" fontId="89" fillId="0" borderId="20" applyNumberFormat="0" applyFill="0" applyProtection="0">
      <alignment horizontal="center" vertical="center"/>
    </xf>
    <xf numFmtId="0" fontId="90" fillId="0" borderId="1" applyNumberFormat="0" applyFill="0" applyBorder="0" applyProtection="0">
      <alignment horizontal="right" vertical="center"/>
    </xf>
    <xf numFmtId="0" fontId="91" fillId="22" borderId="0"/>
    <xf numFmtId="165" fontId="64" fillId="0" borderId="0" applyBorder="0">
      <alignment horizontal="right"/>
    </xf>
    <xf numFmtId="165" fontId="64" fillId="0" borderId="3" applyAlignment="0">
      <alignment horizontal="right"/>
    </xf>
    <xf numFmtId="0" fontId="92" fillId="0" borderId="0"/>
    <xf numFmtId="0" fontId="93" fillId="0" borderId="0"/>
    <xf numFmtId="176" fontId="94" fillId="0" borderId="0"/>
    <xf numFmtId="232" fontId="95" fillId="0" borderId="0"/>
    <xf numFmtId="176" fontId="94" fillId="0" borderId="0"/>
    <xf numFmtId="232" fontId="95" fillId="0" borderId="0"/>
    <xf numFmtId="176" fontId="94" fillId="0" borderId="0"/>
    <xf numFmtId="232" fontId="95" fillId="0" borderId="0"/>
    <xf numFmtId="232" fontId="95" fillId="0" borderId="0"/>
    <xf numFmtId="232" fontId="95" fillId="0" borderId="0"/>
    <xf numFmtId="232" fontId="95" fillId="0" borderId="0"/>
    <xf numFmtId="232" fontId="95" fillId="0" borderId="0"/>
    <xf numFmtId="232" fontId="95" fillId="0" borderId="0"/>
    <xf numFmtId="233" fontId="92" fillId="0" borderId="1"/>
    <xf numFmtId="233" fontId="93" fillId="0" borderId="1"/>
    <xf numFmtId="0" fontId="34" fillId="0" borderId="0"/>
    <xf numFmtId="234" fontId="70" fillId="0" borderId="0"/>
    <xf numFmtId="234" fontId="70" fillId="0" borderId="0"/>
    <xf numFmtId="194" fontId="67" fillId="0" borderId="0" applyFont="0" applyFill="0" applyBorder="0" applyAlignment="0"/>
    <xf numFmtId="223" fontId="27" fillId="0" borderId="0" applyFont="0" applyFill="0" applyBorder="0" applyAlignment="0" applyProtection="0"/>
    <xf numFmtId="173" fontId="10" fillId="0" borderId="0" applyFont="0" applyFill="0" applyBorder="0" applyAlignment="0" applyProtection="0"/>
    <xf numFmtId="235" fontId="96" fillId="0" borderId="0" applyFont="0" applyFill="0" applyBorder="0" applyAlignment="0" applyProtection="0">
      <alignment horizontal="right"/>
    </xf>
    <xf numFmtId="236" fontId="9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0" fillId="0" borderId="0" applyFont="0" applyFill="0" applyBorder="0" applyAlignment="0" applyProtection="0"/>
    <xf numFmtId="237" fontId="96" fillId="0" borderId="0" applyFont="0" applyFill="0" applyBorder="0" applyAlignment="0" applyProtection="0"/>
    <xf numFmtId="43" fontId="10" fillId="0" borderId="0" applyFont="0" applyFill="0" applyBorder="0" applyAlignment="0" applyProtection="0"/>
    <xf numFmtId="43" fontId="86" fillId="0" borderId="0" applyFont="0" applyFill="0" applyBorder="0" applyAlignment="0" applyProtection="0"/>
    <xf numFmtId="43" fontId="10" fillId="0" borderId="0" applyFont="0" applyFill="0" applyBorder="0" applyAlignment="0" applyProtection="0"/>
    <xf numFmtId="37" fontId="27" fillId="0" borderId="0" applyFont="0" applyFill="0" applyBorder="0" applyAlignment="0" applyProtection="0"/>
    <xf numFmtId="194" fontId="27" fillId="0" borderId="0" applyFont="0" applyFill="0" applyBorder="0" applyAlignment="0" applyProtection="0"/>
    <xf numFmtId="39" fontId="27" fillId="0" borderId="0" applyFont="0" applyFill="0" applyBorder="0" applyAlignment="0" applyProtection="0"/>
    <xf numFmtId="3" fontId="10" fillId="0" borderId="0" applyFont="0" applyFill="0" applyBorder="0" applyAlignment="0" applyProtection="0"/>
    <xf numFmtId="223" fontId="43" fillId="0" borderId="0" applyFont="0" applyFill="0" applyBorder="0" applyAlignment="0" applyProtection="0"/>
    <xf numFmtId="3" fontId="97" fillId="0" borderId="0"/>
    <xf numFmtId="170" fontId="97" fillId="0" borderId="0"/>
    <xf numFmtId="2" fontId="97" fillId="0" borderId="0"/>
    <xf numFmtId="0" fontId="98" fillId="0" borderId="0"/>
    <xf numFmtId="0" fontId="99" fillId="23" borderId="0">
      <alignment horizontal="center" vertical="center" wrapText="1"/>
    </xf>
    <xf numFmtId="0" fontId="10" fillId="23" borderId="0">
      <alignment horizontal="center" vertical="center" wrapText="1"/>
    </xf>
    <xf numFmtId="0" fontId="100" fillId="0" borderId="0" applyNumberFormat="0" applyFill="0" applyBorder="0">
      <alignment horizontal="right"/>
    </xf>
    <xf numFmtId="0" fontId="10" fillId="23" borderId="0">
      <alignment horizontal="center" vertical="center" wrapText="1"/>
    </xf>
    <xf numFmtId="176" fontId="101" fillId="0" borderId="0" applyFill="0" applyBorder="0">
      <alignment horizontal="left"/>
    </xf>
    <xf numFmtId="38" fontId="102" fillId="0" borderId="0" applyNumberFormat="0" applyFill="0" applyBorder="0">
      <alignment vertical="center"/>
    </xf>
    <xf numFmtId="1" fontId="54" fillId="0" borderId="0" applyFont="0" applyFill="0" applyBorder="0" applyAlignment="0" applyProtection="0"/>
    <xf numFmtId="238" fontId="10" fillId="0" borderId="0" applyFont="0" applyFill="0" applyBorder="0" applyAlignment="0" applyProtection="0"/>
    <xf numFmtId="239" fontId="103" fillId="0" borderId="3">
      <protection hidden="1"/>
    </xf>
    <xf numFmtId="239" fontId="103" fillId="0" borderId="3">
      <protection hidden="1"/>
    </xf>
    <xf numFmtId="240" fontId="27" fillId="0" borderId="0" applyFill="0" applyBorder="0">
      <alignment horizontal="right"/>
      <protection locked="0"/>
    </xf>
    <xf numFmtId="241" fontId="27" fillId="0" borderId="0" applyFill="0" applyBorder="0">
      <alignment horizontal="right"/>
      <protection locked="0"/>
    </xf>
    <xf numFmtId="176" fontId="94" fillId="0" borderId="0"/>
    <xf numFmtId="176" fontId="94" fillId="0" borderId="0"/>
    <xf numFmtId="242" fontId="34" fillId="0" borderId="0" applyFont="0" applyFill="0" applyBorder="0" applyAlignment="0" applyProtection="0"/>
    <xf numFmtId="243" fontId="60" fillId="0" borderId="0" applyFont="0" applyFill="0" applyBorder="0" applyAlignment="0" applyProtection="0"/>
    <xf numFmtId="244" fontId="70" fillId="0" borderId="0"/>
    <xf numFmtId="245" fontId="27" fillId="0" borderId="21" applyFont="0" applyFill="0" applyBorder="0" applyAlignment="0" applyProtection="0"/>
    <xf numFmtId="246" fontId="10" fillId="0" borderId="0" applyFont="0" applyFill="0" applyBorder="0" applyAlignment="0" applyProtection="0"/>
    <xf numFmtId="8" fontId="70" fillId="0" borderId="0" applyFont="0" applyFill="0" applyBorder="0" applyAlignment="0" applyProtection="0">
      <alignment horizontal="left"/>
    </xf>
    <xf numFmtId="8" fontId="10" fillId="0" borderId="22">
      <protection locked="0"/>
    </xf>
    <xf numFmtId="247" fontId="96" fillId="0" borderId="0" applyFont="0" applyFill="0" applyBorder="0" applyAlignment="0" applyProtection="0">
      <alignment horizontal="right"/>
    </xf>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39"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248" fontId="104" fillId="0" borderId="0" applyFont="0" applyFill="0" applyBorder="0" applyAlignment="0" applyProtection="0"/>
    <xf numFmtId="249" fontId="34" fillId="0" borderId="0" applyFont="0" applyFill="0" applyBorder="0" applyAlignment="0" applyProtection="0"/>
    <xf numFmtId="211" fontId="105" fillId="0" borderId="0" applyFont="0" applyFill="0" applyBorder="0" applyAlignment="0" applyProtection="0"/>
    <xf numFmtId="250" fontId="10" fillId="0" borderId="0" applyFont="0" applyFill="0" applyBorder="0" applyAlignment="0" applyProtection="0"/>
    <xf numFmtId="246" fontId="10" fillId="0" borderId="0" applyFont="0" applyFill="0" applyBorder="0" applyAlignment="0" applyProtection="0"/>
    <xf numFmtId="0" fontId="10" fillId="0" borderId="0" applyFont="0" applyFill="0" applyBorder="0" applyAlignment="0" applyProtection="0"/>
    <xf numFmtId="44" fontId="10" fillId="0" borderId="0" applyFont="0" applyFill="0" applyBorder="0" applyAlignment="0" applyProtection="0"/>
    <xf numFmtId="251" fontId="10" fillId="0" borderId="0" applyFont="0" applyFill="0" applyBorder="0" applyAlignment="0" applyProtection="0"/>
    <xf numFmtId="15" fontId="106" fillId="0" borderId="0" applyFont="0" applyFill="0" applyBorder="0" applyAlignment="0" applyProtection="0"/>
    <xf numFmtId="15" fontId="106" fillId="0" borderId="0" applyFont="0" applyFill="0" applyBorder="0" applyAlignment="0" applyProtection="0"/>
    <xf numFmtId="252" fontId="37" fillId="7" borderId="4">
      <alignment horizontal="right"/>
    </xf>
    <xf numFmtId="224" fontId="10" fillId="7" borderId="4">
      <alignment horizontal="right"/>
    </xf>
    <xf numFmtId="252" fontId="37" fillId="7" borderId="4">
      <alignment horizontal="right"/>
    </xf>
    <xf numFmtId="252" fontId="37" fillId="7" borderId="4">
      <alignment horizontal="right"/>
    </xf>
    <xf numFmtId="0" fontId="107" fillId="0" borderId="17">
      <alignment horizontal="left"/>
    </xf>
    <xf numFmtId="0" fontId="108" fillId="0" borderId="17">
      <alignment horizontal="left" wrapText="1"/>
    </xf>
    <xf numFmtId="194" fontId="109" fillId="0" borderId="0"/>
    <xf numFmtId="0" fontId="52" fillId="0" borderId="0" applyFont="0" applyFill="0" applyBorder="0" applyAlignment="0" applyProtection="0"/>
    <xf numFmtId="253" fontId="52" fillId="0" borderId="0" applyFont="0" applyFill="0" applyBorder="0" applyAlignment="0" applyProtection="0"/>
    <xf numFmtId="0" fontId="39" fillId="24" borderId="23">
      <alignment horizontal="left"/>
    </xf>
    <xf numFmtId="0" fontId="10" fillId="0" borderId="0"/>
    <xf numFmtId="17" fontId="67" fillId="0" borderId="0" applyFont="0" applyFill="0" applyBorder="0" applyAlignment="0" applyProtection="0"/>
    <xf numFmtId="14" fontId="27" fillId="0" borderId="0"/>
    <xf numFmtId="254" fontId="96" fillId="0" borderId="0" applyFont="0" applyFill="0" applyBorder="0" applyAlignment="0" applyProtection="0"/>
    <xf numFmtId="22" fontId="110" fillId="0" borderId="0" applyFont="0" applyFill="0" applyBorder="0" applyAlignment="0"/>
    <xf numFmtId="14" fontId="27" fillId="0" borderId="0"/>
    <xf numFmtId="0" fontId="34" fillId="0" borderId="0"/>
    <xf numFmtId="0" fontId="34" fillId="0" borderId="0"/>
    <xf numFmtId="14" fontId="83" fillId="0" borderId="0" applyFont="0" applyFill="0" applyBorder="0" applyAlignment="0" applyProtection="0">
      <alignment horizontal="center"/>
    </xf>
    <xf numFmtId="255" fontId="83" fillId="0" borderId="0" applyFont="0" applyFill="0" applyBorder="0" applyAlignment="0" applyProtection="0">
      <alignment horizontal="center"/>
    </xf>
    <xf numFmtId="8" fontId="10" fillId="0" borderId="0" applyFont="0" applyFill="0" applyBorder="0"/>
    <xf numFmtId="8" fontId="10" fillId="0" borderId="0" applyFont="0" applyFill="0" applyBorder="0"/>
    <xf numFmtId="42" fontId="10" fillId="0" borderId="0" applyFont="0" applyFill="0" applyBorder="0"/>
    <xf numFmtId="42" fontId="10" fillId="0" borderId="0" applyFont="0" applyFill="0" applyBorder="0"/>
    <xf numFmtId="41" fontId="10" fillId="0" borderId="0" applyFont="0" applyFill="0" applyBorder="0"/>
    <xf numFmtId="41" fontId="10" fillId="0" borderId="0" applyFont="0" applyFill="0" applyBorder="0"/>
    <xf numFmtId="256" fontId="84" fillId="0" borderId="0"/>
    <xf numFmtId="257" fontId="38" fillId="0" borderId="0">
      <alignment horizontal="right"/>
    </xf>
    <xf numFmtId="207" fontId="111" fillId="0" borderId="0" applyFont="0" applyFill="0" applyBorder="0" applyAlignment="0" applyProtection="0">
      <alignment horizontal="center"/>
    </xf>
    <xf numFmtId="207" fontId="111" fillId="0" borderId="0" applyFont="0" applyFill="0" applyBorder="0" applyAlignment="0" applyProtection="0">
      <alignment horizontal="center"/>
    </xf>
    <xf numFmtId="0" fontId="70" fillId="0" borderId="0"/>
    <xf numFmtId="256" fontId="86" fillId="0" borderId="0"/>
    <xf numFmtId="256" fontId="86" fillId="0" borderId="0"/>
    <xf numFmtId="170" fontId="10" fillId="0" borderId="0" applyFont="0" applyFill="0" applyBorder="0" applyAlignment="0" applyProtection="0"/>
    <xf numFmtId="37" fontId="19" fillId="0" borderId="12"/>
    <xf numFmtId="38" fontId="27" fillId="0" borderId="0" applyFont="0" applyFill="0" applyBorder="0" applyAlignment="0" applyProtection="0"/>
    <xf numFmtId="40" fontId="27" fillId="0" borderId="0" applyFont="0" applyFill="0" applyBorder="0" applyAlignment="0" applyProtection="0"/>
    <xf numFmtId="0" fontId="10" fillId="0" borderId="0"/>
    <xf numFmtId="43" fontId="10" fillId="0" borderId="0" applyNumberFormat="0" applyFont="0" applyBorder="0"/>
    <xf numFmtId="8" fontId="70" fillId="0" borderId="0" applyFont="0" applyFill="0" applyBorder="0" applyAlignment="0" applyProtection="0"/>
    <xf numFmtId="43" fontId="10" fillId="0" borderId="0" applyNumberFormat="0" applyFont="0" applyBorder="0"/>
    <xf numFmtId="5" fontId="86" fillId="0" borderId="0" applyFont="0" applyFill="0" applyBorder="0" applyAlignment="0" applyProtection="0">
      <protection locked="0"/>
    </xf>
    <xf numFmtId="167" fontId="10" fillId="0" borderId="0" applyFont="0" applyFill="0" applyBorder="0" applyAlignment="0" applyProtection="0"/>
    <xf numFmtId="5" fontId="86" fillId="0" borderId="0" applyFont="0" applyFill="0" applyBorder="0" applyAlignment="0" applyProtection="0">
      <protection locked="0"/>
    </xf>
    <xf numFmtId="6" fontId="70" fillId="0" borderId="0" applyFont="0" applyFill="0" applyBorder="0" applyAlignment="0" applyProtection="0"/>
    <xf numFmtId="2" fontId="10" fillId="0" borderId="0" applyFont="0" applyFill="0" applyBorder="0" applyAlignment="0" applyProtection="0"/>
    <xf numFmtId="258" fontId="96" fillId="0" borderId="24" applyNumberFormat="0" applyFont="0" applyFill="0" applyAlignment="0" applyProtection="0"/>
    <xf numFmtId="42" fontId="112" fillId="0" borderId="0" applyFill="0" applyBorder="0" applyAlignment="0" applyProtection="0"/>
    <xf numFmtId="259" fontId="57" fillId="0" borderId="2" applyNumberFormat="0" applyBorder="0"/>
    <xf numFmtId="260" fontId="10" fillId="0" borderId="4" applyFont="0" applyFill="0" applyBorder="0"/>
    <xf numFmtId="260" fontId="10" fillId="0" borderId="4" applyFont="0" applyFill="0" applyBorder="0"/>
    <xf numFmtId="164" fontId="113" fillId="0" borderId="25" applyNumberFormat="0" applyAlignment="0" applyProtection="0">
      <alignment vertical="top"/>
    </xf>
    <xf numFmtId="164" fontId="114" fillId="6" borderId="26" applyNumberFormat="0" applyAlignment="0" applyProtection="0">
      <alignment vertical="top"/>
    </xf>
    <xf numFmtId="0" fontId="39" fillId="25" borderId="0" applyNumberFormat="0" applyFont="0" applyBorder="0" applyAlignment="0" applyProtection="0"/>
    <xf numFmtId="0" fontId="39" fillId="25" borderId="0" applyNumberFormat="0" applyFont="0" applyBorder="0" applyAlignment="0" applyProtection="0"/>
    <xf numFmtId="164" fontId="114" fillId="6" borderId="26" applyNumberFormat="0" applyAlignment="0" applyProtection="0">
      <alignment vertical="top"/>
    </xf>
    <xf numFmtId="0" fontId="28" fillId="0" borderId="0" applyNumberFormat="0" applyAlignment="0"/>
    <xf numFmtId="0" fontId="70" fillId="26" borderId="27" applyNumberFormat="0" applyFont="0" applyAlignment="0">
      <protection locked="0"/>
    </xf>
    <xf numFmtId="0" fontId="70" fillId="26" borderId="27" applyNumberFormat="0" applyFont="0" applyAlignment="0">
      <protection locked="0"/>
    </xf>
    <xf numFmtId="261" fontId="10" fillId="0" borderId="0" applyFont="0" applyFill="0" applyBorder="0"/>
    <xf numFmtId="262" fontId="37" fillId="0" borderId="0"/>
    <xf numFmtId="261" fontId="10" fillId="0" borderId="0" applyFont="0" applyFill="0" applyBorder="0"/>
    <xf numFmtId="261" fontId="10" fillId="0" borderId="0" applyFont="0" applyFill="0" applyBorder="0"/>
    <xf numFmtId="261" fontId="10" fillId="0" borderId="0" applyFont="0" applyFill="0" applyBorder="0"/>
    <xf numFmtId="263" fontId="37" fillId="0" borderId="0"/>
    <xf numFmtId="264" fontId="37" fillId="0" borderId="0"/>
    <xf numFmtId="265" fontId="37" fillId="0" borderId="0"/>
    <xf numFmtId="262" fontId="37" fillId="0" borderId="0"/>
    <xf numFmtId="266" fontId="37" fillId="0" borderId="0"/>
    <xf numFmtId="0" fontId="34" fillId="0" borderId="0" applyFont="0" applyFill="0" applyBorder="0" applyProtection="0">
      <alignment horizontal="left"/>
      <protection locked="0"/>
    </xf>
    <xf numFmtId="0" fontId="34" fillId="0" borderId="0" applyFont="0" applyFill="0" applyBorder="0" applyProtection="0">
      <alignment horizontal="left"/>
      <protection locked="0"/>
    </xf>
    <xf numFmtId="267" fontId="37" fillId="0" borderId="0"/>
    <xf numFmtId="0" fontId="34" fillId="0" borderId="0" applyFont="0" applyFill="0" applyBorder="0" applyProtection="0">
      <alignment horizontal="left"/>
      <protection locked="0"/>
    </xf>
    <xf numFmtId="0" fontId="34" fillId="0" borderId="0" applyFont="0" applyFill="0" applyBorder="0" applyProtection="0">
      <alignment horizontal="left"/>
      <protection locked="0"/>
    </xf>
    <xf numFmtId="268" fontId="10" fillId="0" borderId="0" applyFont="0" applyFill="0" applyBorder="0" applyAlignment="0" applyProtection="0"/>
    <xf numFmtId="269" fontId="43" fillId="0" borderId="0"/>
    <xf numFmtId="270" fontId="70" fillId="27" borderId="2" applyNumberFormat="0" applyFont="0" applyBorder="0" applyAlignment="0" applyProtection="0">
      <alignment horizontal="right"/>
    </xf>
    <xf numFmtId="271" fontId="39" fillId="27" borderId="2" applyNumberFormat="0" applyFont="0" applyBorder="0" applyAlignment="0" applyProtection="0">
      <alignment horizontal="right"/>
    </xf>
    <xf numFmtId="0" fontId="10" fillId="0" borderId="0"/>
    <xf numFmtId="43" fontId="10" fillId="0" borderId="0" applyBorder="0"/>
    <xf numFmtId="41" fontId="10" fillId="0" borderId="0" applyBorder="0"/>
    <xf numFmtId="44" fontId="10" fillId="0" borderId="0" applyBorder="0"/>
    <xf numFmtId="42" fontId="10" fillId="0" borderId="0" applyBorder="0"/>
    <xf numFmtId="0" fontId="115" fillId="0" borderId="0" applyNumberFormat="0" applyBorder="0"/>
    <xf numFmtId="0" fontId="116" fillId="0" borderId="0" applyNumberFormat="0" applyBorder="0"/>
    <xf numFmtId="9" fontId="10" fillId="0" borderId="0" applyBorder="0"/>
    <xf numFmtId="0" fontId="115" fillId="0" borderId="0" applyNumberFormat="0" applyBorder="0"/>
    <xf numFmtId="0" fontId="116" fillId="0" borderId="0" applyNumberFormat="0" applyBorder="0"/>
    <xf numFmtId="9" fontId="10" fillId="0" borderId="0" applyBorder="0"/>
    <xf numFmtId="0" fontId="117" fillId="0" borderId="0"/>
    <xf numFmtId="1" fontId="118" fillId="28" borderId="7" applyNumberFormat="0" applyBorder="0" applyAlignment="0">
      <alignment horizontal="centerContinuous" vertical="center"/>
      <protection locked="0"/>
    </xf>
    <xf numFmtId="272" fontId="10" fillId="0" borderId="0" applyFill="0" applyBorder="0" applyAlignment="0" applyProtection="0"/>
    <xf numFmtId="0" fontId="119" fillId="29" borderId="0"/>
    <xf numFmtId="164" fontId="120" fillId="0" borderId="0" applyNumberFormat="0" applyFont="0" applyAlignment="0">
      <alignment vertical="center"/>
    </xf>
    <xf numFmtId="40" fontId="92" fillId="0" borderId="0">
      <alignment horizontal="right"/>
    </xf>
    <xf numFmtId="170" fontId="10" fillId="0" borderId="0"/>
    <xf numFmtId="2" fontId="84" fillId="0" borderId="0"/>
    <xf numFmtId="2" fontId="43" fillId="0" borderId="0" applyFont="0" applyFill="0" applyBorder="0" applyAlignment="0" applyProtection="0"/>
    <xf numFmtId="207" fontId="92" fillId="0" borderId="0">
      <alignment horizontal="right"/>
    </xf>
    <xf numFmtId="170" fontId="121" fillId="0" borderId="0" applyNumberFormat="0" applyFill="0" applyBorder="0" applyAlignment="0" applyProtection="0"/>
    <xf numFmtId="0" fontId="122" fillId="0" borderId="0" applyNumberFormat="0" applyFill="0" applyBorder="0" applyProtection="0">
      <alignment horizontal="left" vertical="center"/>
    </xf>
    <xf numFmtId="0" fontId="123" fillId="0" borderId="0" applyNumberFormat="0" applyFill="0" applyBorder="0" applyAlignment="0" applyProtection="0"/>
    <xf numFmtId="1" fontId="39" fillId="0" borderId="0" applyNumberFormat="0" applyBorder="0" applyAlignment="0" applyProtection="0"/>
    <xf numFmtId="217" fontId="124" fillId="0" borderId="0"/>
    <xf numFmtId="273" fontId="64" fillId="0" borderId="0" applyBorder="0" applyProtection="0"/>
    <xf numFmtId="273" fontId="64" fillId="0" borderId="0" applyBorder="0" applyProtection="0"/>
    <xf numFmtId="164" fontId="125" fillId="0" borderId="0" applyFill="0" applyBorder="0" applyAlignment="0" applyProtection="0"/>
    <xf numFmtId="274" fontId="126" fillId="0" borderId="0"/>
    <xf numFmtId="263" fontId="37" fillId="0" borderId="28"/>
    <xf numFmtId="275" fontId="37" fillId="7" borderId="4">
      <alignment horizontal="right"/>
    </xf>
    <xf numFmtId="211" fontId="10" fillId="7" borderId="4">
      <alignment horizontal="right"/>
    </xf>
    <xf numFmtId="275" fontId="37" fillId="7" borderId="4">
      <alignment horizontal="right"/>
    </xf>
    <xf numFmtId="275" fontId="37" fillId="7" borderId="4">
      <alignment horizontal="right"/>
    </xf>
    <xf numFmtId="49" fontId="39" fillId="0" borderId="0" applyFill="0" applyBorder="0"/>
    <xf numFmtId="49" fontId="39" fillId="0" borderId="0" applyFill="0" applyBorder="0"/>
    <xf numFmtId="49" fontId="10" fillId="0" borderId="0"/>
    <xf numFmtId="49" fontId="10" fillId="0" borderId="0" applyFill="0" applyBorder="0">
      <alignment horizontal="right" vertical="center"/>
    </xf>
    <xf numFmtId="49" fontId="10" fillId="0" borderId="0" applyFill="0" applyBorder="0">
      <alignment horizontal="right" vertical="center"/>
    </xf>
    <xf numFmtId="49" fontId="10" fillId="0" borderId="0" applyFill="0" applyBorder="0">
      <alignment horizontal="right" vertical="center"/>
    </xf>
    <xf numFmtId="49" fontId="10" fillId="0" borderId="0" applyFill="0" applyBorder="0">
      <alignment horizontal="right" vertical="center"/>
    </xf>
    <xf numFmtId="276" fontId="70" fillId="0" borderId="0">
      <alignment vertical="center"/>
    </xf>
    <xf numFmtId="2" fontId="67" fillId="0" borderId="0">
      <alignment horizontal="left"/>
    </xf>
    <xf numFmtId="2" fontId="67" fillId="0" borderId="0">
      <alignment horizontal="left"/>
    </xf>
    <xf numFmtId="223" fontId="70" fillId="0" borderId="0" applyFill="0" applyBorder="0" applyAlignment="0" applyProtection="0">
      <protection locked="0"/>
    </xf>
    <xf numFmtId="37" fontId="127" fillId="0" borderId="0" applyNumberFormat="0" applyFill="0" applyBorder="0" applyAlignment="0" applyProtection="0"/>
    <xf numFmtId="38" fontId="39" fillId="7" borderId="0" applyNumberFormat="0" applyBorder="0" applyAlignment="0" applyProtection="0"/>
    <xf numFmtId="38" fontId="39" fillId="7" borderId="0" applyNumberFormat="0" applyBorder="0" applyAlignment="0" applyProtection="0"/>
    <xf numFmtId="277" fontId="128" fillId="0" borderId="0" applyFill="0" applyBorder="0" applyAlignment="0" applyProtection="0"/>
    <xf numFmtId="0" fontId="10" fillId="0" borderId="0" applyAlignment="0">
      <alignment horizontal="left"/>
      <protection locked="0"/>
    </xf>
    <xf numFmtId="176" fontId="19" fillId="0" borderId="0"/>
    <xf numFmtId="0" fontId="10" fillId="0" borderId="0"/>
    <xf numFmtId="0" fontId="10" fillId="0" borderId="0"/>
    <xf numFmtId="0" fontId="10" fillId="0" borderId="0"/>
    <xf numFmtId="37" fontId="10" fillId="0" borderId="0"/>
    <xf numFmtId="49" fontId="123" fillId="0" borderId="0">
      <alignment horizontal="right"/>
    </xf>
    <xf numFmtId="49" fontId="129" fillId="0" borderId="0">
      <alignment horizontal="right"/>
    </xf>
    <xf numFmtId="276" fontId="70" fillId="0" borderId="0">
      <alignment vertical="center"/>
    </xf>
    <xf numFmtId="164" fontId="10" fillId="24" borderId="8" applyNumberFormat="0" applyFont="0" applyBorder="0" applyAlignment="0" applyProtection="0"/>
    <xf numFmtId="278" fontId="64" fillId="30" borderId="8" applyNumberFormat="0" applyFont="0" applyAlignment="0"/>
    <xf numFmtId="278" fontId="64" fillId="30" borderId="8" applyNumberFormat="0" applyFont="0" applyAlignment="0"/>
    <xf numFmtId="279" fontId="96" fillId="0" borderId="0" applyFont="0" applyFill="0" applyBorder="0" applyAlignment="0" applyProtection="0">
      <alignment horizontal="right"/>
    </xf>
    <xf numFmtId="38" fontId="130" fillId="0" borderId="0" applyNumberFormat="0" applyFill="0" applyBorder="0" applyAlignment="0" applyProtection="0"/>
    <xf numFmtId="194" fontId="131" fillId="24" borderId="0" applyNumberFormat="0" applyFont="0" applyAlignment="0"/>
    <xf numFmtId="0" fontId="132" fillId="31" borderId="0" applyNumberFormat="0" applyBorder="0" applyProtection="0">
      <alignment horizontal="left" vertical="center"/>
    </xf>
    <xf numFmtId="0" fontId="133" fillId="1" borderId="0" applyNumberFormat="0" applyBorder="0" applyProtection="0">
      <alignment horizontal="left" vertical="center"/>
    </xf>
    <xf numFmtId="0" fontId="134" fillId="0" borderId="0" applyFill="0" applyBorder="0" applyProtection="0">
      <alignment horizontal="right"/>
    </xf>
    <xf numFmtId="280" fontId="10" fillId="0" borderId="0" applyNumberFormat="0" applyFill="0" applyBorder="0" applyAlignment="0" applyProtection="0">
      <alignment horizontal="left"/>
    </xf>
    <xf numFmtId="0" fontId="134" fillId="0" borderId="0" applyFill="0" applyBorder="0" applyProtection="0">
      <alignment horizontal="right"/>
    </xf>
    <xf numFmtId="0" fontId="20" fillId="0" borderId="29" applyNumberFormat="0" applyAlignment="0" applyProtection="0">
      <alignment horizontal="left" vertical="center"/>
    </xf>
    <xf numFmtId="0" fontId="20" fillId="0" borderId="15">
      <alignment horizontal="left" vertical="center"/>
    </xf>
    <xf numFmtId="170" fontId="135" fillId="0" borderId="0"/>
    <xf numFmtId="170" fontId="136" fillId="0" borderId="0" applyNumberFormat="0" applyFill="0" applyBorder="0" applyAlignment="0" applyProtection="0"/>
    <xf numFmtId="0" fontId="20" fillId="0" borderId="0"/>
    <xf numFmtId="170" fontId="134" fillId="0" borderId="0" applyNumberFormat="0" applyFill="0" applyBorder="0" applyAlignment="0" applyProtection="0"/>
    <xf numFmtId="170" fontId="134" fillId="0" borderId="0" applyNumberFormat="0" applyFill="0" applyBorder="0" applyAlignment="0" applyProtection="0"/>
    <xf numFmtId="0" fontId="10" fillId="0" borderId="0" applyNumberFormat="0" applyFill="0" applyBorder="0" applyProtection="0">
      <alignment wrapText="1"/>
    </xf>
    <xf numFmtId="0" fontId="10" fillId="0" borderId="0" applyNumberFormat="0" applyFill="0" applyBorder="0" applyProtection="0">
      <alignment horizontal="justify" vertical="top" wrapText="1"/>
    </xf>
    <xf numFmtId="0" fontId="19" fillId="0" borderId="30" applyNumberFormat="0" applyFont="0" applyFill="0" applyAlignment="0" applyProtection="0"/>
    <xf numFmtId="0" fontId="137" fillId="0" borderId="0">
      <alignment wrapText="1"/>
    </xf>
    <xf numFmtId="191" fontId="67" fillId="0" borderId="0" applyFont="0" applyFill="0" applyBorder="0" applyAlignment="0" applyProtection="0"/>
    <xf numFmtId="281" fontId="138" fillId="0" borderId="0" applyNumberFormat="0" applyFill="0" applyBorder="0" applyAlignment="0"/>
    <xf numFmtId="37" fontId="139" fillId="0" borderId="9" applyNumberFormat="0" applyFill="0" applyAlignment="0" applyProtection="0"/>
    <xf numFmtId="37" fontId="139" fillId="0" borderId="9" applyNumberFormat="0" applyFill="0" applyAlignment="0" applyProtection="0"/>
    <xf numFmtId="37" fontId="139" fillId="0" borderId="9" applyNumberFormat="0" applyFill="0" applyAlignment="0" applyProtection="0"/>
    <xf numFmtId="9" fontId="10" fillId="32" borderId="0"/>
    <xf numFmtId="223" fontId="70" fillId="0" borderId="0" applyFont="0" applyFill="0" applyBorder="0" applyAlignment="0" applyProtection="0"/>
    <xf numFmtId="165" fontId="140" fillId="0" borderId="31" applyNumberFormat="0" applyFill="0" applyBorder="0" applyAlignment="0">
      <alignment horizontal="right"/>
      <protection locked="0"/>
    </xf>
    <xf numFmtId="281" fontId="66" fillId="0" borderId="0" applyNumberFormat="0" applyFill="0" applyBorder="0" applyAlignment="0">
      <protection locked="0"/>
    </xf>
    <xf numFmtId="281" fontId="66" fillId="0" borderId="0" applyNumberFormat="0" applyFill="0" applyBorder="0" applyAlignment="0">
      <protection locked="0"/>
    </xf>
    <xf numFmtId="10" fontId="39" fillId="30" borderId="8" applyNumberFormat="0" applyBorder="0" applyAlignment="0" applyProtection="0"/>
    <xf numFmtId="10" fontId="39" fillId="30" borderId="8" applyNumberFormat="0" applyBorder="0" applyAlignment="0" applyProtection="0"/>
    <xf numFmtId="0" fontId="141" fillId="9" borderId="32" applyNumberFormat="0" applyAlignment="0" applyProtection="0"/>
    <xf numFmtId="0" fontId="27" fillId="33" borderId="0" applyNumberFormat="0" applyFont="0" applyBorder="0" applyAlignment="0" applyProtection="0"/>
    <xf numFmtId="0" fontId="60" fillId="0" borderId="0" applyNumberFormat="0" applyFill="0" applyBorder="0" applyAlignment="0">
      <protection locked="0"/>
    </xf>
    <xf numFmtId="282" fontId="84" fillId="0" borderId="0"/>
    <xf numFmtId="0" fontId="27" fillId="0" borderId="0" applyFill="0" applyBorder="0">
      <alignment horizontal="right"/>
      <protection locked="0"/>
    </xf>
    <xf numFmtId="0" fontId="142" fillId="0" borderId="0"/>
    <xf numFmtId="38" fontId="143" fillId="0" borderId="0" applyNumberFormat="0" applyBorder="0" applyProtection="0">
      <alignment horizontal="left"/>
    </xf>
    <xf numFmtId="283" fontId="27" fillId="0" borderId="0" applyFill="0" applyBorder="0">
      <alignment horizontal="right"/>
      <protection locked="0"/>
    </xf>
    <xf numFmtId="220" fontId="27" fillId="0" borderId="0" applyFill="0" applyBorder="0">
      <alignment horizontal="right"/>
      <protection locked="0"/>
    </xf>
    <xf numFmtId="284" fontId="10" fillId="0" borderId="0" applyNumberFormat="0" applyFill="0" applyBorder="0" applyAlignment="0" applyProtection="0"/>
    <xf numFmtId="0" fontId="144" fillId="0" borderId="0" applyFill="0" applyBorder="0"/>
    <xf numFmtId="0" fontId="35" fillId="34" borderId="33">
      <alignment horizontal="left" vertical="center" wrapText="1"/>
    </xf>
    <xf numFmtId="0" fontId="35" fillId="34" borderId="33">
      <alignment horizontal="left" vertical="center" wrapText="1"/>
    </xf>
    <xf numFmtId="0" fontId="145" fillId="0" borderId="0" applyNumberFormat="0" applyFill="0" applyBorder="0" applyProtection="0">
      <alignment horizontal="left" vertical="center"/>
    </xf>
    <xf numFmtId="3" fontId="146" fillId="0" borderId="20" applyFill="0" applyBorder="0">
      <protection locked="0"/>
    </xf>
    <xf numFmtId="0" fontId="147" fillId="0" borderId="0"/>
    <xf numFmtId="38" fontId="148" fillId="0" borderId="0" applyNumberFormat="0" applyFill="0" applyBorder="0" applyAlignment="0" applyProtection="0"/>
    <xf numFmtId="3" fontId="149" fillId="0" borderId="0" applyFill="0" applyBorder="0" applyAlignment="0" applyProtection="0"/>
    <xf numFmtId="194" fontId="150" fillId="0" borderId="0" applyNumberFormat="0" applyFont="0" applyFill="0" applyBorder="0" applyAlignment="0">
      <protection hidden="1"/>
    </xf>
    <xf numFmtId="285" fontId="37" fillId="0" borderId="0">
      <alignment horizontal="right"/>
    </xf>
    <xf numFmtId="286" fontId="37" fillId="0" borderId="0">
      <alignment horizontal="right"/>
    </xf>
    <xf numFmtId="189" fontId="10" fillId="0" borderId="0">
      <alignment horizontal="right"/>
    </xf>
    <xf numFmtId="0" fontId="138" fillId="0" borderId="9">
      <alignment horizontal="left"/>
      <protection locked="0"/>
    </xf>
    <xf numFmtId="0" fontId="138" fillId="0" borderId="9">
      <alignment horizontal="left"/>
      <protection locked="0"/>
    </xf>
    <xf numFmtId="0" fontId="138" fillId="0" borderId="9">
      <alignment horizontal="left"/>
      <protection locked="0"/>
    </xf>
    <xf numFmtId="287" fontId="92" fillId="0" borderId="0"/>
    <xf numFmtId="0" fontId="23" fillId="0" borderId="0"/>
    <xf numFmtId="0" fontId="23" fillId="0" borderId="0">
      <alignment horizontal="left"/>
    </xf>
    <xf numFmtId="288" fontId="151" fillId="35" borderId="0" applyBorder="0" applyAlignment="0">
      <alignment horizontal="right"/>
    </xf>
    <xf numFmtId="0" fontId="10" fillId="35" borderId="0" applyBorder="0" applyAlignment="0">
      <alignment horizontal="right"/>
    </xf>
    <xf numFmtId="189" fontId="152" fillId="0" borderId="0" applyFill="0" applyBorder="0" applyAlignment="0" applyProtection="0"/>
    <xf numFmtId="277" fontId="152" fillId="0" borderId="0" applyFill="0" applyBorder="0" applyAlignment="0" applyProtection="0"/>
    <xf numFmtId="38" fontId="153" fillId="0" borderId="0" applyNumberFormat="0" applyFill="0" applyBorder="0">
      <alignment horizontal="left" vertical="center"/>
    </xf>
    <xf numFmtId="0" fontId="119" fillId="0" borderId="0"/>
    <xf numFmtId="0" fontId="154" fillId="0" borderId="0"/>
    <xf numFmtId="0" fontId="155" fillId="0" borderId="0"/>
    <xf numFmtId="0" fontId="77" fillId="7" borderId="1" applyNumberFormat="0" applyFont="0"/>
    <xf numFmtId="0" fontId="77" fillId="7" borderId="1" applyNumberFormat="0" applyFont="0"/>
    <xf numFmtId="0" fontId="156" fillId="0" borderId="0" applyBorder="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38" fontId="27" fillId="0" borderId="0" applyFont="0" applyFill="0" applyBorder="0" applyAlignment="0" applyProtection="0"/>
    <xf numFmtId="40" fontId="27" fillId="0" borderId="0" applyFont="0" applyFill="0" applyBorder="0" applyAlignment="0" applyProtection="0"/>
    <xf numFmtId="289" fontId="10" fillId="0" borderId="0" applyFont="0" applyFill="0" applyBorder="0" applyAlignment="0" applyProtection="0"/>
    <xf numFmtId="290" fontId="10" fillId="0" borderId="0" applyFont="0" applyFill="0" applyBorder="0" applyAlignment="0" applyProtection="0"/>
    <xf numFmtId="291" fontId="10" fillId="0" borderId="4" applyFont="0" applyFill="0" applyBorder="0"/>
    <xf numFmtId="291" fontId="10" fillId="0" borderId="4" applyFont="0" applyFill="0" applyBorder="0"/>
    <xf numFmtId="164" fontId="157" fillId="0" borderId="0" applyFill="0" applyBorder="0">
      <alignment vertical="center"/>
    </xf>
    <xf numFmtId="292" fontId="37" fillId="0" borderId="0">
      <alignment horizontal="right"/>
    </xf>
    <xf numFmtId="293" fontId="10" fillId="0" borderId="0" applyFont="0" applyFill="0" applyBorder="0" applyAlignment="0" applyProtection="0"/>
    <xf numFmtId="294" fontId="10" fillId="0" borderId="0" applyFont="0" applyFill="0" applyBorder="0" applyAlignment="0" applyProtection="0"/>
    <xf numFmtId="6" fontId="27" fillId="0" borderId="0" applyFont="0" applyFill="0" applyBorder="0" applyAlignment="0" applyProtection="0"/>
    <xf numFmtId="8" fontId="27" fillId="0" borderId="0" applyFont="0" applyFill="0" applyBorder="0" applyAlignment="0" applyProtection="0"/>
    <xf numFmtId="295" fontId="10" fillId="0" borderId="0" applyFont="0" applyFill="0" applyBorder="0" applyAlignment="0" applyProtection="0"/>
    <xf numFmtId="296" fontId="10" fillId="0" borderId="0" applyFont="0" applyFill="0" applyBorder="0" applyAlignment="0" applyProtection="0"/>
    <xf numFmtId="0" fontId="158" fillId="36" borderId="0"/>
    <xf numFmtId="297" fontId="39" fillId="30" borderId="0">
      <alignment horizontal="center"/>
    </xf>
    <xf numFmtId="297" fontId="39" fillId="30" borderId="0">
      <alignment horizontal="center"/>
    </xf>
    <xf numFmtId="238" fontId="159" fillId="0" borderId="0" applyFont="0" applyFill="0" applyBorder="0" applyAlignment="0" applyProtection="0"/>
    <xf numFmtId="165" fontId="111" fillId="0" borderId="0" applyFont="0" applyFill="0" applyBorder="0" applyAlignment="0" applyProtection="0"/>
    <xf numFmtId="165" fontId="111" fillId="0" borderId="0" applyFont="0" applyFill="0" applyBorder="0" applyAlignment="0" applyProtection="0"/>
    <xf numFmtId="298" fontId="70" fillId="0" borderId="0" applyFont="0" applyFill="0" applyBorder="0" applyAlignment="0" applyProtection="0"/>
    <xf numFmtId="299" fontId="111" fillId="0" borderId="0" applyFont="0" applyFill="0" applyBorder="0" applyAlignment="0" applyProtection="0"/>
    <xf numFmtId="300" fontId="10" fillId="0" borderId="0" applyFill="0" applyBorder="0"/>
    <xf numFmtId="194" fontId="160" fillId="0" borderId="1"/>
    <xf numFmtId="0" fontId="161" fillId="9" borderId="0" applyNumberFormat="0" applyBorder="0" applyAlignment="0" applyProtection="0"/>
    <xf numFmtId="0" fontId="162" fillId="37" borderId="0"/>
    <xf numFmtId="0" fontId="76" fillId="38" borderId="0"/>
    <xf numFmtId="0" fontId="163" fillId="0" borderId="0"/>
    <xf numFmtId="37" fontId="10" fillId="0" borderId="0"/>
    <xf numFmtId="37" fontId="32" fillId="0" borderId="0"/>
    <xf numFmtId="0" fontId="80" fillId="0" borderId="0" applyNumberFormat="0" applyFill="0" applyAlignment="0" applyProtection="0"/>
    <xf numFmtId="37" fontId="164" fillId="0" borderId="0"/>
    <xf numFmtId="259" fontId="92" fillId="0" borderId="0"/>
    <xf numFmtId="259" fontId="93" fillId="0" borderId="0"/>
    <xf numFmtId="301" fontId="34" fillId="0" borderId="0"/>
    <xf numFmtId="203" fontId="165" fillId="0" borderId="0"/>
    <xf numFmtId="0" fontId="10" fillId="0" borderId="0"/>
    <xf numFmtId="0" fontId="166" fillId="0" borderId="0"/>
    <xf numFmtId="0" fontId="1" fillId="0" borderId="0"/>
    <xf numFmtId="0" fontId="10" fillId="0" borderId="0"/>
    <xf numFmtId="0" fontId="10" fillId="0" borderId="0"/>
    <xf numFmtId="0" fontId="34" fillId="0" borderId="0"/>
    <xf numFmtId="0" fontId="167" fillId="0" borderId="0"/>
    <xf numFmtId="0" fontId="27" fillId="0" borderId="0"/>
    <xf numFmtId="0" fontId="1" fillId="0" borderId="0"/>
    <xf numFmtId="0" fontId="1" fillId="0" borderId="0"/>
    <xf numFmtId="0" fontId="22" fillId="0" borderId="0"/>
    <xf numFmtId="0" fontId="10" fillId="0" borderId="0"/>
    <xf numFmtId="0" fontId="10" fillId="0" borderId="0"/>
    <xf numFmtId="0" fontId="10" fillId="0" borderId="0"/>
    <xf numFmtId="0" fontId="10" fillId="0" borderId="0"/>
    <xf numFmtId="0" fontId="1" fillId="0" borderId="0"/>
    <xf numFmtId="0" fontId="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 fillId="0" borderId="0"/>
    <xf numFmtId="0" fontId="62" fillId="0" borderId="0"/>
    <xf numFmtId="2" fontId="27" fillId="0" borderId="0" applyBorder="0" applyProtection="0"/>
    <xf numFmtId="1" fontId="111" fillId="0" borderId="0" applyFont="0" applyFill="0" applyBorder="0" applyAlignment="0" applyProtection="0">
      <alignment horizontal="center"/>
    </xf>
    <xf numFmtId="1" fontId="111" fillId="0" borderId="0" applyFont="0" applyFill="0" applyBorder="0" applyAlignment="0" applyProtection="0">
      <alignment horizontal="center"/>
    </xf>
    <xf numFmtId="2" fontId="39" fillId="0" borderId="0" applyAlignment="0"/>
    <xf numFmtId="3" fontId="39" fillId="0" borderId="0">
      <protection locked="0"/>
    </xf>
    <xf numFmtId="3" fontId="39" fillId="0" borderId="0">
      <protection locked="0"/>
    </xf>
    <xf numFmtId="38" fontId="92" fillId="0" borderId="0"/>
    <xf numFmtId="170" fontId="168" fillId="0" borderId="0" applyFill="0" applyBorder="0" applyAlignment="0">
      <protection locked="0"/>
    </xf>
    <xf numFmtId="4" fontId="168" fillId="0" borderId="0" applyAlignment="0">
      <alignment horizontal="left"/>
      <protection locked="0"/>
    </xf>
    <xf numFmtId="0" fontId="111" fillId="0" borderId="0"/>
    <xf numFmtId="0" fontId="10" fillId="9" borderId="34" applyNumberFormat="0" applyFont="0" applyAlignment="0" applyProtection="0"/>
    <xf numFmtId="0" fontId="10" fillId="9" borderId="34" applyNumberFormat="0" applyFont="0" applyAlignment="0" applyProtection="0"/>
    <xf numFmtId="0" fontId="10" fillId="9" borderId="34" applyNumberFormat="0" applyFont="0" applyAlignment="0" applyProtection="0"/>
    <xf numFmtId="0" fontId="10" fillId="9" borderId="34" applyNumberFormat="0" applyFont="0" applyAlignment="0" applyProtection="0"/>
    <xf numFmtId="0" fontId="10" fillId="0" borderId="9"/>
    <xf numFmtId="0" fontId="10" fillId="0" borderId="9"/>
    <xf numFmtId="0" fontId="10" fillId="0" borderId="9"/>
    <xf numFmtId="302" fontId="169" fillId="0" borderId="0">
      <alignment horizontal="right"/>
    </xf>
    <xf numFmtId="38" fontId="170" fillId="0" borderId="0"/>
    <xf numFmtId="14" fontId="39" fillId="0" borderId="0" applyFont="0" applyFill="0" applyBorder="0" applyAlignment="0" applyProtection="0"/>
    <xf numFmtId="303" fontId="160" fillId="0" borderId="0"/>
    <xf numFmtId="304" fontId="80" fillId="0" borderId="0" applyFill="0" applyBorder="0" applyAlignment="0" applyProtection="0"/>
    <xf numFmtId="0" fontId="39" fillId="0" borderId="0" applyNumberFormat="0" applyFill="0" applyBorder="0" applyAlignment="0" applyProtection="0"/>
    <xf numFmtId="0" fontId="64" fillId="0" borderId="0" applyNumberFormat="0" applyFill="0" applyBorder="0" applyAlignment="0" applyProtection="0"/>
    <xf numFmtId="284" fontId="10" fillId="0" borderId="0" applyNumberFormat="0" applyFill="0" applyBorder="0" applyAlignment="0" applyProtection="0"/>
    <xf numFmtId="0" fontId="64" fillId="0" borderId="0" applyNumberFormat="0" applyFill="0" applyBorder="0" applyAlignment="0" applyProtection="0"/>
    <xf numFmtId="0" fontId="153" fillId="0" borderId="0" applyNumberFormat="0" applyFill="0" applyBorder="0" applyAlignment="0" applyProtection="0"/>
    <xf numFmtId="0" fontId="39" fillId="0" borderId="0" applyNumberFormat="0" applyFill="0" applyBorder="0" applyAlignment="0" applyProtection="0"/>
    <xf numFmtId="259" fontId="171" fillId="0" borderId="9" applyBorder="0"/>
    <xf numFmtId="259" fontId="171" fillId="0" borderId="9" applyBorder="0"/>
    <xf numFmtId="259" fontId="171" fillId="0" borderId="9" applyBorder="0"/>
    <xf numFmtId="259" fontId="172" fillId="0" borderId="9" applyBorder="0"/>
    <xf numFmtId="259" fontId="172" fillId="0" borderId="9" applyBorder="0"/>
    <xf numFmtId="259" fontId="172" fillId="0" borderId="9" applyBorder="0"/>
    <xf numFmtId="170" fontId="39" fillId="0" borderId="0" applyAlignment="0"/>
    <xf numFmtId="43" fontId="34" fillId="0" borderId="0" applyFont="0" applyFill="0" applyBorder="0" applyAlignment="0" applyProtection="0"/>
    <xf numFmtId="41" fontId="34" fillId="0" borderId="0" applyFont="0" applyFill="0" applyBorder="0" applyAlignment="0" applyProtection="0"/>
    <xf numFmtId="165" fontId="10" fillId="0" borderId="0"/>
    <xf numFmtId="0" fontId="73" fillId="0" borderId="35">
      <alignment horizontal="left" vertical="center" wrapText="1"/>
    </xf>
    <xf numFmtId="0" fontId="173" fillId="0" borderId="0">
      <alignment horizontal="left" vertical="top"/>
      <protection locked="0"/>
    </xf>
    <xf numFmtId="0" fontId="174" fillId="0" borderId="0">
      <alignment horizontal="left"/>
    </xf>
    <xf numFmtId="305" fontId="27" fillId="0" borderId="0"/>
    <xf numFmtId="189" fontId="10" fillId="0" borderId="0" applyFont="0" applyFill="0" applyBorder="0" applyAlignment="0" applyProtection="0"/>
    <xf numFmtId="0" fontId="68" fillId="0" borderId="0">
      <alignment vertical="center"/>
    </xf>
    <xf numFmtId="306" fontId="70" fillId="0" borderId="0"/>
    <xf numFmtId="306" fontId="70" fillId="0" borderId="0"/>
    <xf numFmtId="189" fontId="10" fillId="0" borderId="0" applyFont="0" applyFill="0" applyBorder="0" applyAlignment="0" applyProtection="0"/>
    <xf numFmtId="189" fontId="10" fillId="0" borderId="0" applyFont="0" applyFill="0" applyBorder="0" applyAlignment="0" applyProtection="0"/>
    <xf numFmtId="241" fontId="10" fillId="0" borderId="0" applyFill="0">
      <alignment horizontal="center" vertical="center"/>
    </xf>
    <xf numFmtId="0" fontId="175" fillId="0" borderId="0" applyNumberFormat="0" applyFill="0" applyBorder="0">
      <alignment horizontal="left"/>
    </xf>
    <xf numFmtId="1" fontId="176" fillId="0" borderId="0" applyProtection="0">
      <alignment horizontal="right" vertical="center"/>
    </xf>
    <xf numFmtId="165" fontId="10" fillId="0" borderId="0"/>
    <xf numFmtId="0" fontId="155" fillId="0" borderId="0"/>
    <xf numFmtId="170" fontId="39" fillId="39" borderId="0" applyNumberFormat="0" applyFont="0" applyBorder="0" applyAlignment="0" applyProtection="0"/>
    <xf numFmtId="165" fontId="10" fillId="0" borderId="0" applyFill="0"/>
    <xf numFmtId="0" fontId="10" fillId="0" borderId="0"/>
    <xf numFmtId="0" fontId="177" fillId="0" borderId="36" applyNumberFormat="0" applyAlignment="0" applyProtection="0"/>
    <xf numFmtId="0" fontId="34" fillId="24" borderId="0" applyNumberFormat="0" applyFont="0" applyBorder="0" applyAlignment="0" applyProtection="0"/>
    <xf numFmtId="0" fontId="34" fillId="24" borderId="0" applyNumberFormat="0" applyFont="0" applyBorder="0" applyAlignment="0" applyProtection="0"/>
    <xf numFmtId="0" fontId="39" fillId="40" borderId="9" applyNumberFormat="0" applyFont="0" applyBorder="0" applyAlignment="0" applyProtection="0">
      <alignment horizontal="center"/>
    </xf>
    <xf numFmtId="0" fontId="39" fillId="40" borderId="9" applyNumberFormat="0" applyFont="0" applyBorder="0" applyAlignment="0" applyProtection="0">
      <alignment horizontal="center"/>
    </xf>
    <xf numFmtId="0" fontId="39" fillId="40" borderId="9" applyNumberFormat="0" applyFont="0" applyBorder="0" applyAlignment="0" applyProtection="0">
      <alignment horizontal="center"/>
    </xf>
    <xf numFmtId="0" fontId="39" fillId="40" borderId="9" applyNumberFormat="0" applyFont="0" applyBorder="0" applyAlignment="0" applyProtection="0">
      <alignment horizontal="center"/>
    </xf>
    <xf numFmtId="0" fontId="39" fillId="40" borderId="9" applyNumberFormat="0" applyFont="0" applyBorder="0" applyAlignment="0" applyProtection="0">
      <alignment horizontal="center"/>
    </xf>
    <xf numFmtId="0" fontId="39" fillId="40" borderId="9" applyNumberFormat="0" applyFont="0" applyBorder="0" applyAlignment="0" applyProtection="0">
      <alignment horizontal="center"/>
    </xf>
    <xf numFmtId="0" fontId="39" fillId="6" borderId="9" applyNumberFormat="0" applyFont="0" applyBorder="0" applyAlignment="0" applyProtection="0">
      <alignment horizontal="center"/>
    </xf>
    <xf numFmtId="0" fontId="39" fillId="6" borderId="9" applyNumberFormat="0" applyFont="0" applyBorder="0" applyAlignment="0" applyProtection="0">
      <alignment horizontal="center"/>
    </xf>
    <xf numFmtId="0" fontId="39" fillId="6" borderId="9" applyNumberFormat="0" applyFont="0" applyBorder="0" applyAlignment="0" applyProtection="0">
      <alignment horizontal="center"/>
    </xf>
    <xf numFmtId="0" fontId="39" fillId="6" borderId="9" applyNumberFormat="0" applyFont="0" applyBorder="0" applyAlignment="0" applyProtection="0">
      <alignment horizontal="center"/>
    </xf>
    <xf numFmtId="0" fontId="39" fillId="6" borderId="9" applyNumberFormat="0" applyFont="0" applyBorder="0" applyAlignment="0" applyProtection="0">
      <alignment horizontal="center"/>
    </xf>
    <xf numFmtId="0" fontId="39" fillId="6" borderId="9" applyNumberFormat="0" applyFont="0" applyBorder="0" applyAlignment="0" applyProtection="0">
      <alignment horizontal="center"/>
    </xf>
    <xf numFmtId="0" fontId="34" fillId="0" borderId="37" applyNumberFormat="0" applyAlignment="0" applyProtection="0"/>
    <xf numFmtId="0" fontId="34" fillId="0" borderId="37"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34" fillId="0" borderId="38" applyNumberFormat="0" applyAlignment="0" applyProtection="0"/>
    <xf numFmtId="0" fontId="177" fillId="0" borderId="39" applyNumberFormat="0" applyAlignment="0" applyProtection="0"/>
    <xf numFmtId="0" fontId="178" fillId="0" borderId="0" applyNumberFormat="0">
      <alignment horizontal="center" vertical="center"/>
    </xf>
    <xf numFmtId="0" fontId="65" fillId="0" borderId="0"/>
    <xf numFmtId="164" fontId="160" fillId="0" borderId="0" applyFont="0" applyFill="0" applyBorder="0"/>
    <xf numFmtId="307" fontId="10" fillId="0" borderId="0" applyFont="0" applyFill="0" applyBorder="0"/>
    <xf numFmtId="307" fontId="10" fillId="0" borderId="0" applyFont="0" applyFill="0" applyBorder="0"/>
    <xf numFmtId="164" fontId="179" fillId="0" borderId="9" applyBorder="0"/>
    <xf numFmtId="164" fontId="179" fillId="0" borderId="9" applyBorder="0"/>
    <xf numFmtId="164" fontId="179" fillId="0" borderId="9" applyBorder="0"/>
    <xf numFmtId="307" fontId="10" fillId="0" borderId="0" applyFill="0" applyBorder="0"/>
    <xf numFmtId="307" fontId="10" fillId="0" borderId="0" applyFill="0" applyBorder="0"/>
    <xf numFmtId="10" fontId="160" fillId="0" borderId="0" applyFont="0" applyFill="0" applyBorder="0"/>
    <xf numFmtId="308" fontId="37" fillId="0" borderId="0"/>
    <xf numFmtId="10" fontId="170" fillId="0" borderId="0"/>
    <xf numFmtId="309" fontId="37" fillId="0" borderId="0"/>
    <xf numFmtId="310" fontId="103" fillId="0" borderId="0">
      <protection hidden="1"/>
    </xf>
    <xf numFmtId="164" fontId="70" fillId="0" borderId="0"/>
    <xf numFmtId="311" fontId="10" fillId="0" borderId="0" applyFont="0" applyFill="0" applyBorder="0" applyAlignment="0" applyProtection="0"/>
    <xf numFmtId="10" fontId="10" fillId="0" borderId="0" applyFont="0" applyFill="0" applyBorder="0" applyAlignment="0" applyProtection="0"/>
    <xf numFmtId="10" fontId="10" fillId="0" borderId="0" applyFont="0" applyFill="0" applyBorder="0" applyAlignment="0" applyProtection="0"/>
    <xf numFmtId="164" fontId="180" fillId="0" borderId="0" applyBorder="0"/>
    <xf numFmtId="9" fontId="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 fillId="0" borderId="0" applyFont="0" applyFill="0" applyBorder="0" applyAlignment="0" applyProtection="0"/>
    <xf numFmtId="9" fontId="39" fillId="0" borderId="0" applyFont="0" applyFill="0" applyBorder="0" applyAlignment="0" applyProtection="0"/>
    <xf numFmtId="9" fontId="10" fillId="0" borderId="0" applyFont="0" applyFill="0" applyBorder="0" applyAlignment="0" applyProtection="0"/>
    <xf numFmtId="9" fontId="22"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312" fontId="181" fillId="35" borderId="0">
      <alignment horizontal="right"/>
    </xf>
    <xf numFmtId="313" fontId="10" fillId="0" borderId="0" applyFont="0" applyFill="0" applyBorder="0" applyAlignment="0" applyProtection="0"/>
    <xf numFmtId="164" fontId="169" fillId="0" borderId="0"/>
    <xf numFmtId="164" fontId="105" fillId="0" borderId="0" applyFont="0" applyFill="0" applyBorder="0" applyAlignment="0" applyProtection="0"/>
    <xf numFmtId="10" fontId="105" fillId="0" borderId="0" applyFont="0" applyFill="0" applyBorder="0" applyAlignment="0" applyProtection="0"/>
    <xf numFmtId="314" fontId="10" fillId="0" borderId="0"/>
    <xf numFmtId="164" fontId="168" fillId="0" borderId="0" applyFill="0" applyBorder="0" applyAlignment="0">
      <protection locked="0"/>
    </xf>
    <xf numFmtId="220" fontId="27" fillId="0" borderId="0" applyFill="0" applyBorder="0">
      <alignment horizontal="right"/>
      <protection locked="0"/>
    </xf>
    <xf numFmtId="240" fontId="27" fillId="0" borderId="0" applyFill="0" applyBorder="0">
      <alignment horizontal="right"/>
      <protection locked="0"/>
    </xf>
    <xf numFmtId="315" fontId="70" fillId="0" borderId="0" applyFont="0" applyFill="0" applyBorder="0" applyAlignment="0" applyProtection="0"/>
    <xf numFmtId="8" fontId="70" fillId="0" borderId="0" applyFont="0" applyFill="0" applyBorder="0" applyAlignment="0" applyProtection="0"/>
    <xf numFmtId="223" fontId="70" fillId="0" borderId="0" applyFont="0" applyFill="0" applyBorder="0" applyAlignment="0" applyProtection="0">
      <protection locked="0"/>
    </xf>
    <xf numFmtId="9" fontId="27" fillId="0" borderId="0" applyFont="0" applyFill="0" applyBorder="0" applyAlignment="0" applyProtection="0"/>
    <xf numFmtId="194" fontId="160" fillId="0" borderId="0"/>
    <xf numFmtId="316" fontId="10" fillId="0" borderId="0" applyFont="0" applyFill="0" applyBorder="0"/>
    <xf numFmtId="316" fontId="10" fillId="0" borderId="0" applyFont="0" applyFill="0" applyBorder="0"/>
    <xf numFmtId="164" fontId="27" fillId="0" borderId="0"/>
    <xf numFmtId="223" fontId="70" fillId="0" borderId="0" applyFill="0" applyBorder="0" applyAlignment="0" applyProtection="0"/>
    <xf numFmtId="38" fontId="70" fillId="0" borderId="0" applyFont="0" applyFill="0" applyBorder="0" applyAlignment="0" applyProtection="0"/>
    <xf numFmtId="0" fontId="26" fillId="0" borderId="0"/>
    <xf numFmtId="317" fontId="37" fillId="0" borderId="0">
      <alignment horizontal="right"/>
    </xf>
    <xf numFmtId="0" fontId="76" fillId="41" borderId="0" applyNumberFormat="0" applyBorder="0" applyAlignment="0" applyProtection="0"/>
    <xf numFmtId="0" fontId="76" fillId="41" borderId="0" applyNumberFormat="0" applyBorder="0" applyAlignment="0" applyProtection="0"/>
    <xf numFmtId="0" fontId="175" fillId="0" borderId="0"/>
    <xf numFmtId="0" fontId="175" fillId="0" borderId="30">
      <alignment horizontal="right"/>
    </xf>
    <xf numFmtId="0" fontId="182" fillId="0" borderId="0" applyNumberFormat="0" applyAlignment="0"/>
    <xf numFmtId="1" fontId="183" fillId="7" borderId="0">
      <alignment horizontal="center"/>
    </xf>
    <xf numFmtId="10" fontId="27" fillId="0" borderId="0" applyFont="0" applyFill="0" applyBorder="0" applyAlignment="0" applyProtection="0"/>
    <xf numFmtId="0" fontId="27" fillId="0" borderId="0" applyNumberFormat="0" applyFont="0" applyFill="0" applyBorder="0" applyAlignment="0" applyProtection="0">
      <alignment horizontal="left"/>
    </xf>
    <xf numFmtId="15" fontId="27" fillId="0" borderId="0" applyFont="0" applyFill="0" applyBorder="0" applyAlignment="0" applyProtection="0"/>
    <xf numFmtId="4" fontId="27" fillId="0" borderId="0" applyFont="0" applyFill="0" applyBorder="0" applyAlignment="0" applyProtection="0"/>
    <xf numFmtId="0" fontId="35" fillId="0" borderId="40">
      <alignment horizontal="center"/>
    </xf>
    <xf numFmtId="0" fontId="35" fillId="0" borderId="40">
      <alignment horizontal="center"/>
    </xf>
    <xf numFmtId="0" fontId="35" fillId="0" borderId="40">
      <alignment horizontal="center"/>
    </xf>
    <xf numFmtId="0" fontId="35" fillId="0" borderId="40">
      <alignment horizontal="center"/>
    </xf>
    <xf numFmtId="3" fontId="27" fillId="0" borderId="0" applyFont="0" applyFill="0" applyBorder="0" applyAlignment="0" applyProtection="0"/>
    <xf numFmtId="0" fontId="27" fillId="21" borderId="0" applyNumberFormat="0" applyFont="0" applyBorder="0" applyAlignment="0" applyProtection="0"/>
    <xf numFmtId="170" fontId="10" fillId="0" borderId="0" applyFill="0" applyBorder="0" applyAlignment="0" applyProtection="0"/>
    <xf numFmtId="2" fontId="156" fillId="0" borderId="0" applyNumberFormat="0" applyFill="0" applyBorder="0" applyAlignment="0" applyProtection="0"/>
    <xf numFmtId="318" fontId="37" fillId="7" borderId="0"/>
    <xf numFmtId="318" fontId="37" fillId="7" borderId="0"/>
    <xf numFmtId="0" fontId="184" fillId="0" borderId="0" applyNumberFormat="0" applyFill="0" applyBorder="0" applyAlignment="0" applyProtection="0"/>
    <xf numFmtId="194" fontId="34" fillId="0" borderId="0">
      <alignment vertical="top"/>
    </xf>
    <xf numFmtId="0" fontId="185" fillId="6" borderId="0"/>
    <xf numFmtId="319" fontId="39" fillId="7" borderId="0" applyNumberFormat="0" applyAlignment="0">
      <alignment horizontal="center"/>
    </xf>
    <xf numFmtId="320" fontId="37" fillId="7" borderId="4">
      <alignment horizontal="right"/>
    </xf>
    <xf numFmtId="0" fontId="186" fillId="0" borderId="41"/>
    <xf numFmtId="2" fontId="170" fillId="0" borderId="0"/>
    <xf numFmtId="321" fontId="27" fillId="0" borderId="0">
      <alignment horizontal="right"/>
      <protection locked="0"/>
    </xf>
    <xf numFmtId="2" fontId="187" fillId="0" borderId="0" applyNumberFormat="0" applyFill="0" applyBorder="0" applyAlignment="0" applyProtection="0"/>
    <xf numFmtId="322" fontId="92" fillId="0" borderId="0"/>
    <xf numFmtId="0" fontId="188" fillId="0" borderId="9" applyNumberFormat="0" applyFill="0" applyBorder="0" applyAlignment="0" applyProtection="0">
      <protection hidden="1"/>
    </xf>
    <xf numFmtId="0" fontId="188" fillId="0" borderId="9" applyNumberFormat="0" applyFill="0" applyBorder="0" applyAlignment="0" applyProtection="0">
      <protection hidden="1"/>
    </xf>
    <xf numFmtId="0" fontId="188" fillId="0" borderId="9" applyNumberFormat="0" applyFill="0" applyBorder="0" applyAlignment="0" applyProtection="0">
      <protection hidden="1"/>
    </xf>
    <xf numFmtId="223" fontId="83" fillId="0" borderId="0" applyFont="0" applyFill="0" applyBorder="0" applyAlignment="0" applyProtection="0"/>
    <xf numFmtId="0" fontId="189" fillId="0" borderId="0"/>
    <xf numFmtId="194" fontId="147" fillId="0" borderId="29" applyNumberFormat="0" applyAlignment="0" applyProtection="0">
      <alignment horizontal="right" vertical="center"/>
    </xf>
    <xf numFmtId="165" fontId="27" fillId="42" borderId="10" applyNumberFormat="0" applyFont="0" applyBorder="0" applyAlignment="0" applyProtection="0">
      <alignment horizontal="center"/>
    </xf>
    <xf numFmtId="0" fontId="73" fillId="0" borderId="0">
      <alignment horizontal="left" vertical="center" wrapText="1"/>
    </xf>
    <xf numFmtId="0" fontId="145" fillId="0" borderId="0" applyNumberFormat="0" applyFill="0" applyBorder="0" applyProtection="0">
      <alignment horizontal="right" vertical="center"/>
    </xf>
    <xf numFmtId="0" fontId="123" fillId="0" borderId="0" applyNumberFormat="0" applyFill="0" applyBorder="0" applyAlignment="0" applyProtection="0"/>
    <xf numFmtId="0" fontId="123" fillId="0" borderId="0" applyNumberFormat="0" applyFill="0" applyBorder="0" applyAlignment="0" applyProtection="0"/>
    <xf numFmtId="9" fontId="190" fillId="0" borderId="0" applyNumberFormat="0" applyFont="0" applyFill="0" applyBorder="0" applyAlignment="0" applyProtection="0"/>
    <xf numFmtId="9" fontId="190" fillId="0" borderId="0" applyNumberFormat="0" applyFont="0" applyFill="0" applyBorder="0" applyAlignment="0" applyProtection="0"/>
    <xf numFmtId="0" fontId="134" fillId="0" borderId="42" applyNumberFormat="0" applyFont="0" applyFill="0" applyBorder="0" applyAlignment="0" applyProtection="0">
      <alignment vertical="center"/>
    </xf>
    <xf numFmtId="0" fontId="134" fillId="0" borderId="42" applyNumberFormat="0" applyFont="0" applyFill="0" applyBorder="0" applyAlignment="0" applyProtection="0">
      <alignment vertical="center"/>
    </xf>
    <xf numFmtId="0" fontId="10" fillId="25" borderId="0" applyNumberFormat="0" applyFont="0" applyBorder="0" applyAlignment="0" applyProtection="0"/>
    <xf numFmtId="0" fontId="20" fillId="0" borderId="0" applyFill="0" applyBorder="0" applyAlignment="0" applyProtection="0"/>
    <xf numFmtId="0" fontId="20" fillId="0" borderId="0" applyFill="0" applyBorder="0" applyAlignment="0" applyProtection="0"/>
    <xf numFmtId="1" fontId="21" fillId="0" borderId="0" applyNumberFormat="0" applyFill="0" applyBorder="0" applyAlignment="0" applyProtection="0"/>
    <xf numFmtId="37" fontId="160" fillId="1" borderId="0">
      <alignment horizontal="right"/>
    </xf>
    <xf numFmtId="194" fontId="36" fillId="0" borderId="0"/>
    <xf numFmtId="0" fontId="36" fillId="0" borderId="0"/>
    <xf numFmtId="0" fontId="36" fillId="0" borderId="0"/>
    <xf numFmtId="0" fontId="36" fillId="0" borderId="0"/>
    <xf numFmtId="0" fontId="36" fillId="0" borderId="0"/>
    <xf numFmtId="0" fontId="36" fillId="0" borderId="0"/>
    <xf numFmtId="0" fontId="36" fillId="0" borderId="14">
      <alignment horizontal="centerContinuous"/>
    </xf>
    <xf numFmtId="0" fontId="36" fillId="0" borderId="14">
      <alignment horizontal="centerContinuous"/>
    </xf>
    <xf numFmtId="0" fontId="36" fillId="0" borderId="14">
      <alignment horizontal="centerContinuous"/>
    </xf>
    <xf numFmtId="0" fontId="36" fillId="0" borderId="14">
      <alignment horizontal="centerContinuous"/>
    </xf>
    <xf numFmtId="0" fontId="36" fillId="0" borderId="14">
      <alignment horizontal="centerContinuous"/>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0" fontId="191" fillId="0" borderId="43">
      <alignment vertical="center"/>
    </xf>
    <xf numFmtId="323" fontId="192" fillId="0" borderId="0" applyFill="0" applyBorder="0">
      <alignment horizontal="right"/>
      <protection hidden="1"/>
    </xf>
    <xf numFmtId="0" fontId="10" fillId="0" borderId="0" applyFill="0" applyBorder="0">
      <alignment horizontal="right"/>
      <protection hidden="1"/>
    </xf>
    <xf numFmtId="0" fontId="193" fillId="43" borderId="0"/>
    <xf numFmtId="0" fontId="194" fillId="23" borderId="8">
      <alignment horizontal="center" vertical="center" wrapText="1"/>
      <protection hidden="1"/>
    </xf>
    <xf numFmtId="0" fontId="10" fillId="23" borderId="8">
      <alignment horizontal="center" vertical="center" wrapText="1"/>
      <protection hidden="1"/>
    </xf>
    <xf numFmtId="1" fontId="26" fillId="44" borderId="0" applyNumberFormat="0" applyFont="0" applyBorder="0" applyAlignment="0">
      <alignment horizontal="left"/>
    </xf>
    <xf numFmtId="324" fontId="34" fillId="0" borderId="0"/>
    <xf numFmtId="223" fontId="70" fillId="0" borderId="0" applyFont="0" applyFill="0" applyBorder="0" applyAlignment="0" applyProtection="0"/>
    <xf numFmtId="2" fontId="195" fillId="0" borderId="0"/>
    <xf numFmtId="1" fontId="10" fillId="0" borderId="0"/>
    <xf numFmtId="42" fontId="81" fillId="0" borderId="0" applyFill="0" applyBorder="0" applyAlignment="0" applyProtection="0"/>
    <xf numFmtId="0" fontId="80" fillId="0" borderId="1" applyNumberFormat="0" applyFill="0" applyAlignment="0" applyProtection="0"/>
    <xf numFmtId="37" fontId="196" fillId="0" borderId="44"/>
    <xf numFmtId="165" fontId="70" fillId="0" borderId="0"/>
    <xf numFmtId="1" fontId="34" fillId="0" borderId="0" applyBorder="0">
      <alignment horizontal="left" vertical="top" wrapText="1"/>
    </xf>
    <xf numFmtId="0" fontId="72" fillId="0" borderId="0">
      <alignment horizontal="left" vertical="center" wrapText="1"/>
    </xf>
    <xf numFmtId="0" fontId="10" fillId="0" borderId="0" applyNumberFormat="0" applyFont="0" applyFill="0" applyBorder="0" applyProtection="0">
      <alignment horizontal="left" vertical="center"/>
    </xf>
    <xf numFmtId="0" fontId="123" fillId="0" borderId="45" applyNumberFormat="0" applyFill="0" applyProtection="0">
      <alignment horizontal="left" vertical="center" wrapText="1"/>
    </xf>
    <xf numFmtId="194" fontId="19" fillId="0" borderId="0" applyFill="0" applyBorder="0" applyProtection="0">
      <alignment horizontal="right"/>
    </xf>
    <xf numFmtId="325" fontId="123" fillId="0" borderId="45" applyFill="0" applyProtection="0">
      <alignment horizontal="right" vertical="center" wrapText="1"/>
    </xf>
    <xf numFmtId="0" fontId="123" fillId="0" borderId="0" applyNumberFormat="0" applyFill="0" applyBorder="0" applyProtection="0">
      <alignment horizontal="left" vertical="center" wrapText="1"/>
    </xf>
    <xf numFmtId="0" fontId="123" fillId="0" borderId="0" applyNumberFormat="0" applyFill="0" applyBorder="0" applyProtection="0">
      <alignment horizontal="left" vertical="center" wrapText="1"/>
    </xf>
    <xf numFmtId="326" fontId="123" fillId="0" borderId="0" applyFill="0" applyBorder="0" applyProtection="0">
      <alignment horizontal="right" vertical="center" wrapText="1"/>
    </xf>
    <xf numFmtId="325" fontId="123" fillId="0" borderId="0" applyFill="0" applyBorder="0" applyProtection="0">
      <alignment horizontal="right" vertical="center" wrapText="1"/>
    </xf>
    <xf numFmtId="327" fontId="123" fillId="0" borderId="0" applyFill="0" applyBorder="0" applyProtection="0">
      <alignment horizontal="right" vertical="center" wrapText="1"/>
    </xf>
    <xf numFmtId="328" fontId="123" fillId="0" borderId="0" applyFill="0" applyBorder="0" applyProtection="0">
      <alignment horizontal="right" vertical="center" wrapText="1"/>
    </xf>
    <xf numFmtId="0" fontId="123" fillId="0" borderId="1" applyNumberFormat="0" applyFill="0" applyProtection="0">
      <alignment horizontal="left" vertical="center" wrapText="1"/>
    </xf>
    <xf numFmtId="0" fontId="123" fillId="0" borderId="1" applyNumberFormat="0" applyFill="0" applyProtection="0">
      <alignment horizontal="left" vertical="center" wrapText="1"/>
    </xf>
    <xf numFmtId="0" fontId="10" fillId="0" borderId="0" applyNumberFormat="0" applyFill="0" applyBorder="0" applyAlignment="0" applyProtection="0"/>
    <xf numFmtId="327" fontId="123" fillId="0" borderId="1" applyFill="0" applyProtection="0">
      <alignment horizontal="right" vertical="center" wrapText="1"/>
    </xf>
    <xf numFmtId="329" fontId="123" fillId="0" borderId="0" applyFill="0" applyBorder="0" applyProtection="0">
      <alignment horizontal="right" vertical="center" wrapText="1"/>
    </xf>
    <xf numFmtId="0" fontId="123" fillId="0" borderId="46" applyNumberFormat="0" applyFill="0" applyProtection="0">
      <alignment horizontal="left" vertical="center" wrapText="1"/>
    </xf>
    <xf numFmtId="0" fontId="123" fillId="0" borderId="46" applyNumberFormat="0" applyFill="0" applyProtection="0">
      <alignment horizontal="left" vertical="center" wrapText="1"/>
    </xf>
    <xf numFmtId="327" fontId="123" fillId="0" borderId="46" applyFill="0" applyProtection="0">
      <alignment horizontal="right" vertical="center" wrapText="1"/>
    </xf>
    <xf numFmtId="0" fontId="10" fillId="0" borderId="0" applyNumberFormat="0" applyFill="0" applyBorder="0" applyProtection="0">
      <alignment vertical="center" wrapText="1"/>
    </xf>
    <xf numFmtId="0" fontId="10" fillId="0" borderId="0" applyNumberFormat="0" applyFill="0" applyBorder="0" applyProtection="0">
      <alignment horizontal="left" vertical="center" wrapText="1"/>
    </xf>
    <xf numFmtId="0" fontId="10" fillId="0" borderId="0" applyNumberFormat="0" applyFill="0" applyBorder="0" applyProtection="0">
      <alignment vertical="center" wrapText="1"/>
    </xf>
    <xf numFmtId="0" fontId="10" fillId="0" borderId="0" applyNumberFormat="0" applyFill="0" applyBorder="0" applyProtection="0">
      <alignment vertical="center" wrapText="1"/>
    </xf>
    <xf numFmtId="0" fontId="10" fillId="0" borderId="0" applyNumberFormat="0" applyFont="0" applyFill="0" applyBorder="0" applyProtection="0">
      <alignment horizontal="left" vertical="center"/>
    </xf>
    <xf numFmtId="0" fontId="20" fillId="0" borderId="0" applyNumberFormat="0" applyFill="0" applyBorder="0" applyProtection="0">
      <alignment horizontal="left" vertical="center" wrapText="1"/>
    </xf>
    <xf numFmtId="0" fontId="20" fillId="0" borderId="0" applyNumberFormat="0" applyFill="0" applyBorder="0" applyProtection="0">
      <alignment horizontal="left" vertical="center" wrapText="1"/>
    </xf>
    <xf numFmtId="0" fontId="11" fillId="0" borderId="0" applyNumberFormat="0" applyFill="0" applyBorder="0" applyProtection="0">
      <alignment vertical="center" wrapText="1"/>
    </xf>
    <xf numFmtId="0" fontId="10" fillId="0" borderId="47" applyNumberFormat="0" applyFont="0" applyFill="0" applyProtection="0">
      <alignment horizontal="center" vertical="center" wrapText="1"/>
    </xf>
    <xf numFmtId="0" fontId="20" fillId="0" borderId="47" applyNumberFormat="0" applyFill="0" applyProtection="0">
      <alignment horizontal="center" vertical="center" wrapText="1"/>
    </xf>
    <xf numFmtId="0" fontId="20" fillId="0" borderId="47" applyNumberFormat="0" applyFill="0" applyProtection="0">
      <alignment horizontal="center" vertical="center" wrapText="1"/>
    </xf>
    <xf numFmtId="0" fontId="123" fillId="0" borderId="45" applyNumberFormat="0" applyFill="0" applyProtection="0">
      <alignment horizontal="left" vertical="center" wrapText="1"/>
    </xf>
    <xf numFmtId="0" fontId="143" fillId="0" borderId="14"/>
    <xf numFmtId="330" fontId="197" fillId="35" borderId="0" applyFont="0" applyBorder="0"/>
    <xf numFmtId="0" fontId="198" fillId="39" borderId="0"/>
    <xf numFmtId="0" fontId="20" fillId="39" borderId="0"/>
    <xf numFmtId="0" fontId="20" fillId="39" borderId="0"/>
    <xf numFmtId="0" fontId="199" fillId="39" borderId="0"/>
    <xf numFmtId="0" fontId="25" fillId="39" borderId="0"/>
    <xf numFmtId="0" fontId="25" fillId="39" borderId="0"/>
    <xf numFmtId="0" fontId="25" fillId="0" borderId="0"/>
    <xf numFmtId="0" fontId="25" fillId="0" borderId="0"/>
    <xf numFmtId="0" fontId="10" fillId="0" borderId="0" applyFont="0" applyFill="0" applyBorder="0" applyAlignment="0" applyProtection="0"/>
    <xf numFmtId="0" fontId="10" fillId="0" borderId="0">
      <alignment vertical="top"/>
    </xf>
    <xf numFmtId="0" fontId="10" fillId="0" borderId="0">
      <alignment vertical="top"/>
    </xf>
    <xf numFmtId="0" fontId="10" fillId="0" borderId="0">
      <alignment vertical="top"/>
    </xf>
    <xf numFmtId="0" fontId="10" fillId="0" borderId="0">
      <alignment vertical="top"/>
    </xf>
    <xf numFmtId="0" fontId="200" fillId="0" borderId="0" applyNumberFormat="0" applyAlignment="0" applyProtection="0"/>
    <xf numFmtId="0" fontId="64" fillId="0" borderId="30" applyNumberFormat="0" applyFill="0" applyProtection="0"/>
    <xf numFmtId="0" fontId="64" fillId="0" borderId="30" applyNumberFormat="0" applyFill="0" applyProtection="0">
      <alignment horizontal="center" wrapText="1"/>
    </xf>
    <xf numFmtId="0" fontId="10" fillId="32" borderId="48" applyNumberFormat="0" applyProtection="0">
      <alignment horizontal="center" vertical="center"/>
    </xf>
    <xf numFmtId="0" fontId="10" fillId="38" borderId="48" applyNumberFormat="0" applyProtection="0">
      <alignment horizontal="center" vertical="center"/>
    </xf>
    <xf numFmtId="41" fontId="10" fillId="0" borderId="0" applyFont="0" applyFill="0" applyBorder="0" applyAlignment="0" applyProtection="0"/>
    <xf numFmtId="0" fontId="10" fillId="0" borderId="0">
      <alignment vertical="top"/>
    </xf>
    <xf numFmtId="0" fontId="10" fillId="32" borderId="49" applyNumberFormat="0"/>
    <xf numFmtId="0" fontId="10" fillId="32" borderId="49" applyNumberFormat="0"/>
    <xf numFmtId="0" fontId="10" fillId="32" borderId="50" applyNumberFormat="0"/>
    <xf numFmtId="0" fontId="10" fillId="32" borderId="51" applyNumberFormat="0"/>
    <xf numFmtId="0" fontId="10" fillId="32" borderId="52" applyNumberFormat="0"/>
    <xf numFmtId="0" fontId="10" fillId="32" borderId="53" applyNumberFormat="0"/>
    <xf numFmtId="0" fontId="10" fillId="32" borderId="54" applyNumberFormat="0"/>
    <xf numFmtId="0" fontId="10" fillId="32" borderId="55" applyNumberFormat="0"/>
    <xf numFmtId="0" fontId="10" fillId="0" borderId="0">
      <alignment vertical="top"/>
    </xf>
    <xf numFmtId="0" fontId="10" fillId="0" borderId="0">
      <alignment vertical="top"/>
    </xf>
    <xf numFmtId="0" fontId="10" fillId="0" borderId="0">
      <alignment vertical="top"/>
    </xf>
    <xf numFmtId="0" fontId="10" fillId="0" borderId="0">
      <alignment vertical="top"/>
    </xf>
    <xf numFmtId="0" fontId="10" fillId="0" borderId="0">
      <alignment vertical="top"/>
    </xf>
    <xf numFmtId="0" fontId="31" fillId="38" borderId="0" applyNumberFormat="0" applyBorder="0" applyAlignment="0" applyProtection="0"/>
    <xf numFmtId="331" fontId="10" fillId="32" borderId="49" applyFont="0" applyAlignment="0" applyProtection="0"/>
    <xf numFmtId="331" fontId="10" fillId="32" borderId="49" applyFont="0" applyAlignment="0" applyProtection="0"/>
    <xf numFmtId="332" fontId="10" fillId="45" borderId="49" applyFont="0" applyAlignment="0" applyProtection="0"/>
    <xf numFmtId="332" fontId="10" fillId="45" borderId="49" applyFont="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10" fillId="0" borderId="0" applyNumberFormat="0" applyBorder="0"/>
    <xf numFmtId="0" fontId="201" fillId="38" borderId="34" applyNumberFormat="0"/>
    <xf numFmtId="0" fontId="21" fillId="0" borderId="50" applyNumberFormat="0">
      <alignment horizontal="right"/>
    </xf>
    <xf numFmtId="0" fontId="24" fillId="38" borderId="0" applyNumberFormat="0" applyBorder="0" applyAlignment="0" applyProtection="0"/>
    <xf numFmtId="0" fontId="21" fillId="0" borderId="51" applyNumberFormat="0">
      <alignment horizontal="right"/>
    </xf>
    <xf numFmtId="0" fontId="21" fillId="0" borderId="56" applyNumberFormat="0">
      <alignment horizontal="right"/>
    </xf>
    <xf numFmtId="332" fontId="10" fillId="0" borderId="49"/>
    <xf numFmtId="332" fontId="10" fillId="0" borderId="49"/>
    <xf numFmtId="332" fontId="10" fillId="0" borderId="0" applyBorder="0"/>
    <xf numFmtId="332" fontId="10" fillId="0" borderId="55"/>
    <xf numFmtId="332" fontId="10" fillId="45" borderId="49"/>
    <xf numFmtId="332" fontId="10" fillId="45" borderId="49"/>
    <xf numFmtId="332" fontId="10" fillId="45" borderId="0" applyBorder="0"/>
    <xf numFmtId="332" fontId="10" fillId="45" borderId="55"/>
    <xf numFmtId="333" fontId="10" fillId="0" borderId="55"/>
    <xf numFmtId="333" fontId="10" fillId="0" borderId="0" applyBorder="0"/>
    <xf numFmtId="0" fontId="20" fillId="0" borderId="0" applyNumberFormat="0" applyFill="0" applyBorder="0" applyAlignment="0" applyProtection="0"/>
    <xf numFmtId="0" fontId="20" fillId="0" borderId="0" applyNumberFormat="0" applyFill="0" applyBorder="0" applyAlignment="0" applyProtection="0"/>
    <xf numFmtId="333" fontId="10" fillId="45" borderId="0" applyBorder="0"/>
    <xf numFmtId="333" fontId="10" fillId="45" borderId="55"/>
    <xf numFmtId="333" fontId="10" fillId="45" borderId="49"/>
    <xf numFmtId="333" fontId="10" fillId="45" borderId="49"/>
    <xf numFmtId="333" fontId="10" fillId="0" borderId="49"/>
    <xf numFmtId="333" fontId="10" fillId="0" borderId="49"/>
    <xf numFmtId="334" fontId="10" fillId="0" borderId="55"/>
    <xf numFmtId="334" fontId="10" fillId="0" borderId="0" applyBorder="0"/>
    <xf numFmtId="334" fontId="10" fillId="45" borderId="0" applyBorder="0"/>
    <xf numFmtId="334" fontId="10" fillId="45" borderId="55"/>
    <xf numFmtId="334" fontId="10" fillId="45" borderId="49"/>
    <xf numFmtId="334" fontId="10" fillId="45" borderId="49"/>
    <xf numFmtId="334" fontId="10" fillId="0" borderId="49"/>
    <xf numFmtId="334" fontId="10" fillId="0" borderId="49"/>
    <xf numFmtId="0" fontId="21" fillId="0" borderId="0" applyNumberFormat="0" applyFill="0" applyBorder="0" applyAlignment="0" applyProtection="0"/>
    <xf numFmtId="0" fontId="21" fillId="0" borderId="49" applyNumberFormat="0">
      <alignment horizontal="right"/>
    </xf>
    <xf numFmtId="0" fontId="21" fillId="0" borderId="49" applyNumberFormat="0">
      <alignment horizontal="right"/>
    </xf>
    <xf numFmtId="0" fontId="21" fillId="45" borderId="49" applyNumberFormat="0">
      <alignment horizontal="right"/>
    </xf>
    <xf numFmtId="0" fontId="21" fillId="45" borderId="49" applyNumberFormat="0">
      <alignment horizontal="right"/>
    </xf>
    <xf numFmtId="332" fontId="10" fillId="0" borderId="50"/>
    <xf numFmtId="332" fontId="10" fillId="0" borderId="51"/>
    <xf numFmtId="332" fontId="10" fillId="0" borderId="56"/>
    <xf numFmtId="333" fontId="10" fillId="0" borderId="50"/>
    <xf numFmtId="333" fontId="10" fillId="0" borderId="51"/>
    <xf numFmtId="333" fontId="10" fillId="0" borderId="56"/>
    <xf numFmtId="334" fontId="10" fillId="0" borderId="50"/>
    <xf numFmtId="334" fontId="10" fillId="0" borderId="51"/>
    <xf numFmtId="0" fontId="76" fillId="36" borderId="0" applyNumberFormat="0" applyBorder="0" applyAlignment="0" applyProtection="0"/>
    <xf numFmtId="334" fontId="10" fillId="0" borderId="56"/>
    <xf numFmtId="0" fontId="76" fillId="36" borderId="0" applyNumberFormat="0" applyBorder="0" applyProtection="0">
      <alignment horizontal="center"/>
    </xf>
    <xf numFmtId="0" fontId="202" fillId="36" borderId="0" applyNumberFormat="0" applyBorder="0" applyAlignment="0" applyProtection="0"/>
    <xf numFmtId="0" fontId="10" fillId="0" borderId="0" applyNumberFormat="0" applyFont="0" applyFill="0" applyBorder="0" applyProtection="0">
      <alignment horizontal="right"/>
    </xf>
    <xf numFmtId="0" fontId="10" fillId="0" borderId="0">
      <alignment vertical="top"/>
    </xf>
    <xf numFmtId="0" fontId="10" fillId="0" borderId="0" applyNumberFormat="0" applyFont="0" applyFill="0" applyBorder="0" applyProtection="0">
      <alignment horizontal="left"/>
    </xf>
    <xf numFmtId="0" fontId="10" fillId="0" borderId="0" applyNumberFormat="0" applyBorder="0"/>
    <xf numFmtId="0" fontId="201" fillId="38" borderId="34" applyNumberFormat="0"/>
    <xf numFmtId="0" fontId="21" fillId="0" borderId="50" applyNumberFormat="0">
      <alignment horizontal="right"/>
    </xf>
    <xf numFmtId="0" fontId="39" fillId="0" borderId="0" applyNumberFormat="0" applyFill="0" applyBorder="0" applyAlignment="0" applyProtection="0"/>
    <xf numFmtId="0" fontId="21" fillId="0" borderId="51" applyNumberFormat="0">
      <alignment horizontal="right"/>
    </xf>
    <xf numFmtId="0" fontId="21" fillId="0" borderId="56" applyNumberFormat="0">
      <alignment horizontal="right"/>
    </xf>
    <xf numFmtId="334" fontId="10" fillId="0" borderId="55"/>
    <xf numFmtId="334" fontId="10" fillId="0" borderId="0" applyBorder="0"/>
    <xf numFmtId="334" fontId="10" fillId="45" borderId="0" applyBorder="0"/>
    <xf numFmtId="334" fontId="10" fillId="45" borderId="55"/>
    <xf numFmtId="334" fontId="10" fillId="45" borderId="49"/>
    <xf numFmtId="334" fontId="10" fillId="45" borderId="49"/>
    <xf numFmtId="334" fontId="10" fillId="0" borderId="49"/>
    <xf numFmtId="334" fontId="10" fillId="0" borderId="49"/>
    <xf numFmtId="0" fontId="21" fillId="0" borderId="49" applyNumberFormat="0">
      <alignment horizontal="right"/>
    </xf>
    <xf numFmtId="0" fontId="21" fillId="0" borderId="49" applyNumberFormat="0">
      <alignment horizontal="right"/>
    </xf>
    <xf numFmtId="0" fontId="21" fillId="45" borderId="49" applyNumberFormat="0">
      <alignment horizontal="right"/>
    </xf>
    <xf numFmtId="0" fontId="21" fillId="45" borderId="49" applyNumberFormat="0">
      <alignment horizontal="right"/>
    </xf>
    <xf numFmtId="0" fontId="64" fillId="0" borderId="0" applyNumberFormat="0" applyFill="0" applyBorder="0" applyAlignment="0" applyProtection="0"/>
    <xf numFmtId="334" fontId="10" fillId="0" borderId="50"/>
    <xf numFmtId="334" fontId="10" fillId="0" borderId="51"/>
    <xf numFmtId="334" fontId="10" fillId="0" borderId="56"/>
    <xf numFmtId="0" fontId="10" fillId="37" borderId="0" applyNumberFormat="0" applyFont="0" applyBorder="0" applyAlignment="0" applyProtection="0"/>
    <xf numFmtId="335" fontId="10" fillId="0" borderId="0" applyFont="0" applyFill="0" applyBorder="0" applyAlignment="0" applyProtection="0"/>
    <xf numFmtId="2" fontId="10" fillId="0" borderId="0" applyFont="0" applyFill="0" applyBorder="0" applyAlignment="0" applyProtection="0"/>
    <xf numFmtId="0" fontId="10" fillId="0" borderId="0" applyNumberFormat="0" applyBorder="0"/>
    <xf numFmtId="0" fontId="201" fillId="38" borderId="50" applyNumberFormat="0">
      <alignment horizontal="right"/>
    </xf>
    <xf numFmtId="0" fontId="201" fillId="38" borderId="51" applyNumberFormat="0">
      <alignment horizontal="right"/>
    </xf>
    <xf numFmtId="0" fontId="201" fillId="38" borderId="56" applyNumberFormat="0">
      <alignment horizontal="right"/>
    </xf>
    <xf numFmtId="0" fontId="201" fillId="38" borderId="34" applyNumberFormat="0"/>
    <xf numFmtId="334" fontId="10" fillId="0" borderId="55"/>
    <xf numFmtId="334" fontId="10" fillId="0" borderId="0" applyBorder="0"/>
    <xf numFmtId="0" fontId="10" fillId="0" borderId="0" applyNumberFormat="0" applyFont="0" applyFill="0" applyBorder="0" applyAlignment="0" applyProtection="0"/>
    <xf numFmtId="0" fontId="201" fillId="38" borderId="34" applyNumberFormat="0" applyAlignment="0" applyProtection="0"/>
    <xf numFmtId="165" fontId="10" fillId="0" borderId="0" applyFont="0" applyFill="0" applyBorder="0" applyAlignment="0" applyProtection="0"/>
    <xf numFmtId="0" fontId="21" fillId="0" borderId="50" applyNumberFormat="0" applyFill="0" applyProtection="0">
      <alignment horizontal="right"/>
    </xf>
    <xf numFmtId="0" fontId="21" fillId="0" borderId="51" applyNumberFormat="0" applyFill="0" applyProtection="0">
      <alignment horizontal="right"/>
    </xf>
    <xf numFmtId="0" fontId="21" fillId="0" borderId="56" applyNumberFormat="0" applyFill="0" applyProtection="0">
      <alignment horizontal="right"/>
    </xf>
    <xf numFmtId="332" fontId="10" fillId="0" borderId="49" applyFont="0" applyFill="0" applyAlignment="0" applyProtection="0"/>
    <xf numFmtId="332" fontId="10" fillId="0" borderId="49" applyFont="0" applyFill="0" applyAlignment="0" applyProtection="0"/>
    <xf numFmtId="332" fontId="10" fillId="0" borderId="0" applyFont="0" applyFill="0" applyBorder="0" applyAlignment="0" applyProtection="0"/>
    <xf numFmtId="332" fontId="10" fillId="0" borderId="55" applyFont="0" applyFill="0" applyAlignment="0" applyProtection="0"/>
    <xf numFmtId="332" fontId="10" fillId="45" borderId="49" applyFont="0" applyAlignment="0" applyProtection="0"/>
    <xf numFmtId="332" fontId="10" fillId="45" borderId="49" applyFont="0" applyAlignment="0" applyProtection="0"/>
    <xf numFmtId="332" fontId="10" fillId="45" borderId="0" applyFont="0" applyBorder="0" applyAlignment="0" applyProtection="0"/>
    <xf numFmtId="332" fontId="10" fillId="45" borderId="55" applyFont="0" applyAlignment="0" applyProtection="0"/>
    <xf numFmtId="333" fontId="10" fillId="0" borderId="55" applyFont="0" applyFill="0" applyAlignment="0" applyProtection="0"/>
    <xf numFmtId="333" fontId="10" fillId="0" borderId="0" applyFont="0" applyFill="0" applyBorder="0" applyAlignment="0" applyProtection="0"/>
    <xf numFmtId="333" fontId="10" fillId="45" borderId="0" applyFont="0" applyBorder="0" applyAlignment="0" applyProtection="0"/>
    <xf numFmtId="333" fontId="10" fillId="45" borderId="55" applyFont="0" applyAlignment="0" applyProtection="0"/>
    <xf numFmtId="333" fontId="10" fillId="45" borderId="49" applyFont="0" applyAlignment="0" applyProtection="0"/>
    <xf numFmtId="333" fontId="10" fillId="45" borderId="49" applyFont="0" applyAlignment="0" applyProtection="0"/>
    <xf numFmtId="333" fontId="10" fillId="0" borderId="49" applyFont="0" applyFill="0" applyAlignment="0" applyProtection="0"/>
    <xf numFmtId="333" fontId="10" fillId="0" borderId="49" applyFont="0" applyFill="0" applyAlignment="0" applyProtection="0"/>
    <xf numFmtId="334" fontId="10" fillId="0" borderId="55" applyFont="0" applyFill="0" applyAlignment="0" applyProtection="0"/>
    <xf numFmtId="334" fontId="10" fillId="0" borderId="0" applyFont="0" applyFill="0" applyBorder="0" applyAlignment="0" applyProtection="0"/>
    <xf numFmtId="334" fontId="10" fillId="45" borderId="0" applyFont="0" applyBorder="0" applyAlignment="0" applyProtection="0"/>
    <xf numFmtId="334" fontId="10" fillId="45" borderId="55" applyFont="0" applyAlignment="0" applyProtection="0"/>
    <xf numFmtId="334" fontId="10" fillId="45" borderId="49" applyFont="0" applyAlignment="0" applyProtection="0"/>
    <xf numFmtId="334" fontId="10" fillId="45" borderId="49" applyFont="0" applyAlignment="0" applyProtection="0"/>
    <xf numFmtId="334" fontId="10" fillId="0" borderId="49" applyFont="0" applyFill="0" applyAlignment="0" applyProtection="0"/>
    <xf numFmtId="334" fontId="10" fillId="0" borderId="49" applyFont="0" applyFill="0" applyAlignment="0" applyProtection="0"/>
    <xf numFmtId="0" fontId="21" fillId="0" borderId="49" applyNumberFormat="0" applyFill="0" applyProtection="0">
      <alignment horizontal="right"/>
    </xf>
    <xf numFmtId="0" fontId="21" fillId="0" borderId="49" applyNumberFormat="0" applyFill="0" applyProtection="0">
      <alignment horizontal="right"/>
    </xf>
    <xf numFmtId="0" fontId="21" fillId="45" borderId="49" applyNumberFormat="0" applyProtection="0">
      <alignment horizontal="right"/>
    </xf>
    <xf numFmtId="0" fontId="21" fillId="45" borderId="49" applyNumberFormat="0" applyProtection="0">
      <alignment horizontal="right"/>
    </xf>
    <xf numFmtId="332" fontId="10" fillId="0" borderId="50" applyFill="0" applyAlignment="0" applyProtection="0"/>
    <xf numFmtId="332" fontId="10" fillId="0" borderId="51" applyFont="0" applyFill="0" applyAlignment="0" applyProtection="0"/>
    <xf numFmtId="332" fontId="10" fillId="0" borderId="56" applyFont="0" applyFill="0" applyAlignment="0" applyProtection="0"/>
    <xf numFmtId="333" fontId="10" fillId="0" borderId="50" applyFill="0" applyAlignment="0" applyProtection="0"/>
    <xf numFmtId="333" fontId="10" fillId="0" borderId="51" applyFont="0" applyFill="0" applyAlignment="0" applyProtection="0"/>
    <xf numFmtId="333" fontId="10" fillId="0" borderId="56" applyFont="0" applyFill="0" applyAlignment="0" applyProtection="0"/>
    <xf numFmtId="334" fontId="10" fillId="0" borderId="50" applyFill="0" applyAlignment="0" applyProtection="0"/>
    <xf numFmtId="0" fontId="10" fillId="0" borderId="40" applyNumberFormat="0" applyFont="0" applyFill="0" applyAlignment="0" applyProtection="0"/>
    <xf numFmtId="0" fontId="10" fillId="0" borderId="40" applyNumberFormat="0" applyFont="0" applyFill="0" applyAlignment="0" applyProtection="0"/>
    <xf numFmtId="334" fontId="10" fillId="0" borderId="51" applyFont="0" applyFill="0" applyAlignment="0" applyProtection="0"/>
    <xf numFmtId="334" fontId="10" fillId="0" borderId="56" applyFont="0" applyFill="0" applyAlignment="0" applyProtection="0"/>
    <xf numFmtId="0" fontId="201" fillId="38" borderId="34" applyNumberFormat="0"/>
    <xf numFmtId="0" fontId="21" fillId="0" borderId="50" applyNumberFormat="0">
      <alignment horizontal="right"/>
    </xf>
    <xf numFmtId="0" fontId="10" fillId="0" borderId="52" applyNumberFormat="0"/>
    <xf numFmtId="0" fontId="10" fillId="0" borderId="54" applyNumberFormat="0"/>
    <xf numFmtId="0" fontId="10" fillId="0" borderId="49" applyNumberFormat="0"/>
    <xf numFmtId="0" fontId="10" fillId="0" borderId="49" applyNumberFormat="0"/>
    <xf numFmtId="0" fontId="10" fillId="0" borderId="55" applyNumberFormat="0"/>
    <xf numFmtId="0" fontId="10" fillId="0" borderId="53" applyNumberFormat="0"/>
    <xf numFmtId="0" fontId="10" fillId="0" borderId="57" applyNumberFormat="0"/>
    <xf numFmtId="0" fontId="10" fillId="0" borderId="0">
      <alignment vertical="top"/>
    </xf>
    <xf numFmtId="0" fontId="10" fillId="0" borderId="0">
      <alignment vertical="top"/>
    </xf>
    <xf numFmtId="0" fontId="10" fillId="0" borderId="0">
      <alignment vertical="top"/>
    </xf>
    <xf numFmtId="0" fontId="10" fillId="0" borderId="0">
      <alignment vertical="top"/>
    </xf>
    <xf numFmtId="0" fontId="10" fillId="0" borderId="0">
      <alignment vertical="top"/>
    </xf>
    <xf numFmtId="333" fontId="10" fillId="0" borderId="55"/>
    <xf numFmtId="333" fontId="10" fillId="0" borderId="0" applyBorder="0"/>
    <xf numFmtId="333" fontId="10" fillId="45" borderId="0" applyBorder="0"/>
    <xf numFmtId="333" fontId="10" fillId="45" borderId="55"/>
    <xf numFmtId="334" fontId="10" fillId="0" borderId="55"/>
    <xf numFmtId="334" fontId="10" fillId="0" borderId="0" applyBorder="0"/>
    <xf numFmtId="334" fontId="10" fillId="45" borderId="0" applyBorder="0"/>
    <xf numFmtId="334" fontId="10" fillId="45" borderId="55"/>
    <xf numFmtId="0" fontId="21" fillId="0" borderId="49" applyNumberFormat="0">
      <alignment horizontal="right"/>
    </xf>
    <xf numFmtId="0" fontId="21" fillId="0" borderId="49" applyNumberFormat="0">
      <alignment horizontal="right"/>
    </xf>
    <xf numFmtId="0" fontId="21" fillId="45" borderId="49" applyNumberFormat="0">
      <alignment horizontal="right"/>
    </xf>
    <xf numFmtId="0" fontId="21" fillId="45" borderId="49" applyNumberFormat="0">
      <alignment horizontal="right"/>
    </xf>
    <xf numFmtId="0" fontId="10" fillId="0" borderId="58" applyNumberFormat="0"/>
    <xf numFmtId="0" fontId="10" fillId="46" borderId="0" applyNumberFormat="0" applyBorder="0"/>
    <xf numFmtId="0" fontId="10" fillId="0" borderId="0" applyNumberFormat="0" applyFont="0" applyFill="0" applyBorder="0" applyAlignment="0" applyProtection="0"/>
    <xf numFmtId="0" fontId="201" fillId="38" borderId="34" applyNumberFormat="0" applyAlignment="0" applyProtection="0"/>
    <xf numFmtId="0" fontId="21" fillId="0" borderId="50" applyNumberFormat="0" applyFill="0" applyProtection="0">
      <alignment horizontal="right"/>
    </xf>
    <xf numFmtId="0" fontId="21" fillId="0" borderId="51" applyNumberFormat="0" applyFill="0" applyProtection="0">
      <alignment horizontal="right"/>
    </xf>
    <xf numFmtId="0" fontId="21" fillId="0" borderId="56" applyNumberFormat="0" applyFill="0" applyProtection="0">
      <alignment horizontal="right"/>
    </xf>
    <xf numFmtId="334" fontId="10" fillId="0" borderId="55" applyFont="0" applyFill="0" applyAlignment="0" applyProtection="0"/>
    <xf numFmtId="334" fontId="10" fillId="0" borderId="0" applyFont="0" applyFill="0" applyBorder="0" applyAlignment="0" applyProtection="0"/>
    <xf numFmtId="334" fontId="10" fillId="45" borderId="0" applyFont="0" applyBorder="0" applyAlignment="0" applyProtection="0"/>
    <xf numFmtId="334" fontId="10" fillId="45" borderId="55" applyFont="0" applyAlignment="0" applyProtection="0"/>
    <xf numFmtId="334" fontId="10" fillId="45" borderId="49" applyFont="0" applyAlignment="0" applyProtection="0"/>
    <xf numFmtId="334" fontId="10" fillId="45" borderId="49" applyFont="0" applyAlignment="0" applyProtection="0"/>
    <xf numFmtId="334" fontId="10" fillId="0" borderId="49" applyFont="0" applyFill="0" applyAlignment="0" applyProtection="0"/>
    <xf numFmtId="334" fontId="10" fillId="0" borderId="49" applyFont="0" applyFill="0" applyAlignment="0" applyProtection="0"/>
    <xf numFmtId="0" fontId="21" fillId="0" borderId="49" applyNumberFormat="0" applyFill="0" applyProtection="0">
      <alignment horizontal="right"/>
    </xf>
    <xf numFmtId="0" fontId="21" fillId="0" borderId="49" applyNumberFormat="0" applyFill="0" applyProtection="0">
      <alignment horizontal="right"/>
    </xf>
    <xf numFmtId="0" fontId="21" fillId="45" borderId="49" applyNumberFormat="0" applyProtection="0">
      <alignment horizontal="right"/>
    </xf>
    <xf numFmtId="0" fontId="21" fillId="45" borderId="49" applyNumberFormat="0" applyProtection="0">
      <alignment horizontal="right"/>
    </xf>
    <xf numFmtId="334" fontId="10" fillId="0" borderId="50" applyFill="0" applyAlignment="0" applyProtection="0"/>
    <xf numFmtId="334" fontId="10" fillId="0" borderId="51" applyFont="0" applyFill="0" applyAlignment="0" applyProtection="0"/>
    <xf numFmtId="334" fontId="10" fillId="0" borderId="56" applyFont="0" applyFill="0" applyAlignment="0" applyProtection="0"/>
    <xf numFmtId="334" fontId="10" fillId="0" borderId="56" applyFont="0" applyFill="0" applyAlignment="0" applyProtection="0"/>
    <xf numFmtId="336" fontId="21" fillId="0" borderId="49">
      <alignment horizontal="right"/>
    </xf>
    <xf numFmtId="336" fontId="21" fillId="0" borderId="49">
      <alignment horizontal="right"/>
    </xf>
    <xf numFmtId="336" fontId="21" fillId="45" borderId="49">
      <alignment horizontal="right"/>
    </xf>
    <xf numFmtId="336" fontId="21" fillId="45" borderId="49">
      <alignment horizontal="right"/>
    </xf>
    <xf numFmtId="333" fontId="10" fillId="0" borderId="49"/>
    <xf numFmtId="333" fontId="10" fillId="0" borderId="49"/>
    <xf numFmtId="333" fontId="10" fillId="45" borderId="49"/>
    <xf numFmtId="333" fontId="10" fillId="45" borderId="49"/>
    <xf numFmtId="334" fontId="10" fillId="0" borderId="55"/>
    <xf numFmtId="334" fontId="10" fillId="45" borderId="55"/>
    <xf numFmtId="331" fontId="10" fillId="0" borderId="49"/>
    <xf numFmtId="331" fontId="10" fillId="0" borderId="49"/>
    <xf numFmtId="332" fontId="10" fillId="45" borderId="49"/>
    <xf numFmtId="332" fontId="10" fillId="45" borderId="49"/>
    <xf numFmtId="331" fontId="10" fillId="0" borderId="55"/>
    <xf numFmtId="331" fontId="10" fillId="45" borderId="55"/>
    <xf numFmtId="0" fontId="10" fillId="0" borderId="58" applyNumberFormat="0"/>
    <xf numFmtId="334" fontId="10" fillId="0" borderId="49"/>
    <xf numFmtId="334" fontId="10" fillId="0" borderId="49"/>
    <xf numFmtId="334" fontId="10" fillId="45" borderId="49"/>
    <xf numFmtId="334" fontId="10" fillId="45" borderId="49"/>
    <xf numFmtId="0" fontId="10" fillId="0" borderId="0" applyNumberFormat="0" applyFont="0" applyFill="0" applyBorder="0" applyAlignment="0" applyProtection="0"/>
    <xf numFmtId="0" fontId="201" fillId="38" borderId="50" applyNumberFormat="0" applyProtection="0">
      <alignment horizontal="right"/>
    </xf>
    <xf numFmtId="0" fontId="201" fillId="38" borderId="51" applyNumberFormat="0" applyProtection="0">
      <alignment horizontal="right"/>
    </xf>
    <xf numFmtId="0" fontId="201" fillId="38" borderId="56" applyNumberFormat="0" applyProtection="0">
      <alignment horizontal="right"/>
    </xf>
    <xf numFmtId="0" fontId="201" fillId="38" borderId="34" applyNumberFormat="0" applyAlignment="0" applyProtection="0"/>
    <xf numFmtId="334" fontId="10" fillId="0" borderId="55" applyFont="0" applyFill="0" applyAlignment="0" applyProtection="0"/>
    <xf numFmtId="334" fontId="10" fillId="0" borderId="0" applyFont="0" applyFill="0" applyBorder="0" applyAlignment="0" applyProtection="0"/>
    <xf numFmtId="334" fontId="10" fillId="45" borderId="0" applyFont="0" applyBorder="0" applyAlignment="0" applyProtection="0"/>
    <xf numFmtId="334" fontId="10" fillId="45" borderId="55" applyFont="0" applyAlignment="0" applyProtection="0"/>
    <xf numFmtId="334" fontId="10" fillId="45" borderId="49" applyFont="0" applyAlignment="0" applyProtection="0"/>
    <xf numFmtId="334" fontId="10" fillId="45" borderId="49" applyFont="0" applyAlignment="0" applyProtection="0"/>
    <xf numFmtId="334" fontId="10" fillId="0" borderId="49" applyFont="0" applyFill="0" applyAlignment="0" applyProtection="0"/>
    <xf numFmtId="334" fontId="10" fillId="0" borderId="49" applyFont="0" applyFill="0" applyAlignment="0" applyProtection="0"/>
    <xf numFmtId="0" fontId="21" fillId="0" borderId="49" applyNumberFormat="0" applyFill="0" applyProtection="0">
      <alignment horizontal="right"/>
    </xf>
    <xf numFmtId="0" fontId="21" fillId="0" borderId="49" applyNumberFormat="0" applyFill="0" applyProtection="0">
      <alignment horizontal="right"/>
    </xf>
    <xf numFmtId="0" fontId="21" fillId="45" borderId="49" applyNumberFormat="0" applyProtection="0">
      <alignment horizontal="right"/>
    </xf>
    <xf numFmtId="0" fontId="21" fillId="45" borderId="49" applyNumberFormat="0" applyProtection="0">
      <alignment horizontal="right"/>
    </xf>
    <xf numFmtId="0" fontId="10" fillId="0" borderId="58" applyNumberFormat="0" applyFont="0" applyFill="0" applyAlignment="0" applyProtection="0"/>
    <xf numFmtId="0" fontId="10" fillId="0" borderId="58" applyNumberFormat="0"/>
    <xf numFmtId="334" fontId="10" fillId="0" borderId="49"/>
    <xf numFmtId="334" fontId="10" fillId="0" borderId="49"/>
    <xf numFmtId="334" fontId="10" fillId="45" borderId="49"/>
    <xf numFmtId="334" fontId="10" fillId="45" borderId="49"/>
    <xf numFmtId="334" fontId="29" fillId="46" borderId="49"/>
    <xf numFmtId="334" fontId="29" fillId="46" borderId="49"/>
    <xf numFmtId="0" fontId="10" fillId="0" borderId="0">
      <alignment vertical="top"/>
    </xf>
    <xf numFmtId="0" fontId="10" fillId="0" borderId="0">
      <alignment vertical="top"/>
    </xf>
    <xf numFmtId="334" fontId="29" fillId="46" borderId="55"/>
    <xf numFmtId="333" fontId="29" fillId="46" borderId="49"/>
    <xf numFmtId="333" fontId="29" fillId="46" borderId="49"/>
    <xf numFmtId="332" fontId="29" fillId="46" borderId="49"/>
    <xf numFmtId="332" fontId="29" fillId="46" borderId="49"/>
    <xf numFmtId="332" fontId="29" fillId="46" borderId="55"/>
    <xf numFmtId="0" fontId="29" fillId="46" borderId="49" applyNumberFormat="0">
      <alignment horizontal="right"/>
    </xf>
    <xf numFmtId="0" fontId="29" fillId="46" borderId="49" applyNumberFormat="0">
      <alignment horizontal="right"/>
    </xf>
    <xf numFmtId="0" fontId="10" fillId="0" borderId="0" applyNumberFormat="0" applyBorder="0"/>
    <xf numFmtId="0" fontId="10" fillId="0" borderId="8" applyNumberFormat="0">
      <alignment horizontal="center"/>
    </xf>
    <xf numFmtId="0" fontId="201" fillId="38" borderId="34" applyNumberFormat="0"/>
    <xf numFmtId="0" fontId="21" fillId="0" borderId="50" applyNumberFormat="0">
      <alignment horizontal="right"/>
    </xf>
    <xf numFmtId="0" fontId="21" fillId="0" borderId="51" applyNumberFormat="0">
      <alignment horizontal="right"/>
    </xf>
    <xf numFmtId="0" fontId="21" fillId="0" borderId="56" applyNumberFormat="0">
      <alignment horizontal="right"/>
    </xf>
    <xf numFmtId="332" fontId="10" fillId="0" borderId="0" applyBorder="0"/>
    <xf numFmtId="332" fontId="10" fillId="0" borderId="55"/>
    <xf numFmtId="332" fontId="10" fillId="38" borderId="0" applyBorder="0"/>
    <xf numFmtId="332" fontId="10" fillId="38" borderId="55"/>
    <xf numFmtId="333" fontId="10" fillId="0" borderId="55"/>
    <xf numFmtId="0" fontId="10" fillId="32" borderId="49" applyNumberFormat="0">
      <alignment horizontal="left"/>
    </xf>
    <xf numFmtId="0" fontId="10" fillId="32" borderId="49" applyNumberFormat="0">
      <alignment horizontal="left"/>
    </xf>
    <xf numFmtId="0" fontId="10" fillId="45" borderId="49" applyNumberFormat="0">
      <alignment horizontal="left"/>
    </xf>
    <xf numFmtId="0" fontId="10" fillId="45" borderId="49" applyNumberFormat="0">
      <alignment horizontal="left"/>
    </xf>
    <xf numFmtId="0" fontId="10" fillId="32" borderId="49" applyNumberFormat="0">
      <alignment horizontal="right"/>
    </xf>
    <xf numFmtId="0" fontId="10" fillId="32" borderId="49" applyNumberFormat="0">
      <alignment horizontal="right"/>
    </xf>
    <xf numFmtId="0" fontId="10" fillId="45" borderId="49" applyNumberFormat="0">
      <alignment horizontal="right"/>
    </xf>
    <xf numFmtId="0" fontId="10" fillId="45" borderId="49" applyNumberFormat="0">
      <alignment horizontal="right"/>
    </xf>
    <xf numFmtId="0" fontId="10" fillId="32" borderId="49" applyNumberFormat="0">
      <alignment horizontal="center"/>
    </xf>
    <xf numFmtId="0" fontId="10" fillId="32" borderId="49" applyNumberFormat="0">
      <alignment horizontal="center"/>
    </xf>
    <xf numFmtId="0" fontId="10" fillId="45" borderId="49" applyNumberFormat="0">
      <alignment horizontal="center"/>
    </xf>
    <xf numFmtId="0" fontId="10" fillId="45" borderId="49" applyNumberFormat="0">
      <alignment horizontal="center"/>
    </xf>
    <xf numFmtId="0" fontId="10" fillId="0" borderId="58" applyNumberFormat="0"/>
    <xf numFmtId="0" fontId="10" fillId="0" borderId="49" applyNumberFormat="0"/>
    <xf numFmtId="0" fontId="10" fillId="0" borderId="49" applyNumberFormat="0"/>
    <xf numFmtId="0" fontId="10" fillId="0" borderId="50" applyNumberFormat="0"/>
    <xf numFmtId="0" fontId="10" fillId="0" borderId="51" applyNumberFormat="0"/>
    <xf numFmtId="337" fontId="10" fillId="45" borderId="49">
      <alignment horizontal="left"/>
    </xf>
    <xf numFmtId="337" fontId="10" fillId="45" borderId="49">
      <alignment horizontal="left"/>
    </xf>
    <xf numFmtId="337" fontId="10" fillId="32" borderId="49">
      <alignment horizontal="left"/>
    </xf>
    <xf numFmtId="337" fontId="10" fillId="32" borderId="49">
      <alignment horizontal="left"/>
    </xf>
    <xf numFmtId="332" fontId="10" fillId="38" borderId="49" applyAlignment="0" applyProtection="0"/>
    <xf numFmtId="332" fontId="10" fillId="38" borderId="49" applyAlignment="0" applyProtection="0"/>
    <xf numFmtId="0" fontId="201" fillId="43" borderId="34" applyNumberFormat="0"/>
    <xf numFmtId="332" fontId="10" fillId="38" borderId="55" applyAlignment="0" applyProtection="0"/>
    <xf numFmtId="0" fontId="21" fillId="32" borderId="49" applyNumberFormat="0" applyProtection="0">
      <alignment horizontal="right"/>
    </xf>
    <xf numFmtId="0" fontId="21" fillId="32" borderId="49" applyNumberFormat="0" applyProtection="0">
      <alignment horizontal="right"/>
    </xf>
    <xf numFmtId="334" fontId="10" fillId="32" borderId="49" applyAlignment="0" applyProtection="0"/>
    <xf numFmtId="334" fontId="10" fillId="32" borderId="49" applyAlignment="0" applyProtection="0"/>
    <xf numFmtId="334" fontId="10" fillId="32" borderId="55" applyAlignment="0" applyProtection="0"/>
    <xf numFmtId="0" fontId="10" fillId="0" borderId="0" applyNumberFormat="0" applyFont="0" applyFill="0" applyBorder="0" applyAlignment="0" applyProtection="0"/>
    <xf numFmtId="0" fontId="10" fillId="0" borderId="8" applyNumberFormat="0" applyFont="0" applyFill="0" applyProtection="0">
      <alignment horizontal="center"/>
    </xf>
    <xf numFmtId="0" fontId="201" fillId="38" borderId="34" applyNumberFormat="0" applyAlignment="0" applyProtection="0"/>
    <xf numFmtId="0" fontId="21" fillId="0" borderId="50" applyNumberFormat="0" applyFill="0" applyProtection="0">
      <alignment horizontal="right"/>
    </xf>
    <xf numFmtId="0" fontId="21" fillId="0" borderId="51" applyNumberFormat="0" applyFill="0" applyProtection="0">
      <alignment horizontal="right"/>
    </xf>
    <xf numFmtId="0" fontId="21" fillId="0" borderId="56" applyNumberFormat="0" applyFill="0" applyProtection="0">
      <alignment horizontal="right"/>
    </xf>
    <xf numFmtId="332" fontId="10" fillId="0" borderId="0" applyFont="0" applyFill="0" applyBorder="0" applyAlignment="0" applyProtection="0"/>
    <xf numFmtId="332" fontId="10" fillId="0" borderId="55" applyFont="0" applyFill="0" applyAlignment="0" applyProtection="0"/>
    <xf numFmtId="332" fontId="10" fillId="45" borderId="0" applyBorder="0" applyAlignment="0" applyProtection="0"/>
    <xf numFmtId="332" fontId="10" fillId="45" borderId="55" applyFont="0" applyAlignment="0" applyProtection="0"/>
    <xf numFmtId="333" fontId="10" fillId="0" borderId="55" applyFont="0" applyFill="0" applyAlignment="0" applyProtection="0"/>
    <xf numFmtId="333" fontId="10" fillId="0" borderId="0" applyFont="0" applyFill="0" applyBorder="0" applyAlignment="0" applyProtection="0"/>
    <xf numFmtId="333" fontId="10" fillId="45" borderId="0" applyBorder="0" applyAlignment="0" applyProtection="0"/>
    <xf numFmtId="333" fontId="10" fillId="45" borderId="55" applyFont="0" applyAlignment="0" applyProtection="0"/>
    <xf numFmtId="334" fontId="10" fillId="0" borderId="55" applyFont="0" applyFill="0" applyAlignment="0" applyProtection="0"/>
    <xf numFmtId="334" fontId="10" fillId="0" borderId="0" applyFill="0" applyBorder="0" applyAlignment="0" applyProtection="0"/>
    <xf numFmtId="334" fontId="10" fillId="45" borderId="0" applyBorder="0" applyAlignment="0" applyProtection="0"/>
    <xf numFmtId="334" fontId="10" fillId="45" borderId="55" applyFont="0" applyAlignment="0" applyProtection="0"/>
    <xf numFmtId="0" fontId="21" fillId="0" borderId="49" applyNumberFormat="0" applyFill="0" applyProtection="0">
      <alignment horizontal="right"/>
    </xf>
    <xf numFmtId="0" fontId="21" fillId="0" borderId="49" applyNumberFormat="0" applyFill="0" applyProtection="0">
      <alignment horizontal="right"/>
    </xf>
    <xf numFmtId="0" fontId="21" fillId="45" borderId="49" applyNumberFormat="0" applyProtection="0">
      <alignment horizontal="right"/>
    </xf>
    <xf numFmtId="0" fontId="21" fillId="45" borderId="49" applyNumberFormat="0" applyProtection="0">
      <alignment horizontal="right"/>
    </xf>
    <xf numFmtId="0" fontId="10" fillId="0" borderId="58" applyNumberFormat="0" applyFont="0" applyFill="0" applyAlignment="0" applyProtection="0"/>
    <xf numFmtId="0" fontId="21" fillId="0" borderId="49" applyNumberFormat="0" applyFill="0" applyProtection="0">
      <alignment horizontal="right"/>
    </xf>
    <xf numFmtId="0" fontId="21" fillId="0" borderId="49" applyNumberFormat="0" applyFill="0" applyProtection="0">
      <alignment horizontal="right"/>
    </xf>
    <xf numFmtId="0" fontId="21" fillId="45" borderId="49" applyNumberFormat="0" applyProtection="0">
      <alignment horizontal="right"/>
    </xf>
    <xf numFmtId="0" fontId="21" fillId="45" borderId="49" applyNumberFormat="0" applyProtection="0">
      <alignment horizontal="right"/>
    </xf>
    <xf numFmtId="0" fontId="10" fillId="0" borderId="58" applyNumberFormat="0" applyFont="0" applyFill="0" applyAlignment="0" applyProtection="0"/>
    <xf numFmtId="336" fontId="21" fillId="0" borderId="49">
      <alignment horizontal="right"/>
    </xf>
    <xf numFmtId="336" fontId="21" fillId="0" borderId="49">
      <alignment horizontal="right"/>
    </xf>
    <xf numFmtId="332" fontId="10" fillId="38" borderId="0"/>
    <xf numFmtId="332" fontId="10" fillId="38" borderId="55"/>
    <xf numFmtId="332" fontId="10" fillId="38" borderId="49"/>
    <xf numFmtId="332" fontId="10" fillId="38" borderId="49"/>
    <xf numFmtId="332" fontId="10" fillId="32" borderId="0"/>
    <xf numFmtId="332" fontId="10" fillId="32" borderId="55"/>
    <xf numFmtId="332" fontId="10" fillId="32" borderId="49"/>
    <xf numFmtId="332" fontId="10" fillId="32" borderId="49"/>
    <xf numFmtId="332" fontId="10" fillId="32" borderId="50"/>
    <xf numFmtId="332" fontId="10" fillId="32" borderId="51"/>
    <xf numFmtId="332" fontId="10" fillId="32" borderId="56"/>
    <xf numFmtId="0" fontId="10" fillId="0" borderId="58" applyNumberFormat="0"/>
    <xf numFmtId="0" fontId="10" fillId="0" borderId="0" applyNumberFormat="0"/>
    <xf numFmtId="0" fontId="10" fillId="0" borderId="52" applyNumberFormat="0"/>
    <xf numFmtId="0" fontId="10" fillId="0" borderId="54" applyNumberFormat="0"/>
    <xf numFmtId="0" fontId="10" fillId="0" borderId="49" applyNumberFormat="0"/>
    <xf numFmtId="0" fontId="10" fillId="0" borderId="49" applyNumberFormat="0"/>
    <xf numFmtId="0" fontId="10" fillId="0" borderId="55" applyNumberFormat="0"/>
    <xf numFmtId="0" fontId="10" fillId="0" borderId="53" applyNumberFormat="0"/>
    <xf numFmtId="0" fontId="10" fillId="0" borderId="57" applyNumberFormat="0"/>
    <xf numFmtId="0" fontId="43" fillId="0" borderId="0">
      <alignment vertical="top"/>
    </xf>
    <xf numFmtId="0" fontId="43" fillId="0" borderId="0">
      <alignment vertical="top"/>
    </xf>
    <xf numFmtId="0" fontId="21" fillId="0" borderId="49" applyNumberFormat="0">
      <alignment horizontal="right"/>
    </xf>
    <xf numFmtId="0" fontId="21" fillId="0" borderId="49" applyNumberFormat="0">
      <alignment horizontal="right"/>
    </xf>
    <xf numFmtId="0" fontId="21" fillId="38" borderId="49" applyNumberFormat="0">
      <alignment horizontal="right"/>
    </xf>
    <xf numFmtId="0" fontId="21" fillId="38" borderId="49" applyNumberFormat="0">
      <alignment horizontal="right"/>
    </xf>
    <xf numFmtId="333" fontId="10" fillId="0" borderId="49"/>
    <xf numFmtId="333" fontId="10" fillId="0" borderId="49"/>
    <xf numFmtId="333" fontId="10" fillId="38" borderId="49"/>
    <xf numFmtId="333" fontId="10" fillId="38" borderId="49"/>
    <xf numFmtId="334" fontId="10" fillId="0" borderId="55"/>
    <xf numFmtId="334" fontId="10" fillId="38" borderId="55"/>
    <xf numFmtId="331" fontId="10" fillId="0" borderId="49"/>
    <xf numFmtId="331" fontId="10" fillId="0" borderId="49"/>
    <xf numFmtId="336" fontId="21" fillId="0" borderId="49" applyFill="0" applyProtection="0">
      <alignment horizontal="right"/>
    </xf>
    <xf numFmtId="336" fontId="21" fillId="0" borderId="49" applyFill="0" applyProtection="0">
      <alignment horizontal="right"/>
    </xf>
    <xf numFmtId="336" fontId="21" fillId="45" borderId="49" applyProtection="0">
      <alignment horizontal="right"/>
    </xf>
    <xf numFmtId="336" fontId="21" fillId="45" borderId="49" applyProtection="0">
      <alignment horizontal="right"/>
    </xf>
    <xf numFmtId="333" fontId="10" fillId="0" borderId="49" applyFont="0" applyFill="0" applyAlignment="0" applyProtection="0"/>
    <xf numFmtId="333" fontId="10" fillId="0" borderId="49" applyFont="0" applyFill="0" applyAlignment="0" applyProtection="0"/>
    <xf numFmtId="333" fontId="10" fillId="45" borderId="49" applyFont="0" applyAlignment="0" applyProtection="0"/>
    <xf numFmtId="333" fontId="10" fillId="45" borderId="49" applyFont="0" applyAlignment="0" applyProtection="0"/>
    <xf numFmtId="334" fontId="10" fillId="0" borderId="55" applyFont="0" applyFill="0" applyAlignment="0" applyProtection="0"/>
    <xf numFmtId="334" fontId="10" fillId="45" borderId="55" applyFont="0" applyAlignment="0" applyProtection="0"/>
    <xf numFmtId="331" fontId="10" fillId="0" borderId="49" applyFont="0" applyFill="0" applyAlignment="0" applyProtection="0"/>
    <xf numFmtId="331" fontId="10" fillId="0" borderId="49" applyFont="0" applyFill="0" applyAlignment="0" applyProtection="0"/>
    <xf numFmtId="332" fontId="10" fillId="45" borderId="49" applyFont="0" applyAlignment="0" applyProtection="0"/>
    <xf numFmtId="332" fontId="10" fillId="45" borderId="49" applyFont="0" applyAlignment="0" applyProtection="0"/>
    <xf numFmtId="331" fontId="10" fillId="0" borderId="55" applyFont="0" applyFill="0" applyAlignment="0" applyProtection="0"/>
    <xf numFmtId="331" fontId="10" fillId="45" borderId="55" applyFont="0" applyAlignment="0" applyProtection="0"/>
    <xf numFmtId="0" fontId="10" fillId="0" borderId="58" applyNumberFormat="0" applyFont="0" applyFill="0" applyAlignment="0" applyProtection="0"/>
    <xf numFmtId="334" fontId="10" fillId="0" borderId="49" applyFont="0" applyFill="0" applyAlignment="0" applyProtection="0"/>
    <xf numFmtId="334" fontId="10" fillId="0" borderId="49" applyFont="0" applyFill="0" applyAlignment="0" applyProtection="0"/>
    <xf numFmtId="334" fontId="10" fillId="45" borderId="49" applyFont="0" applyAlignment="0" applyProtection="0"/>
    <xf numFmtId="334" fontId="10" fillId="45" borderId="49" applyFont="0" applyAlignment="0" applyProtection="0"/>
    <xf numFmtId="0" fontId="10" fillId="0" borderId="58" applyNumberFormat="0" applyFont="0" applyFill="0" applyAlignment="0" applyProtection="0"/>
    <xf numFmtId="334" fontId="10" fillId="0" borderId="49" applyFont="0" applyFill="0" applyAlignment="0" applyProtection="0"/>
    <xf numFmtId="334" fontId="10" fillId="0" borderId="49" applyFont="0" applyFill="0" applyAlignment="0" applyProtection="0"/>
    <xf numFmtId="334" fontId="10" fillId="45" borderId="49" applyFont="0" applyAlignment="0" applyProtection="0"/>
    <xf numFmtId="334" fontId="10" fillId="45" borderId="49" applyFont="0" applyAlignment="0" applyProtection="0"/>
    <xf numFmtId="0" fontId="21" fillId="0" borderId="49" applyNumberFormat="0" applyFill="0" applyProtection="0">
      <alignment horizontal="right"/>
    </xf>
    <xf numFmtId="0" fontId="21" fillId="0" borderId="49" applyNumberFormat="0" applyFill="0" applyProtection="0">
      <alignment horizontal="right"/>
    </xf>
    <xf numFmtId="0" fontId="21" fillId="45" borderId="49" applyNumberFormat="0" applyProtection="0">
      <alignment horizontal="right"/>
    </xf>
    <xf numFmtId="0" fontId="21" fillId="45" borderId="49" applyNumberFormat="0" applyProtection="0">
      <alignment horizontal="right"/>
    </xf>
    <xf numFmtId="333" fontId="10" fillId="0" borderId="49" applyFont="0" applyFill="0" applyAlignment="0" applyProtection="0"/>
    <xf numFmtId="333" fontId="10" fillId="0" borderId="49" applyFont="0" applyFill="0" applyAlignment="0" applyProtection="0"/>
    <xf numFmtId="333" fontId="10" fillId="45" borderId="49" applyFont="0" applyAlignment="0" applyProtection="0"/>
    <xf numFmtId="333" fontId="10" fillId="45" borderId="49" applyFont="0" applyAlignment="0" applyProtection="0"/>
    <xf numFmtId="334" fontId="10" fillId="0" borderId="55" applyFont="0" applyFill="0" applyAlignment="0" applyProtection="0"/>
    <xf numFmtId="334" fontId="10" fillId="45" borderId="55" applyFont="0" applyAlignment="0" applyProtection="0"/>
    <xf numFmtId="331" fontId="10" fillId="0" borderId="49" applyFont="0" applyFill="0" applyAlignment="0" applyProtection="0"/>
    <xf numFmtId="331" fontId="10" fillId="0" borderId="49" applyFont="0" applyFill="0" applyAlignment="0" applyProtection="0"/>
    <xf numFmtId="332" fontId="10" fillId="45" borderId="49" applyFont="0" applyAlignment="0" applyProtection="0"/>
    <xf numFmtId="332" fontId="10" fillId="45" borderId="49" applyFont="0" applyAlignment="0" applyProtection="0"/>
    <xf numFmtId="331" fontId="10" fillId="0" borderId="55" applyFont="0" applyFill="0" applyAlignment="0" applyProtection="0"/>
    <xf numFmtId="331" fontId="10" fillId="45" borderId="55" applyFont="0" applyAlignment="0" applyProtection="0"/>
    <xf numFmtId="0" fontId="10" fillId="0" borderId="58" applyNumberFormat="0" applyFont="0" applyFill="0" applyAlignment="0" applyProtection="0"/>
    <xf numFmtId="334" fontId="10" fillId="0" borderId="49" applyFont="0" applyFill="0" applyAlignment="0" applyProtection="0"/>
    <xf numFmtId="334" fontId="10" fillId="0" borderId="49" applyFont="0" applyFill="0" applyAlignment="0" applyProtection="0"/>
    <xf numFmtId="334" fontId="10" fillId="45" borderId="49" applyFont="0" applyAlignment="0" applyProtection="0"/>
    <xf numFmtId="334" fontId="10" fillId="45" borderId="49" applyFont="0" applyAlignment="0" applyProtection="0"/>
    <xf numFmtId="334" fontId="29" fillId="46" borderId="49" applyAlignment="0" applyProtection="0"/>
    <xf numFmtId="334" fontId="29" fillId="46" borderId="49" applyAlignment="0" applyProtection="0"/>
    <xf numFmtId="334" fontId="29" fillId="46" borderId="55" applyAlignment="0" applyProtection="0"/>
    <xf numFmtId="333" fontId="29" fillId="46" borderId="49" applyAlignment="0" applyProtection="0"/>
    <xf numFmtId="333" fontId="29" fillId="46" borderId="49" applyAlignment="0" applyProtection="0"/>
    <xf numFmtId="332" fontId="29" fillId="46" borderId="49" applyAlignment="0" applyProtection="0"/>
    <xf numFmtId="332" fontId="29" fillId="46" borderId="49" applyAlignment="0" applyProtection="0"/>
    <xf numFmtId="332" fontId="29" fillId="46" borderId="55" applyAlignment="0" applyProtection="0"/>
    <xf numFmtId="0" fontId="29" fillId="46" borderId="49" applyNumberFormat="0" applyProtection="0">
      <alignment horizontal="right"/>
    </xf>
    <xf numFmtId="0" fontId="29" fillId="46" borderId="49" applyNumberFormat="0" applyProtection="0">
      <alignment horizontal="right"/>
    </xf>
    <xf numFmtId="332" fontId="29" fillId="46" borderId="49" applyAlignment="0" applyProtection="0"/>
    <xf numFmtId="332" fontId="29" fillId="46" borderId="49" applyAlignment="0" applyProtection="0"/>
    <xf numFmtId="332" fontId="29" fillId="46" borderId="55" applyAlignment="0" applyProtection="0"/>
    <xf numFmtId="0" fontId="29" fillId="46" borderId="49" applyNumberFormat="0" applyProtection="0">
      <alignment horizontal="right"/>
    </xf>
    <xf numFmtId="0" fontId="29" fillId="46" borderId="49" applyNumberFormat="0" applyProtection="0">
      <alignment horizontal="right"/>
    </xf>
    <xf numFmtId="0" fontId="10" fillId="0" borderId="34" applyNumberFormat="0">
      <alignment horizontal="center"/>
    </xf>
    <xf numFmtId="0" fontId="29" fillId="46" borderId="49" applyNumberFormat="0">
      <alignment horizontal="right"/>
    </xf>
    <xf numFmtId="0" fontId="29" fillId="46" borderId="49" applyNumberFormat="0">
      <alignment horizontal="right"/>
    </xf>
    <xf numFmtId="334" fontId="29" fillId="46" borderId="49">
      <alignment horizontal="right"/>
    </xf>
    <xf numFmtId="334" fontId="29" fillId="46" borderId="49">
      <alignment horizontal="right"/>
    </xf>
    <xf numFmtId="334" fontId="29" fillId="46" borderId="55">
      <alignment horizontal="right"/>
    </xf>
    <xf numFmtId="333" fontId="29" fillId="46" borderId="49">
      <alignment horizontal="right"/>
    </xf>
    <xf numFmtId="333" fontId="29" fillId="46" borderId="49">
      <alignment horizontal="right"/>
    </xf>
    <xf numFmtId="334" fontId="10" fillId="38" borderId="0" applyAlignment="0" applyProtection="0"/>
    <xf numFmtId="334" fontId="10" fillId="38" borderId="55" applyAlignment="0" applyProtection="0"/>
    <xf numFmtId="334" fontId="10" fillId="38" borderId="49" applyAlignment="0" applyProtection="0"/>
    <xf numFmtId="334" fontId="10" fillId="38" borderId="49" applyAlignment="0" applyProtection="0"/>
    <xf numFmtId="334" fontId="10" fillId="32" borderId="0" applyAlignment="0" applyProtection="0"/>
    <xf numFmtId="334" fontId="10" fillId="32" borderId="55" applyAlignment="0" applyProtection="0"/>
    <xf numFmtId="334" fontId="10" fillId="32" borderId="49" applyAlignment="0" applyProtection="0"/>
    <xf numFmtId="334" fontId="10" fillId="32" borderId="49" applyAlignment="0" applyProtection="0"/>
    <xf numFmtId="334" fontId="10" fillId="32" borderId="50" applyAlignment="0" applyProtection="0"/>
    <xf numFmtId="334" fontId="10" fillId="32" borderId="51" applyAlignment="0" applyProtection="0"/>
    <xf numFmtId="334" fontId="10" fillId="32" borderId="56" applyAlignment="0" applyProtection="0"/>
    <xf numFmtId="0" fontId="201" fillId="43" borderId="34" applyNumberFormat="0" applyAlignment="0" applyProtection="0"/>
    <xf numFmtId="0" fontId="10" fillId="0" borderId="49" applyNumberFormat="0"/>
    <xf numFmtId="0" fontId="10" fillId="0" borderId="49" applyNumberFormat="0"/>
    <xf numFmtId="0" fontId="10" fillId="38" borderId="49" applyNumberFormat="0">
      <alignment horizontal="right"/>
    </xf>
    <xf numFmtId="0" fontId="10" fillId="38" borderId="49" applyNumberFormat="0">
      <alignment horizontal="right"/>
    </xf>
    <xf numFmtId="0" fontId="21" fillId="32" borderId="50" applyNumberFormat="0" applyProtection="0">
      <alignment horizontal="right"/>
    </xf>
    <xf numFmtId="0" fontId="10" fillId="0" borderId="57" applyNumberFormat="0"/>
    <xf numFmtId="0" fontId="21" fillId="32" borderId="51" applyNumberFormat="0" applyProtection="0">
      <alignment horizontal="right"/>
    </xf>
    <xf numFmtId="0" fontId="10" fillId="32" borderId="49" applyNumberFormat="0">
      <alignment horizontal="center"/>
    </xf>
    <xf numFmtId="0" fontId="10" fillId="32" borderId="49" applyNumberFormat="0">
      <alignment horizontal="center"/>
    </xf>
    <xf numFmtId="0" fontId="21" fillId="32" borderId="56" applyNumberFormat="0" applyProtection="0">
      <alignment horizontal="right"/>
    </xf>
    <xf numFmtId="0" fontId="10" fillId="32" borderId="49" applyNumberFormat="0">
      <alignment horizontal="left"/>
    </xf>
    <xf numFmtId="0" fontId="10" fillId="32" borderId="49" applyNumberFormat="0">
      <alignment horizontal="left"/>
    </xf>
    <xf numFmtId="0" fontId="21" fillId="38" borderId="49" applyNumberFormat="0" applyProtection="0">
      <alignment horizontal="right"/>
    </xf>
    <xf numFmtId="0" fontId="21" fillId="38" borderId="49" applyNumberFormat="0" applyProtection="0">
      <alignment horizontal="right"/>
    </xf>
    <xf numFmtId="0" fontId="10" fillId="0" borderId="0"/>
    <xf numFmtId="0" fontId="10" fillId="0" borderId="0"/>
    <xf numFmtId="337" fontId="10" fillId="32" borderId="49">
      <alignment horizontal="left"/>
    </xf>
    <xf numFmtId="337" fontId="10" fillId="32" borderId="49">
      <alignment horizontal="left"/>
    </xf>
    <xf numFmtId="0" fontId="10" fillId="32" borderId="49" applyNumberFormat="0">
      <alignment horizontal="right"/>
    </xf>
    <xf numFmtId="0" fontId="10" fillId="32" borderId="49" applyNumberFormat="0">
      <alignment horizontal="right"/>
    </xf>
    <xf numFmtId="0" fontId="21" fillId="32" borderId="49" applyNumberFormat="0" applyProtection="0">
      <alignment horizontal="right"/>
    </xf>
    <xf numFmtId="0" fontId="21" fillId="32" borderId="49" applyNumberFormat="0" applyProtection="0">
      <alignment horizontal="right"/>
    </xf>
    <xf numFmtId="333" fontId="10" fillId="38" borderId="0" applyAlignment="0" applyProtection="0"/>
    <xf numFmtId="333" fontId="10" fillId="38" borderId="55" applyAlignment="0" applyProtection="0"/>
    <xf numFmtId="333" fontId="10" fillId="38" borderId="49" applyAlignment="0" applyProtection="0"/>
    <xf numFmtId="333" fontId="10" fillId="38" borderId="49" applyAlignment="0" applyProtection="0"/>
    <xf numFmtId="333" fontId="10" fillId="32" borderId="0" applyAlignment="0" applyProtection="0"/>
    <xf numFmtId="333" fontId="10" fillId="32" borderId="55" applyAlignment="0" applyProtection="0"/>
    <xf numFmtId="333" fontId="10" fillId="32" borderId="49" applyAlignment="0" applyProtection="0"/>
    <xf numFmtId="333" fontId="10" fillId="32" borderId="49" applyAlignment="0" applyProtection="0"/>
    <xf numFmtId="333" fontId="10" fillId="32" borderId="50" applyAlignment="0" applyProtection="0"/>
    <xf numFmtId="333" fontId="10" fillId="32" borderId="51" applyAlignment="0" applyProtection="0"/>
    <xf numFmtId="333" fontId="10" fillId="32" borderId="56" applyAlignment="0" applyProtection="0"/>
    <xf numFmtId="332" fontId="10" fillId="38" borderId="0" applyAlignment="0" applyProtection="0"/>
    <xf numFmtId="332" fontId="10" fillId="38" borderId="55" applyAlignment="0" applyProtection="0"/>
    <xf numFmtId="332" fontId="10" fillId="38" borderId="49" applyAlignment="0" applyProtection="0"/>
    <xf numFmtId="332" fontId="10" fillId="38" borderId="49" applyAlignment="0" applyProtection="0"/>
    <xf numFmtId="332" fontId="10" fillId="32" borderId="0" applyAlignment="0" applyProtection="0"/>
    <xf numFmtId="332" fontId="10" fillId="32" borderId="55" applyAlignment="0" applyProtection="0"/>
    <xf numFmtId="332" fontId="10" fillId="32" borderId="49" applyAlignment="0" applyProtection="0"/>
    <xf numFmtId="332" fontId="10" fillId="32" borderId="49" applyAlignment="0" applyProtection="0"/>
    <xf numFmtId="332" fontId="10" fillId="32" borderId="50" applyAlignment="0" applyProtection="0"/>
    <xf numFmtId="332" fontId="10" fillId="32" borderId="51" applyAlignment="0" applyProtection="0"/>
    <xf numFmtId="332" fontId="10" fillId="32" borderId="56" applyAlignment="0" applyProtection="0"/>
    <xf numFmtId="0" fontId="201" fillId="43" borderId="50" applyNumberFormat="0" applyProtection="0">
      <alignment horizontal="right"/>
    </xf>
    <xf numFmtId="0" fontId="201" fillId="43" borderId="51" applyNumberFormat="0" applyProtection="0">
      <alignment horizontal="right"/>
    </xf>
    <xf numFmtId="0" fontId="201" fillId="43" borderId="56" applyNumberFormat="0" applyProtection="0">
      <alignment horizontal="right"/>
    </xf>
    <xf numFmtId="0" fontId="10" fillId="0" borderId="58" applyNumberFormat="0" applyFill="0" applyAlignment="0" applyProtection="0"/>
    <xf numFmtId="0" fontId="43" fillId="0" borderId="0">
      <alignment vertical="top"/>
    </xf>
    <xf numFmtId="0" fontId="43" fillId="0" borderId="0">
      <alignment vertical="top"/>
    </xf>
    <xf numFmtId="331" fontId="10" fillId="32" borderId="49" applyFont="0" applyAlignment="0" applyProtection="0"/>
    <xf numFmtId="331" fontId="10" fillId="32" borderId="49" applyFont="0" applyAlignment="0" applyProtection="0"/>
    <xf numFmtId="332" fontId="10" fillId="45" borderId="49" applyFont="0" applyAlignment="0" applyProtection="0"/>
    <xf numFmtId="332" fontId="10" fillId="45" borderId="49" applyFont="0" applyAlignment="0" applyProtection="0"/>
    <xf numFmtId="0" fontId="10" fillId="0" borderId="34" applyNumberFormat="0" applyFill="0" applyProtection="0">
      <alignment horizontal="center"/>
    </xf>
    <xf numFmtId="338" fontId="10" fillId="38" borderId="55" applyProtection="0">
      <alignment horizontal="right"/>
    </xf>
    <xf numFmtId="338" fontId="10" fillId="32" borderId="55" applyProtection="0">
      <alignment horizontal="right"/>
    </xf>
    <xf numFmtId="0" fontId="29" fillId="46" borderId="49" applyNumberFormat="0" applyProtection="0">
      <alignment horizontal="right"/>
    </xf>
    <xf numFmtId="0" fontId="29" fillId="46" borderId="49" applyNumberFormat="0" applyProtection="0">
      <alignment horizontal="right"/>
    </xf>
    <xf numFmtId="334" fontId="29" fillId="46" borderId="49" applyProtection="0">
      <alignment horizontal="right"/>
    </xf>
    <xf numFmtId="334" fontId="29" fillId="46" borderId="49" applyProtection="0">
      <alignment horizontal="right"/>
    </xf>
    <xf numFmtId="334" fontId="29" fillId="46" borderId="55" applyProtection="0">
      <alignment horizontal="right"/>
    </xf>
    <xf numFmtId="333" fontId="29" fillId="46" borderId="49" applyProtection="0">
      <alignment horizontal="right"/>
    </xf>
    <xf numFmtId="333" fontId="29" fillId="46" borderId="49" applyProtection="0">
      <alignment horizontal="right"/>
    </xf>
    <xf numFmtId="332" fontId="29" fillId="46" borderId="49" applyProtection="0">
      <alignment horizontal="right"/>
    </xf>
    <xf numFmtId="332" fontId="29" fillId="46" borderId="49" applyProtection="0">
      <alignment horizontal="right"/>
    </xf>
    <xf numFmtId="332" fontId="29" fillId="46" borderId="55" applyProtection="0">
      <alignment horizontal="right"/>
    </xf>
    <xf numFmtId="339" fontId="39" fillId="0" borderId="0" applyFill="0" applyBorder="0" applyProtection="0">
      <alignment horizontal="right"/>
    </xf>
    <xf numFmtId="340" fontId="39" fillId="0" borderId="0" applyFill="0" applyBorder="0" applyProtection="0">
      <alignment horizontal="right"/>
    </xf>
    <xf numFmtId="341" fontId="39" fillId="0" borderId="0" applyFill="0" applyBorder="0" applyProtection="0">
      <alignment horizontal="right"/>
    </xf>
    <xf numFmtId="0" fontId="10" fillId="0" borderId="0">
      <alignment vertical="top"/>
    </xf>
    <xf numFmtId="171" fontId="39" fillId="0" borderId="0" applyFill="0" applyBorder="0" applyProtection="0">
      <alignment horizontal="right"/>
    </xf>
    <xf numFmtId="0" fontId="39" fillId="0" borderId="0" applyNumberFormat="0" applyFill="0" applyBorder="0" applyProtection="0">
      <alignment horizontal="left" vertical="top" wrapText="1"/>
    </xf>
    <xf numFmtId="342" fontId="70" fillId="0" borderId="0" applyNumberFormat="0" applyFill="0" applyBorder="0" applyAlignment="0" applyProtection="0">
      <alignment horizontal="right" vertical="center" wrapText="1"/>
    </xf>
    <xf numFmtId="343" fontId="203" fillId="0" borderId="0" applyNumberFormat="0" applyFill="0" applyBorder="0" applyAlignment="0" applyProtection="0">
      <alignment horizontal="right" vertical="center" wrapText="1"/>
    </xf>
    <xf numFmtId="0" fontId="204" fillId="0" borderId="0" applyNumberFormat="0" applyFill="0" applyBorder="0" applyAlignment="0" applyProtection="0"/>
    <xf numFmtId="0" fontId="205" fillId="0" borderId="0" applyNumberFormat="0" applyFill="0" applyBorder="0" applyAlignment="0" applyProtection="0">
      <protection locked="0"/>
    </xf>
    <xf numFmtId="0" fontId="206" fillId="0" borderId="2" applyNumberFormat="0" applyFill="0" applyProtection="0">
      <alignment horizontal="right"/>
    </xf>
    <xf numFmtId="0" fontId="207" fillId="0" borderId="0" applyNumberFormat="0" applyFill="0" applyBorder="0" applyProtection="0">
      <alignment horizontal="left" vertical="center"/>
    </xf>
    <xf numFmtId="170" fontId="208" fillId="0" borderId="9" applyBorder="0"/>
    <xf numFmtId="170" fontId="208" fillId="0" borderId="9" applyBorder="0"/>
    <xf numFmtId="170" fontId="208" fillId="0" borderId="9" applyBorder="0"/>
    <xf numFmtId="0" fontId="209" fillId="0" borderId="59"/>
    <xf numFmtId="0" fontId="210" fillId="0" borderId="0"/>
    <xf numFmtId="0" fontId="211" fillId="0" borderId="0"/>
    <xf numFmtId="0" fontId="207" fillId="0" borderId="15" applyNumberFormat="0" applyFill="0" applyProtection="0">
      <alignment horizontal="left" vertical="center"/>
    </xf>
    <xf numFmtId="6" fontId="153" fillId="0" borderId="60" applyFill="0">
      <alignment vertical="center"/>
    </xf>
    <xf numFmtId="0" fontId="212" fillId="0" borderId="0"/>
    <xf numFmtId="344" fontId="39" fillId="0" borderId="0"/>
    <xf numFmtId="0" fontId="213" fillId="0" borderId="16" applyNumberFormat="0" applyFill="0" applyBorder="0" applyAlignment="0" applyProtection="0"/>
    <xf numFmtId="39" fontId="21" fillId="0" borderId="15" applyNumberFormat="0" applyBorder="0">
      <alignment horizontal="right"/>
    </xf>
    <xf numFmtId="0" fontId="206" fillId="0" borderId="61" applyNumberFormat="0" applyProtection="0">
      <alignment horizontal="right"/>
    </xf>
    <xf numFmtId="0" fontId="101" fillId="0" borderId="1" applyNumberFormat="0" applyFill="0" applyProtection="0"/>
    <xf numFmtId="258" fontId="214" fillId="0" borderId="1" applyBorder="0" applyProtection="0">
      <alignment horizontal="right" vertical="center"/>
    </xf>
    <xf numFmtId="0" fontId="215" fillId="47" borderId="0" applyBorder="0" applyProtection="0">
      <alignment horizontal="centerContinuous" vertical="center"/>
    </xf>
    <xf numFmtId="0" fontId="215" fillId="36" borderId="1" applyBorder="0" applyProtection="0">
      <alignment horizontal="centerContinuous" vertical="center"/>
    </xf>
    <xf numFmtId="0" fontId="101" fillId="0" borderId="1" applyNumberFormat="0" applyFill="0" applyProtection="0"/>
    <xf numFmtId="0" fontId="216" fillId="0" borderId="62"/>
    <xf numFmtId="0" fontId="111" fillId="0" borderId="0"/>
    <xf numFmtId="0" fontId="217" fillId="0" borderId="0">
      <alignment vertical="center"/>
    </xf>
    <xf numFmtId="0" fontId="218" fillId="0" borderId="0">
      <alignment vertical="center"/>
    </xf>
    <xf numFmtId="0" fontId="219" fillId="0" borderId="0">
      <alignment vertical="center"/>
    </xf>
    <xf numFmtId="0" fontId="220" fillId="0" borderId="0" applyFill="0" applyBorder="0" applyProtection="0">
      <alignment horizontal="left"/>
    </xf>
    <xf numFmtId="0" fontId="221" fillId="0" borderId="5" applyFill="0" applyBorder="0" applyProtection="0">
      <alignment horizontal="left" vertical="top"/>
    </xf>
    <xf numFmtId="0" fontId="221" fillId="0" borderId="5" applyFill="0" applyBorder="0" applyProtection="0">
      <alignment horizontal="left" vertical="top"/>
    </xf>
    <xf numFmtId="0" fontId="177" fillId="0" borderId="0">
      <alignment horizontal="centerContinuous"/>
    </xf>
    <xf numFmtId="38" fontId="97" fillId="0" borderId="0" applyNumberFormat="0" applyBorder="0">
      <alignment horizontal="left"/>
    </xf>
    <xf numFmtId="49" fontId="222" fillId="0" borderId="0"/>
    <xf numFmtId="0" fontId="223" fillId="0" borderId="0"/>
    <xf numFmtId="0" fontId="224" fillId="0" borderId="0"/>
    <xf numFmtId="0" fontId="134" fillId="0" borderId="0"/>
    <xf numFmtId="0" fontId="59" fillId="0" borderId="0">
      <alignment vertical="center"/>
    </xf>
    <xf numFmtId="0" fontId="170" fillId="0" borderId="0"/>
    <xf numFmtId="0" fontId="225" fillId="0" borderId="0"/>
    <xf numFmtId="0" fontId="190" fillId="0" borderId="0"/>
    <xf numFmtId="345" fontId="64" fillId="0" borderId="0" applyBorder="0" applyProtection="0">
      <alignment horizontal="right"/>
    </xf>
    <xf numFmtId="345" fontId="64" fillId="0" borderId="0" applyBorder="0" applyProtection="0">
      <alignment horizontal="right"/>
    </xf>
    <xf numFmtId="3" fontId="226" fillId="0" borderId="0"/>
    <xf numFmtId="3" fontId="227" fillId="0" borderId="0"/>
    <xf numFmtId="14" fontId="10" fillId="0" borderId="0" applyFill="0" applyBorder="0">
      <alignment vertical="center"/>
    </xf>
    <xf numFmtId="346" fontId="10" fillId="0" borderId="0"/>
    <xf numFmtId="0" fontId="34" fillId="0" borderId="0" applyNumberFormat="0" applyFill="0" applyBorder="0" applyAlignment="0" applyProtection="0"/>
    <xf numFmtId="0" fontId="34"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171" fontId="228" fillId="0" borderId="0">
      <alignment horizontal="right" vertical="center"/>
    </xf>
    <xf numFmtId="347" fontId="10" fillId="0" borderId="0" applyFont="0" applyFill="0" applyBorder="0"/>
    <xf numFmtId="347" fontId="10" fillId="0" borderId="0" applyFont="0" applyFill="0" applyBorder="0"/>
    <xf numFmtId="348" fontId="160" fillId="0" borderId="4" applyFont="0" applyFill="0" applyBorder="0"/>
    <xf numFmtId="0" fontId="20" fillId="0" borderId="0" applyNumberFormat="0" applyFill="0" applyBorder="0" applyAlignment="0" applyProtection="0"/>
    <xf numFmtId="0" fontId="229" fillId="0" borderId="0" applyNumberFormat="0" applyFill="0" applyBorder="0" applyAlignment="0" applyProtection="0"/>
    <xf numFmtId="0" fontId="230" fillId="0" borderId="63"/>
    <xf numFmtId="0" fontId="231" fillId="37" borderId="0" applyNumberFormat="0" applyBorder="0" applyAlignment="0">
      <alignment vertical="center"/>
    </xf>
    <xf numFmtId="0" fontId="232" fillId="0" borderId="15"/>
    <xf numFmtId="0" fontId="231" fillId="8" borderId="0" applyNumberFormat="0" applyBorder="0">
      <alignment vertical="center"/>
    </xf>
    <xf numFmtId="223" fontId="233" fillId="0" borderId="0" applyNumberFormat="0" applyFill="0" applyBorder="0" applyAlignment="0" applyProtection="0"/>
    <xf numFmtId="0" fontId="234" fillId="0" borderId="0"/>
    <xf numFmtId="0" fontId="27" fillId="0" borderId="0" applyBorder="0"/>
    <xf numFmtId="0" fontId="235" fillId="0" borderId="0" applyNumberFormat="0" applyFill="0" applyBorder="0" applyAlignment="0" applyProtection="0"/>
    <xf numFmtId="0" fontId="236" fillId="0" borderId="0" applyNumberFormat="0" applyFill="0" applyBorder="0" applyAlignment="0" applyProtection="0"/>
    <xf numFmtId="0" fontId="237" fillId="0" borderId="0"/>
    <xf numFmtId="0" fontId="58" fillId="0" borderId="0" applyNumberFormat="0" applyFill="0" applyBorder="0" applyAlignment="0"/>
    <xf numFmtId="0" fontId="58" fillId="0" borderId="0" applyNumberFormat="0" applyFill="0" applyBorder="0" applyAlignment="0"/>
    <xf numFmtId="0" fontId="238" fillId="0" borderId="0" applyNumberFormat="0" applyFont="0" applyFill="0" applyBorder="0" applyAlignment="0">
      <alignment horizontal="left" vertical="center"/>
    </xf>
    <xf numFmtId="0" fontId="19" fillId="0" borderId="12"/>
    <xf numFmtId="174" fontId="206" fillId="0" borderId="2" applyNumberFormat="0" applyFont="0" applyFill="0" applyAlignment="0" applyProtection="0"/>
    <xf numFmtId="0" fontId="19" fillId="0" borderId="2" applyNumberFormat="0" applyFont="0" applyFill="0" applyAlignment="0" applyProtection="0"/>
    <xf numFmtId="0" fontId="160" fillId="16" borderId="9"/>
    <xf numFmtId="0" fontId="160" fillId="16" borderId="9"/>
    <xf numFmtId="0" fontId="160" fillId="16" borderId="9"/>
    <xf numFmtId="3" fontId="10" fillId="0" borderId="2" applyNumberFormat="0" applyFont="0" applyFill="0" applyAlignment="0" applyProtection="0"/>
    <xf numFmtId="3" fontId="10" fillId="0" borderId="2" applyNumberFormat="0" applyFont="0" applyFill="0" applyAlignment="0" applyProtection="0"/>
    <xf numFmtId="165" fontId="64" fillId="0" borderId="61"/>
    <xf numFmtId="349" fontId="10" fillId="0" borderId="0" applyFont="0" applyFill="0" applyBorder="0" applyAlignment="0" applyProtection="0"/>
    <xf numFmtId="298" fontId="10" fillId="0" borderId="0" applyFont="0" applyFill="0" applyBorder="0" applyAlignment="0" applyProtection="0"/>
    <xf numFmtId="350" fontId="39" fillId="0" borderId="0" applyBorder="0" applyProtection="0">
      <alignment horizontal="right"/>
    </xf>
    <xf numFmtId="350" fontId="39" fillId="0" borderId="0" applyBorder="0" applyProtection="0">
      <alignment horizontal="right"/>
    </xf>
    <xf numFmtId="40" fontId="92" fillId="0" borderId="0"/>
    <xf numFmtId="37" fontId="196" fillId="0" borderId="1"/>
    <xf numFmtId="256" fontId="239" fillId="0" borderId="0">
      <alignment horizontal="right"/>
    </xf>
    <xf numFmtId="38" fontId="240" fillId="0" borderId="0"/>
    <xf numFmtId="207" fontId="240" fillId="0" borderId="0"/>
    <xf numFmtId="37" fontId="196" fillId="0" borderId="64"/>
    <xf numFmtId="38" fontId="97" fillId="0" borderId="0">
      <alignment horizontal="right"/>
    </xf>
    <xf numFmtId="0" fontId="241" fillId="0" borderId="0" applyNumberFormat="0" applyFill="0" applyBorder="0" applyAlignment="0" applyProtection="0"/>
    <xf numFmtId="165" fontId="28" fillId="0" borderId="0" applyNumberFormat="0" applyBorder="0" applyAlignment="0"/>
    <xf numFmtId="351" fontId="183" fillId="7" borderId="5" applyBorder="0">
      <alignment horizontal="right" vertical="center"/>
      <protection locked="0"/>
    </xf>
    <xf numFmtId="0" fontId="66" fillId="16" borderId="31" applyNumberFormat="0" applyFill="0" applyAlignment="0">
      <protection locked="0" hidden="1"/>
    </xf>
    <xf numFmtId="259" fontId="146" fillId="0" borderId="0" applyNumberFormat="0"/>
    <xf numFmtId="259" fontId="146" fillId="0" borderId="0" applyNumberFormat="0"/>
    <xf numFmtId="0" fontId="19" fillId="0" borderId="0"/>
    <xf numFmtId="0" fontId="11" fillId="48" borderId="65">
      <alignment horizontal="left"/>
    </xf>
    <xf numFmtId="0" fontId="11" fillId="48" borderId="65">
      <alignment horizontal="left"/>
    </xf>
    <xf numFmtId="352" fontId="27" fillId="0" borderId="0" applyFont="0" applyFill="0" applyBorder="0" applyAlignment="0" applyProtection="0"/>
    <xf numFmtId="352" fontId="27" fillId="0" borderId="0" applyFont="0" applyFill="0" applyBorder="0" applyAlignment="0" applyProtection="0"/>
    <xf numFmtId="353" fontId="27" fillId="0" borderId="0" applyFont="0" applyFill="0" applyBorder="0" applyAlignment="0" applyProtection="0"/>
    <xf numFmtId="0" fontId="242" fillId="6" borderId="0"/>
    <xf numFmtId="354" fontId="27" fillId="0" borderId="0" applyFont="0" applyFill="0" applyBorder="0" applyAlignment="0" applyProtection="0"/>
    <xf numFmtId="355" fontId="27" fillId="0" borderId="0" applyFont="0" applyFill="0" applyBorder="0" applyAlignment="0" applyProtection="0"/>
    <xf numFmtId="3" fontId="243" fillId="0" borderId="0" applyFill="0" applyBorder="0" applyAlignment="0" applyProtection="0"/>
    <xf numFmtId="1" fontId="70" fillId="0" borderId="0" applyFont="0" applyFill="0" applyBorder="0" applyAlignment="0" applyProtection="0"/>
    <xf numFmtId="0" fontId="244" fillId="0" borderId="16" applyNumberFormat="0" applyFill="0" applyBorder="0" applyAlignment="0" applyProtection="0"/>
    <xf numFmtId="0" fontId="245" fillId="0" borderId="16" applyNumberFormat="0" applyFill="0" applyBorder="0" applyAlignment="0" applyProtection="0"/>
    <xf numFmtId="0" fontId="246" fillId="0" borderId="16" applyNumberFormat="0" applyFill="0" applyBorder="0" applyAlignment="0" applyProtection="0"/>
    <xf numFmtId="1" fontId="247" fillId="0" borderId="0">
      <alignment horizontal="right"/>
    </xf>
    <xf numFmtId="172" fontId="21" fillId="32" borderId="0" applyNumberFormat="0" applyFont="0" applyFill="0" applyBorder="0" applyAlignment="0"/>
    <xf numFmtId="172" fontId="21" fillId="32" borderId="0" applyNumberFormat="0" applyFont="0" applyFill="0" applyBorder="0" applyAlignment="0"/>
    <xf numFmtId="179" fontId="34" fillId="0" borderId="0"/>
    <xf numFmtId="1" fontId="177" fillId="0" borderId="15" applyFill="0" applyProtection="0">
      <alignment horizontal="right"/>
    </xf>
    <xf numFmtId="1" fontId="177" fillId="0" borderId="15" applyFill="0" applyProtection="0">
      <alignment horizontal="right"/>
    </xf>
    <xf numFmtId="167" fontId="10" fillId="0" borderId="0" applyFill="0" applyBorder="0">
      <alignment vertical="center"/>
    </xf>
    <xf numFmtId="356" fontId="81" fillId="0" borderId="0" applyFont="0" applyFill="0" applyBorder="0" applyAlignment="0" applyProtection="0"/>
    <xf numFmtId="0" fontId="248" fillId="0" borderId="0"/>
    <xf numFmtId="189" fontId="249" fillId="0" borderId="0" applyFont="0" applyFill="0" applyBorder="0" applyAlignment="0" applyProtection="0"/>
    <xf numFmtId="0" fontId="10" fillId="0" borderId="0"/>
    <xf numFmtId="357" fontId="250" fillId="0" borderId="0" applyFont="0" applyFill="0" applyBorder="0" applyAlignment="0" applyProtection="0"/>
    <xf numFmtId="0" fontId="250" fillId="0" borderId="0" applyFont="0" applyFill="0" applyBorder="0" applyAlignment="0" applyProtection="0"/>
    <xf numFmtId="0" fontId="25" fillId="0" borderId="0"/>
    <xf numFmtId="176" fontId="19" fillId="0" borderId="0"/>
    <xf numFmtId="358" fontId="249" fillId="30" borderId="0" applyNumberFormat="0" applyFont="0" applyBorder="0" applyAlignment="0">
      <protection locked="0"/>
    </xf>
    <xf numFmtId="178" fontId="249" fillId="0" borderId="0" applyFont="0" applyFill="0" applyBorder="0" applyAlignment="0" applyProtection="0"/>
    <xf numFmtId="194" fontId="249" fillId="0" borderId="0" applyFont="0" applyFill="0" applyBorder="0" applyAlignment="0" applyProtection="0"/>
    <xf numFmtId="39" fontId="249" fillId="0" borderId="0" applyFont="0" applyFill="0" applyBorder="0" applyAlignment="0" applyProtection="0"/>
    <xf numFmtId="40" fontId="80" fillId="0" borderId="0" applyAlignment="0"/>
    <xf numFmtId="0" fontId="251" fillId="0" borderId="0"/>
    <xf numFmtId="0" fontId="66" fillId="0" borderId="67">
      <protection hidden="1"/>
    </xf>
    <xf numFmtId="0" fontId="66" fillId="0" borderId="67">
      <protection hidden="1"/>
    </xf>
    <xf numFmtId="0" fontId="66" fillId="0" borderId="67">
      <protection hidden="1"/>
    </xf>
    <xf numFmtId="0" fontId="67" fillId="16" borderId="67" applyNumberFormat="0" applyFont="0" applyBorder="0" applyAlignment="0" applyProtection="0">
      <protection hidden="1"/>
    </xf>
    <xf numFmtId="0" fontId="67" fillId="16" borderId="67" applyNumberFormat="0" applyFont="0" applyBorder="0" applyAlignment="0" applyProtection="0">
      <protection hidden="1"/>
    </xf>
    <xf numFmtId="0" fontId="67" fillId="16" borderId="67" applyNumberFormat="0" applyFont="0" applyBorder="0" applyAlignment="0" applyProtection="0">
      <protection hidden="1"/>
    </xf>
    <xf numFmtId="1" fontId="71" fillId="17" borderId="66" applyNumberFormat="0" applyBorder="0" applyAlignment="0">
      <alignment horizontal="center" vertical="top" wrapText="1"/>
      <protection hidden="1"/>
    </xf>
    <xf numFmtId="0" fontId="39" fillId="0" borderId="67"/>
    <xf numFmtId="37" fontId="139" fillId="0" borderId="67" applyNumberFormat="0" applyFill="0" applyAlignment="0" applyProtection="0"/>
    <xf numFmtId="37" fontId="139" fillId="0" borderId="67" applyNumberFormat="0" applyFill="0" applyAlignment="0" applyProtection="0"/>
    <xf numFmtId="37" fontId="139" fillId="0" borderId="67" applyNumberFormat="0" applyFill="0" applyAlignment="0" applyProtection="0"/>
    <xf numFmtId="0" fontId="138" fillId="0" borderId="67">
      <alignment horizontal="left"/>
      <protection locked="0"/>
    </xf>
    <xf numFmtId="0" fontId="138" fillId="0" borderId="67">
      <alignment horizontal="left"/>
      <protection locked="0"/>
    </xf>
    <xf numFmtId="0" fontId="138" fillId="0" borderId="67">
      <alignment horizontal="left"/>
      <protection locked="0"/>
    </xf>
    <xf numFmtId="0" fontId="10" fillId="0" borderId="67"/>
    <xf numFmtId="0" fontId="10" fillId="0" borderId="67"/>
    <xf numFmtId="0" fontId="10" fillId="0" borderId="67"/>
    <xf numFmtId="259" fontId="171" fillId="0" borderId="67" applyBorder="0"/>
    <xf numFmtId="259" fontId="171" fillId="0" borderId="67" applyBorder="0"/>
    <xf numFmtId="259" fontId="171" fillId="0" borderId="67" applyBorder="0"/>
    <xf numFmtId="259" fontId="172" fillId="0" borderId="67" applyBorder="0"/>
    <xf numFmtId="259" fontId="172" fillId="0" borderId="67" applyBorder="0"/>
    <xf numFmtId="259" fontId="172" fillId="0" borderId="67" applyBorder="0"/>
    <xf numFmtId="0" fontId="39" fillId="40" borderId="67" applyNumberFormat="0" applyFont="0" applyBorder="0" applyAlignment="0" applyProtection="0">
      <alignment horizontal="center"/>
    </xf>
    <xf numFmtId="0" fontId="39" fillId="40" borderId="67" applyNumberFormat="0" applyFont="0" applyBorder="0" applyAlignment="0" applyProtection="0">
      <alignment horizontal="center"/>
    </xf>
    <xf numFmtId="0" fontId="39" fillId="40" borderId="67" applyNumberFormat="0" applyFont="0" applyBorder="0" applyAlignment="0" applyProtection="0">
      <alignment horizontal="center"/>
    </xf>
    <xf numFmtId="0" fontId="39" fillId="40" borderId="67" applyNumberFormat="0" applyFont="0" applyBorder="0" applyAlignment="0" applyProtection="0">
      <alignment horizontal="center"/>
    </xf>
    <xf numFmtId="0" fontId="39" fillId="40" borderId="67" applyNumberFormat="0" applyFont="0" applyBorder="0" applyAlignment="0" applyProtection="0">
      <alignment horizontal="center"/>
    </xf>
    <xf numFmtId="0" fontId="39" fillId="40" borderId="67" applyNumberFormat="0" applyFont="0" applyBorder="0" applyAlignment="0" applyProtection="0">
      <alignment horizontal="center"/>
    </xf>
    <xf numFmtId="0" fontId="39" fillId="6" borderId="67" applyNumberFormat="0" applyFont="0" applyBorder="0" applyAlignment="0" applyProtection="0">
      <alignment horizontal="center"/>
    </xf>
    <xf numFmtId="0" fontId="39" fillId="6" borderId="67" applyNumberFormat="0" applyFont="0" applyBorder="0" applyAlignment="0" applyProtection="0">
      <alignment horizontal="center"/>
    </xf>
    <xf numFmtId="0" fontId="39" fillId="6" borderId="67" applyNumberFormat="0" applyFont="0" applyBorder="0" applyAlignment="0" applyProtection="0">
      <alignment horizontal="center"/>
    </xf>
    <xf numFmtId="0" fontId="39" fillId="6" borderId="67" applyNumberFormat="0" applyFont="0" applyBorder="0" applyAlignment="0" applyProtection="0">
      <alignment horizontal="center"/>
    </xf>
    <xf numFmtId="0" fontId="39" fillId="6" borderId="67" applyNumberFormat="0" applyFont="0" applyBorder="0" applyAlignment="0" applyProtection="0">
      <alignment horizontal="center"/>
    </xf>
    <xf numFmtId="0" fontId="39" fillId="6" borderId="67" applyNumberFormat="0" applyFont="0" applyBorder="0" applyAlignment="0" applyProtection="0">
      <alignment horizontal="center"/>
    </xf>
    <xf numFmtId="164" fontId="179" fillId="0" borderId="67" applyBorder="0"/>
    <xf numFmtId="164" fontId="179" fillId="0" borderId="67" applyBorder="0"/>
    <xf numFmtId="164" fontId="179" fillId="0" borderId="67" applyBorder="0"/>
    <xf numFmtId="0" fontId="188" fillId="0" borderId="67" applyNumberFormat="0" applyFill="0" applyBorder="0" applyAlignment="0" applyProtection="0">
      <protection hidden="1"/>
    </xf>
    <xf numFmtId="0" fontId="188" fillId="0" borderId="67" applyNumberFormat="0" applyFill="0" applyBorder="0" applyAlignment="0" applyProtection="0">
      <protection hidden="1"/>
    </xf>
    <xf numFmtId="0" fontId="188" fillId="0" borderId="67" applyNumberFormat="0" applyFill="0" applyBorder="0" applyAlignment="0" applyProtection="0">
      <protection hidden="1"/>
    </xf>
    <xf numFmtId="170" fontId="208" fillId="0" borderId="67" applyBorder="0"/>
    <xf numFmtId="170" fontId="208" fillId="0" borderId="67" applyBorder="0"/>
    <xf numFmtId="170" fontId="208" fillId="0" borderId="67" applyBorder="0"/>
    <xf numFmtId="0" fontId="221" fillId="0" borderId="66" applyFill="0" applyBorder="0" applyProtection="0">
      <alignment horizontal="left" vertical="top"/>
    </xf>
    <xf numFmtId="0" fontId="221" fillId="0" borderId="66" applyFill="0" applyBorder="0" applyProtection="0">
      <alignment horizontal="left" vertical="top"/>
    </xf>
    <xf numFmtId="0" fontId="160" fillId="16" borderId="67"/>
    <xf numFmtId="0" fontId="160" fillId="16" borderId="67"/>
    <xf numFmtId="0" fontId="160" fillId="16" borderId="67"/>
    <xf numFmtId="351" fontId="183" fillId="7" borderId="66" applyBorder="0">
      <alignment horizontal="right" vertical="center"/>
      <protection locked="0"/>
    </xf>
    <xf numFmtId="0" fontId="278" fillId="0" borderId="0"/>
    <xf numFmtId="0" fontId="278" fillId="0" borderId="0"/>
    <xf numFmtId="0" fontId="10" fillId="0" borderId="0"/>
  </cellStyleXfs>
  <cellXfs count="334">
    <xf numFmtId="0" fontId="0" fillId="0" borderId="0" xfId="0"/>
    <xf numFmtId="0" fontId="2" fillId="2" borderId="0" xfId="0" applyFont="1" applyFill="1" applyAlignment="1">
      <alignment horizontal="right"/>
    </xf>
    <xf numFmtId="0" fontId="4" fillId="2" borderId="0" xfId="0" applyFont="1" applyFill="1" applyAlignment="1">
      <alignment horizontal="right"/>
    </xf>
    <xf numFmtId="166" fontId="5" fillId="2" borderId="0" xfId="0" applyNumberFormat="1" applyFont="1" applyFill="1" applyAlignment="1">
      <alignment horizontal="right"/>
    </xf>
    <xf numFmtId="166" fontId="2" fillId="2" borderId="0" xfId="0" applyNumberFormat="1" applyFont="1" applyFill="1" applyAlignment="1">
      <alignment horizontal="right"/>
    </xf>
    <xf numFmtId="166" fontId="4" fillId="2" borderId="0" xfId="0" applyNumberFormat="1" applyFont="1" applyFill="1" applyAlignment="1">
      <alignment horizontal="right"/>
    </xf>
    <xf numFmtId="165" fontId="2" fillId="3" borderId="0" xfId="0" applyNumberFormat="1" applyFont="1" applyFill="1" applyAlignment="1">
      <alignment horizontal="right"/>
    </xf>
    <xf numFmtId="166" fontId="2" fillId="2" borderId="1" xfId="0" applyNumberFormat="1" applyFont="1" applyFill="1" applyBorder="1" applyAlignment="1">
      <alignment horizontal="right"/>
    </xf>
    <xf numFmtId="0" fontId="2" fillId="3" borderId="0" xfId="0" applyFont="1" applyFill="1" applyAlignment="1">
      <alignment horizontal="right"/>
    </xf>
    <xf numFmtId="166" fontId="3" fillId="3" borderId="0" xfId="0" applyNumberFormat="1" applyFont="1" applyFill="1" applyAlignment="1">
      <alignment horizontal="right"/>
    </xf>
    <xf numFmtId="166" fontId="2" fillId="3" borderId="0" xfId="0" applyNumberFormat="1" applyFont="1" applyFill="1" applyAlignment="1">
      <alignment horizontal="right"/>
    </xf>
    <xf numFmtId="166" fontId="3" fillId="3" borderId="1" xfId="0" applyNumberFormat="1" applyFont="1" applyFill="1" applyBorder="1" applyAlignment="1">
      <alignment horizontal="right"/>
    </xf>
    <xf numFmtId="0" fontId="4" fillId="3" borderId="0" xfId="0" applyFont="1" applyFill="1" applyAlignment="1">
      <alignment horizontal="right"/>
    </xf>
    <xf numFmtId="166" fontId="4" fillId="3" borderId="0" xfId="0" applyNumberFormat="1" applyFont="1" applyFill="1" applyAlignment="1">
      <alignment horizontal="right"/>
    </xf>
    <xf numFmtId="167" fontId="2" fillId="3" borderId="0" xfId="0" applyNumberFormat="1" applyFont="1" applyFill="1" applyAlignment="1">
      <alignment horizontal="right"/>
    </xf>
    <xf numFmtId="0" fontId="3" fillId="3" borderId="0" xfId="0" applyFont="1" applyFill="1" applyAlignment="1">
      <alignment horizontal="right"/>
    </xf>
    <xf numFmtId="170" fontId="2" fillId="3" borderId="0" xfId="0" applyNumberFormat="1" applyFont="1" applyFill="1" applyAlignment="1">
      <alignment horizontal="right"/>
    </xf>
    <xf numFmtId="0" fontId="6" fillId="3" borderId="0" xfId="0" applyFont="1" applyFill="1" applyAlignment="1">
      <alignment horizontal="right"/>
    </xf>
    <xf numFmtId="166" fontId="2" fillId="3" borderId="1" xfId="0" applyNumberFormat="1" applyFont="1" applyFill="1" applyBorder="1" applyAlignment="1">
      <alignment horizontal="right"/>
    </xf>
    <xf numFmtId="0" fontId="8" fillId="0" borderId="1" xfId="0" applyFont="1" applyBorder="1" applyAlignment="1">
      <alignment horizontal="right"/>
    </xf>
    <xf numFmtId="0" fontId="0" fillId="3" borderId="0" xfId="0" applyFill="1"/>
    <xf numFmtId="0" fontId="4" fillId="3" borderId="0" xfId="0" applyFont="1" applyFill="1" applyAlignment="1">
      <alignment horizontal="center"/>
    </xf>
    <xf numFmtId="0" fontId="4" fillId="3" borderId="1" xfId="0" applyFont="1" applyFill="1" applyBorder="1" applyAlignment="1">
      <alignment horizontal="center"/>
    </xf>
    <xf numFmtId="0" fontId="4" fillId="2" borderId="1" xfId="0" applyFont="1" applyFill="1" applyBorder="1" applyAlignment="1">
      <alignment horizontal="center"/>
    </xf>
    <xf numFmtId="0" fontId="12" fillId="3" borderId="0" xfId="0" applyFont="1" applyFill="1" applyAlignment="1">
      <alignment horizontal="center"/>
    </xf>
    <xf numFmtId="0" fontId="2" fillId="2" borderId="1" xfId="0" applyFont="1" applyFill="1" applyBorder="1" applyAlignment="1">
      <alignment horizontal="right"/>
    </xf>
    <xf numFmtId="0" fontId="3" fillId="2" borderId="0" xfId="0" applyFont="1" applyFill="1" applyAlignment="1">
      <alignment horizontal="right"/>
    </xf>
    <xf numFmtId="0" fontId="3" fillId="2" borderId="1" xfId="0" applyFont="1" applyFill="1" applyBorder="1" applyAlignment="1">
      <alignment horizontal="right"/>
    </xf>
    <xf numFmtId="170" fontId="7" fillId="3" borderId="0" xfId="0" applyNumberFormat="1" applyFont="1" applyFill="1" applyAlignment="1">
      <alignment horizontal="right"/>
    </xf>
    <xf numFmtId="0" fontId="7" fillId="3" borderId="0" xfId="0" applyFont="1" applyFill="1" applyAlignment="1">
      <alignment horizontal="right"/>
    </xf>
    <xf numFmtId="172" fontId="2" fillId="3" borderId="0" xfId="5" applyNumberFormat="1" applyFont="1" applyFill="1" applyAlignment="1">
      <alignment horizontal="right"/>
    </xf>
    <xf numFmtId="166" fontId="5" fillId="3" borderId="0" xfId="0" applyNumberFormat="1" applyFont="1" applyFill="1" applyAlignment="1">
      <alignment horizontal="right"/>
    </xf>
    <xf numFmtId="0" fontId="5" fillId="2" borderId="0" xfId="0" applyFont="1" applyFill="1" applyAlignment="1">
      <alignment horizontal="right"/>
    </xf>
    <xf numFmtId="173" fontId="2" fillId="3" borderId="0" xfId="5" applyNumberFormat="1" applyFont="1" applyFill="1" applyAlignment="1">
      <alignment horizontal="right"/>
    </xf>
    <xf numFmtId="166" fontId="5" fillId="3" borderId="1" xfId="0" applyNumberFormat="1" applyFont="1" applyFill="1" applyBorder="1" applyAlignment="1">
      <alignment horizontal="right"/>
    </xf>
    <xf numFmtId="164" fontId="0" fillId="3" borderId="0" xfId="1" applyNumberFormat="1" applyFont="1" applyFill="1"/>
    <xf numFmtId="9" fontId="0" fillId="3" borderId="0" xfId="1" applyFont="1" applyFill="1"/>
    <xf numFmtId="166" fontId="0" fillId="3" borderId="0" xfId="0" applyNumberFormat="1" applyFill="1" applyAlignment="1">
      <alignment horizontal="center"/>
    </xf>
    <xf numFmtId="0" fontId="9" fillId="0" borderId="0" xfId="0" applyFont="1" applyAlignment="1">
      <alignment horizontal="right"/>
    </xf>
    <xf numFmtId="164" fontId="0" fillId="0" borderId="0" xfId="1" applyNumberFormat="1" applyFont="1"/>
    <xf numFmtId="0" fontId="17" fillId="2" borderId="0" xfId="0" applyFont="1" applyFill="1" applyAlignment="1">
      <alignment horizontal="right"/>
    </xf>
    <xf numFmtId="0" fontId="17" fillId="2" borderId="0" xfId="0" applyFont="1" applyFill="1" applyAlignment="1">
      <alignment horizontal="center"/>
    </xf>
    <xf numFmtId="0" fontId="5" fillId="2" borderId="1" xfId="0" applyFont="1" applyFill="1" applyBorder="1" applyAlignment="1">
      <alignment horizontal="right"/>
    </xf>
    <xf numFmtId="166" fontId="9" fillId="3" borderId="0" xfId="0" applyNumberFormat="1" applyFont="1" applyFill="1" applyAlignment="1">
      <alignment horizontal="center"/>
    </xf>
    <xf numFmtId="166" fontId="9" fillId="3" borderId="15" xfId="0" applyNumberFormat="1" applyFont="1" applyFill="1" applyBorder="1" applyAlignment="1">
      <alignment horizontal="center"/>
    </xf>
    <xf numFmtId="0" fontId="252" fillId="0" borderId="0" xfId="0" applyFont="1" applyAlignment="1">
      <alignment horizontal="right"/>
    </xf>
    <xf numFmtId="0" fontId="253" fillId="0" borderId="0" xfId="0" applyFont="1" applyAlignment="1">
      <alignment horizontal="center"/>
    </xf>
    <xf numFmtId="0" fontId="252" fillId="0" borderId="0" xfId="0" applyFont="1" applyAlignment="1">
      <alignment horizontal="center"/>
    </xf>
    <xf numFmtId="166" fontId="252" fillId="0" borderId="0" xfId="0" applyNumberFormat="1" applyFont="1" applyAlignment="1">
      <alignment horizontal="center"/>
    </xf>
    <xf numFmtId="0" fontId="253" fillId="0" borderId="1" xfId="0" applyFont="1" applyBorder="1" applyAlignment="1">
      <alignment horizontal="center"/>
    </xf>
    <xf numFmtId="0" fontId="253" fillId="2" borderId="1" xfId="0" applyFont="1" applyFill="1" applyBorder="1" applyAlignment="1">
      <alignment horizontal="center"/>
    </xf>
    <xf numFmtId="0" fontId="253" fillId="0" borderId="0" xfId="0" applyFont="1" applyAlignment="1">
      <alignment horizontal="right"/>
    </xf>
    <xf numFmtId="0" fontId="253" fillId="2" borderId="0" xfId="0" applyFont="1" applyFill="1" applyAlignment="1">
      <alignment horizontal="right"/>
    </xf>
    <xf numFmtId="164" fontId="252" fillId="0" borderId="0" xfId="1" applyNumberFormat="1" applyFont="1" applyBorder="1" applyAlignment="1">
      <alignment horizontal="right"/>
    </xf>
    <xf numFmtId="166" fontId="255" fillId="2" borderId="0" xfId="0" applyNumberFormat="1" applyFont="1" applyFill="1" applyAlignment="1">
      <alignment horizontal="right"/>
    </xf>
    <xf numFmtId="166" fontId="255" fillId="0" borderId="0" xfId="0" applyNumberFormat="1" applyFont="1" applyAlignment="1">
      <alignment horizontal="right"/>
    </xf>
    <xf numFmtId="169" fontId="252" fillId="0" borderId="0" xfId="0" applyNumberFormat="1" applyFont="1" applyAlignment="1">
      <alignment horizontal="right"/>
    </xf>
    <xf numFmtId="166" fontId="252" fillId="0" borderId="0" xfId="0" applyNumberFormat="1" applyFont="1" applyAlignment="1">
      <alignment horizontal="right"/>
    </xf>
    <xf numFmtId="166" fontId="252" fillId="2" borderId="0" xfId="0" applyNumberFormat="1" applyFont="1" applyFill="1" applyAlignment="1">
      <alignment horizontal="right"/>
    </xf>
    <xf numFmtId="166" fontId="256" fillId="2" borderId="0" xfId="0" applyNumberFormat="1" applyFont="1" applyFill="1" applyAlignment="1">
      <alignment horizontal="right"/>
    </xf>
    <xf numFmtId="171" fontId="252" fillId="0" borderId="0" xfId="0" applyNumberFormat="1" applyFont="1" applyAlignment="1">
      <alignment horizontal="right"/>
    </xf>
    <xf numFmtId="167" fontId="252" fillId="0" borderId="0" xfId="0" applyNumberFormat="1" applyFont="1" applyAlignment="1">
      <alignment horizontal="right"/>
    </xf>
    <xf numFmtId="171" fontId="253" fillId="0" borderId="0" xfId="0" applyNumberFormat="1" applyFont="1" applyAlignment="1">
      <alignment horizontal="right"/>
    </xf>
    <xf numFmtId="0" fontId="252" fillId="2" borderId="0" xfId="0" applyFont="1" applyFill="1" applyAlignment="1">
      <alignment horizontal="right"/>
    </xf>
    <xf numFmtId="167" fontId="252" fillId="2" borderId="0" xfId="0" applyNumberFormat="1" applyFont="1" applyFill="1" applyAlignment="1">
      <alignment horizontal="right"/>
    </xf>
    <xf numFmtId="167" fontId="253" fillId="0" borderId="0" xfId="0" applyNumberFormat="1" applyFont="1" applyAlignment="1">
      <alignment horizontal="right"/>
    </xf>
    <xf numFmtId="167" fontId="253" fillId="2" borderId="0" xfId="0" applyNumberFormat="1" applyFont="1" applyFill="1" applyAlignment="1">
      <alignment horizontal="right"/>
    </xf>
    <xf numFmtId="165" fontId="254" fillId="0" borderId="0" xfId="0" applyNumberFormat="1" applyFont="1" applyAlignment="1">
      <alignment horizontal="right"/>
    </xf>
    <xf numFmtId="165" fontId="252" fillId="2" borderId="0" xfId="0" applyNumberFormat="1" applyFont="1" applyFill="1" applyAlignment="1">
      <alignment horizontal="right"/>
    </xf>
    <xf numFmtId="165" fontId="254" fillId="3" borderId="0" xfId="0" applyNumberFormat="1" applyFont="1" applyFill="1" applyAlignment="1">
      <alignment horizontal="right"/>
    </xf>
    <xf numFmtId="164" fontId="8" fillId="0" borderId="0" xfId="1" applyNumberFormat="1" applyFont="1" applyBorder="1" applyAlignment="1">
      <alignment horizontal="right"/>
    </xf>
    <xf numFmtId="164" fontId="8" fillId="2" borderId="0" xfId="1" applyNumberFormat="1" applyFont="1" applyFill="1" applyBorder="1" applyAlignment="1">
      <alignment horizontal="right"/>
    </xf>
    <xf numFmtId="164" fontId="8" fillId="2" borderId="0" xfId="0" applyNumberFormat="1" applyFont="1" applyFill="1" applyAlignment="1">
      <alignment horizontal="right"/>
    </xf>
    <xf numFmtId="164" fontId="8" fillId="0" borderId="0" xfId="0" applyNumberFormat="1" applyFont="1" applyAlignment="1">
      <alignment horizontal="right"/>
    </xf>
    <xf numFmtId="164" fontId="252" fillId="2" borderId="0" xfId="1" applyNumberFormat="1" applyFont="1" applyFill="1" applyBorder="1" applyAlignment="1">
      <alignment horizontal="right"/>
    </xf>
    <xf numFmtId="0" fontId="258" fillId="0" borderId="0" xfId="0" applyFont="1" applyAlignment="1">
      <alignment horizontal="right"/>
    </xf>
    <xf numFmtId="0" fontId="252" fillId="3" borderId="0" xfId="0" applyFont="1" applyFill="1" applyAlignment="1">
      <alignment horizontal="right"/>
    </xf>
    <xf numFmtId="0" fontId="253" fillId="3" borderId="0" xfId="0" applyFont="1" applyFill="1" applyAlignment="1">
      <alignment horizontal="right"/>
    </xf>
    <xf numFmtId="0" fontId="252" fillId="3" borderId="1" xfId="0" applyFont="1" applyFill="1" applyBorder="1" applyAlignment="1">
      <alignment horizontal="right"/>
    </xf>
    <xf numFmtId="0" fontId="253" fillId="3" borderId="1" xfId="0" applyFont="1" applyFill="1" applyBorder="1" applyAlignment="1">
      <alignment horizontal="right"/>
    </xf>
    <xf numFmtId="0" fontId="253" fillId="2" borderId="1" xfId="0" applyFont="1" applyFill="1" applyBorder="1" applyAlignment="1">
      <alignment horizontal="right"/>
    </xf>
    <xf numFmtId="0" fontId="259" fillId="3" borderId="0" xfId="0" applyFont="1" applyFill="1" applyAlignment="1">
      <alignment horizontal="right"/>
    </xf>
    <xf numFmtId="165" fontId="252" fillId="3" borderId="0" xfId="0" applyNumberFormat="1" applyFont="1" applyFill="1" applyAlignment="1">
      <alignment horizontal="right"/>
    </xf>
    <xf numFmtId="164" fontId="8" fillId="3" borderId="0" xfId="1" applyNumberFormat="1" applyFont="1" applyFill="1" applyBorder="1" applyAlignment="1">
      <alignment horizontal="right"/>
    </xf>
    <xf numFmtId="3" fontId="254" fillId="3" borderId="0" xfId="1" applyNumberFormat="1" applyFont="1" applyFill="1" applyBorder="1" applyAlignment="1">
      <alignment horizontal="right"/>
    </xf>
    <xf numFmtId="3" fontId="252" fillId="2" borderId="0" xfId="0" applyNumberFormat="1" applyFont="1" applyFill="1" applyAlignment="1">
      <alignment horizontal="right"/>
    </xf>
    <xf numFmtId="3" fontId="252" fillId="3" borderId="0" xfId="1" applyNumberFormat="1" applyFont="1" applyFill="1" applyBorder="1" applyAlignment="1">
      <alignment horizontal="right"/>
    </xf>
    <xf numFmtId="0" fontId="8" fillId="3" borderId="0" xfId="0" applyFont="1" applyFill="1" applyAlignment="1">
      <alignment horizontal="right"/>
    </xf>
    <xf numFmtId="3" fontId="8" fillId="3" borderId="0" xfId="1" applyNumberFormat="1" applyFont="1" applyFill="1" applyBorder="1" applyAlignment="1">
      <alignment horizontal="right"/>
    </xf>
    <xf numFmtId="3" fontId="8" fillId="2" borderId="0" xfId="0" applyNumberFormat="1" applyFont="1" applyFill="1" applyAlignment="1">
      <alignment horizontal="right"/>
    </xf>
    <xf numFmtId="3" fontId="257" fillId="3" borderId="0" xfId="1" applyNumberFormat="1" applyFont="1" applyFill="1" applyBorder="1" applyAlignment="1">
      <alignment horizontal="right"/>
    </xf>
    <xf numFmtId="0" fontId="258" fillId="3" borderId="0" xfId="0" applyFont="1" applyFill="1" applyAlignment="1">
      <alignment horizontal="right"/>
    </xf>
    <xf numFmtId="3" fontId="8" fillId="3" borderId="0" xfId="0" applyNumberFormat="1" applyFont="1" applyFill="1" applyAlignment="1">
      <alignment horizontal="right"/>
    </xf>
    <xf numFmtId="4" fontId="252" fillId="3" borderId="0" xfId="1" applyNumberFormat="1" applyFont="1" applyFill="1" applyBorder="1" applyAlignment="1">
      <alignment horizontal="right"/>
    </xf>
    <xf numFmtId="167" fontId="253" fillId="3" borderId="0" xfId="0" applyNumberFormat="1" applyFont="1" applyFill="1" applyAlignment="1">
      <alignment horizontal="right"/>
    </xf>
    <xf numFmtId="3" fontId="254" fillId="3" borderId="0" xfId="0" applyNumberFormat="1" applyFont="1" applyFill="1" applyAlignment="1">
      <alignment horizontal="right"/>
    </xf>
    <xf numFmtId="10" fontId="8" fillId="3" borderId="0" xfId="1" applyNumberFormat="1" applyFont="1" applyFill="1" applyBorder="1" applyAlignment="1">
      <alignment horizontal="right"/>
    </xf>
    <xf numFmtId="44" fontId="8" fillId="3" borderId="0" xfId="6" applyFont="1" applyFill="1" applyBorder="1" applyAlignment="1">
      <alignment horizontal="right"/>
    </xf>
    <xf numFmtId="169" fontId="254" fillId="0" borderId="0" xfId="0" applyNumberFormat="1" applyFont="1" applyAlignment="1">
      <alignment horizontal="right"/>
    </xf>
    <xf numFmtId="169" fontId="252" fillId="2" borderId="0" xfId="0" applyNumberFormat="1" applyFont="1" applyFill="1" applyAlignment="1">
      <alignment horizontal="right"/>
    </xf>
    <xf numFmtId="0" fontId="253" fillId="3" borderId="0" xfId="0" applyFont="1" applyFill="1" applyAlignment="1">
      <alignment horizontal="left"/>
    </xf>
    <xf numFmtId="164" fontId="257" fillId="3" borderId="0" xfId="1" applyNumberFormat="1" applyFont="1" applyFill="1" applyBorder="1" applyAlignment="1">
      <alignment horizontal="right"/>
    </xf>
    <xf numFmtId="169" fontId="260" fillId="0" borderId="0" xfId="0" applyNumberFormat="1" applyFont="1" applyAlignment="1">
      <alignment horizontal="right"/>
    </xf>
    <xf numFmtId="167" fontId="260" fillId="0" borderId="0" xfId="0" applyNumberFormat="1" applyFont="1" applyAlignment="1">
      <alignment horizontal="right"/>
    </xf>
    <xf numFmtId="167" fontId="8" fillId="2" borderId="0" xfId="1" applyNumberFormat="1" applyFont="1" applyFill="1" applyBorder="1" applyAlignment="1">
      <alignment horizontal="right"/>
    </xf>
    <xf numFmtId="166" fontId="260" fillId="0" borderId="0" xfId="0" applyNumberFormat="1" applyFont="1" applyAlignment="1">
      <alignment horizontal="right"/>
    </xf>
    <xf numFmtId="164" fontId="261" fillId="3" borderId="0" xfId="1" applyNumberFormat="1" applyFont="1" applyFill="1" applyBorder="1" applyAlignment="1">
      <alignment horizontal="right"/>
    </xf>
    <xf numFmtId="9" fontId="255" fillId="0" borderId="0" xfId="1" applyFont="1" applyBorder="1" applyAlignment="1">
      <alignment horizontal="right"/>
    </xf>
    <xf numFmtId="164" fontId="255" fillId="0" borderId="0" xfId="1" applyNumberFormat="1" applyFont="1" applyBorder="1" applyAlignment="1">
      <alignment horizontal="right"/>
    </xf>
    <xf numFmtId="166" fontId="262" fillId="2" borderId="0" xfId="0" applyNumberFormat="1" applyFont="1" applyFill="1" applyAlignment="1">
      <alignment horizontal="right"/>
    </xf>
    <xf numFmtId="164" fontId="252" fillId="3" borderId="0" xfId="1" applyNumberFormat="1" applyFont="1" applyFill="1" applyBorder="1" applyAlignment="1">
      <alignment horizontal="right"/>
    </xf>
    <xf numFmtId="164" fontId="260" fillId="2" borderId="0" xfId="1" applyNumberFormat="1" applyFont="1" applyFill="1" applyBorder="1" applyAlignment="1">
      <alignment horizontal="right"/>
    </xf>
    <xf numFmtId="169" fontId="255" fillId="0" borderId="0" xfId="0" applyNumberFormat="1" applyFont="1" applyAlignment="1">
      <alignment horizontal="right"/>
    </xf>
    <xf numFmtId="164" fontId="261" fillId="2" borderId="0" xfId="1" applyNumberFormat="1" applyFont="1" applyFill="1" applyBorder="1" applyAlignment="1">
      <alignment horizontal="right"/>
    </xf>
    <xf numFmtId="3" fontId="252" fillId="3" borderId="0" xfId="0" applyNumberFormat="1" applyFont="1" applyFill="1" applyAlignment="1">
      <alignment horizontal="right"/>
    </xf>
    <xf numFmtId="9" fontId="254" fillId="3" borderId="0" xfId="1" applyFont="1" applyFill="1" applyBorder="1" applyAlignment="1">
      <alignment horizontal="right"/>
    </xf>
    <xf numFmtId="9" fontId="255" fillId="2" borderId="0" xfId="1" applyFont="1" applyFill="1" applyBorder="1" applyAlignment="1">
      <alignment horizontal="right"/>
    </xf>
    <xf numFmtId="9" fontId="252" fillId="3" borderId="0" xfId="0" applyNumberFormat="1" applyFont="1" applyFill="1" applyAlignment="1">
      <alignment horizontal="right"/>
    </xf>
    <xf numFmtId="9" fontId="252" fillId="2" borderId="0" xfId="0" applyNumberFormat="1" applyFont="1" applyFill="1" applyAlignment="1">
      <alignment horizontal="right"/>
    </xf>
    <xf numFmtId="169" fontId="255" fillId="3" borderId="0" xfId="1" applyNumberFormat="1" applyFont="1" applyFill="1" applyBorder="1" applyAlignment="1">
      <alignment horizontal="right"/>
    </xf>
    <xf numFmtId="169" fontId="255" fillId="2" borderId="0" xfId="1" applyNumberFormat="1" applyFont="1" applyFill="1" applyBorder="1" applyAlignment="1">
      <alignment horizontal="right"/>
    </xf>
    <xf numFmtId="164" fontId="255" fillId="3" borderId="0" xfId="1" applyNumberFormat="1" applyFont="1" applyFill="1" applyBorder="1" applyAlignment="1">
      <alignment horizontal="right"/>
    </xf>
    <xf numFmtId="164" fontId="255" fillId="2" borderId="0" xfId="1" applyNumberFormat="1" applyFont="1" applyFill="1" applyBorder="1" applyAlignment="1">
      <alignment horizontal="right"/>
    </xf>
    <xf numFmtId="9" fontId="255" fillId="3" borderId="0" xfId="1" applyFont="1" applyFill="1" applyBorder="1" applyAlignment="1">
      <alignment horizontal="right"/>
    </xf>
    <xf numFmtId="9" fontId="254" fillId="2" borderId="0" xfId="1" applyFont="1" applyFill="1" applyBorder="1" applyAlignment="1">
      <alignment horizontal="right"/>
    </xf>
    <xf numFmtId="9" fontId="252" fillId="3" borderId="0" xfId="1" applyFont="1" applyFill="1" applyBorder="1" applyAlignment="1">
      <alignment horizontal="right"/>
    </xf>
    <xf numFmtId="9" fontId="252" fillId="2" borderId="0" xfId="1" applyFont="1" applyFill="1" applyBorder="1" applyAlignment="1">
      <alignment horizontal="right"/>
    </xf>
    <xf numFmtId="3" fontId="254" fillId="2" borderId="0" xfId="0" applyNumberFormat="1" applyFont="1" applyFill="1" applyAlignment="1">
      <alignment horizontal="right"/>
    </xf>
    <xf numFmtId="0" fontId="8" fillId="3" borderId="0" xfId="0" applyFont="1" applyFill="1" applyAlignment="1">
      <alignment horizontal="left"/>
    </xf>
    <xf numFmtId="0" fontId="252" fillId="49" borderId="0" xfId="0" applyFont="1" applyFill="1" applyAlignment="1">
      <alignment horizontal="right"/>
    </xf>
    <xf numFmtId="44" fontId="252" fillId="0" borderId="0" xfId="6" applyFont="1" applyBorder="1" applyAlignment="1">
      <alignment horizontal="right"/>
    </xf>
    <xf numFmtId="10" fontId="252" fillId="2" borderId="0" xfId="1" applyNumberFormat="1" applyFont="1" applyFill="1" applyBorder="1" applyAlignment="1">
      <alignment horizontal="right"/>
    </xf>
    <xf numFmtId="43" fontId="8" fillId="3" borderId="0" xfId="5" applyFont="1" applyFill="1" applyBorder="1" applyAlignment="1">
      <alignment horizontal="right"/>
    </xf>
    <xf numFmtId="164" fontId="2" fillId="3" borderId="0" xfId="1" applyNumberFormat="1" applyFont="1" applyFill="1" applyAlignment="1">
      <alignment horizontal="right"/>
    </xf>
    <xf numFmtId="164" fontId="7" fillId="3" borderId="0" xfId="1" applyNumberFormat="1" applyFont="1" applyFill="1" applyAlignment="1">
      <alignment horizontal="right"/>
    </xf>
    <xf numFmtId="166" fontId="3" fillId="2" borderId="0" xfId="0" applyNumberFormat="1" applyFont="1" applyFill="1" applyAlignment="1">
      <alignment horizontal="right"/>
    </xf>
    <xf numFmtId="5" fontId="253" fillId="0" borderId="0" xfId="0" applyNumberFormat="1" applyFont="1" applyAlignment="1">
      <alignment horizontal="right"/>
    </xf>
    <xf numFmtId="5" fontId="252" fillId="0" borderId="0" xfId="0" applyNumberFormat="1" applyFont="1" applyAlignment="1">
      <alignment horizontal="right"/>
    </xf>
    <xf numFmtId="5" fontId="8" fillId="2" borderId="0" xfId="1" applyNumberFormat="1" applyFont="1" applyFill="1" applyBorder="1" applyAlignment="1">
      <alignment horizontal="right"/>
    </xf>
    <xf numFmtId="5" fontId="256" fillId="2" borderId="0" xfId="0" applyNumberFormat="1" applyFont="1" applyFill="1" applyAlignment="1">
      <alignment horizontal="right"/>
    </xf>
    <xf numFmtId="164" fontId="263" fillId="2" borderId="0" xfId="1" applyNumberFormat="1" applyFont="1" applyFill="1" applyBorder="1" applyAlignment="1">
      <alignment horizontal="right"/>
    </xf>
    <xf numFmtId="164" fontId="263" fillId="2" borderId="0" xfId="0" applyNumberFormat="1" applyFont="1" applyFill="1" applyAlignment="1">
      <alignment horizontal="right"/>
    </xf>
    <xf numFmtId="164" fontId="263" fillId="0" borderId="0" xfId="0" applyNumberFormat="1" applyFont="1" applyAlignment="1">
      <alignment horizontal="right"/>
    </xf>
    <xf numFmtId="166" fontId="3" fillId="2" borderId="1" xfId="0" applyNumberFormat="1" applyFont="1" applyFill="1" applyBorder="1" applyAlignment="1">
      <alignment horizontal="right"/>
    </xf>
    <xf numFmtId="167" fontId="252" fillId="0" borderId="0" xfId="0" applyNumberFormat="1" applyFont="1" applyAlignment="1">
      <alignment horizontal="center"/>
    </xf>
    <xf numFmtId="166" fontId="252" fillId="0" borderId="0" xfId="5" applyNumberFormat="1" applyFont="1" applyBorder="1" applyAlignment="1">
      <alignment horizontal="right"/>
    </xf>
    <xf numFmtId="3" fontId="260" fillId="3" borderId="0" xfId="1" applyNumberFormat="1" applyFont="1" applyFill="1" applyBorder="1" applyAlignment="1">
      <alignment horizontal="right"/>
    </xf>
    <xf numFmtId="0" fontId="252" fillId="3" borderId="0" xfId="0" applyFont="1" applyFill="1" applyAlignment="1">
      <alignment horizontal="center"/>
    </xf>
    <xf numFmtId="0" fontId="8" fillId="3" borderId="0" xfId="0" applyFont="1" applyFill="1" applyAlignment="1">
      <alignment horizontal="center"/>
    </xf>
    <xf numFmtId="5" fontId="252" fillId="0" borderId="0" xfId="0" applyNumberFormat="1" applyFont="1" applyAlignment="1">
      <alignment horizontal="center"/>
    </xf>
    <xf numFmtId="0" fontId="253" fillId="3" borderId="0" xfId="0" applyFont="1" applyFill="1" applyAlignment="1">
      <alignment horizontal="center"/>
    </xf>
    <xf numFmtId="0" fontId="258" fillId="3" borderId="0" xfId="0" applyFont="1" applyFill="1" applyAlignment="1">
      <alignment horizontal="center"/>
    </xf>
    <xf numFmtId="0" fontId="0" fillId="3" borderId="0" xfId="0" applyFill="1" applyAlignment="1">
      <alignment horizontal="center"/>
    </xf>
    <xf numFmtId="0" fontId="0" fillId="0" borderId="0" xfId="0" applyAlignment="1">
      <alignment horizontal="right"/>
    </xf>
    <xf numFmtId="0" fontId="16" fillId="2" borderId="0" xfId="0" applyFont="1" applyFill="1" applyAlignment="1">
      <alignment horizontal="center"/>
    </xf>
    <xf numFmtId="164" fontId="0" fillId="3" borderId="2" xfId="1" applyNumberFormat="1" applyFont="1" applyFill="1" applyBorder="1"/>
    <xf numFmtId="0" fontId="0" fillId="3" borderId="2" xfId="0" applyFill="1" applyBorder="1"/>
    <xf numFmtId="359" fontId="252" fillId="0" borderId="0" xfId="0" applyNumberFormat="1" applyFont="1" applyAlignment="1">
      <alignment horizontal="right"/>
    </xf>
    <xf numFmtId="169" fontId="0" fillId="3" borderId="0" xfId="0" applyNumberFormat="1" applyFill="1" applyAlignment="1">
      <alignment horizontal="right"/>
    </xf>
    <xf numFmtId="0" fontId="0" fillId="50" borderId="0" xfId="0" applyFill="1" applyAlignment="1">
      <alignment horizontal="right"/>
    </xf>
    <xf numFmtId="164" fontId="252" fillId="0" borderId="0" xfId="0" applyNumberFormat="1" applyFont="1" applyAlignment="1">
      <alignment horizontal="right"/>
    </xf>
    <xf numFmtId="166" fontId="254" fillId="2" borderId="0" xfId="0" applyNumberFormat="1" applyFont="1" applyFill="1" applyAlignment="1">
      <alignment horizontal="right"/>
    </xf>
    <xf numFmtId="300" fontId="252" fillId="0" borderId="0" xfId="0" applyNumberFormat="1" applyFont="1" applyAlignment="1">
      <alignment horizontal="right"/>
    </xf>
    <xf numFmtId="10" fontId="260" fillId="2" borderId="0" xfId="1" applyNumberFormat="1" applyFont="1" applyFill="1" applyBorder="1" applyAlignment="1">
      <alignment horizontal="right"/>
    </xf>
    <xf numFmtId="164" fontId="263" fillId="3" borderId="0" xfId="1" applyNumberFormat="1" applyFont="1" applyFill="1" applyBorder="1" applyAlignment="1">
      <alignment horizontal="right"/>
    </xf>
    <xf numFmtId="164" fontId="254" fillId="3" borderId="0" xfId="1" applyNumberFormat="1" applyFont="1" applyFill="1" applyBorder="1" applyAlignment="1">
      <alignment horizontal="right"/>
    </xf>
    <xf numFmtId="0" fontId="8" fillId="0" borderId="0" xfId="0" applyFont="1" applyAlignment="1">
      <alignment horizontal="right"/>
    </xf>
    <xf numFmtId="164" fontId="254" fillId="2" borderId="0" xfId="1" applyNumberFormat="1" applyFont="1" applyFill="1" applyBorder="1" applyAlignment="1">
      <alignment horizontal="right"/>
    </xf>
    <xf numFmtId="10" fontId="2" fillId="3" borderId="0" xfId="1" applyNumberFormat="1" applyFont="1" applyFill="1" applyAlignment="1">
      <alignment horizontal="right"/>
    </xf>
    <xf numFmtId="37" fontId="0" fillId="0" borderId="0" xfId="0" applyNumberFormat="1" applyAlignment="1">
      <alignment horizontal="right"/>
    </xf>
    <xf numFmtId="9" fontId="0" fillId="0" borderId="0" xfId="0" applyNumberFormat="1" applyAlignment="1">
      <alignment horizontal="right"/>
    </xf>
    <xf numFmtId="9" fontId="0" fillId="0" borderId="0" xfId="0" applyNumberFormat="1"/>
    <xf numFmtId="37" fontId="0" fillId="0" borderId="0" xfId="0" applyNumberFormat="1"/>
    <xf numFmtId="168" fontId="255" fillId="0" borderId="0" xfId="0" applyNumberFormat="1" applyFont="1" applyAlignment="1">
      <alignment horizontal="right"/>
    </xf>
    <xf numFmtId="168" fontId="8" fillId="3" borderId="0" xfId="1" applyNumberFormat="1" applyFont="1" applyFill="1" applyBorder="1" applyAlignment="1">
      <alignment horizontal="right"/>
    </xf>
    <xf numFmtId="348" fontId="0" fillId="0" borderId="0" xfId="0" applyNumberFormat="1" applyAlignment="1">
      <alignment horizontal="center"/>
    </xf>
    <xf numFmtId="360" fontId="0" fillId="0" borderId="0" xfId="0" applyNumberFormat="1" applyAlignment="1">
      <alignment horizontal="center"/>
    </xf>
    <xf numFmtId="0" fontId="266" fillId="0" borderId="0" xfId="0" applyFont="1" applyAlignment="1">
      <alignment horizontal="right"/>
    </xf>
    <xf numFmtId="169" fontId="255" fillId="2" borderId="0" xfId="0" applyNumberFormat="1" applyFont="1" applyFill="1" applyAlignment="1">
      <alignment horizontal="right"/>
    </xf>
    <xf numFmtId="169" fontId="253" fillId="0" borderId="0" xfId="0" applyNumberFormat="1" applyFont="1" applyAlignment="1">
      <alignment horizontal="right"/>
    </xf>
    <xf numFmtId="169" fontId="253" fillId="2" borderId="0" xfId="0" applyNumberFormat="1" applyFont="1" applyFill="1" applyAlignment="1">
      <alignment horizontal="right"/>
    </xf>
    <xf numFmtId="169" fontId="254" fillId="0" borderId="1" xfId="0" applyNumberFormat="1" applyFont="1" applyBorder="1" applyAlignment="1">
      <alignment horizontal="right"/>
    </xf>
    <xf numFmtId="169" fontId="255" fillId="2" borderId="1" xfId="0" applyNumberFormat="1" applyFont="1" applyFill="1" applyBorder="1" applyAlignment="1">
      <alignment horizontal="right"/>
    </xf>
    <xf numFmtId="169" fontId="255" fillId="0" borderId="1" xfId="0" applyNumberFormat="1" applyFont="1" applyBorder="1" applyAlignment="1">
      <alignment horizontal="right"/>
    </xf>
    <xf numFmtId="169" fontId="260" fillId="2" borderId="0" xfId="0" applyNumberFormat="1" applyFont="1" applyFill="1" applyAlignment="1">
      <alignment horizontal="right"/>
    </xf>
    <xf numFmtId="169" fontId="252" fillId="2" borderId="1" xfId="0" applyNumberFormat="1" applyFont="1" applyFill="1" applyBorder="1" applyAlignment="1">
      <alignment horizontal="right"/>
    </xf>
    <xf numFmtId="169" fontId="254" fillId="2" borderId="0" xfId="0" applyNumberFormat="1" applyFont="1" applyFill="1" applyAlignment="1">
      <alignment horizontal="right"/>
    </xf>
    <xf numFmtId="169" fontId="8" fillId="3" borderId="0" xfId="1" applyNumberFormat="1" applyFont="1" applyFill="1" applyBorder="1" applyAlignment="1">
      <alignment horizontal="right"/>
    </xf>
    <xf numFmtId="169" fontId="254" fillId="2" borderId="1" xfId="0" applyNumberFormat="1" applyFont="1" applyFill="1" applyBorder="1" applyAlignment="1">
      <alignment horizontal="right"/>
    </xf>
    <xf numFmtId="168" fontId="252" fillId="0" borderId="0" xfId="0" applyNumberFormat="1" applyFont="1" applyAlignment="1">
      <alignment horizontal="right"/>
    </xf>
    <xf numFmtId="169" fontId="252" fillId="0" borderId="1" xfId="0" applyNumberFormat="1" applyFont="1" applyBorder="1" applyAlignment="1">
      <alignment horizontal="right"/>
    </xf>
    <xf numFmtId="169" fontId="252" fillId="49" borderId="0" xfId="0" applyNumberFormat="1" applyFont="1" applyFill="1" applyAlignment="1">
      <alignment horizontal="right"/>
    </xf>
    <xf numFmtId="169" fontId="255" fillId="49" borderId="0" xfId="0" applyNumberFormat="1" applyFont="1" applyFill="1" applyAlignment="1">
      <alignment horizontal="right"/>
    </xf>
    <xf numFmtId="169" fontId="254" fillId="49" borderId="0" xfId="0" applyNumberFormat="1" applyFont="1" applyFill="1" applyAlignment="1">
      <alignment horizontal="right"/>
    </xf>
    <xf numFmtId="0" fontId="253" fillId="49" borderId="0" xfId="0" applyFont="1" applyFill="1" applyAlignment="1">
      <alignment horizontal="right"/>
    </xf>
    <xf numFmtId="0" fontId="253" fillId="49" borderId="0" xfId="0" applyFont="1" applyFill="1" applyAlignment="1">
      <alignment horizontal="center"/>
    </xf>
    <xf numFmtId="0" fontId="252" fillId="49" borderId="0" xfId="0" applyFont="1" applyFill="1" applyAlignment="1">
      <alignment horizontal="center"/>
    </xf>
    <xf numFmtId="169" fontId="252" fillId="49" borderId="1" xfId="0" applyNumberFormat="1" applyFont="1" applyFill="1" applyBorder="1" applyAlignment="1">
      <alignment horizontal="right"/>
    </xf>
    <xf numFmtId="169" fontId="255" fillId="49" borderId="1" xfId="0" applyNumberFormat="1" applyFont="1" applyFill="1" applyBorder="1" applyAlignment="1">
      <alignment horizontal="right"/>
    </xf>
    <xf numFmtId="169" fontId="254" fillId="49" borderId="1" xfId="0" applyNumberFormat="1" applyFont="1" applyFill="1" applyBorder="1" applyAlignment="1">
      <alignment horizontal="right"/>
    </xf>
    <xf numFmtId="168" fontId="254" fillId="49" borderId="0" xfId="0" applyNumberFormat="1" applyFont="1" applyFill="1" applyAlignment="1">
      <alignment horizontal="right"/>
    </xf>
    <xf numFmtId="169" fontId="252" fillId="49" borderId="0" xfId="1" applyNumberFormat="1" applyFont="1" applyFill="1" applyBorder="1" applyAlignment="1">
      <alignment horizontal="right"/>
    </xf>
    <xf numFmtId="166" fontId="252" fillId="49" borderId="0" xfId="0" applyNumberFormat="1" applyFont="1" applyFill="1" applyAlignment="1">
      <alignment horizontal="right"/>
    </xf>
    <xf numFmtId="168" fontId="254" fillId="0" borderId="0" xfId="0" applyNumberFormat="1" applyFont="1" applyAlignment="1">
      <alignment horizontal="right"/>
    </xf>
    <xf numFmtId="166" fontId="253" fillId="0" borderId="0" xfId="0" applyNumberFormat="1" applyFont="1" applyAlignment="1">
      <alignment horizontal="right"/>
    </xf>
    <xf numFmtId="9" fontId="8" fillId="2" borderId="0" xfId="1" applyFont="1" applyFill="1" applyBorder="1" applyAlignment="1">
      <alignment horizontal="right"/>
    </xf>
    <xf numFmtId="5" fontId="254" fillId="0" borderId="0" xfId="0" applyNumberFormat="1" applyFont="1" applyAlignment="1">
      <alignment horizontal="right"/>
    </xf>
    <xf numFmtId="10" fontId="255" fillId="0" borderId="0" xfId="1" applyNumberFormat="1" applyFont="1" applyBorder="1" applyAlignment="1">
      <alignment horizontal="right"/>
    </xf>
    <xf numFmtId="166" fontId="268" fillId="3" borderId="0" xfId="0" applyNumberFormat="1" applyFont="1" applyFill="1" applyAlignment="1">
      <alignment horizontal="right"/>
    </xf>
    <xf numFmtId="166" fontId="268" fillId="2" borderId="0" xfId="0" applyNumberFormat="1" applyFont="1" applyFill="1" applyAlignment="1">
      <alignment horizontal="right"/>
    </xf>
    <xf numFmtId="37" fontId="18" fillId="0" borderId="0" xfId="0" applyNumberFormat="1" applyFont="1"/>
    <xf numFmtId="37" fontId="18" fillId="0" borderId="0" xfId="0" applyNumberFormat="1" applyFont="1" applyAlignment="1">
      <alignment horizontal="right"/>
    </xf>
    <xf numFmtId="9" fontId="18" fillId="0" borderId="0" xfId="0" applyNumberFormat="1" applyFont="1" applyAlignment="1">
      <alignment horizontal="right"/>
    </xf>
    <xf numFmtId="37" fontId="270" fillId="0" borderId="0" xfId="0" applyNumberFormat="1" applyFont="1" applyAlignment="1">
      <alignment horizontal="right"/>
    </xf>
    <xf numFmtId="169" fontId="271" fillId="0" borderId="0" xfId="0" applyNumberFormat="1" applyFont="1" applyAlignment="1">
      <alignment horizontal="right"/>
    </xf>
    <xf numFmtId="37" fontId="269" fillId="0" borderId="0" xfId="0" applyNumberFormat="1" applyFont="1" applyAlignment="1">
      <alignment horizontal="right"/>
    </xf>
    <xf numFmtId="169" fontId="262" fillId="0" borderId="0" xfId="0" applyNumberFormat="1" applyFont="1" applyAlignment="1">
      <alignment horizontal="right"/>
    </xf>
    <xf numFmtId="169" fontId="262" fillId="2" borderId="0" xfId="0" applyNumberFormat="1" applyFont="1" applyFill="1" applyAlignment="1">
      <alignment horizontal="right"/>
    </xf>
    <xf numFmtId="169" fontId="267" fillId="0" borderId="0" xfId="0" applyNumberFormat="1" applyFont="1" applyAlignment="1">
      <alignment horizontal="right"/>
    </xf>
    <xf numFmtId="169" fontId="267" fillId="2" borderId="0" xfId="0" applyNumberFormat="1" applyFont="1" applyFill="1" applyAlignment="1">
      <alignment horizontal="right"/>
    </xf>
    <xf numFmtId="166" fontId="3" fillId="0" borderId="0" xfId="0" applyNumberFormat="1" applyFont="1" applyAlignment="1">
      <alignment horizontal="right"/>
    </xf>
    <xf numFmtId="169" fontId="0" fillId="0" borderId="0" xfId="0" applyNumberFormat="1"/>
    <xf numFmtId="9" fontId="252" fillId="0" borderId="0" xfId="0" applyNumberFormat="1" applyFont="1" applyAlignment="1">
      <alignment horizontal="right"/>
    </xf>
    <xf numFmtId="37" fontId="272" fillId="0" borderId="0" xfId="0" applyNumberFormat="1" applyFont="1" applyAlignment="1">
      <alignment horizontal="right"/>
    </xf>
    <xf numFmtId="10" fontId="254" fillId="0" borderId="0" xfId="1" applyNumberFormat="1" applyFont="1" applyFill="1" applyBorder="1" applyAlignment="1">
      <alignment horizontal="right"/>
    </xf>
    <xf numFmtId="0" fontId="273" fillId="0" borderId="0" xfId="0" applyFont="1" applyAlignment="1">
      <alignment horizontal="right"/>
    </xf>
    <xf numFmtId="9" fontId="253" fillId="2" borderId="0" xfId="0" applyNumberFormat="1" applyFont="1" applyFill="1" applyAlignment="1">
      <alignment horizontal="right"/>
    </xf>
    <xf numFmtId="9" fontId="0" fillId="49" borderId="0" xfId="0" applyNumberFormat="1" applyFill="1" applyAlignment="1">
      <alignment horizontal="right"/>
    </xf>
    <xf numFmtId="37" fontId="274" fillId="0" borderId="0" xfId="0" applyNumberFormat="1" applyFont="1" applyAlignment="1">
      <alignment horizontal="right"/>
    </xf>
    <xf numFmtId="164" fontId="252" fillId="2" borderId="0" xfId="0" applyNumberFormat="1" applyFont="1" applyFill="1" applyAlignment="1">
      <alignment horizontal="right"/>
    </xf>
    <xf numFmtId="164" fontId="4" fillId="2" borderId="0" xfId="0" applyNumberFormat="1" applyFont="1" applyFill="1" applyAlignment="1">
      <alignment horizontal="right"/>
    </xf>
    <xf numFmtId="0" fontId="2" fillId="3" borderId="2" xfId="0" applyFont="1" applyFill="1" applyBorder="1" applyAlignment="1">
      <alignment horizontal="right"/>
    </xf>
    <xf numFmtId="164" fontId="4" fillId="0" borderId="0" xfId="0" applyNumberFormat="1" applyFont="1" applyAlignment="1">
      <alignment horizontal="right"/>
    </xf>
    <xf numFmtId="166" fontId="275" fillId="2" borderId="0" xfId="0" applyNumberFormat="1" applyFont="1" applyFill="1" applyAlignment="1">
      <alignment horizontal="right"/>
    </xf>
    <xf numFmtId="166" fontId="276" fillId="2" borderId="0" xfId="0" applyNumberFormat="1" applyFont="1" applyFill="1" applyAlignment="1">
      <alignment horizontal="right"/>
    </xf>
    <xf numFmtId="9" fontId="2" fillId="3" borderId="0" xfId="0" applyNumberFormat="1" applyFont="1" applyFill="1" applyAlignment="1">
      <alignment horizontal="right"/>
    </xf>
    <xf numFmtId="9" fontId="4" fillId="2" borderId="0" xfId="0" applyNumberFormat="1" applyFont="1" applyFill="1" applyAlignment="1">
      <alignment horizontal="right"/>
    </xf>
    <xf numFmtId="9" fontId="4" fillId="0" borderId="0" xfId="0" applyNumberFormat="1" applyFont="1" applyAlignment="1">
      <alignment horizontal="right"/>
    </xf>
    <xf numFmtId="9" fontId="2" fillId="0" borderId="0" xfId="0" applyNumberFormat="1" applyFont="1" applyAlignment="1">
      <alignment horizontal="right"/>
    </xf>
    <xf numFmtId="166" fontId="277" fillId="2" borderId="0" xfId="0" applyNumberFormat="1" applyFont="1" applyFill="1" applyAlignment="1">
      <alignment horizontal="right"/>
    </xf>
    <xf numFmtId="9" fontId="0" fillId="0" borderId="0" xfId="1" applyFont="1"/>
    <xf numFmtId="194" fontId="0" fillId="0" borderId="0" xfId="0" applyNumberFormat="1"/>
    <xf numFmtId="9" fontId="252" fillId="0" borderId="0" xfId="1" applyFont="1" applyBorder="1" applyAlignment="1">
      <alignment horizontal="right"/>
    </xf>
    <xf numFmtId="7" fontId="252" fillId="0" borderId="0" xfId="0" applyNumberFormat="1" applyFont="1" applyAlignment="1">
      <alignment horizontal="right"/>
    </xf>
    <xf numFmtId="14" fontId="0" fillId="0" borderId="0" xfId="0" applyNumberFormat="1"/>
    <xf numFmtId="324" fontId="0" fillId="0" borderId="0" xfId="0" applyNumberFormat="1"/>
    <xf numFmtId="9" fontId="18" fillId="0" borderId="0" xfId="0" applyNumberFormat="1" applyFont="1"/>
    <xf numFmtId="1" fontId="2" fillId="3" borderId="0" xfId="1" applyNumberFormat="1" applyFont="1" applyFill="1" applyAlignment="1">
      <alignment horizontal="right"/>
    </xf>
    <xf numFmtId="166" fontId="267" fillId="0" borderId="0" xfId="0" applyNumberFormat="1" applyFont="1" applyAlignment="1">
      <alignment horizontal="right"/>
    </xf>
    <xf numFmtId="168" fontId="267" fillId="0" borderId="0" xfId="0" applyNumberFormat="1" applyFont="1" applyAlignment="1">
      <alignment horizontal="right"/>
    </xf>
    <xf numFmtId="169" fontId="2" fillId="3" borderId="0" xfId="0" applyNumberFormat="1" applyFont="1" applyFill="1" applyAlignment="1">
      <alignment horizontal="right"/>
    </xf>
    <xf numFmtId="169" fontId="3" fillId="3" borderId="0" xfId="0" applyNumberFormat="1" applyFont="1" applyFill="1" applyAlignment="1">
      <alignment horizontal="right"/>
    </xf>
    <xf numFmtId="169" fontId="268" fillId="3" borderId="0" xfId="0" applyNumberFormat="1" applyFont="1" applyFill="1" applyAlignment="1">
      <alignment horizontal="right"/>
    </xf>
    <xf numFmtId="169" fontId="5" fillId="3" borderId="0" xfId="0" applyNumberFormat="1" applyFont="1" applyFill="1" applyAlignment="1">
      <alignment horizontal="right"/>
    </xf>
    <xf numFmtId="168" fontId="254" fillId="0" borderId="1" xfId="0" applyNumberFormat="1" applyFont="1" applyBorder="1" applyAlignment="1">
      <alignment horizontal="right"/>
    </xf>
    <xf numFmtId="167" fontId="255" fillId="0" borderId="0" xfId="0" applyNumberFormat="1" applyFont="1" applyAlignment="1">
      <alignment horizontal="right"/>
    </xf>
    <xf numFmtId="167" fontId="255" fillId="2" borderId="0" xfId="0" applyNumberFormat="1" applyFont="1" applyFill="1" applyAlignment="1">
      <alignment horizontal="right"/>
    </xf>
    <xf numFmtId="164" fontId="2" fillId="3" borderId="0" xfId="0" applyNumberFormat="1" applyFont="1" applyFill="1" applyAlignment="1">
      <alignment horizontal="right"/>
    </xf>
    <xf numFmtId="169" fontId="271" fillId="0" borderId="1" xfId="0" applyNumberFormat="1" applyFont="1" applyBorder="1" applyAlignment="1">
      <alignment horizontal="right"/>
    </xf>
    <xf numFmtId="168" fontId="4" fillId="3" borderId="0" xfId="0" applyNumberFormat="1" applyFont="1" applyFill="1" applyAlignment="1">
      <alignment horizontal="right"/>
    </xf>
    <xf numFmtId="164" fontId="0" fillId="0" borderId="0" xfId="0" applyNumberFormat="1" applyAlignment="1">
      <alignment horizontal="right"/>
    </xf>
    <xf numFmtId="164" fontId="8" fillId="0" borderId="0" xfId="1" applyNumberFormat="1" applyFont="1" applyFill="1" applyBorder="1" applyAlignment="1">
      <alignment horizontal="right"/>
    </xf>
    <xf numFmtId="43" fontId="8" fillId="0" borderId="0" xfId="5" applyFont="1" applyFill="1" applyBorder="1" applyAlignment="1">
      <alignment horizontal="right"/>
    </xf>
    <xf numFmtId="164" fontId="255" fillId="0" borderId="0" xfId="1" applyNumberFormat="1" applyFont="1" applyFill="1" applyBorder="1" applyAlignment="1">
      <alignment horizontal="right"/>
    </xf>
    <xf numFmtId="10" fontId="255" fillId="0" borderId="0" xfId="1" applyNumberFormat="1" applyFont="1" applyFill="1" applyBorder="1" applyAlignment="1">
      <alignment horizontal="right"/>
    </xf>
    <xf numFmtId="164" fontId="263" fillId="0" borderId="0" xfId="1" applyNumberFormat="1" applyFont="1" applyFill="1" applyBorder="1" applyAlignment="1">
      <alignment horizontal="right"/>
    </xf>
    <xf numFmtId="166" fontId="254" fillId="0" borderId="1" xfId="0" applyNumberFormat="1" applyFont="1" applyBorder="1" applyAlignment="1">
      <alignment horizontal="right"/>
    </xf>
    <xf numFmtId="167" fontId="3" fillId="3" borderId="0" xfId="0" applyNumberFormat="1" applyFont="1" applyFill="1" applyAlignment="1">
      <alignment horizontal="right"/>
    </xf>
    <xf numFmtId="164" fontId="260" fillId="0" borderId="0" xfId="1" applyNumberFormat="1" applyFont="1" applyBorder="1" applyAlignment="1">
      <alignment horizontal="right"/>
    </xf>
    <xf numFmtId="5" fontId="252" fillId="2" borderId="0" xfId="0" applyNumberFormat="1" applyFont="1" applyFill="1" applyAlignment="1">
      <alignment horizontal="right"/>
    </xf>
    <xf numFmtId="166" fontId="279" fillId="2" borderId="0" xfId="0" applyNumberFormat="1" applyFont="1" applyFill="1" applyAlignment="1">
      <alignment horizontal="right"/>
    </xf>
    <xf numFmtId="164" fontId="3" fillId="3" borderId="0" xfId="1" applyNumberFormat="1" applyFont="1" applyFill="1" applyAlignment="1">
      <alignment horizontal="right"/>
    </xf>
    <xf numFmtId="169" fontId="280" fillId="0" borderId="0" xfId="0" applyNumberFormat="1" applyFont="1" applyAlignment="1">
      <alignment horizontal="right"/>
    </xf>
    <xf numFmtId="169" fontId="280" fillId="2" borderId="0" xfId="0" applyNumberFormat="1" applyFont="1" applyFill="1" applyAlignment="1">
      <alignment horizontal="right"/>
    </xf>
    <xf numFmtId="10" fontId="252" fillId="0" borderId="0" xfId="0" applyNumberFormat="1" applyFont="1" applyAlignment="1">
      <alignment horizontal="right"/>
    </xf>
    <xf numFmtId="164" fontId="253" fillId="2" borderId="0" xfId="1" applyNumberFormat="1" applyFont="1" applyFill="1" applyBorder="1" applyAlignment="1">
      <alignment horizontal="right"/>
    </xf>
    <xf numFmtId="164" fontId="253" fillId="0" borderId="0" xfId="1" applyNumberFormat="1" applyFont="1" applyBorder="1" applyAlignment="1">
      <alignment horizontal="right"/>
    </xf>
    <xf numFmtId="166" fontId="2" fillId="0" borderId="0" xfId="0" applyNumberFormat="1" applyFont="1" applyAlignment="1">
      <alignment horizontal="right"/>
    </xf>
    <xf numFmtId="0" fontId="2" fillId="0" borderId="0" xfId="0" applyFont="1" applyAlignment="1">
      <alignment horizontal="right"/>
    </xf>
    <xf numFmtId="168" fontId="2" fillId="0" borderId="0" xfId="0" applyNumberFormat="1" applyFont="1" applyAlignment="1">
      <alignment horizontal="right"/>
    </xf>
    <xf numFmtId="37" fontId="281" fillId="0" borderId="0" xfId="0" applyNumberFormat="1" applyFont="1" applyAlignment="1">
      <alignment horizontal="right"/>
    </xf>
    <xf numFmtId="173" fontId="2" fillId="3" borderId="0" xfId="0" applyNumberFormat="1" applyFont="1" applyFill="1" applyAlignment="1">
      <alignment horizontal="right"/>
    </xf>
    <xf numFmtId="168" fontId="252" fillId="2" borderId="0" xfId="0" applyNumberFormat="1" applyFont="1" applyFill="1" applyAlignment="1">
      <alignment horizontal="right"/>
    </xf>
    <xf numFmtId="164" fontId="252" fillId="0" borderId="0" xfId="0" applyNumberFormat="1" applyFont="1" applyAlignment="1">
      <alignment horizontal="center"/>
    </xf>
    <xf numFmtId="10" fontId="263" fillId="2" borderId="0" xfId="1" applyNumberFormat="1" applyFont="1" applyFill="1" applyBorder="1" applyAlignment="1">
      <alignment horizontal="right"/>
    </xf>
    <xf numFmtId="361" fontId="252" fillId="0" borderId="0" xfId="0" applyNumberFormat="1" applyFont="1" applyAlignment="1">
      <alignment horizontal="right"/>
    </xf>
    <xf numFmtId="172" fontId="254" fillId="2" borderId="0" xfId="5" applyNumberFormat="1" applyFont="1" applyFill="1" applyBorder="1" applyAlignment="1">
      <alignment horizontal="right"/>
    </xf>
    <xf numFmtId="169" fontId="255" fillId="3" borderId="0" xfId="0" applyNumberFormat="1" applyFont="1" applyFill="1" applyAlignment="1">
      <alignment horizontal="right"/>
    </xf>
    <xf numFmtId="164" fontId="260" fillId="2" borderId="0" xfId="0" applyNumberFormat="1" applyFont="1" applyFill="1" applyAlignment="1">
      <alignment horizontal="right"/>
    </xf>
    <xf numFmtId="167" fontId="3" fillId="3" borderId="1" xfId="0" applyNumberFormat="1" applyFont="1" applyFill="1" applyBorder="1" applyAlignment="1">
      <alignment horizontal="right"/>
    </xf>
    <xf numFmtId="5" fontId="254" fillId="3" borderId="0" xfId="0" applyNumberFormat="1" applyFont="1" applyFill="1" applyAlignment="1">
      <alignment horizontal="right"/>
    </xf>
    <xf numFmtId="164" fontId="18" fillId="0" borderId="0" xfId="0" applyNumberFormat="1" applyFont="1" applyAlignment="1">
      <alignment horizontal="right"/>
    </xf>
    <xf numFmtId="37" fontId="16" fillId="0" borderId="0" xfId="0" applyNumberFormat="1" applyFont="1"/>
    <xf numFmtId="168" fontId="253" fillId="0" borderId="0" xfId="0" applyNumberFormat="1" applyFont="1" applyAlignment="1">
      <alignment horizontal="right"/>
    </xf>
    <xf numFmtId="10" fontId="253" fillId="0" borderId="0" xfId="0" applyNumberFormat="1" applyFont="1" applyAlignment="1">
      <alignment horizontal="right"/>
    </xf>
    <xf numFmtId="0" fontId="252" fillId="0" borderId="0" xfId="0" applyFont="1" applyAlignment="1">
      <alignment horizontal="left"/>
    </xf>
    <xf numFmtId="170" fontId="255" fillId="0" borderId="0" xfId="0" applyNumberFormat="1" applyFont="1" applyAlignment="1">
      <alignment horizontal="right"/>
    </xf>
    <xf numFmtId="0" fontId="253" fillId="0" borderId="0" xfId="0" applyFont="1"/>
    <xf numFmtId="8" fontId="252" fillId="0" borderId="0" xfId="0" applyNumberFormat="1" applyFont="1" applyAlignment="1">
      <alignment horizontal="right"/>
    </xf>
    <xf numFmtId="0" fontId="254" fillId="0" borderId="0" xfId="0" applyFont="1" applyAlignment="1">
      <alignment horizontal="right"/>
    </xf>
    <xf numFmtId="194" fontId="0" fillId="0" borderId="0" xfId="0" applyNumberFormat="1" applyAlignment="1">
      <alignment horizontal="right"/>
    </xf>
    <xf numFmtId="7" fontId="0" fillId="0" borderId="0" xfId="0" applyNumberFormat="1" applyAlignment="1">
      <alignment horizontal="right"/>
    </xf>
    <xf numFmtId="9" fontId="9" fillId="0" borderId="0" xfId="0" applyNumberFormat="1" applyFont="1" applyAlignment="1">
      <alignment horizontal="right"/>
    </xf>
    <xf numFmtId="166" fontId="255" fillId="0" borderId="1" xfId="0" applyNumberFormat="1" applyFont="1" applyBorder="1" applyAlignment="1">
      <alignment horizontal="right"/>
    </xf>
    <xf numFmtId="164" fontId="252" fillId="0" borderId="0" xfId="1" applyNumberFormat="1" applyFont="1" applyFill="1" applyBorder="1" applyAlignment="1">
      <alignment horizontal="right"/>
    </xf>
    <xf numFmtId="164" fontId="252" fillId="0" borderId="0" xfId="5" applyNumberFormat="1" applyFont="1" applyBorder="1" applyAlignment="1">
      <alignment horizontal="right"/>
    </xf>
    <xf numFmtId="194" fontId="281" fillId="0" borderId="0" xfId="0" applyNumberFormat="1" applyFont="1" applyAlignment="1">
      <alignment horizontal="right"/>
    </xf>
    <xf numFmtId="0" fontId="0" fillId="0" borderId="0" xfId="0" applyAlignment="1">
      <alignment horizontal="left"/>
    </xf>
    <xf numFmtId="9" fontId="0" fillId="0" borderId="0" xfId="0" applyNumberFormat="1" applyAlignment="1">
      <alignment horizontal="left"/>
    </xf>
    <xf numFmtId="1" fontId="0" fillId="0" borderId="0" xfId="0" applyNumberFormat="1" applyAlignment="1">
      <alignment horizontal="left"/>
    </xf>
    <xf numFmtId="9" fontId="253" fillId="0" borderId="0" xfId="0" applyNumberFormat="1" applyFont="1" applyAlignment="1">
      <alignment horizontal="right"/>
    </xf>
    <xf numFmtId="194" fontId="18" fillId="0" borderId="0" xfId="0" applyNumberFormat="1" applyFont="1"/>
    <xf numFmtId="164" fontId="0" fillId="0" borderId="0" xfId="0" applyNumberFormat="1"/>
    <xf numFmtId="165" fontId="255" fillId="0" borderId="0" xfId="0" applyNumberFormat="1" applyFont="1" applyAlignment="1">
      <alignment horizontal="right"/>
    </xf>
    <xf numFmtId="165" fontId="255" fillId="2" borderId="0" xfId="0" applyNumberFormat="1" applyFont="1" applyFill="1" applyAlignment="1">
      <alignment horizontal="right"/>
    </xf>
    <xf numFmtId="164" fontId="8" fillId="3" borderId="0" xfId="0" applyNumberFormat="1" applyFont="1" applyFill="1" applyAlignment="1">
      <alignment horizontal="right"/>
    </xf>
    <xf numFmtId="164" fontId="255" fillId="2" borderId="0" xfId="0" applyNumberFormat="1" applyFont="1" applyFill="1" applyAlignment="1">
      <alignment horizontal="right"/>
    </xf>
    <xf numFmtId="169" fontId="4" fillId="3" borderId="0" xfId="0" applyNumberFormat="1" applyFont="1" applyFill="1" applyAlignment="1">
      <alignment horizontal="right"/>
    </xf>
    <xf numFmtId="168" fontId="2" fillId="3" borderId="0" xfId="0" applyNumberFormat="1" applyFont="1" applyFill="1" applyAlignment="1">
      <alignment horizontal="right"/>
    </xf>
    <xf numFmtId="164" fontId="254" fillId="0" borderId="0" xfId="1" applyNumberFormat="1" applyFont="1" applyFill="1" applyBorder="1" applyAlignment="1">
      <alignment horizontal="right"/>
    </xf>
    <xf numFmtId="164" fontId="263" fillId="49" borderId="0" xfId="1" applyNumberFormat="1" applyFont="1" applyFill="1" applyBorder="1" applyAlignment="1">
      <alignment horizontal="right"/>
    </xf>
    <xf numFmtId="169" fontId="252" fillId="0" borderId="0" xfId="0" applyNumberFormat="1" applyFont="1" applyAlignment="1">
      <alignment horizontal="left"/>
    </xf>
    <xf numFmtId="164" fontId="0" fillId="0" borderId="0" xfId="0" applyNumberFormat="1" applyAlignment="1">
      <alignment horizontal="center"/>
    </xf>
    <xf numFmtId="0" fontId="0" fillId="0" borderId="0" xfId="0" applyAlignment="1">
      <alignment horizontal="center"/>
    </xf>
    <xf numFmtId="0" fontId="0" fillId="0" borderId="0" xfId="0" quotePrefix="1"/>
    <xf numFmtId="0" fontId="0" fillId="4" borderId="0" xfId="0" applyFill="1"/>
    <xf numFmtId="169" fontId="0" fillId="4" borderId="0" xfId="0" applyNumberFormat="1" applyFill="1"/>
    <xf numFmtId="167" fontId="0" fillId="4" borderId="0" xfId="0" applyNumberFormat="1" applyFill="1"/>
    <xf numFmtId="167" fontId="0" fillId="0" borderId="0" xfId="0" applyNumberFormat="1"/>
    <xf numFmtId="164" fontId="0" fillId="0" borderId="0" xfId="1" applyNumberFormat="1" applyFont="1" applyBorder="1"/>
    <xf numFmtId="0" fontId="0" fillId="0" borderId="0" xfId="0" applyAlignment="1">
      <alignment horizontal="centerContinuous"/>
    </xf>
    <xf numFmtId="164" fontId="253" fillId="0" borderId="0" xfId="1" applyNumberFormat="1" applyFont="1" applyFill="1" applyBorder="1" applyAlignment="1">
      <alignment horizontal="right"/>
    </xf>
    <xf numFmtId="0" fontId="17" fillId="2" borderId="0" xfId="0" applyFont="1" applyFill="1" applyAlignment="1">
      <alignment horizontal="center"/>
    </xf>
    <xf numFmtId="0" fontId="15" fillId="5" borderId="0" xfId="0" applyFont="1" applyFill="1" applyAlignment="1">
      <alignment horizontal="center"/>
    </xf>
  </cellXfs>
  <cellStyles count="1994">
    <cellStyle name="'" xfId="11" xr:uid="{00000000-0005-0000-0000-000000000000}"/>
    <cellStyle name="-" xfId="12" xr:uid="{00000000-0005-0000-0000-000001000000}"/>
    <cellStyle name="          _x000d__x000a_386grabber=VGA.3GR_x000d__x000a_" xfId="13" xr:uid="{00000000-0005-0000-0000-000002000000}"/>
    <cellStyle name="_x000a_386grabber=M" xfId="14" xr:uid="{00000000-0005-0000-0000-000003000000}"/>
    <cellStyle name="&quot;X&quot; Men" xfId="15" xr:uid="{00000000-0005-0000-0000-000004000000}"/>
    <cellStyle name="$" xfId="16" xr:uid="{00000000-0005-0000-0000-000005000000}"/>
    <cellStyle name="$ 1 decimal" xfId="17" xr:uid="{00000000-0005-0000-0000-000006000000}"/>
    <cellStyle name="$_AA - BenefitsBonus " xfId="18" xr:uid="{00000000-0005-0000-0000-000007000000}"/>
    <cellStyle name="$m" xfId="19" xr:uid="{00000000-0005-0000-0000-000008000000}"/>
    <cellStyle name="$q" xfId="20" xr:uid="{00000000-0005-0000-0000-000009000000}"/>
    <cellStyle name="$q*" xfId="21" xr:uid="{00000000-0005-0000-0000-00000A000000}"/>
    <cellStyle name="$qA" xfId="22" xr:uid="{00000000-0005-0000-0000-00000B000000}"/>
    <cellStyle name="$qRange" xfId="23" xr:uid="{00000000-0005-0000-0000-00000C000000}"/>
    <cellStyle name="%" xfId="24" xr:uid="{00000000-0005-0000-0000-00000D000000}"/>
    <cellStyle name="% 2" xfId="25" xr:uid="{00000000-0005-0000-0000-00000E000000}"/>
    <cellStyle name="% 2 2" xfId="26" xr:uid="{00000000-0005-0000-0000-00000F000000}"/>
    <cellStyle name="% 3" xfId="27" xr:uid="{00000000-0005-0000-0000-000010000000}"/>
    <cellStyle name="% 3 2" xfId="28" xr:uid="{00000000-0005-0000-0000-000011000000}"/>
    <cellStyle name="% 4" xfId="29" xr:uid="{00000000-0005-0000-0000-000012000000}"/>
    <cellStyle name="% XX, X" xfId="30" xr:uid="{00000000-0005-0000-0000-000013000000}"/>
    <cellStyle name="% XX,X" xfId="31" xr:uid="{00000000-0005-0000-0000-000014000000}"/>
    <cellStyle name="%[0]" xfId="32" xr:uid="{00000000-0005-0000-0000-000015000000}"/>
    <cellStyle name="%[1]" xfId="33" xr:uid="{00000000-0005-0000-0000-000016000000}"/>
    <cellStyle name="%[2]" xfId="34" xr:uid="{00000000-0005-0000-0000-000017000000}"/>
    <cellStyle name="%_ANSW_model" xfId="35" xr:uid="{00000000-0005-0000-0000-000018000000}"/>
    <cellStyle name="%_AOL earn" xfId="36" xr:uid="{00000000-0005-0000-0000-000019000000}"/>
    <cellStyle name="%_AOLearn" xfId="37" xr:uid="{00000000-0005-0000-0000-00001A000000}"/>
    <cellStyle name="%_CYBS_model" xfId="38" xr:uid="{00000000-0005-0000-0000-00001B000000}"/>
    <cellStyle name="%_EBAYearn" xfId="39" xr:uid="{00000000-0005-0000-0000-00001C000000}"/>
    <cellStyle name="%_EBAYearn 2" xfId="40" xr:uid="{00000000-0005-0000-0000-00001D000000}"/>
    <cellStyle name="%_IACI earn" xfId="41" xr:uid="{00000000-0005-0000-0000-00001E000000}"/>
    <cellStyle name="%_MASTER_ERPROSheet_08022007" xfId="42" xr:uid="{00000000-0005-0000-0000-00001F000000}"/>
    <cellStyle name="%_NFLXearn" xfId="43" xr:uid="{00000000-0005-0000-0000-000020000000}"/>
    <cellStyle name="%_SCORearn" xfId="44" xr:uid="{00000000-0005-0000-0000-000021000000}"/>
    <cellStyle name="%_SCORearn 2" xfId="45" xr:uid="{00000000-0005-0000-0000-000022000000}"/>
    <cellStyle name="%_SFLYearn" xfId="46" xr:uid="{00000000-0005-0000-0000-000023000000}"/>
    <cellStyle name="%_SFLYmail" xfId="47" xr:uid="{00000000-0005-0000-0000-000024000000}"/>
    <cellStyle name="%_VCLK model v1 10192010" xfId="48" xr:uid="{00000000-0005-0000-0000-000025000000}"/>
    <cellStyle name="%_YHOOearn" xfId="49" xr:uid="{00000000-0005-0000-0000-000026000000}"/>
    <cellStyle name="******************************************" xfId="50" xr:uid="{00000000-0005-0000-0000-000027000000}"/>
    <cellStyle name="***.*; (***.*)" xfId="51" xr:uid="{00000000-0005-0000-0000-000028000000}"/>
    <cellStyle name=";;;" xfId="52" xr:uid="{00000000-0005-0000-0000-000029000000}"/>
    <cellStyle name="?Q\?1@" xfId="53" xr:uid="{00000000-0005-0000-0000-00002A000000}"/>
    <cellStyle name="@NOW" xfId="54" xr:uid="{00000000-0005-0000-0000-00002B000000}"/>
    <cellStyle name="]_x000a__x000a_Extension=conv.dll_x000a__x000a_MS-DOS Tools Extentions=C:\DOS\MSTOOLS.DLL_x000a__x000a__x000a__x000a_[Settings]_x000a__x000a_UNDELETE.DLL=C:\DOS\MSTOOLS.DLL_x000a__x000a_W" xfId="55" xr:uid="{00000000-0005-0000-0000-00002C000000}"/>
    <cellStyle name="_%(SignOnly)" xfId="56" xr:uid="{00000000-0005-0000-0000-00002D000000}"/>
    <cellStyle name="_%(SignSpaceOnly)" xfId="57" xr:uid="{00000000-0005-0000-0000-00002E000000}"/>
    <cellStyle name="_AA - BenefitsBonus " xfId="58" xr:uid="{00000000-0005-0000-0000-00002F000000}"/>
    <cellStyle name="_AOL earn" xfId="59" xr:uid="{00000000-0005-0000-0000-000030000000}"/>
    <cellStyle name="_Comma" xfId="60" xr:uid="{00000000-0005-0000-0000-000031000000}"/>
    <cellStyle name="_Comma_01 adj for merger plan" xfId="61" xr:uid="{00000000-0005-0000-0000-000032000000}"/>
    <cellStyle name="_Comma_AA - BenefitsBonus " xfId="62" xr:uid="{00000000-0005-0000-0000-000033000000}"/>
    <cellStyle name="_Comma_Ability to Pay Analysis" xfId="63" xr:uid="{00000000-0005-0000-0000-000034000000}"/>
    <cellStyle name="_Comma_AFL" xfId="64" xr:uid="{00000000-0005-0000-0000-000035000000}"/>
    <cellStyle name="_Comma_AIZ" xfId="65" xr:uid="{00000000-0005-0000-0000-000036000000}"/>
    <cellStyle name="_Comma_AIZ04-Quantum2" xfId="66" xr:uid="{00000000-0005-0000-0000-000037000000}"/>
    <cellStyle name="_Comma_AMP" xfId="67" xr:uid="{00000000-0005-0000-0000-000038000000}"/>
    <cellStyle name="_Comma_Book1" xfId="68" xr:uid="{00000000-0005-0000-0000-000039000000}"/>
    <cellStyle name="_Comma_Book3" xfId="69" xr:uid="{00000000-0005-0000-0000-00003A000000}"/>
    <cellStyle name="_Comma_CNO" xfId="70" xr:uid="{00000000-0005-0000-0000-00003B000000}"/>
    <cellStyle name="_Comma_CNO04" xfId="71" xr:uid="{00000000-0005-0000-0000-00003C000000}"/>
    <cellStyle name="_Comma_DCF Alexander Forbes" xfId="72" xr:uid="{00000000-0005-0000-0000-00003D000000}"/>
    <cellStyle name="_Comma_fmbi counties" xfId="73" xr:uid="{00000000-0005-0000-0000-00003E000000}"/>
    <cellStyle name="_Comma_FMBI MBHI Graphs" xfId="74" xr:uid="{00000000-0005-0000-0000-00003F000000}"/>
    <cellStyle name="_Comma_FMBI MBHI Graphs 07102001" xfId="75" xr:uid="{00000000-0005-0000-0000-000040000000}"/>
    <cellStyle name="_Comma_FMBI MBHI Graphs_7601" xfId="76" xr:uid="{00000000-0005-0000-0000-000041000000}"/>
    <cellStyle name="_Comma_genworth model" xfId="77" xr:uid="{00000000-0005-0000-0000-000042000000}"/>
    <cellStyle name="_Comma_Insurance Brokerage CSC_1Q2002" xfId="78" xr:uid="{00000000-0005-0000-0000-000043000000}"/>
    <cellStyle name="_Comma_JP_LNC_spread_monitor (2)" xfId="79" xr:uid="{00000000-0005-0000-0000-000044000000}"/>
    <cellStyle name="_Comma_NFP" xfId="80" xr:uid="{00000000-0005-0000-0000-000045000000}"/>
    <cellStyle name="_Comma_NFS" xfId="81" xr:uid="{00000000-0005-0000-0000-000046000000}"/>
    <cellStyle name="_Comma_Overview3" xfId="82" xr:uid="{00000000-0005-0000-0000-000047000000}"/>
    <cellStyle name="_Comma_phil data" xfId="83" xr:uid="{00000000-0005-0000-0000-000048000000}"/>
    <cellStyle name="_Comma_Price Performance Charts" xfId="84" xr:uid="{00000000-0005-0000-0000-000049000000}"/>
    <cellStyle name="_Comma_Quarterly Review by Company" xfId="85" xr:uid="{00000000-0005-0000-0000-00004A000000}"/>
    <cellStyle name="_Comma_SFG Data File" xfId="86" xr:uid="{00000000-0005-0000-0000-00004B000000}"/>
    <cellStyle name="_Comma_Sheet1" xfId="87" xr:uid="{00000000-0005-0000-0000-00004C000000}"/>
    <cellStyle name="_Comma_Stock-QTR1 FDS" xfId="88" xr:uid="{00000000-0005-0000-0000-00004D000000}"/>
    <cellStyle name="_Comma_Updated Valuation Changes" xfId="89" xr:uid="{00000000-0005-0000-0000-00004E000000}"/>
    <cellStyle name="_Comma_Valuation Graphs" xfId="90" xr:uid="{00000000-0005-0000-0000-00004F000000}"/>
    <cellStyle name="_Comma_xratio - historical mkt val" xfId="91" xr:uid="{00000000-0005-0000-0000-000050000000}"/>
    <cellStyle name="_Currency" xfId="92" xr:uid="{00000000-0005-0000-0000-000051000000}"/>
    <cellStyle name="_Currency 2" xfId="93" xr:uid="{00000000-0005-0000-0000-000052000000}"/>
    <cellStyle name="_Currency_01 adj for merger plan" xfId="94" xr:uid="{00000000-0005-0000-0000-000053000000}"/>
    <cellStyle name="_Currency_AA - BenefitsBonus " xfId="95" xr:uid="{00000000-0005-0000-0000-000054000000}"/>
    <cellStyle name="_Currency_Ability to Pay Analysis" xfId="96" xr:uid="{00000000-0005-0000-0000-000055000000}"/>
    <cellStyle name="_Currency_AFL" xfId="97" xr:uid="{00000000-0005-0000-0000-000056000000}"/>
    <cellStyle name="_Currency_AIZ" xfId="98" xr:uid="{00000000-0005-0000-0000-000057000000}"/>
    <cellStyle name="_Currency_AMP" xfId="99" xr:uid="{00000000-0005-0000-0000-000058000000}"/>
    <cellStyle name="_Currency_Balance Sheet" xfId="100" xr:uid="{00000000-0005-0000-0000-000059000000}"/>
    <cellStyle name="_Currency_Book1" xfId="101" xr:uid="{00000000-0005-0000-0000-00005A000000}"/>
    <cellStyle name="_Currency_Book29" xfId="102" xr:uid="{00000000-0005-0000-0000-00005B000000}"/>
    <cellStyle name="_Currency_Book3" xfId="103" xr:uid="{00000000-0005-0000-0000-00005C000000}"/>
    <cellStyle name="_Currency_Book3_1" xfId="104" xr:uid="{00000000-0005-0000-0000-00005D000000}"/>
    <cellStyle name="_Currency_CNO" xfId="105" xr:uid="{00000000-0005-0000-0000-00005E000000}"/>
    <cellStyle name="_Currency_DCF Alexander Forbes" xfId="106" xr:uid="{00000000-0005-0000-0000-00005F000000}"/>
    <cellStyle name="_Currency_fmbi counties" xfId="107" xr:uid="{00000000-0005-0000-0000-000060000000}"/>
    <cellStyle name="_Currency_FMBI MBHI Graphs" xfId="108" xr:uid="{00000000-0005-0000-0000-000061000000}"/>
    <cellStyle name="_Currency_FMBI MBHI Graphs 07102001" xfId="109" xr:uid="{00000000-0005-0000-0000-000062000000}"/>
    <cellStyle name="_Currency_FMBI MBHI Graphs_7601" xfId="110" xr:uid="{00000000-0005-0000-0000-000063000000}"/>
    <cellStyle name="_Currency_GNW" xfId="111" xr:uid="{00000000-0005-0000-0000-000064000000}"/>
    <cellStyle name="_Currency_Insurance Brokerage CSC_1Q2002" xfId="112" xr:uid="{00000000-0005-0000-0000-000065000000}"/>
    <cellStyle name="_Currency_Insurance Credit Spread" xfId="113" xr:uid="{00000000-0005-0000-0000-000066000000}"/>
    <cellStyle name="_Currency_JP" xfId="114" xr:uid="{00000000-0005-0000-0000-000067000000}"/>
    <cellStyle name="_Currency_LNC" xfId="115" xr:uid="{00000000-0005-0000-0000-000068000000}"/>
    <cellStyle name="_Currency_MET" xfId="116" xr:uid="{00000000-0005-0000-0000-000069000000}"/>
    <cellStyle name="_Currency_MET04" xfId="117" xr:uid="{00000000-0005-0000-0000-00006A000000}"/>
    <cellStyle name="_Currency_NFS" xfId="118" xr:uid="{00000000-0005-0000-0000-00006B000000}"/>
    <cellStyle name="_Currency_Overview3" xfId="119" xr:uid="{00000000-0005-0000-0000-00006C000000}"/>
    <cellStyle name="_Currency_phil data" xfId="120" xr:uid="{00000000-0005-0000-0000-00006D000000}"/>
    <cellStyle name="_Currency_Price Performance Charts" xfId="121" xr:uid="{00000000-0005-0000-0000-00006E000000}"/>
    <cellStyle name="_Currency_PRU" xfId="122" xr:uid="{00000000-0005-0000-0000-00006F000000}"/>
    <cellStyle name="_Currency_PRU04" xfId="123" xr:uid="{00000000-0005-0000-0000-000070000000}"/>
    <cellStyle name="_Currency_RiskReward" xfId="124" xr:uid="{00000000-0005-0000-0000-000071000000}"/>
    <cellStyle name="_Currency_SFG" xfId="125" xr:uid="{00000000-0005-0000-0000-000072000000}"/>
    <cellStyle name="_Currency_Sheet1" xfId="126" xr:uid="{00000000-0005-0000-0000-000073000000}"/>
    <cellStyle name="_Currency_Stock-QTR1 FDS" xfId="127" xr:uid="{00000000-0005-0000-0000-000074000000}"/>
    <cellStyle name="_Currency_TMK" xfId="128" xr:uid="{00000000-0005-0000-0000-000075000000}"/>
    <cellStyle name="_Currency_Updated Valuation Changes" xfId="129" xr:uid="{00000000-0005-0000-0000-000076000000}"/>
    <cellStyle name="_Currency_Valuation Graphs" xfId="130" xr:uid="{00000000-0005-0000-0000-000077000000}"/>
    <cellStyle name="_Currency_xratio - historical mkt val" xfId="131" xr:uid="{00000000-0005-0000-0000-000078000000}"/>
    <cellStyle name="_CurrencySpace" xfId="132" xr:uid="{00000000-0005-0000-0000-000079000000}"/>
    <cellStyle name="_CurrencySpace 2" xfId="133" xr:uid="{00000000-0005-0000-0000-00007A000000}"/>
    <cellStyle name="_CurrencySpace_01 adj for merger plan" xfId="134" xr:uid="{00000000-0005-0000-0000-00007B000000}"/>
    <cellStyle name="_CurrencySpace_AA - BenefitsBonus " xfId="135" xr:uid="{00000000-0005-0000-0000-00007C000000}"/>
    <cellStyle name="_CurrencySpace_Ability to Pay Analysis" xfId="136" xr:uid="{00000000-0005-0000-0000-00007D000000}"/>
    <cellStyle name="_CurrencySpace_AFL" xfId="137" xr:uid="{00000000-0005-0000-0000-00007E000000}"/>
    <cellStyle name="_CurrencySpace_AIZ" xfId="138" xr:uid="{00000000-0005-0000-0000-00007F000000}"/>
    <cellStyle name="_CurrencySpace_AMP" xfId="139" xr:uid="{00000000-0005-0000-0000-000080000000}"/>
    <cellStyle name="_CurrencySpace_Balance Sheet" xfId="140" xr:uid="{00000000-0005-0000-0000-000081000000}"/>
    <cellStyle name="_CurrencySpace_Book1" xfId="141" xr:uid="{00000000-0005-0000-0000-000082000000}"/>
    <cellStyle name="_CurrencySpace_Book29" xfId="142" xr:uid="{00000000-0005-0000-0000-000083000000}"/>
    <cellStyle name="_CurrencySpace_Book3" xfId="143" xr:uid="{00000000-0005-0000-0000-000084000000}"/>
    <cellStyle name="_CurrencySpace_Book3_1" xfId="144" xr:uid="{00000000-0005-0000-0000-000085000000}"/>
    <cellStyle name="_CurrencySpace_CNO" xfId="145" xr:uid="{00000000-0005-0000-0000-000086000000}"/>
    <cellStyle name="_CurrencySpace_DCF Alexander Forbes" xfId="146" xr:uid="{00000000-0005-0000-0000-000087000000}"/>
    <cellStyle name="_CurrencySpace_fmbi counties" xfId="147" xr:uid="{00000000-0005-0000-0000-000088000000}"/>
    <cellStyle name="_CurrencySpace_FMBI MBHI Graphs" xfId="148" xr:uid="{00000000-0005-0000-0000-000089000000}"/>
    <cellStyle name="_CurrencySpace_FMBI MBHI Graphs 07102001" xfId="149" xr:uid="{00000000-0005-0000-0000-00008A000000}"/>
    <cellStyle name="_CurrencySpace_FMBI MBHI Graphs_7601" xfId="150" xr:uid="{00000000-0005-0000-0000-00008B000000}"/>
    <cellStyle name="_CurrencySpace_GNW" xfId="151" xr:uid="{00000000-0005-0000-0000-00008C000000}"/>
    <cellStyle name="_CurrencySpace_Insurance Brokerage CSC_1Q2002" xfId="152" xr:uid="{00000000-0005-0000-0000-00008D000000}"/>
    <cellStyle name="_CurrencySpace_JP" xfId="153" xr:uid="{00000000-0005-0000-0000-00008E000000}"/>
    <cellStyle name="_CurrencySpace_LNC" xfId="154" xr:uid="{00000000-0005-0000-0000-00008F000000}"/>
    <cellStyle name="_CurrencySpace_MET" xfId="155" xr:uid="{00000000-0005-0000-0000-000090000000}"/>
    <cellStyle name="_CurrencySpace_MET04" xfId="156" xr:uid="{00000000-0005-0000-0000-000091000000}"/>
    <cellStyle name="_CurrencySpace_NFS" xfId="157" xr:uid="{00000000-0005-0000-0000-000092000000}"/>
    <cellStyle name="_CurrencySpace_Overview3" xfId="158" xr:uid="{00000000-0005-0000-0000-000093000000}"/>
    <cellStyle name="_CurrencySpace_phil data" xfId="159" xr:uid="{00000000-0005-0000-0000-000094000000}"/>
    <cellStyle name="_CurrencySpace_Price Performance Charts" xfId="160" xr:uid="{00000000-0005-0000-0000-000095000000}"/>
    <cellStyle name="_CurrencySpace_PRU" xfId="161" xr:uid="{00000000-0005-0000-0000-000096000000}"/>
    <cellStyle name="_CurrencySpace_PRU04" xfId="162" xr:uid="{00000000-0005-0000-0000-000097000000}"/>
    <cellStyle name="_CurrencySpace_RiskReward" xfId="163" xr:uid="{00000000-0005-0000-0000-000098000000}"/>
    <cellStyle name="_CurrencySpace_SFG" xfId="164" xr:uid="{00000000-0005-0000-0000-000099000000}"/>
    <cellStyle name="_CurrencySpace_Sheet1" xfId="165" xr:uid="{00000000-0005-0000-0000-00009A000000}"/>
    <cellStyle name="_CurrencySpace_Stock-QTR1 FDS" xfId="166" xr:uid="{00000000-0005-0000-0000-00009B000000}"/>
    <cellStyle name="_CurrencySpace_TMK" xfId="167" xr:uid="{00000000-0005-0000-0000-00009C000000}"/>
    <cellStyle name="_CurrencySpace_Updated Valuation Changes" xfId="168" xr:uid="{00000000-0005-0000-0000-00009D000000}"/>
    <cellStyle name="_CurrencySpace_Valuation Graphs" xfId="169" xr:uid="{00000000-0005-0000-0000-00009E000000}"/>
    <cellStyle name="_CurrencySpace_xratio - historical mkt val" xfId="170" xr:uid="{00000000-0005-0000-0000-00009F000000}"/>
    <cellStyle name="_Dollar" xfId="171" xr:uid="{00000000-0005-0000-0000-0000A0000000}"/>
    <cellStyle name="_Euro" xfId="172" xr:uid="{00000000-0005-0000-0000-0000A1000000}"/>
    <cellStyle name="_FACEBOOK_model" xfId="173" xr:uid="{00000000-0005-0000-0000-0000A2000000}"/>
    <cellStyle name="_GOOG_model" xfId="174" xr:uid="{00000000-0005-0000-0000-0000A3000000}"/>
    <cellStyle name="—_GS_Cash " xfId="175" xr:uid="{00000000-0005-0000-0000-0000A4000000}"/>
    <cellStyle name="_Heading" xfId="176" xr:uid="{00000000-0005-0000-0000-0000A5000000}"/>
    <cellStyle name="_Heading 2" xfId="177" xr:uid="{00000000-0005-0000-0000-0000A6000000}"/>
    <cellStyle name="_Heading_prestemp" xfId="178" xr:uid="{00000000-0005-0000-0000-0000A7000000}"/>
    <cellStyle name="_Heading_Q" xfId="179" xr:uid="{00000000-0005-0000-0000-0000A8000000}"/>
    <cellStyle name="_Heading_q - new guidance" xfId="180" xr:uid="{00000000-0005-0000-0000-0000A9000000}"/>
    <cellStyle name="_Highlight" xfId="181" xr:uid="{00000000-0005-0000-0000-0000AA000000}"/>
    <cellStyle name="_IACI earn" xfId="182" xr:uid="{00000000-0005-0000-0000-0000AB000000}"/>
    <cellStyle name="_Julius_Baer_Nitto_Denko0504" xfId="183" xr:uid="{00000000-0005-0000-0000-0000AC000000}"/>
    <cellStyle name="_Julius_Baer_Nitto_Denko0504 2" xfId="184" xr:uid="{00000000-0005-0000-0000-0000AD000000}"/>
    <cellStyle name="_MM_model" xfId="185" xr:uid="{00000000-0005-0000-0000-0000AE000000}"/>
    <cellStyle name="_MM_model 2" xfId="186" xr:uid="{00000000-0005-0000-0000-0000AF000000}"/>
    <cellStyle name="_MM_model 3" xfId="187" xr:uid="{00000000-0005-0000-0000-0000B0000000}"/>
    <cellStyle name="_MM_model 3 2" xfId="188" xr:uid="{00000000-0005-0000-0000-0000B1000000}"/>
    <cellStyle name="_Multiple" xfId="189" xr:uid="{00000000-0005-0000-0000-0000B2000000}"/>
    <cellStyle name="_Multiple 2" xfId="190" xr:uid="{00000000-0005-0000-0000-0000B3000000}"/>
    <cellStyle name="_Multiple_01 adj for merger plan" xfId="191" xr:uid="{00000000-0005-0000-0000-0000B4000000}"/>
    <cellStyle name="_Multiple_AA - BenefitsBonus " xfId="192" xr:uid="{00000000-0005-0000-0000-0000B5000000}"/>
    <cellStyle name="_Multiple_Ability to Pay Analysis" xfId="193" xr:uid="{00000000-0005-0000-0000-0000B6000000}"/>
    <cellStyle name="_Multiple_AFL" xfId="194" xr:uid="{00000000-0005-0000-0000-0000B7000000}"/>
    <cellStyle name="_Multiple_AIZ" xfId="195" xr:uid="{00000000-0005-0000-0000-0000B8000000}"/>
    <cellStyle name="_Multiple_AMP" xfId="196" xr:uid="{00000000-0005-0000-0000-0000B9000000}"/>
    <cellStyle name="_Multiple_Balance Sheet" xfId="197" xr:uid="{00000000-0005-0000-0000-0000BA000000}"/>
    <cellStyle name="_Multiple_Book1" xfId="198" xr:uid="{00000000-0005-0000-0000-0000BB000000}"/>
    <cellStyle name="_Multiple_Book29" xfId="199" xr:uid="{00000000-0005-0000-0000-0000BC000000}"/>
    <cellStyle name="_Multiple_Book3" xfId="200" xr:uid="{00000000-0005-0000-0000-0000BD000000}"/>
    <cellStyle name="_Multiple_Book3_1" xfId="201" xr:uid="{00000000-0005-0000-0000-0000BE000000}"/>
    <cellStyle name="_Multiple_CNO" xfId="202" xr:uid="{00000000-0005-0000-0000-0000BF000000}"/>
    <cellStyle name="_Multiple_DCF Alexander Forbes" xfId="203" xr:uid="{00000000-0005-0000-0000-0000C0000000}"/>
    <cellStyle name="_Multiple_fmbi counties" xfId="204" xr:uid="{00000000-0005-0000-0000-0000C1000000}"/>
    <cellStyle name="_Multiple_FMBI MBHI Graphs" xfId="205" xr:uid="{00000000-0005-0000-0000-0000C2000000}"/>
    <cellStyle name="_Multiple_FMBI MBHI Graphs 07102001" xfId="206" xr:uid="{00000000-0005-0000-0000-0000C3000000}"/>
    <cellStyle name="_Multiple_FMBI MBHI Graphs_7601" xfId="207" xr:uid="{00000000-0005-0000-0000-0000C4000000}"/>
    <cellStyle name="_Multiple_GNW" xfId="208" xr:uid="{00000000-0005-0000-0000-0000C5000000}"/>
    <cellStyle name="_Multiple_Insurance Brokerage CSC_1Q2002" xfId="209" xr:uid="{00000000-0005-0000-0000-0000C6000000}"/>
    <cellStyle name="_Multiple_JP" xfId="210" xr:uid="{00000000-0005-0000-0000-0000C7000000}"/>
    <cellStyle name="_Multiple_LNC" xfId="211" xr:uid="{00000000-0005-0000-0000-0000C8000000}"/>
    <cellStyle name="_Multiple_MET" xfId="212" xr:uid="{00000000-0005-0000-0000-0000C9000000}"/>
    <cellStyle name="_Multiple_MET04" xfId="213" xr:uid="{00000000-0005-0000-0000-0000CA000000}"/>
    <cellStyle name="_Multiple_NFS" xfId="214" xr:uid="{00000000-0005-0000-0000-0000CB000000}"/>
    <cellStyle name="_Multiple_Overview3" xfId="215" xr:uid="{00000000-0005-0000-0000-0000CC000000}"/>
    <cellStyle name="_Multiple_phil data" xfId="216" xr:uid="{00000000-0005-0000-0000-0000CD000000}"/>
    <cellStyle name="_Multiple_Price Performance Charts" xfId="217" xr:uid="{00000000-0005-0000-0000-0000CE000000}"/>
    <cellStyle name="_Multiple_PRU" xfId="218" xr:uid="{00000000-0005-0000-0000-0000CF000000}"/>
    <cellStyle name="_Multiple_PRU04" xfId="219" xr:uid="{00000000-0005-0000-0000-0000D0000000}"/>
    <cellStyle name="_Multiple_RiskReward" xfId="220" xr:uid="{00000000-0005-0000-0000-0000D1000000}"/>
    <cellStyle name="_Multiple_SFG" xfId="221" xr:uid="{00000000-0005-0000-0000-0000D2000000}"/>
    <cellStyle name="_Multiple_Sheet1" xfId="222" xr:uid="{00000000-0005-0000-0000-0000D3000000}"/>
    <cellStyle name="_Multiple_Stock-QTR1 FDS" xfId="223" xr:uid="{00000000-0005-0000-0000-0000D4000000}"/>
    <cellStyle name="_Multiple_TMK" xfId="224" xr:uid="{00000000-0005-0000-0000-0000D5000000}"/>
    <cellStyle name="_Multiple_Updated Valuation Changes" xfId="225" xr:uid="{00000000-0005-0000-0000-0000D6000000}"/>
    <cellStyle name="_Multiple_Valuation Graphs" xfId="226" xr:uid="{00000000-0005-0000-0000-0000D7000000}"/>
    <cellStyle name="_Multiple_xratio - historical mkt val" xfId="227" xr:uid="{00000000-0005-0000-0000-0000D8000000}"/>
    <cellStyle name="_MultipleSpace" xfId="228" xr:uid="{00000000-0005-0000-0000-0000D9000000}"/>
    <cellStyle name="_MultipleSpace 2" xfId="229" xr:uid="{00000000-0005-0000-0000-0000DA000000}"/>
    <cellStyle name="_MultipleSpace_01 adj for merger plan" xfId="230" xr:uid="{00000000-0005-0000-0000-0000DB000000}"/>
    <cellStyle name="_MultipleSpace_AA - BenefitsBonus " xfId="231" xr:uid="{00000000-0005-0000-0000-0000DC000000}"/>
    <cellStyle name="_MultipleSpace_Ability to Pay Analysis" xfId="232" xr:uid="{00000000-0005-0000-0000-0000DD000000}"/>
    <cellStyle name="_MultipleSpace_AFL" xfId="233" xr:uid="{00000000-0005-0000-0000-0000DE000000}"/>
    <cellStyle name="_MultipleSpace_AIZ" xfId="234" xr:uid="{00000000-0005-0000-0000-0000DF000000}"/>
    <cellStyle name="_MultipleSpace_AMP" xfId="235" xr:uid="{00000000-0005-0000-0000-0000E0000000}"/>
    <cellStyle name="_MultipleSpace_Balance Sheet" xfId="236" xr:uid="{00000000-0005-0000-0000-0000E1000000}"/>
    <cellStyle name="_MultipleSpace_Book1" xfId="237" xr:uid="{00000000-0005-0000-0000-0000E2000000}"/>
    <cellStyle name="_MultipleSpace_Book29" xfId="238" xr:uid="{00000000-0005-0000-0000-0000E3000000}"/>
    <cellStyle name="_MultipleSpace_Book3" xfId="239" xr:uid="{00000000-0005-0000-0000-0000E4000000}"/>
    <cellStyle name="_MultipleSpace_Book3_1" xfId="240" xr:uid="{00000000-0005-0000-0000-0000E5000000}"/>
    <cellStyle name="_MultipleSpace_CNO" xfId="241" xr:uid="{00000000-0005-0000-0000-0000E6000000}"/>
    <cellStyle name="_MultipleSpace_DCF Alexander Forbes" xfId="242" xr:uid="{00000000-0005-0000-0000-0000E7000000}"/>
    <cellStyle name="_MultipleSpace_fmbi counties" xfId="243" xr:uid="{00000000-0005-0000-0000-0000E8000000}"/>
    <cellStyle name="_MultipleSpace_FMBI MBHI Graphs" xfId="244" xr:uid="{00000000-0005-0000-0000-0000E9000000}"/>
    <cellStyle name="_MultipleSpace_FMBI MBHI Graphs 07102001" xfId="245" xr:uid="{00000000-0005-0000-0000-0000EA000000}"/>
    <cellStyle name="_MultipleSpace_FMBI MBHI Graphs_7601" xfId="246" xr:uid="{00000000-0005-0000-0000-0000EB000000}"/>
    <cellStyle name="_MultipleSpace_GNW" xfId="247" xr:uid="{00000000-0005-0000-0000-0000EC000000}"/>
    <cellStyle name="_MultipleSpace_Insurance Brokerage CSC_1Q2002" xfId="248" xr:uid="{00000000-0005-0000-0000-0000ED000000}"/>
    <cellStyle name="_MultipleSpace_JP" xfId="249" xr:uid="{00000000-0005-0000-0000-0000EE000000}"/>
    <cellStyle name="_MultipleSpace_LNC" xfId="250" xr:uid="{00000000-0005-0000-0000-0000EF000000}"/>
    <cellStyle name="_MultipleSpace_MET" xfId="251" xr:uid="{00000000-0005-0000-0000-0000F0000000}"/>
    <cellStyle name="_MultipleSpace_MET04" xfId="252" xr:uid="{00000000-0005-0000-0000-0000F1000000}"/>
    <cellStyle name="_MultipleSpace_NFS" xfId="253" xr:uid="{00000000-0005-0000-0000-0000F2000000}"/>
    <cellStyle name="_MultipleSpace_Overview3" xfId="254" xr:uid="{00000000-0005-0000-0000-0000F3000000}"/>
    <cellStyle name="_MultipleSpace_phil data" xfId="255" xr:uid="{00000000-0005-0000-0000-0000F4000000}"/>
    <cellStyle name="_MultipleSpace_Price Performance Charts" xfId="256" xr:uid="{00000000-0005-0000-0000-0000F5000000}"/>
    <cellStyle name="_MultipleSpace_PRU" xfId="257" xr:uid="{00000000-0005-0000-0000-0000F6000000}"/>
    <cellStyle name="_MultipleSpace_PRU04" xfId="258" xr:uid="{00000000-0005-0000-0000-0000F7000000}"/>
    <cellStyle name="_MultipleSpace_RiskReward" xfId="259" xr:uid="{00000000-0005-0000-0000-0000F8000000}"/>
    <cellStyle name="_MultipleSpace_SFG" xfId="260" xr:uid="{00000000-0005-0000-0000-0000F9000000}"/>
    <cellStyle name="_MultipleSpace_Sheet1" xfId="261" xr:uid="{00000000-0005-0000-0000-0000FA000000}"/>
    <cellStyle name="_MultipleSpace_Stock-QTR1 FDS" xfId="262" xr:uid="{00000000-0005-0000-0000-0000FB000000}"/>
    <cellStyle name="_MultipleSpace_TMK" xfId="263" xr:uid="{00000000-0005-0000-0000-0000FC000000}"/>
    <cellStyle name="_MultipleSpace_Updated Valuation Changes" xfId="264" xr:uid="{00000000-0005-0000-0000-0000FD000000}"/>
    <cellStyle name="_MultipleSpace_Valuation Graphs" xfId="265" xr:uid="{00000000-0005-0000-0000-0000FE000000}"/>
    <cellStyle name="_MultipleSpace_xratio - historical mkt val" xfId="266" xr:uid="{00000000-0005-0000-0000-0000FF000000}"/>
    <cellStyle name="_Percent" xfId="267" xr:uid="{00000000-0005-0000-0000-000000010000}"/>
    <cellStyle name="_Percent 2" xfId="268" xr:uid="{00000000-0005-0000-0000-000001010000}"/>
    <cellStyle name="_Percent_AA - BenefitsBonus " xfId="269" xr:uid="{00000000-0005-0000-0000-000002010000}"/>
    <cellStyle name="_Percent_DCF Alexander Forbes" xfId="270" xr:uid="{00000000-0005-0000-0000-000003010000}"/>
    <cellStyle name="_Percent_FMBI MBHI Graphs" xfId="271" xr:uid="{00000000-0005-0000-0000-000004010000}"/>
    <cellStyle name="_Percent_FMBI MBHI Graphs 07102001" xfId="272" xr:uid="{00000000-0005-0000-0000-000005010000}"/>
    <cellStyle name="_Percent_FMBI MBHI Graphs_7601" xfId="273" xr:uid="{00000000-0005-0000-0000-000006010000}"/>
    <cellStyle name="_PercentSpace" xfId="274" xr:uid="{00000000-0005-0000-0000-000007010000}"/>
    <cellStyle name="_PercentSpace 2" xfId="275" xr:uid="{00000000-0005-0000-0000-000008010000}"/>
    <cellStyle name="_PercentSpace_01 adj for merger plan" xfId="276" xr:uid="{00000000-0005-0000-0000-000009010000}"/>
    <cellStyle name="_PercentSpace_AA - BenefitsBonus " xfId="277" xr:uid="{00000000-0005-0000-0000-00000A010000}"/>
    <cellStyle name="_PercentSpace_DCF Alexander Forbes" xfId="278" xr:uid="{00000000-0005-0000-0000-00000B010000}"/>
    <cellStyle name="_PercentSpace_FMBI MBHI Graphs" xfId="279" xr:uid="{00000000-0005-0000-0000-00000C010000}"/>
    <cellStyle name="_PercentSpace_FMBI MBHI Graphs 07102001" xfId="280" xr:uid="{00000000-0005-0000-0000-00000D010000}"/>
    <cellStyle name="_PercentSpace_FMBI MBHI Graphs_7601" xfId="281" xr:uid="{00000000-0005-0000-0000-00000E010000}"/>
    <cellStyle name="_RRS1" xfId="282" xr:uid="{00000000-0005-0000-0000-00000F010000}"/>
    <cellStyle name="_RRS1 2" xfId="283" xr:uid="{00000000-0005-0000-0000-000010010000}"/>
    <cellStyle name="_RRS15" xfId="284" xr:uid="{00000000-0005-0000-0000-000011010000}"/>
    <cellStyle name="_RRS15 2" xfId="285" xr:uid="{00000000-0005-0000-0000-000012010000}"/>
    <cellStyle name="_RRS20" xfId="286" xr:uid="{00000000-0005-0000-0000-000013010000}"/>
    <cellStyle name="_RRS20 2" xfId="287" xr:uid="{00000000-0005-0000-0000-000014010000}"/>
    <cellStyle name="_RRS3" xfId="288" xr:uid="{00000000-0005-0000-0000-000015010000}"/>
    <cellStyle name="_RRS3 2" xfId="289" xr:uid="{00000000-0005-0000-0000-000016010000}"/>
    <cellStyle name="_RRS35" xfId="290" xr:uid="{00000000-0005-0000-0000-000017010000}"/>
    <cellStyle name="_RRS4" xfId="291" xr:uid="{00000000-0005-0000-0000-000018010000}"/>
    <cellStyle name="_RRS6" xfId="292" xr:uid="{00000000-0005-0000-0000-000019010000}"/>
    <cellStyle name="_RRS6 2" xfId="293" xr:uid="{00000000-0005-0000-0000-00001A010000}"/>
    <cellStyle name="_SCORearn" xfId="294" xr:uid="{00000000-0005-0000-0000-00001B010000}"/>
    <cellStyle name="_SubHeading" xfId="295" xr:uid="{00000000-0005-0000-0000-00001C010000}"/>
    <cellStyle name="_SubHeading 2" xfId="296" xr:uid="{00000000-0005-0000-0000-00001D010000}"/>
    <cellStyle name="_SubHeading_Ability to Pay Analysis" xfId="297" xr:uid="{00000000-0005-0000-0000-00001E010000}"/>
    <cellStyle name="_SubHeading_BankUnited Model" xfId="298" xr:uid="{00000000-0005-0000-0000-00001F010000}"/>
    <cellStyle name="_SubHeading_fmbi counties" xfId="299" xr:uid="{00000000-0005-0000-0000-000020010000}"/>
    <cellStyle name="_SubHeading_FMBI MBHI Graphs" xfId="300" xr:uid="{00000000-0005-0000-0000-000021010000}"/>
    <cellStyle name="_SubHeading_FMBI MBHI Graphs 07102001" xfId="301" xr:uid="{00000000-0005-0000-0000-000022010000}"/>
    <cellStyle name="_SubHeading_FMBI MBHI Graphs_7601" xfId="302" xr:uid="{00000000-0005-0000-0000-000023010000}"/>
    <cellStyle name="_SubHeading_prestemp" xfId="303" xr:uid="{00000000-0005-0000-0000-000024010000}"/>
    <cellStyle name="_SubHeading_prestemp_Insurance Brokerage CSC_1Q2002" xfId="304" xr:uid="{00000000-0005-0000-0000-000025010000}"/>
    <cellStyle name="_SubHeading_prestemp_Overview3" xfId="305" xr:uid="{00000000-0005-0000-0000-000026010000}"/>
    <cellStyle name="_SubHeading_prestemp_Updated Valuation Changes" xfId="306" xr:uid="{00000000-0005-0000-0000-000027010000}"/>
    <cellStyle name="_SubHeading_Q" xfId="307" xr:uid="{00000000-0005-0000-0000-000028010000}"/>
    <cellStyle name="_SubHeading_q - new guidance" xfId="308" xr:uid="{00000000-0005-0000-0000-000029010000}"/>
    <cellStyle name="_SubHeading_xratio - historical mkt val" xfId="309" xr:uid="{00000000-0005-0000-0000-00002A010000}"/>
    <cellStyle name="_SUMMARY " xfId="310" xr:uid="{00000000-0005-0000-0000-00002B010000}"/>
    <cellStyle name="_SUMMARY  2" xfId="311" xr:uid="{00000000-0005-0000-0000-00002C010000}"/>
    <cellStyle name="_SUMMARY  3" xfId="312" xr:uid="{00000000-0005-0000-0000-00002D010000}"/>
    <cellStyle name="_SUMMARY  3 2" xfId="313" xr:uid="{00000000-0005-0000-0000-00002E010000}"/>
    <cellStyle name="_SUMMARY  4" xfId="314" xr:uid="{00000000-0005-0000-0000-00002F010000}"/>
    <cellStyle name="_Table" xfId="315" xr:uid="{00000000-0005-0000-0000-000030010000}"/>
    <cellStyle name="_Table 2" xfId="316" xr:uid="{00000000-0005-0000-0000-000031010000}"/>
    <cellStyle name="_Table_Ability to Pay Analysis" xfId="317" xr:uid="{00000000-0005-0000-0000-000032010000}"/>
    <cellStyle name="_Table_BankUnited Model" xfId="318" xr:uid="{00000000-0005-0000-0000-000033010000}"/>
    <cellStyle name="_Table_fmbi counties" xfId="319" xr:uid="{00000000-0005-0000-0000-000034010000}"/>
    <cellStyle name="_Table_Q" xfId="320" xr:uid="{00000000-0005-0000-0000-000035010000}"/>
    <cellStyle name="_Table_q - new guidance" xfId="321" xr:uid="{00000000-0005-0000-0000-000036010000}"/>
    <cellStyle name="_Table_xratio - historical mkt val" xfId="322" xr:uid="{00000000-0005-0000-0000-000037010000}"/>
    <cellStyle name="_TableHead" xfId="323" xr:uid="{00000000-0005-0000-0000-000038010000}"/>
    <cellStyle name="_TableHead 2" xfId="324" xr:uid="{00000000-0005-0000-0000-000039010000}"/>
    <cellStyle name="_TableHead_Q" xfId="325" xr:uid="{00000000-0005-0000-0000-00003A010000}"/>
    <cellStyle name="_TableHead_q - new guidance" xfId="326" xr:uid="{00000000-0005-0000-0000-00003B010000}"/>
    <cellStyle name="_TableRowBorder" xfId="327" xr:uid="{00000000-0005-0000-0000-00003C010000}"/>
    <cellStyle name="_TableRowHead" xfId="328" xr:uid="{00000000-0005-0000-0000-00003D010000}"/>
    <cellStyle name="_TableRowHead 2" xfId="329" xr:uid="{00000000-0005-0000-0000-00003E010000}"/>
    <cellStyle name="_TableRowHead_Q" xfId="330" xr:uid="{00000000-0005-0000-0000-00003F010000}"/>
    <cellStyle name="_TableRowHead_q - new guidance" xfId="331" xr:uid="{00000000-0005-0000-0000-000040010000}"/>
    <cellStyle name="_TableSuperHead" xfId="332" xr:uid="{00000000-0005-0000-0000-000041010000}"/>
    <cellStyle name="_TableSuperHead 2" xfId="333" xr:uid="{00000000-0005-0000-0000-000042010000}"/>
    <cellStyle name="_TableSuperHead_Ability to Pay Analysis" xfId="334" xr:uid="{00000000-0005-0000-0000-000043010000}"/>
    <cellStyle name="_TableSuperHead_BankUnited Model" xfId="335" xr:uid="{00000000-0005-0000-0000-000044010000}"/>
    <cellStyle name="_TableSuperHead_fmbi counties" xfId="336" xr:uid="{00000000-0005-0000-0000-000045010000}"/>
    <cellStyle name="_TableSuperHead_Q" xfId="337" xr:uid="{00000000-0005-0000-0000-000046010000}"/>
    <cellStyle name="_TableSuperHead_q - new guidance" xfId="338" xr:uid="{00000000-0005-0000-0000-000047010000}"/>
    <cellStyle name="_TableSuperHead_xratio - historical mkt val" xfId="339" xr:uid="{00000000-0005-0000-0000-000048010000}"/>
    <cellStyle name="_VCLK model v1 10192010" xfId="340" xr:uid="{00000000-0005-0000-0000-000049010000}"/>
    <cellStyle name="_Wireline Tel Forecast " xfId="341" xr:uid="{00000000-0005-0000-0000-00004A010000}"/>
    <cellStyle name="_YHOOearn" xfId="342" xr:uid="{00000000-0005-0000-0000-00004B010000}"/>
    <cellStyle name="’Ê‰Ý [0.00]_GE 3 MINIMUM" xfId="343" xr:uid="{00000000-0005-0000-0000-00004C010000}"/>
    <cellStyle name="’Ê‰Ý_GE 3 MINIMUM" xfId="344" xr:uid="{00000000-0005-0000-0000-00004D010000}"/>
    <cellStyle name="£ BP" xfId="345" xr:uid="{00000000-0005-0000-0000-00004E010000}"/>
    <cellStyle name="¥ JY" xfId="346" xr:uid="{00000000-0005-0000-0000-00004F010000}"/>
    <cellStyle name="=C:\WINNT35\SYSTEM32\COMMAND.COM" xfId="347" xr:uid="{00000000-0005-0000-0000-000050010000}"/>
    <cellStyle name="=C:\WINNT35\SYSTEM32\COMMAND.COM 2" xfId="348" xr:uid="{00000000-0005-0000-0000-000051010000}"/>
    <cellStyle name="=C:\WINNT35\SYSTEM32\COMMAND.COM 3" xfId="349" xr:uid="{00000000-0005-0000-0000-000052010000}"/>
    <cellStyle name="=C:\WINNT35\SYSTEM32\COMMAND.COM 3 2" xfId="350" xr:uid="{00000000-0005-0000-0000-000053010000}"/>
    <cellStyle name="=C:\WINNT35\SYSTEM32\COMMAND.COM 4" xfId="351" xr:uid="{00000000-0005-0000-0000-000054010000}"/>
    <cellStyle name="•W€_Comparables" xfId="352" xr:uid="{00000000-0005-0000-0000-000055010000}"/>
    <cellStyle name="•W_GE 3 MINIMUM" xfId="353" xr:uid="{00000000-0005-0000-0000-000056010000}"/>
    <cellStyle name="0" xfId="354" xr:uid="{00000000-0005-0000-0000-000057010000}"/>
    <cellStyle name="0 2" xfId="355" xr:uid="{00000000-0005-0000-0000-000058010000}"/>
    <cellStyle name="0%" xfId="356" xr:uid="{00000000-0005-0000-0000-000059010000}"/>
    <cellStyle name="0% 2" xfId="357" xr:uid="{00000000-0005-0000-0000-00005A010000}"/>
    <cellStyle name="0.0" xfId="358" xr:uid="{00000000-0005-0000-0000-00005B010000}"/>
    <cellStyle name="0.0 2" xfId="359" xr:uid="{00000000-0005-0000-0000-00005C010000}"/>
    <cellStyle name="0.0%" xfId="360" xr:uid="{00000000-0005-0000-0000-00005D010000}"/>
    <cellStyle name="0.0% 2" xfId="361" xr:uid="{00000000-0005-0000-0000-00005E010000}"/>
    <cellStyle name="0.0_Book4" xfId="362" xr:uid="{00000000-0005-0000-0000-00005F010000}"/>
    <cellStyle name="0.00" xfId="363" xr:uid="{00000000-0005-0000-0000-000060010000}"/>
    <cellStyle name="0.00 2" xfId="364" xr:uid="{00000000-0005-0000-0000-000061010000}"/>
    <cellStyle name="0.00%" xfId="365" xr:uid="{00000000-0005-0000-0000-000062010000}"/>
    <cellStyle name="0.00% 2" xfId="366" xr:uid="{00000000-0005-0000-0000-000063010000}"/>
    <cellStyle name="0.00_Book4" xfId="367" xr:uid="{00000000-0005-0000-0000-000064010000}"/>
    <cellStyle name="0_Book4" xfId="368" xr:uid="{00000000-0005-0000-0000-000065010000}"/>
    <cellStyle name="0_Capex &amp; Depreciation " xfId="369" xr:uid="{00000000-0005-0000-0000-000066010000}"/>
    <cellStyle name="0_Capex &amp; Depreciation _RRST1" xfId="370" xr:uid="{00000000-0005-0000-0000-000067010000}"/>
    <cellStyle name="0_Capex &amp; Depreciation _RRST1 2" xfId="371" xr:uid="{00000000-0005-0000-0000-000068010000}"/>
    <cellStyle name="0_Capex &amp; Depreciation _RRST2" xfId="372" xr:uid="{00000000-0005-0000-0000-000069010000}"/>
    <cellStyle name="0_Capex &amp; Depreciation _RRST3" xfId="373" xr:uid="{00000000-0005-0000-0000-00006A010000}"/>
    <cellStyle name="0_SmartChart_B1035" xfId="374" xr:uid="{00000000-0005-0000-0000-00006B010000}"/>
    <cellStyle name="0_SmartChart_B1200" xfId="375" xr:uid="{00000000-0005-0000-0000-00006C010000}"/>
    <cellStyle name="0_SmartChart_C1035" xfId="376" xr:uid="{00000000-0005-0000-0000-00006D010000}"/>
    <cellStyle name="0_SmartChart_O1200" xfId="377" xr:uid="{00000000-0005-0000-0000-00006E010000}"/>
    <cellStyle name="0_Valuing BP " xfId="378" xr:uid="{00000000-0005-0000-0000-00006F010000}"/>
    <cellStyle name="0_Valuing BP _RRST1" xfId="379" xr:uid="{00000000-0005-0000-0000-000070010000}"/>
    <cellStyle name="0_Valuing BP _RRST1 2" xfId="380" xr:uid="{00000000-0005-0000-0000-000071010000}"/>
    <cellStyle name="0_Valuing BP _RRST2" xfId="381" xr:uid="{00000000-0005-0000-0000-000072010000}"/>
    <cellStyle name="0_Valuing BP _RRST3" xfId="382" xr:uid="{00000000-0005-0000-0000-000073010000}"/>
    <cellStyle name="0_Wireline Tel Forecast " xfId="383" xr:uid="{00000000-0005-0000-0000-000074010000}"/>
    <cellStyle name="1 decimales" xfId="384" xr:uid="{00000000-0005-0000-0000-000075010000}"/>
    <cellStyle name="1,comma" xfId="385" xr:uid="{00000000-0005-0000-0000-000076010000}"/>
    <cellStyle name="1,comma 2" xfId="386" xr:uid="{00000000-0005-0000-0000-000077010000}"/>
    <cellStyle name="2 decimales" xfId="387" xr:uid="{00000000-0005-0000-0000-000078010000}"/>
    <cellStyle name="20% - Accent1 2" xfId="388" xr:uid="{00000000-0005-0000-0000-000079010000}"/>
    <cellStyle name="20% - Accent2 2" xfId="389" xr:uid="{00000000-0005-0000-0000-00007A010000}"/>
    <cellStyle name="20% - Accent3 2" xfId="390" xr:uid="{00000000-0005-0000-0000-00007B010000}"/>
    <cellStyle name="20% - Accent4 2" xfId="391" xr:uid="{00000000-0005-0000-0000-00007C010000}"/>
    <cellStyle name="20% - Accent5 2" xfId="392" xr:uid="{00000000-0005-0000-0000-00007D010000}"/>
    <cellStyle name="20% - Accent6 2" xfId="393" xr:uid="{00000000-0005-0000-0000-00007E010000}"/>
    <cellStyle name="3232" xfId="394" xr:uid="{00000000-0005-0000-0000-00007F010000}"/>
    <cellStyle name="40% - Accent2 2" xfId="395" xr:uid="{00000000-0005-0000-0000-000080010000}"/>
    <cellStyle name="40% - Accent3 2" xfId="396" xr:uid="{00000000-0005-0000-0000-000081010000}"/>
    <cellStyle name="40% - Accent5 2" xfId="397" xr:uid="{00000000-0005-0000-0000-000082010000}"/>
    <cellStyle name="40% - Accent6 2" xfId="398" xr:uid="{00000000-0005-0000-0000-000083010000}"/>
    <cellStyle name="60% - Accent2 2" xfId="399" xr:uid="{00000000-0005-0000-0000-000084010000}"/>
    <cellStyle name="60% - Accent3 2" xfId="400" xr:uid="{00000000-0005-0000-0000-000085010000}"/>
    <cellStyle name="60% - Accent6 2" xfId="401" xr:uid="{00000000-0005-0000-0000-000086010000}"/>
    <cellStyle name="752131" xfId="402" xr:uid="{00000000-0005-0000-0000-000087010000}"/>
    <cellStyle name="Accent2 2" xfId="403" xr:uid="{00000000-0005-0000-0000-000088010000}"/>
    <cellStyle name="Accent3 2" xfId="404" xr:uid="{00000000-0005-0000-0000-000089010000}"/>
    <cellStyle name="Accent6 2" xfId="405" xr:uid="{00000000-0005-0000-0000-00008A010000}"/>
    <cellStyle name="Acctg" xfId="406" xr:uid="{00000000-0005-0000-0000-00008B010000}"/>
    <cellStyle name="Actual data" xfId="407" xr:uid="{00000000-0005-0000-0000-00008C010000}"/>
    <cellStyle name="Actual year" xfId="408" xr:uid="{00000000-0005-0000-0000-00008D010000}"/>
    <cellStyle name="Actuals Cells" xfId="409" xr:uid="{00000000-0005-0000-0000-00008E010000}"/>
    <cellStyle name="adj_share" xfId="410" xr:uid="{00000000-0005-0000-0000-00008F010000}"/>
    <cellStyle name="AFE" xfId="411" xr:uid="{00000000-0005-0000-0000-000090010000}"/>
    <cellStyle name="AFE 2" xfId="412" xr:uid="{00000000-0005-0000-0000-000091010000}"/>
    <cellStyle name="AFE 3" xfId="413" xr:uid="{00000000-0005-0000-0000-000092010000}"/>
    <cellStyle name="Afjusted" xfId="414" xr:uid="{00000000-0005-0000-0000-000093010000}"/>
    <cellStyle name="afl" xfId="415" xr:uid="{00000000-0005-0000-0000-000094010000}"/>
    <cellStyle name="aktier" xfId="416" xr:uid="{00000000-0005-0000-0000-000095010000}"/>
    <cellStyle name="aktier 2" xfId="417" xr:uid="{00000000-0005-0000-0000-000096010000}"/>
    <cellStyle name="ales" xfId="418" xr:uid="{00000000-0005-0000-0000-000097010000}"/>
    <cellStyle name="Andre's Title" xfId="419" xr:uid="{00000000-0005-0000-0000-000098010000}"/>
    <cellStyle name="Arial 10" xfId="420" xr:uid="{00000000-0005-0000-0000-000099010000}"/>
    <cellStyle name="Arial 10 2" xfId="421" xr:uid="{00000000-0005-0000-0000-00009A010000}"/>
    <cellStyle name="Arial 12" xfId="422" xr:uid="{00000000-0005-0000-0000-00009B010000}"/>
    <cellStyle name="Arial6Bold" xfId="423" xr:uid="{00000000-0005-0000-0000-00009C010000}"/>
    <cellStyle name="Arial8Bold" xfId="424" xr:uid="{00000000-0005-0000-0000-00009D010000}"/>
    <cellStyle name="Arial8Bold 2" xfId="425" xr:uid="{00000000-0005-0000-0000-00009E010000}"/>
    <cellStyle name="Arial8Italic" xfId="426" xr:uid="{00000000-0005-0000-0000-00009F010000}"/>
    <cellStyle name="ArialNormal" xfId="427" xr:uid="{00000000-0005-0000-0000-0000A0010000}"/>
    <cellStyle name="ArialNormal 2" xfId="428" xr:uid="{00000000-0005-0000-0000-0000A1010000}"/>
    <cellStyle name="Array" xfId="429" xr:uid="{00000000-0005-0000-0000-0000A2010000}"/>
    <cellStyle name="Array 2" xfId="430" xr:uid="{00000000-0005-0000-0000-0000A3010000}"/>
    <cellStyle name="Array 2 2" xfId="1942" xr:uid="{00000000-0005-0000-0000-0000A3010000}"/>
    <cellStyle name="Array 3" xfId="431" xr:uid="{00000000-0005-0000-0000-0000A4010000}"/>
    <cellStyle name="Array 3 2" xfId="1943" xr:uid="{00000000-0005-0000-0000-0000A4010000}"/>
    <cellStyle name="Array 4" xfId="1941" xr:uid="{00000000-0005-0000-0000-0000A2010000}"/>
    <cellStyle name="Array Enter" xfId="432" xr:uid="{00000000-0005-0000-0000-0000A5010000}"/>
    <cellStyle name="Array Enter 2" xfId="433" xr:uid="{00000000-0005-0000-0000-0000A6010000}"/>
    <cellStyle name="Array Enter 2 2" xfId="1945" xr:uid="{00000000-0005-0000-0000-0000A6010000}"/>
    <cellStyle name="Array Enter 3" xfId="434" xr:uid="{00000000-0005-0000-0000-0000A7010000}"/>
    <cellStyle name="Array Enter 3 2" xfId="1946" xr:uid="{00000000-0005-0000-0000-0000A7010000}"/>
    <cellStyle name="Array Enter 4" xfId="1944" xr:uid="{00000000-0005-0000-0000-0000A5010000}"/>
    <cellStyle name="Årtal" xfId="435" xr:uid="{00000000-0005-0000-0000-0000A8010000}"/>
    <cellStyle name="Auto" xfId="436" xr:uid="{00000000-0005-0000-0000-0000A9010000}"/>
    <cellStyle name="Availability" xfId="437" xr:uid="{00000000-0005-0000-0000-0000AA010000}"/>
    <cellStyle name="b" xfId="438" xr:uid="{00000000-0005-0000-0000-0000AB010000}"/>
    <cellStyle name="b_EVS - JB Deliverable - Komatsu Valuation Model - Mar 01 2005V1" xfId="439" xr:uid="{00000000-0005-0000-0000-0000AC010000}"/>
    <cellStyle name="b_Trading and other details -LOCM-4th April" xfId="440" xr:uid="{00000000-0005-0000-0000-0000AD010000}"/>
    <cellStyle name="b_Valuation eg for trainees" xfId="441" xr:uid="{00000000-0005-0000-0000-0000AE010000}"/>
    <cellStyle name="b_Valuation Model -STG -Bikash" xfId="442" xr:uid="{00000000-0005-0000-0000-0000AF010000}"/>
    <cellStyle name="BalanceSheet" xfId="443" xr:uid="{00000000-0005-0000-0000-0000B0010000}"/>
    <cellStyle name="Band 2" xfId="444" xr:uid="{00000000-0005-0000-0000-0000B1010000}"/>
    <cellStyle name="Band 2 2" xfId="1947" xr:uid="{00000000-0005-0000-0000-0000B1010000}"/>
    <cellStyle name="bch" xfId="445" xr:uid="{00000000-0005-0000-0000-0000B2010000}"/>
    <cellStyle name="bci" xfId="446" xr:uid="{00000000-0005-0000-0000-0000B3010000}"/>
    <cellStyle name="blank" xfId="447" xr:uid="{00000000-0005-0000-0000-0000B4010000}"/>
    <cellStyle name="Blank 2" xfId="448" xr:uid="{00000000-0005-0000-0000-0000B5010000}"/>
    <cellStyle name="Blue" xfId="449" xr:uid="{00000000-0005-0000-0000-0000B6010000}"/>
    <cellStyle name="Blue 2" xfId="450" xr:uid="{00000000-0005-0000-0000-0000B7010000}"/>
    <cellStyle name="Blue Title" xfId="451" xr:uid="{00000000-0005-0000-0000-0000B8010000}"/>
    <cellStyle name="Bold" xfId="452" xr:uid="{00000000-0005-0000-0000-0000B9010000}"/>
    <cellStyle name="Bold/Border" xfId="453" xr:uid="{00000000-0005-0000-0000-0000BA010000}"/>
    <cellStyle name="Bold12" xfId="454" xr:uid="{00000000-0005-0000-0000-0000BB010000}"/>
    <cellStyle name="BoldItal12" xfId="455" xr:uid="{00000000-0005-0000-0000-0000BC010000}"/>
    <cellStyle name="Border" xfId="456" xr:uid="{00000000-0005-0000-0000-0000BD010000}"/>
    <cellStyle name="Bottom bold border" xfId="457" xr:uid="{00000000-0005-0000-0000-0000BE010000}"/>
    <cellStyle name="Bottom bold border 2" xfId="458" xr:uid="{00000000-0005-0000-0000-0000BF010000}"/>
    <cellStyle name="Bottom Border Line" xfId="459" xr:uid="{00000000-0005-0000-0000-0000C0010000}"/>
    <cellStyle name="Bottom single border" xfId="460" xr:uid="{00000000-0005-0000-0000-0000C1010000}"/>
    <cellStyle name="British Pound" xfId="461" xr:uid="{00000000-0005-0000-0000-0000C2010000}"/>
    <cellStyle name="buck" xfId="462" xr:uid="{00000000-0005-0000-0000-0000C3010000}"/>
    <cellStyle name="Bullet" xfId="463" xr:uid="{00000000-0005-0000-0000-0000C4010000}"/>
    <cellStyle name="Bullet 2" xfId="464" xr:uid="{00000000-0005-0000-0000-0000C5010000}"/>
    <cellStyle name="c_HardInc " xfId="465" xr:uid="{00000000-0005-0000-0000-0000C6010000}"/>
    <cellStyle name="c_HardInc _RRST1" xfId="466" xr:uid="{00000000-0005-0000-0000-0000C7010000}"/>
    <cellStyle name="c_HardInc _RRST1 2" xfId="467" xr:uid="{00000000-0005-0000-0000-0000C8010000}"/>
    <cellStyle name="c_HardInc _RRST2" xfId="468" xr:uid="{00000000-0005-0000-0000-0000C9010000}"/>
    <cellStyle name="c_HardInc _RRST3" xfId="469" xr:uid="{00000000-0005-0000-0000-0000CA010000}"/>
    <cellStyle name="C05_Style E Text" xfId="470" xr:uid="{00000000-0005-0000-0000-0000CB010000}"/>
    <cellStyle name="Calc Cells" xfId="471" xr:uid="{00000000-0005-0000-0000-0000CC010000}"/>
    <cellStyle name="Calc Currency (0)" xfId="472" xr:uid="{00000000-0005-0000-0000-0000CD010000}"/>
    <cellStyle name="Calc Currency (0) 2" xfId="473" xr:uid="{00000000-0005-0000-0000-0000CE010000}"/>
    <cellStyle name="Calculations" xfId="474" xr:uid="{00000000-0005-0000-0000-0000CF010000}"/>
    <cellStyle name="Case" xfId="475" xr:uid="{00000000-0005-0000-0000-0000D0010000}"/>
    <cellStyle name="CashFlow" xfId="476" xr:uid="{00000000-0005-0000-0000-0000D1010000}"/>
    <cellStyle name="cell" xfId="477" xr:uid="{00000000-0005-0000-0000-0000D2010000}"/>
    <cellStyle name="Cents" xfId="478" xr:uid="{00000000-0005-0000-0000-0000D3010000}"/>
    <cellStyle name="ch" xfId="479" xr:uid="{00000000-0005-0000-0000-0000D4010000}"/>
    <cellStyle name="Change" xfId="480" xr:uid="{00000000-0005-0000-0000-0000D5010000}"/>
    <cellStyle name="Changeable" xfId="481" xr:uid="{00000000-0005-0000-0000-0000D6010000}"/>
    <cellStyle name="ChartingText" xfId="482" xr:uid="{00000000-0005-0000-0000-0000D7010000}"/>
    <cellStyle name="Co. Names" xfId="483" xr:uid="{00000000-0005-0000-0000-0000D8010000}"/>
    <cellStyle name="Co. Names - Bold" xfId="484" xr:uid="{00000000-0005-0000-0000-0000D9010000}"/>
    <cellStyle name="Co. Names_Blend" xfId="485" xr:uid="{00000000-0005-0000-0000-0000DA010000}"/>
    <cellStyle name="Code" xfId="486" xr:uid="{00000000-0005-0000-0000-0000DB010000}"/>
    <cellStyle name="Code Section" xfId="487" xr:uid="{00000000-0005-0000-0000-0000DC010000}"/>
    <cellStyle name="Code Section 2" xfId="1948" xr:uid="{00000000-0005-0000-0000-0000DC010000}"/>
    <cellStyle name="Col Head" xfId="488" xr:uid="{00000000-0005-0000-0000-0000DD010000}"/>
    <cellStyle name="COL HEADINGS" xfId="489" xr:uid="{00000000-0005-0000-0000-0000DE010000}"/>
    <cellStyle name="Colhead" xfId="490" xr:uid="{00000000-0005-0000-0000-0000DF010000}"/>
    <cellStyle name="ColHeading" xfId="491" xr:uid="{00000000-0005-0000-0000-0000E0010000}"/>
    <cellStyle name="colheadleft" xfId="492" xr:uid="{00000000-0005-0000-0000-0000E1010000}"/>
    <cellStyle name="colheadright" xfId="493" xr:uid="{00000000-0005-0000-0000-0000E2010000}"/>
    <cellStyle name="ColumnHeaderNormal" xfId="494" xr:uid="{00000000-0005-0000-0000-0000E3010000}"/>
    <cellStyle name="ColumnHeadings" xfId="495" xr:uid="{00000000-0005-0000-0000-0000E4010000}"/>
    <cellStyle name="ColumnHeadings2" xfId="496" xr:uid="{00000000-0005-0000-0000-0000E5010000}"/>
    <cellStyle name="columns" xfId="497" xr:uid="{00000000-0005-0000-0000-0000E6010000}"/>
    <cellStyle name="columns 2" xfId="498" xr:uid="{00000000-0005-0000-0000-0000E7010000}"/>
    <cellStyle name="Comma" xfId="5" builtinId="3"/>
    <cellStyle name="Comma  - Style1" xfId="499" xr:uid="{00000000-0005-0000-0000-0000E9010000}"/>
    <cellStyle name="Comma  - Style1 2" xfId="500" xr:uid="{00000000-0005-0000-0000-0000EA010000}"/>
    <cellStyle name="Comma  - Style2" xfId="501" xr:uid="{00000000-0005-0000-0000-0000EB010000}"/>
    <cellStyle name="Comma  - Style2 2" xfId="502" xr:uid="{00000000-0005-0000-0000-0000EC010000}"/>
    <cellStyle name="Comma  - Style3" xfId="503" xr:uid="{00000000-0005-0000-0000-0000ED010000}"/>
    <cellStyle name="Comma  - Style3 2" xfId="504" xr:uid="{00000000-0005-0000-0000-0000EE010000}"/>
    <cellStyle name="Comma  - Style4" xfId="505" xr:uid="{00000000-0005-0000-0000-0000EF010000}"/>
    <cellStyle name="Comma  - Style5" xfId="506" xr:uid="{00000000-0005-0000-0000-0000F0010000}"/>
    <cellStyle name="Comma  - Style6" xfId="507" xr:uid="{00000000-0005-0000-0000-0000F1010000}"/>
    <cellStyle name="Comma  - Style7" xfId="508" xr:uid="{00000000-0005-0000-0000-0000F2010000}"/>
    <cellStyle name="Comma  - Style8" xfId="509" xr:uid="{00000000-0005-0000-0000-0000F3010000}"/>
    <cellStyle name="comma (0)" xfId="510" xr:uid="{00000000-0005-0000-0000-0000F4010000}"/>
    <cellStyle name="comma (0) 2" xfId="511" xr:uid="{00000000-0005-0000-0000-0000F5010000}"/>
    <cellStyle name="Comma (1)" xfId="512" xr:uid="{00000000-0005-0000-0000-0000F6010000}"/>
    <cellStyle name="comma (1) 2" xfId="513" xr:uid="{00000000-0005-0000-0000-0000F7010000}"/>
    <cellStyle name="comma (1)_DiscoveryCommunications WIP" xfId="514" xr:uid="{00000000-0005-0000-0000-0000F8010000}"/>
    <cellStyle name="Comma [0.0]" xfId="515" xr:uid="{00000000-0005-0000-0000-0000F9010000}"/>
    <cellStyle name="Comma [0.0] 2" xfId="516" xr:uid="{00000000-0005-0000-0000-0000FA010000}"/>
    <cellStyle name="Comma [1]" xfId="517" xr:uid="{00000000-0005-0000-0000-0000FB010000}"/>
    <cellStyle name="Comma 0" xfId="518" xr:uid="{00000000-0005-0000-0000-0000FC010000}"/>
    <cellStyle name="Comma 0*" xfId="519" xr:uid="{00000000-0005-0000-0000-0000FD010000}"/>
    <cellStyle name="Comma 2" xfId="3" xr:uid="{00000000-0005-0000-0000-0000FE010000}"/>
    <cellStyle name="Comma 2 2" xfId="520" xr:uid="{00000000-0005-0000-0000-0000FF010000}"/>
    <cellStyle name="Comma 2 3" xfId="521" xr:uid="{00000000-0005-0000-0000-000000020000}"/>
    <cellStyle name="Comma 3" xfId="522" xr:uid="{00000000-0005-0000-0000-000001020000}"/>
    <cellStyle name="Comma 3 2" xfId="523" xr:uid="{00000000-0005-0000-0000-000002020000}"/>
    <cellStyle name="Comma 3*" xfId="524" xr:uid="{00000000-0005-0000-0000-000003020000}"/>
    <cellStyle name="Comma 4" xfId="525" xr:uid="{00000000-0005-0000-0000-000004020000}"/>
    <cellStyle name="Comma 5" xfId="526" xr:uid="{00000000-0005-0000-0000-000005020000}"/>
    <cellStyle name="Comma 6" xfId="527" xr:uid="{00000000-0005-0000-0000-000006020000}"/>
    <cellStyle name="comma[0]" xfId="528" xr:uid="{00000000-0005-0000-0000-000007020000}"/>
    <cellStyle name="comma[1]" xfId="529" xr:uid="{00000000-0005-0000-0000-000008020000}"/>
    <cellStyle name="comma[2]" xfId="530" xr:uid="{00000000-0005-0000-0000-000009020000}"/>
    <cellStyle name="Comma0" xfId="531" xr:uid="{00000000-0005-0000-0000-00000B020000}"/>
    <cellStyle name="Comma0 2" xfId="532" xr:uid="{00000000-0005-0000-0000-00000C020000}"/>
    <cellStyle name="CommaU [0]" xfId="533" xr:uid="{00000000-0005-0000-0000-00000D020000}"/>
    <cellStyle name="CommaU [1]" xfId="534" xr:uid="{00000000-0005-0000-0000-00000E020000}"/>
    <cellStyle name="CommaU [2]" xfId="535" xr:uid="{00000000-0005-0000-0000-00000F020000}"/>
    <cellStyle name="Comment" xfId="536" xr:uid="{00000000-0005-0000-0000-000010020000}"/>
    <cellStyle name="Company" xfId="537" xr:uid="{00000000-0005-0000-0000-000011020000}"/>
    <cellStyle name="Company 2" xfId="538" xr:uid="{00000000-0005-0000-0000-000012020000}"/>
    <cellStyle name="Company name" xfId="539" xr:uid="{00000000-0005-0000-0000-000013020000}"/>
    <cellStyle name="Company_AOL earn" xfId="540" xr:uid="{00000000-0005-0000-0000-000014020000}"/>
    <cellStyle name="CompanyName" xfId="541" xr:uid="{00000000-0005-0000-0000-000015020000}"/>
    <cellStyle name="CompanyTitle" xfId="542" xr:uid="{00000000-0005-0000-0000-000016020000}"/>
    <cellStyle name="Completo" xfId="543" xr:uid="{00000000-0005-0000-0000-000017020000}"/>
    <cellStyle name="Comps" xfId="544" xr:uid="{00000000-0005-0000-0000-000018020000}"/>
    <cellStyle name="curr" xfId="545" xr:uid="{00000000-0005-0000-0000-000019020000}"/>
    <cellStyle name="curr 2" xfId="546" xr:uid="{00000000-0005-0000-0000-00001A020000}"/>
    <cellStyle name="CurRatio" xfId="547" xr:uid="{00000000-0005-0000-0000-00001B020000}"/>
    <cellStyle name="CurRatio 2" xfId="548" xr:uid="{00000000-0005-0000-0000-00001C020000}"/>
    <cellStyle name="Curren - Style7" xfId="549" xr:uid="{00000000-0005-0000-0000-00001D020000}"/>
    <cellStyle name="Curren - Style8" xfId="550" xr:uid="{00000000-0005-0000-0000-00001E020000}"/>
    <cellStyle name="Currency" xfId="6" builtinId="4"/>
    <cellStyle name="Currency  " xfId="551" xr:uid="{00000000-0005-0000-0000-000020020000}"/>
    <cellStyle name="Currency $" xfId="552" xr:uid="{00000000-0005-0000-0000-000021020000}"/>
    <cellStyle name="Currency (1)" xfId="553" xr:uid="{00000000-0005-0000-0000-000022020000}"/>
    <cellStyle name="Currency [1]" xfId="554" xr:uid="{00000000-0005-0000-0000-000023020000}"/>
    <cellStyle name="Currency [1] 2" xfId="555" xr:uid="{00000000-0005-0000-0000-000024020000}"/>
    <cellStyle name="Currency [2]" xfId="556" xr:uid="{00000000-0005-0000-0000-000025020000}"/>
    <cellStyle name="Currency [2] 2" xfId="557" xr:uid="{00000000-0005-0000-0000-000026020000}"/>
    <cellStyle name="Currency 0" xfId="558" xr:uid="{00000000-0005-0000-0000-000027020000}"/>
    <cellStyle name="Currency 10" xfId="559" xr:uid="{00000000-0005-0000-0000-000028020000}"/>
    <cellStyle name="Currency 2" xfId="560" xr:uid="{00000000-0005-0000-0000-000029020000}"/>
    <cellStyle name="Currency 2 2" xfId="561" xr:uid="{00000000-0005-0000-0000-00002A020000}"/>
    <cellStyle name="Currency 2 2 2" xfId="562" xr:uid="{00000000-0005-0000-0000-00002B020000}"/>
    <cellStyle name="Currency 2 3" xfId="563" xr:uid="{00000000-0005-0000-0000-00002C020000}"/>
    <cellStyle name="Currency 3" xfId="564" xr:uid="{00000000-0005-0000-0000-00002D020000}"/>
    <cellStyle name="Currency 3*" xfId="565" xr:uid="{00000000-0005-0000-0000-00002E020000}"/>
    <cellStyle name="Currency Bt" xfId="566" xr:uid="{00000000-0005-0000-0000-00002F020000}"/>
    <cellStyle name="Currency(1)" xfId="567" xr:uid="{00000000-0005-0000-0000-000030020000}"/>
    <cellStyle name="Currency0" xfId="568" xr:uid="{00000000-0005-0000-0000-000032020000}"/>
    <cellStyle name="Currency0 2" xfId="569" xr:uid="{00000000-0005-0000-0000-000033020000}"/>
    <cellStyle name="CustomStyle1" xfId="570" xr:uid="{00000000-0005-0000-0000-000034020000}"/>
    <cellStyle name="C㯵rrency_㳔PC Data" xfId="571" xr:uid="{00000000-0005-0000-0000-000035020000}"/>
    <cellStyle name="d" xfId="572" xr:uid="{00000000-0005-0000-0000-000036020000}"/>
    <cellStyle name="d_LG 6 Apr 2005" xfId="573" xr:uid="{00000000-0005-0000-0000-000037020000}"/>
    <cellStyle name="d_Valuation eg for trainees" xfId="574" xr:uid="{00000000-0005-0000-0000-000038020000}"/>
    <cellStyle name="d_yield" xfId="575" xr:uid="{00000000-0005-0000-0000-000039020000}"/>
    <cellStyle name="d_yield_AA - BenefitsBonus " xfId="576" xr:uid="{00000000-0005-0000-0000-00003A020000}"/>
    <cellStyle name="d_yield_EBAYearn" xfId="577" xr:uid="{00000000-0005-0000-0000-00003B020000}"/>
    <cellStyle name="d_yield_NFLXearn" xfId="578" xr:uid="{00000000-0005-0000-0000-00003C020000}"/>
    <cellStyle name="dah" xfId="579" xr:uid="{00000000-0005-0000-0000-00003D020000}"/>
    <cellStyle name="dan" xfId="580" xr:uid="{00000000-0005-0000-0000-00003E020000}"/>
    <cellStyle name="darren" xfId="581" xr:uid="{00000000-0005-0000-0000-00003F020000}"/>
    <cellStyle name="Dash" xfId="582" xr:uid="{00000000-0005-0000-0000-000040020000}"/>
    <cellStyle name="Dash 2" xfId="583" xr:uid="{00000000-0005-0000-0000-000041020000}"/>
    <cellStyle name="Data_Title" xfId="584" xr:uid="{00000000-0005-0000-0000-000042020000}"/>
    <cellStyle name="Date" xfId="585" xr:uid="{00000000-0005-0000-0000-000043020000}"/>
    <cellStyle name="Date 2" xfId="586" xr:uid="{00000000-0005-0000-0000-000044020000}"/>
    <cellStyle name="DATE 3" xfId="587" xr:uid="{00000000-0005-0000-0000-000045020000}"/>
    <cellStyle name="Date Aligned" xfId="588" xr:uid="{00000000-0005-0000-0000-000046020000}"/>
    <cellStyle name="Date dd-mm-yy" xfId="589" xr:uid="{00000000-0005-0000-0000-000047020000}"/>
    <cellStyle name="DATE_AOL earn" xfId="590" xr:uid="{00000000-0005-0000-0000-000048020000}"/>
    <cellStyle name="Date2" xfId="591" xr:uid="{00000000-0005-0000-0000-000049020000}"/>
    <cellStyle name="Date2 2" xfId="592" xr:uid="{00000000-0005-0000-0000-00004A020000}"/>
    <cellStyle name="Dates" xfId="593" xr:uid="{00000000-0005-0000-0000-00004B020000}"/>
    <cellStyle name="DateYear" xfId="594" xr:uid="{00000000-0005-0000-0000-00004C020000}"/>
    <cellStyle name="Dec0" xfId="595" xr:uid="{00000000-0005-0000-0000-00004D020000}"/>
    <cellStyle name="Dec0 2" xfId="596" xr:uid="{00000000-0005-0000-0000-00004E020000}"/>
    <cellStyle name="Dec2" xfId="597" xr:uid="{00000000-0005-0000-0000-00004F020000}"/>
    <cellStyle name="Dec2 2" xfId="598" xr:uid="{00000000-0005-0000-0000-000050020000}"/>
    <cellStyle name="Dec3" xfId="599" xr:uid="{00000000-0005-0000-0000-000051020000}"/>
    <cellStyle name="Dec3 2" xfId="600" xr:uid="{00000000-0005-0000-0000-000052020000}"/>
    <cellStyle name="Decimal" xfId="601" xr:uid="{00000000-0005-0000-0000-000053020000}"/>
    <cellStyle name="decimal 1" xfId="602" xr:uid="{00000000-0005-0000-0000-000054020000}"/>
    <cellStyle name="Decimal Number" xfId="603" xr:uid="{00000000-0005-0000-0000-000055020000}"/>
    <cellStyle name="Decimal Number 2" xfId="604" xr:uid="{00000000-0005-0000-0000-000056020000}"/>
    <cellStyle name="Decimal_Book4" xfId="605" xr:uid="{00000000-0005-0000-0000-000057020000}"/>
    <cellStyle name="default" xfId="606" xr:uid="{00000000-0005-0000-0000-000058020000}"/>
    <cellStyle name="default 2" xfId="607" xr:uid="{00000000-0005-0000-0000-000059020000}"/>
    <cellStyle name="Detail GL" xfId="608" xr:uid="{00000000-0005-0000-0000-00005A020000}"/>
    <cellStyle name="Dex Doub Line" xfId="609" xr:uid="{00000000-0005-0000-0000-00005B020000}"/>
    <cellStyle name="Dezimal [0]" xfId="610" xr:uid="{00000000-0005-0000-0000-00005C020000}"/>
    <cellStyle name="Dezimal_ABB" xfId="611" xr:uid="{00000000-0005-0000-0000-00005D020000}"/>
    <cellStyle name="div" xfId="612" xr:uid="{00000000-0005-0000-0000-00005E020000}"/>
    <cellStyle name="Dollar" xfId="613" xr:uid="{00000000-0005-0000-0000-00005F020000}"/>
    <cellStyle name="Dollar 2" xfId="614" xr:uid="{00000000-0005-0000-0000-000060020000}"/>
    <cellStyle name="Dollar 3" xfId="615" xr:uid="{00000000-0005-0000-0000-000061020000}"/>
    <cellStyle name="Dollars" xfId="616" xr:uid="{00000000-0005-0000-0000-000062020000}"/>
    <cellStyle name="Dollars 2" xfId="617" xr:uid="{00000000-0005-0000-0000-000063020000}"/>
    <cellStyle name="Dollars 3" xfId="618" xr:uid="{00000000-0005-0000-0000-000064020000}"/>
    <cellStyle name="DollarWhole" xfId="619" xr:uid="{00000000-0005-0000-0000-000065020000}"/>
    <cellStyle name="Dos decimales" xfId="620" xr:uid="{00000000-0005-0000-0000-000066020000}"/>
    <cellStyle name="Dotted Line" xfId="621" xr:uid="{00000000-0005-0000-0000-000067020000}"/>
    <cellStyle name="Double Accounting" xfId="622" xr:uid="{00000000-0005-0000-0000-000068020000}"/>
    <cellStyle name="Download" xfId="623" xr:uid="{00000000-0005-0000-0000-000069020000}"/>
    <cellStyle name="DPS" xfId="624" xr:uid="{00000000-0005-0000-0000-00006A020000}"/>
    <cellStyle name="DPS 2" xfId="625" xr:uid="{00000000-0005-0000-0000-00006B020000}"/>
    <cellStyle name="Driver" xfId="626" xr:uid="{00000000-0005-0000-0000-00006C020000}"/>
    <cellStyle name="Driver 2" xfId="627" xr:uid="{00000000-0005-0000-0000-00006D020000}"/>
    <cellStyle name="Driver Lable" xfId="628" xr:uid="{00000000-0005-0000-0000-00006E020000}"/>
    <cellStyle name="Driver Lable 2" xfId="629" xr:uid="{00000000-0005-0000-0000-00006F020000}"/>
    <cellStyle name="Driver_AOL earn" xfId="630" xr:uid="{00000000-0005-0000-0000-000070020000}"/>
    <cellStyle name="emp" xfId="631" xr:uid="{00000000-0005-0000-0000-000071020000}"/>
    <cellStyle name="Entry" xfId="632" xr:uid="{00000000-0005-0000-0000-000072020000}"/>
    <cellStyle name="Entry 2" xfId="633" xr:uid="{00000000-0005-0000-0000-000073020000}"/>
    <cellStyle name="EPS" xfId="634" xr:uid="{00000000-0005-0000-0000-000074020000}"/>
    <cellStyle name="eps 2" xfId="635" xr:uid="{00000000-0005-0000-0000-000075020000}"/>
    <cellStyle name="EPS 3" xfId="636" xr:uid="{00000000-0005-0000-0000-000076020000}"/>
    <cellStyle name="EPS 4" xfId="637" xr:uid="{00000000-0005-0000-0000-000077020000}"/>
    <cellStyle name="EPS 5" xfId="638" xr:uid="{00000000-0005-0000-0000-000078020000}"/>
    <cellStyle name="eps$" xfId="639" xr:uid="{00000000-0005-0000-0000-000079020000}"/>
    <cellStyle name="eps$A" xfId="640" xr:uid="{00000000-0005-0000-0000-00007A020000}"/>
    <cellStyle name="eps$E" xfId="641" xr:uid="{00000000-0005-0000-0000-00007B020000}"/>
    <cellStyle name="eps_AOL earn" xfId="642" xr:uid="{00000000-0005-0000-0000-00007C020000}"/>
    <cellStyle name="epsA" xfId="643" xr:uid="{00000000-0005-0000-0000-00007D020000}"/>
    <cellStyle name="EPSActual" xfId="644" xr:uid="{00000000-0005-0000-0000-00007E020000}"/>
    <cellStyle name="EPSActual 2" xfId="645" xr:uid="{00000000-0005-0000-0000-00007F020000}"/>
    <cellStyle name="epsE" xfId="646" xr:uid="{00000000-0005-0000-0000-000080020000}"/>
    <cellStyle name="EPSEstimate" xfId="647" xr:uid="{00000000-0005-0000-0000-000081020000}"/>
    <cellStyle name="EPSEstimate 2" xfId="648" xr:uid="{00000000-0005-0000-0000-000082020000}"/>
    <cellStyle name="Euro" xfId="649" xr:uid="{00000000-0005-0000-0000-000083020000}"/>
    <cellStyle name="Euro 2" xfId="650" xr:uid="{00000000-0005-0000-0000-000084020000}"/>
    <cellStyle name="External File Cells" xfId="651" xr:uid="{00000000-0005-0000-0000-000085020000}"/>
    <cellStyle name="External File Cells 2" xfId="652" xr:uid="{00000000-0005-0000-0000-000086020000}"/>
    <cellStyle name="ExtStyle 0" xfId="653" xr:uid="{00000000-0005-0000-0000-000087020000}"/>
    <cellStyle name="ExtStyle 16" xfId="654" xr:uid="{00000000-0005-0000-0000-000088020000}"/>
    <cellStyle name="ExtStyle 17" xfId="655" xr:uid="{00000000-0005-0000-0000-000089020000}"/>
    <cellStyle name="ExtStyle 19" xfId="656" xr:uid="{00000000-0005-0000-0000-00008A020000}"/>
    <cellStyle name="ExtStyle 20" xfId="657" xr:uid="{00000000-0005-0000-0000-00008B020000}"/>
    <cellStyle name="ExtStyle 21" xfId="658" xr:uid="{00000000-0005-0000-0000-00008C020000}"/>
    <cellStyle name="ExtStyle 22" xfId="659" xr:uid="{00000000-0005-0000-0000-00008D020000}"/>
    <cellStyle name="ExtStyle 23" xfId="660" xr:uid="{00000000-0005-0000-0000-00008E020000}"/>
    <cellStyle name="ExtStyle 29" xfId="661" xr:uid="{00000000-0005-0000-0000-00008F020000}"/>
    <cellStyle name="ExtStyle 30" xfId="662" xr:uid="{00000000-0005-0000-0000-000090020000}"/>
    <cellStyle name="ExtStyle 31" xfId="663" xr:uid="{00000000-0005-0000-0000-000091020000}"/>
    <cellStyle name="Fail" xfId="664" xr:uid="{00000000-0005-0000-0000-000092020000}"/>
    <cellStyle name="FieldName" xfId="665" xr:uid="{00000000-0005-0000-0000-000093020000}"/>
    <cellStyle name="Financials" xfId="666" xr:uid="{00000000-0005-0000-0000-000094020000}"/>
    <cellStyle name="FiscalPeriod" xfId="667" xr:uid="{00000000-0005-0000-0000-000095020000}"/>
    <cellStyle name="Fit" xfId="668" xr:uid="{00000000-0005-0000-0000-000096020000}"/>
    <cellStyle name="Fixed" xfId="669" xr:uid="{00000000-0005-0000-0000-000097020000}"/>
    <cellStyle name="Fixed (1)" xfId="670" xr:uid="{00000000-0005-0000-0000-000098020000}"/>
    <cellStyle name="Fixed [2]" xfId="671" xr:uid="{00000000-0005-0000-0000-000099020000}"/>
    <cellStyle name="Fixed 2" xfId="672" xr:uid="{00000000-0005-0000-0000-00009A020000}"/>
    <cellStyle name="Fixed_1" xfId="673" xr:uid="{00000000-0005-0000-0000-00009B020000}"/>
    <cellStyle name="Font_Actual" xfId="674" xr:uid="{00000000-0005-0000-0000-00009C020000}"/>
    <cellStyle name="Footnote" xfId="675" xr:uid="{00000000-0005-0000-0000-00009D020000}"/>
    <cellStyle name="Footnotes" xfId="676" xr:uid="{00000000-0005-0000-0000-00009E020000}"/>
    <cellStyle name="Forecast Cells" xfId="677" xr:uid="{00000000-0005-0000-0000-00009F020000}"/>
    <cellStyle name="Formula" xfId="678" xr:uid="{00000000-0005-0000-0000-0000A0020000}"/>
    <cellStyle name="fourdecplace" xfId="679" xr:uid="{00000000-0005-0000-0000-0000A1020000}"/>
    <cellStyle name="fourdecplace 2" xfId="680" xr:uid="{00000000-0005-0000-0000-0000A2020000}"/>
    <cellStyle name="FP" xfId="681" xr:uid="{00000000-0005-0000-0000-0000A3020000}"/>
    <cellStyle name="FRxAmtStyle" xfId="682" xr:uid="{00000000-0005-0000-0000-0000A4020000}"/>
    <cellStyle name="fy_eps$" xfId="683" xr:uid="{00000000-0005-0000-0000-0000A5020000}"/>
    <cellStyle name="g_rate" xfId="684" xr:uid="{00000000-0005-0000-0000-0000A6020000}"/>
    <cellStyle name="g_rate_AA - BenefitsBonus " xfId="685" xr:uid="{00000000-0005-0000-0000-0000A7020000}"/>
    <cellStyle name="g_rate_EBAYearn" xfId="686" xr:uid="{00000000-0005-0000-0000-0000A8020000}"/>
    <cellStyle name="g_rate_NFLXearn" xfId="687" xr:uid="{00000000-0005-0000-0000-0000A9020000}"/>
    <cellStyle name="G02 Table Text" xfId="688" xr:uid="{00000000-0005-0000-0000-0000AA020000}"/>
    <cellStyle name="G02 Table Text 2" xfId="689" xr:uid="{00000000-0005-0000-0000-0000AB020000}"/>
    <cellStyle name="G04_Main head" xfId="690" xr:uid="{00000000-0005-0000-0000-0000AC020000}"/>
    <cellStyle name="G05 Tab Head Bold" xfId="691" xr:uid="{00000000-0005-0000-0000-0000AD020000}"/>
    <cellStyle name="G05 Tab Head Bold 2" xfId="692" xr:uid="{00000000-0005-0000-0000-0000AE020000}"/>
    <cellStyle name="G05 Tab Head Light" xfId="693" xr:uid="{00000000-0005-0000-0000-0000AF020000}"/>
    <cellStyle name="G05 Tab Head Light 2" xfId="694" xr:uid="{00000000-0005-0000-0000-0000B0020000}"/>
    <cellStyle name="G1_1999 figures" xfId="695" xr:uid="{00000000-0005-0000-0000-0000B1020000}"/>
    <cellStyle name="G10" xfId="696" xr:uid="{00000000-0005-0000-0000-0000B2020000}"/>
    <cellStyle name="G10 2" xfId="697" xr:uid="{00000000-0005-0000-0000-0000B3020000}"/>
    <cellStyle name="General" xfId="698" xr:uid="{00000000-0005-0000-0000-0000B4020000}"/>
    <cellStyle name="Green" xfId="699" xr:uid="{00000000-0005-0000-0000-0000B5020000}"/>
    <cellStyle name="Grey" xfId="700" xr:uid="{00000000-0005-0000-0000-0000B6020000}"/>
    <cellStyle name="Grey 2" xfId="701" xr:uid="{00000000-0005-0000-0000-0000B7020000}"/>
    <cellStyle name="GrowthRate" xfId="702" xr:uid="{00000000-0005-0000-0000-0000B8020000}"/>
    <cellStyle name="GrowthSeq" xfId="703" xr:uid="{00000000-0005-0000-0000-0000B9020000}"/>
    <cellStyle name="GWN Table Header" xfId="704" xr:uid="{00000000-0005-0000-0000-0000BA020000}"/>
    <cellStyle name="GWN Table Left Header" xfId="705" xr:uid="{00000000-0005-0000-0000-0000BB020000}"/>
    <cellStyle name="GWN Table Note" xfId="706" xr:uid="{00000000-0005-0000-0000-0000BC020000}"/>
    <cellStyle name="GWN Table Title" xfId="707" xr:uid="{00000000-0005-0000-0000-0000BD020000}"/>
    <cellStyle name="H" xfId="708" xr:uid="{00000000-0005-0000-0000-0000BE020000}"/>
    <cellStyle name="H_1998_col_head" xfId="709" xr:uid="{00000000-0005-0000-0000-0000BF020000}"/>
    <cellStyle name="H_1999_col_head" xfId="710" xr:uid="{00000000-0005-0000-0000-0000C0020000}"/>
    <cellStyle name="H1_1998 figures" xfId="711" xr:uid="{00000000-0005-0000-0000-0000C1020000}"/>
    <cellStyle name="hard no" xfId="712" xr:uid="{00000000-0005-0000-0000-0000C2020000}"/>
    <cellStyle name="hard no." xfId="713" xr:uid="{00000000-0005-0000-0000-0000C3020000}"/>
    <cellStyle name="hard no. 2" xfId="714" xr:uid="{00000000-0005-0000-0000-0000C4020000}"/>
    <cellStyle name="Hard Percent" xfId="715" xr:uid="{00000000-0005-0000-0000-0000C5020000}"/>
    <cellStyle name="Hardcoded" xfId="716" xr:uid="{00000000-0005-0000-0000-0000C6020000}"/>
    <cellStyle name="hardno" xfId="717" xr:uid="{00000000-0005-0000-0000-0000C7020000}"/>
    <cellStyle name="head1" xfId="718" xr:uid="{00000000-0005-0000-0000-0000C8020000}"/>
    <cellStyle name="head2" xfId="719" xr:uid="{00000000-0005-0000-0000-0000C9020000}"/>
    <cellStyle name="Header" xfId="720" xr:uid="{00000000-0005-0000-0000-0000CA020000}"/>
    <cellStyle name="Header 2" xfId="721" xr:uid="{00000000-0005-0000-0000-0000CB020000}"/>
    <cellStyle name="Header 3" xfId="722" xr:uid="{00000000-0005-0000-0000-0000CC020000}"/>
    <cellStyle name="Header1" xfId="723" xr:uid="{00000000-0005-0000-0000-0000CD020000}"/>
    <cellStyle name="Header2" xfId="724" xr:uid="{00000000-0005-0000-0000-0000CE020000}"/>
    <cellStyle name="Heading" xfId="725" xr:uid="{00000000-0005-0000-0000-0000CF020000}"/>
    <cellStyle name="Heading1" xfId="726" xr:uid="{00000000-0005-0000-0000-0000D0020000}"/>
    <cellStyle name="Heading1 2" xfId="727" xr:uid="{00000000-0005-0000-0000-0000D1020000}"/>
    <cellStyle name="Heading2" xfId="728" xr:uid="{00000000-0005-0000-0000-0000D2020000}"/>
    <cellStyle name="Heading2 2" xfId="729" xr:uid="{00000000-0005-0000-0000-0000D3020000}"/>
    <cellStyle name="HeadlineStyle" xfId="730" xr:uid="{00000000-0005-0000-0000-0000D4020000}"/>
    <cellStyle name="HeadlineStyleJustified" xfId="731" xr:uid="{00000000-0005-0000-0000-0000D5020000}"/>
    <cellStyle name="Heavy Top Line" xfId="732" xr:uid="{00000000-0005-0000-0000-0000D6020000}"/>
    <cellStyle name="Hidden" xfId="733" xr:uid="{00000000-0005-0000-0000-0000D7020000}"/>
    <cellStyle name="Hide" xfId="734" xr:uid="{00000000-0005-0000-0000-0000D8020000}"/>
    <cellStyle name="Hist inmatning" xfId="735" xr:uid="{00000000-0005-0000-0000-0000D9020000}"/>
    <cellStyle name="Historical" xfId="736" xr:uid="{00000000-0005-0000-0000-0000DA020000}"/>
    <cellStyle name="Historical 2" xfId="737" xr:uid="{00000000-0005-0000-0000-0000DB020000}"/>
    <cellStyle name="Historical 2 2" xfId="1950" xr:uid="{00000000-0005-0000-0000-0000DB020000}"/>
    <cellStyle name="Historical 3" xfId="738" xr:uid="{00000000-0005-0000-0000-0000DC020000}"/>
    <cellStyle name="Historical 3 2" xfId="1951" xr:uid="{00000000-0005-0000-0000-0000DC020000}"/>
    <cellStyle name="Historical 4" xfId="1949" xr:uid="{00000000-0005-0000-0000-0000DA020000}"/>
    <cellStyle name="hp" xfId="739" xr:uid="{00000000-0005-0000-0000-0000DD020000}"/>
    <cellStyle name="Hyperlink 2" xfId="10" xr:uid="{00000000-0005-0000-0000-0000DF020000}"/>
    <cellStyle name="IncomeStatement" xfId="740" xr:uid="{00000000-0005-0000-0000-0000E1020000}"/>
    <cellStyle name="inmatn_italic" xfId="741" xr:uid="{00000000-0005-0000-0000-0000E2020000}"/>
    <cellStyle name="inmatning" xfId="742" xr:uid="{00000000-0005-0000-0000-0000E3020000}"/>
    <cellStyle name="inmatning 2" xfId="743" xr:uid="{00000000-0005-0000-0000-0000E4020000}"/>
    <cellStyle name="Input [yellow]" xfId="744" xr:uid="{00000000-0005-0000-0000-0000E5020000}"/>
    <cellStyle name="Input [yellow] 2" xfId="745" xr:uid="{00000000-0005-0000-0000-0000E6020000}"/>
    <cellStyle name="Input 2" xfId="746" xr:uid="{00000000-0005-0000-0000-0000E7020000}"/>
    <cellStyle name="Input Cells" xfId="747" xr:uid="{00000000-0005-0000-0000-0000E8020000}"/>
    <cellStyle name="InputBlueFont" xfId="748" xr:uid="{00000000-0005-0000-0000-0000E9020000}"/>
    <cellStyle name="Integer" xfId="749" xr:uid="{00000000-0005-0000-0000-0000EA020000}"/>
    <cellStyle name="Integer 2" xfId="750" xr:uid="{00000000-0005-0000-0000-0000EB020000}"/>
    <cellStyle name="Invisible" xfId="751" xr:uid="{00000000-0005-0000-0000-0000EC020000}"/>
    <cellStyle name="Italic" xfId="752" xr:uid="{00000000-0005-0000-0000-0000ED020000}"/>
    <cellStyle name="Item" xfId="753" xr:uid="{00000000-0005-0000-0000-0000EE020000}"/>
    <cellStyle name="Item 2" xfId="754" xr:uid="{00000000-0005-0000-0000-0000EF020000}"/>
    <cellStyle name="Item Descriptions" xfId="755" xr:uid="{00000000-0005-0000-0000-0000F0020000}"/>
    <cellStyle name="Items_Obligatory" xfId="756" xr:uid="{00000000-0005-0000-0000-0000F1020000}"/>
    <cellStyle name="ItemTypeClass" xfId="757" xr:uid="{00000000-0005-0000-0000-0000F2020000}"/>
    <cellStyle name="ItemTypeClass 2" xfId="758" xr:uid="{00000000-0005-0000-0000-0000F3020000}"/>
    <cellStyle name="KP_Normal" xfId="759" xr:uid="{00000000-0005-0000-0000-0000F4020000}"/>
    <cellStyle name="Länkinm" xfId="760" xr:uid="{00000000-0005-0000-0000-0000F5020000}"/>
    <cellStyle name="Line" xfId="761" xr:uid="{00000000-0005-0000-0000-0000F6020000}"/>
    <cellStyle name="Linked-Sheet" xfId="762" xr:uid="{00000000-0005-0000-0000-0000F7020000}"/>
    <cellStyle name="Linked-WB" xfId="763" xr:uid="{00000000-0005-0000-0000-0000F8020000}"/>
    <cellStyle name="Locked" xfId="764" xr:uid="{00000000-0005-0000-0000-0000F9020000}"/>
    <cellStyle name="m" xfId="765" xr:uid="{00000000-0005-0000-0000-0000FA020000}"/>
    <cellStyle name="m$" xfId="766" xr:uid="{00000000-0005-0000-0000-0000FB020000}"/>
    <cellStyle name="m_AA - BenefitsBonus " xfId="767" xr:uid="{00000000-0005-0000-0000-0000FC020000}"/>
    <cellStyle name="MacroCode" xfId="768" xr:uid="{00000000-0005-0000-0000-0000FD020000}"/>
    <cellStyle name="MacroCode 2" xfId="769" xr:uid="{00000000-0005-0000-0000-0000FE020000}"/>
    <cellStyle name="MacroCode 2 2" xfId="1953" xr:uid="{00000000-0005-0000-0000-0000FE020000}"/>
    <cellStyle name="MacroCode 3" xfId="770" xr:uid="{00000000-0005-0000-0000-0000FF020000}"/>
    <cellStyle name="MacroCode 3 2" xfId="1954" xr:uid="{00000000-0005-0000-0000-0000FF020000}"/>
    <cellStyle name="MacroCode 4" xfId="1952" xr:uid="{00000000-0005-0000-0000-0000FD020000}"/>
    <cellStyle name="mag" xfId="771" xr:uid="{00000000-0005-0000-0000-000000030000}"/>
    <cellStyle name="Mainhead" xfId="772" xr:uid="{00000000-0005-0000-0000-000001030000}"/>
    <cellStyle name="MainHeading" xfId="773" xr:uid="{00000000-0005-0000-0000-000002030000}"/>
    <cellStyle name="Margin" xfId="774" xr:uid="{00000000-0005-0000-0000-000003030000}"/>
    <cellStyle name="Margin 2" xfId="775" xr:uid="{00000000-0005-0000-0000-000004030000}"/>
    <cellStyle name="Margins" xfId="776" xr:uid="{00000000-0005-0000-0000-000005030000}"/>
    <cellStyle name="Margins 2" xfId="777" xr:uid="{00000000-0005-0000-0000-000006030000}"/>
    <cellStyle name="Merrill" xfId="778" xr:uid="{00000000-0005-0000-0000-000007030000}"/>
    <cellStyle name="MetricLabel" xfId="779" xr:uid="{00000000-0005-0000-0000-000008030000}"/>
    <cellStyle name="MetricLabelBlue" xfId="780" xr:uid="{00000000-0005-0000-0000-000009030000}"/>
    <cellStyle name="MetricValue" xfId="781" xr:uid="{00000000-0005-0000-0000-00000A030000}"/>
    <cellStyle name="Mifrog" xfId="782" xr:uid="{00000000-0005-0000-0000-00000B030000}"/>
    <cellStyle name="Mifrog 2" xfId="783" xr:uid="{00000000-0005-0000-0000-00000C030000}"/>
    <cellStyle name="Mike" xfId="784" xr:uid="{00000000-0005-0000-0000-00000D030000}"/>
    <cellStyle name="Mil" xfId="785" xr:uid="{00000000-0005-0000-0000-00000E030000}"/>
    <cellStyle name="Mil Vir" xfId="786" xr:uid="{00000000-0005-0000-0000-00000F030000}"/>
    <cellStyle name="Mil_~0026898" xfId="787" xr:uid="{00000000-0005-0000-0000-000010030000}"/>
    <cellStyle name="Millares [0]_UPDATE" xfId="788" xr:uid="{00000000-0005-0000-0000-000011030000}"/>
    <cellStyle name="Millares_UPDATE" xfId="789" xr:uid="{00000000-0005-0000-0000-000012030000}"/>
    <cellStyle name="Milliers [0]_CdR semestriel" xfId="790" xr:uid="{00000000-0005-0000-0000-000013030000}"/>
    <cellStyle name="Milliers_CdR semestriel" xfId="791" xr:uid="{00000000-0005-0000-0000-000014030000}"/>
    <cellStyle name="Millions" xfId="792" xr:uid="{00000000-0005-0000-0000-000015030000}"/>
    <cellStyle name="Millions 2" xfId="793" xr:uid="{00000000-0005-0000-0000-000016030000}"/>
    <cellStyle name="Mix" xfId="794" xr:uid="{00000000-0005-0000-0000-000017030000}"/>
    <cellStyle name="mm" xfId="795" xr:uid="{00000000-0005-0000-0000-000018030000}"/>
    <cellStyle name="Moeda [0]_AGNOVO" xfId="796" xr:uid="{00000000-0005-0000-0000-000019030000}"/>
    <cellStyle name="Moeda_AGNOVO" xfId="797" xr:uid="{00000000-0005-0000-0000-00001A030000}"/>
    <cellStyle name="Moneda [0]_UPDATE" xfId="798" xr:uid="{00000000-0005-0000-0000-00001B030000}"/>
    <cellStyle name="Moneda_UPDATE" xfId="799" xr:uid="{00000000-0005-0000-0000-00001C030000}"/>
    <cellStyle name="Monétaire [0]_CdR semestriel" xfId="800" xr:uid="{00000000-0005-0000-0000-00001D030000}"/>
    <cellStyle name="Monétaire_CdR semestriel" xfId="801" xr:uid="{00000000-0005-0000-0000-00001E030000}"/>
    <cellStyle name="Monitor" xfId="802" xr:uid="{00000000-0005-0000-0000-00001F030000}"/>
    <cellStyle name="MonthYears" xfId="803" xr:uid="{00000000-0005-0000-0000-000020030000}"/>
    <cellStyle name="MonthYears 2" xfId="804" xr:uid="{00000000-0005-0000-0000-000021030000}"/>
    <cellStyle name="multiple" xfId="805" xr:uid="{00000000-0005-0000-0000-000022030000}"/>
    <cellStyle name="Multiple [0]" xfId="806" xr:uid="{00000000-0005-0000-0000-000023030000}"/>
    <cellStyle name="Multiple [0] 2" xfId="807" xr:uid="{00000000-0005-0000-0000-000024030000}"/>
    <cellStyle name="Multiple 2" xfId="808" xr:uid="{00000000-0005-0000-0000-000025030000}"/>
    <cellStyle name="Multiple_AMZNearn" xfId="809" xr:uid="{00000000-0005-0000-0000-000026030000}"/>
    <cellStyle name="ncurrency" xfId="810" xr:uid="{00000000-0005-0000-0000-000027030000}"/>
    <cellStyle name="negativ" xfId="811" xr:uid="{00000000-0005-0000-0000-000028030000}"/>
    <cellStyle name="Neutral 2" xfId="812" xr:uid="{00000000-0005-0000-0000-000029030000}"/>
    <cellStyle name="NewColumnHeaderNormal" xfId="813" xr:uid="{00000000-0005-0000-0000-00002A030000}"/>
    <cellStyle name="NewSectionHeaderNormal" xfId="814" xr:uid="{00000000-0005-0000-0000-00002B030000}"/>
    <cellStyle name="NewTitleNormal" xfId="815" xr:uid="{00000000-0005-0000-0000-00002C030000}"/>
    <cellStyle name="ninput" xfId="816" xr:uid="{00000000-0005-0000-0000-00002D030000}"/>
    <cellStyle name="nnnn" xfId="817" xr:uid="{00000000-0005-0000-0000-00002E030000}"/>
    <cellStyle name="No Border" xfId="818" xr:uid="{00000000-0005-0000-0000-00002F030000}"/>
    <cellStyle name="no dec" xfId="819" xr:uid="{00000000-0005-0000-0000-000030030000}"/>
    <cellStyle name="nodollars" xfId="820" xr:uid="{00000000-0005-0000-0000-000031030000}"/>
    <cellStyle name="nodollars 2" xfId="821" xr:uid="{00000000-0005-0000-0000-000032030000}"/>
    <cellStyle name="Normal" xfId="0" builtinId="0"/>
    <cellStyle name="Normal - Style1" xfId="822" xr:uid="{00000000-0005-0000-0000-000034030000}"/>
    <cellStyle name="Normal - Style1 2" xfId="823" xr:uid="{00000000-0005-0000-0000-000035030000}"/>
    <cellStyle name="Normal 10" xfId="2" xr:uid="{00000000-0005-0000-0000-000036030000}"/>
    <cellStyle name="Normal 10 10" xfId="824" xr:uid="{00000000-0005-0000-0000-000037030000}"/>
    <cellStyle name="Normal 11" xfId="825" xr:uid="{00000000-0005-0000-0000-000038030000}"/>
    <cellStyle name="Normal 12" xfId="1991" xr:uid="{00000000-0005-0000-0000-0000FA070000}"/>
    <cellStyle name="Normal 129" xfId="826" xr:uid="{00000000-0005-0000-0000-000039030000}"/>
    <cellStyle name="Normal 13" xfId="1992" xr:uid="{00000000-0005-0000-0000-0000FB070000}"/>
    <cellStyle name="Normal 15" xfId="1993" xr:uid="{128CCD7F-B6C9-4AA3-963C-E8313B9B0229}"/>
    <cellStyle name="Normal 2" xfId="827" xr:uid="{00000000-0005-0000-0000-00003A030000}"/>
    <cellStyle name="Normal 2 2" xfId="828" xr:uid="{00000000-0005-0000-0000-00003B030000}"/>
    <cellStyle name="Normal 2 2 3" xfId="829" xr:uid="{00000000-0005-0000-0000-00003C030000}"/>
    <cellStyle name="Normal 2 2 3 2" xfId="7" xr:uid="{00000000-0005-0000-0000-00003D030000}"/>
    <cellStyle name="Normal 2 3" xfId="830" xr:uid="{00000000-0005-0000-0000-00003E030000}"/>
    <cellStyle name="Normal 2_US_BOL_HR_Occupations" xfId="831" xr:uid="{00000000-0005-0000-0000-00003F030000}"/>
    <cellStyle name="Normal 3" xfId="832" xr:uid="{00000000-0005-0000-0000-000040030000}"/>
    <cellStyle name="Normal 3 2" xfId="833" xr:uid="{00000000-0005-0000-0000-000041030000}"/>
    <cellStyle name="Normal 3 2 2" xfId="8" xr:uid="{00000000-0005-0000-0000-000042030000}"/>
    <cellStyle name="Normal 3 3" xfId="834" xr:uid="{00000000-0005-0000-0000-000043030000}"/>
    <cellStyle name="Normal 3_US_BOL_HR_Occupations" xfId="835" xr:uid="{00000000-0005-0000-0000-000044030000}"/>
    <cellStyle name="Normal 4" xfId="836" xr:uid="{00000000-0005-0000-0000-000045030000}"/>
    <cellStyle name="Normal 4 2" xfId="837" xr:uid="{00000000-0005-0000-0000-000046030000}"/>
    <cellStyle name="Normal 4 3" xfId="838" xr:uid="{00000000-0005-0000-0000-000047030000}"/>
    <cellStyle name="Normal 5" xfId="839" xr:uid="{00000000-0005-0000-0000-000048030000}"/>
    <cellStyle name="Normal 5 2" xfId="840" xr:uid="{00000000-0005-0000-0000-000049030000}"/>
    <cellStyle name="Normal 55" xfId="841" xr:uid="{00000000-0005-0000-0000-00004A030000}"/>
    <cellStyle name="Normal 56" xfId="842" xr:uid="{00000000-0005-0000-0000-00004B030000}"/>
    <cellStyle name="Normal 6" xfId="843" xr:uid="{00000000-0005-0000-0000-00004C030000}"/>
    <cellStyle name="Normal 7" xfId="844" xr:uid="{00000000-0005-0000-0000-00004D030000}"/>
    <cellStyle name="Normal 7 2" xfId="9" xr:uid="{00000000-0005-0000-0000-00004E030000}"/>
    <cellStyle name="Normal 8" xfId="845" xr:uid="{00000000-0005-0000-0000-00004F030000}"/>
    <cellStyle name="Normal 8 2" xfId="846" xr:uid="{00000000-0005-0000-0000-000050030000}"/>
    <cellStyle name="Normal 9" xfId="847" xr:uid="{00000000-0005-0000-0000-000051030000}"/>
    <cellStyle name="Normal Bold" xfId="848" xr:uid="{00000000-0005-0000-0000-000052030000}"/>
    <cellStyle name="Normal Cells" xfId="849" xr:uid="{00000000-0005-0000-0000-000053030000}"/>
    <cellStyle name="Normal Number" xfId="850" xr:uid="{00000000-0005-0000-0000-000054030000}"/>
    <cellStyle name="Normal Number 2" xfId="851" xr:uid="{00000000-0005-0000-0000-000055030000}"/>
    <cellStyle name="Normal två dec" xfId="852" xr:uid="{00000000-0005-0000-0000-000056030000}"/>
    <cellStyle name="Normal utan dec" xfId="853" xr:uid="{00000000-0005-0000-0000-000057030000}"/>
    <cellStyle name="Normal utan dec 2" xfId="854" xr:uid="{00000000-0005-0000-0000-000058030000}"/>
    <cellStyle name="Normal(0)" xfId="855" xr:uid="{00000000-0005-0000-0000-000059030000}"/>
    <cellStyle name="Normalblå" xfId="856" xr:uid="{00000000-0005-0000-0000-00005D030000}"/>
    <cellStyle name="Normalblå två dec" xfId="857" xr:uid="{00000000-0005-0000-0000-00005E030000}"/>
    <cellStyle name="NormalGB" xfId="858" xr:uid="{00000000-0005-0000-0000-00005F030000}"/>
    <cellStyle name="Note 2" xfId="859" xr:uid="{00000000-0005-0000-0000-000060030000}"/>
    <cellStyle name="Note 3" xfId="860" xr:uid="{00000000-0005-0000-0000-000061030000}"/>
    <cellStyle name="Note 3 2" xfId="861" xr:uid="{00000000-0005-0000-0000-000062030000}"/>
    <cellStyle name="Note 4" xfId="862" xr:uid="{00000000-0005-0000-0000-000063030000}"/>
    <cellStyle name="Notes" xfId="863" xr:uid="{00000000-0005-0000-0000-000064030000}"/>
    <cellStyle name="Notes 2" xfId="864" xr:uid="{00000000-0005-0000-0000-000065030000}"/>
    <cellStyle name="Notes 2 2" xfId="1956" xr:uid="{00000000-0005-0000-0000-000065030000}"/>
    <cellStyle name="Notes 3" xfId="865" xr:uid="{00000000-0005-0000-0000-000066030000}"/>
    <cellStyle name="Notes 3 2" xfId="1957" xr:uid="{00000000-0005-0000-0000-000066030000}"/>
    <cellStyle name="Notes 4" xfId="1955" xr:uid="{00000000-0005-0000-0000-000064030000}"/>
    <cellStyle name="npercent" xfId="866" xr:uid="{00000000-0005-0000-0000-000067030000}"/>
    <cellStyle name="num,nodecpts" xfId="867" xr:uid="{00000000-0005-0000-0000-000068030000}"/>
    <cellStyle name="Num_Date" xfId="868" xr:uid="{00000000-0005-0000-0000-000069030000}"/>
    <cellStyle name="Number" xfId="869" xr:uid="{00000000-0005-0000-0000-00006A030000}"/>
    <cellStyle name="Number 2" xfId="870" xr:uid="{00000000-0005-0000-0000-00006B030000}"/>
    <cellStyle name="Numbers" xfId="871" xr:uid="{00000000-0005-0000-0000-00006C030000}"/>
    <cellStyle name="Numbers - Bold" xfId="872" xr:uid="{00000000-0005-0000-0000-00006D030000}"/>
    <cellStyle name="Numbers - Bold - Italic" xfId="873" xr:uid="{00000000-0005-0000-0000-00006E030000}"/>
    <cellStyle name="Numbers - Bold_Blend" xfId="874" xr:uid="{00000000-0005-0000-0000-00006F030000}"/>
    <cellStyle name="Numbers - Large" xfId="875" xr:uid="{00000000-0005-0000-0000-000070030000}"/>
    <cellStyle name="Numbers_Comps" xfId="876" xr:uid="{00000000-0005-0000-0000-000071030000}"/>
    <cellStyle name="Numdec1" xfId="877" xr:uid="{00000000-0005-0000-0000-000072030000}"/>
    <cellStyle name="Numdec1 2" xfId="878" xr:uid="{00000000-0005-0000-0000-000073030000}"/>
    <cellStyle name="Numdec1 2 2" xfId="1959" xr:uid="{00000000-0005-0000-0000-000073030000}"/>
    <cellStyle name="Numdec1 3" xfId="879" xr:uid="{00000000-0005-0000-0000-000074030000}"/>
    <cellStyle name="Numdec1 3 2" xfId="1960" xr:uid="{00000000-0005-0000-0000-000074030000}"/>
    <cellStyle name="Numdec1 4" xfId="1958" xr:uid="{00000000-0005-0000-0000-000072030000}"/>
    <cellStyle name="Numdec1bold" xfId="880" xr:uid="{00000000-0005-0000-0000-000075030000}"/>
    <cellStyle name="Numdec1bold 2" xfId="881" xr:uid="{00000000-0005-0000-0000-000076030000}"/>
    <cellStyle name="Numdec1bold 2 2" xfId="1962" xr:uid="{00000000-0005-0000-0000-000076030000}"/>
    <cellStyle name="Numdec1bold 3" xfId="882" xr:uid="{00000000-0005-0000-0000-000077030000}"/>
    <cellStyle name="Numdec1bold 3 2" xfId="1963" xr:uid="{00000000-0005-0000-0000-000077030000}"/>
    <cellStyle name="Numdec1bold 4" xfId="1961" xr:uid="{00000000-0005-0000-0000-000075030000}"/>
    <cellStyle name="nyckeltal1dec" xfId="883" xr:uid="{00000000-0005-0000-0000-000078030000}"/>
    <cellStyle name="Œ…‹æØ‚è [0.00]_GE 3 MINIMUM" xfId="884" xr:uid="{00000000-0005-0000-0000-000079030000}"/>
    <cellStyle name="Œ…‹æØ‚è_GE 3 MINIMUM" xfId="885" xr:uid="{00000000-0005-0000-0000-00007A030000}"/>
    <cellStyle name="Onedec_FT Valuation " xfId="886" xr:uid="{00000000-0005-0000-0000-00007B030000}"/>
    <cellStyle name="orh" xfId="887" xr:uid="{00000000-0005-0000-0000-00007C030000}"/>
    <cellStyle name="OSW_ColumnLabels" xfId="888" xr:uid="{00000000-0005-0000-0000-00007D030000}"/>
    <cellStyle name="outh America" xfId="889" xr:uid="{00000000-0005-0000-0000-00007E030000}"/>
    <cellStyle name="over" xfId="890" xr:uid="{00000000-0005-0000-0000-00007F030000}"/>
    <cellStyle name="p" xfId="891" xr:uid="{00000000-0005-0000-0000-000080030000}"/>
    <cellStyle name="p " xfId="892" xr:uid="{00000000-0005-0000-0000-000081030000}"/>
    <cellStyle name="p 2" xfId="893" xr:uid="{00000000-0005-0000-0000-000082030000}"/>
    <cellStyle name="p_AOL earn" xfId="894" xr:uid="{00000000-0005-0000-0000-000083030000}"/>
    <cellStyle name="p_IACI earn" xfId="895" xr:uid="{00000000-0005-0000-0000-000084030000}"/>
    <cellStyle name="p_VCLK model v1 10192010" xfId="896" xr:uid="{00000000-0005-0000-0000-000085030000}"/>
    <cellStyle name="Page" xfId="897" xr:uid="{00000000-0005-0000-0000-000086030000}"/>
    <cellStyle name="Page header" xfId="898" xr:uid="{00000000-0005-0000-0000-000087030000}"/>
    <cellStyle name="Page Number" xfId="899" xr:uid="{00000000-0005-0000-0000-000088030000}"/>
    <cellStyle name="Par Action" xfId="900" xr:uid="{00000000-0005-0000-0000-000089030000}"/>
    <cellStyle name="Pass" xfId="901" xr:uid="{00000000-0005-0000-0000-00008A030000}"/>
    <cellStyle name="Pattern_Forecast" xfId="902" xr:uid="{00000000-0005-0000-0000-00008B030000}"/>
    <cellStyle name="patterns" xfId="903" xr:uid="{00000000-0005-0000-0000-00008C030000}"/>
    <cellStyle name="Patterns 2" xfId="904" xr:uid="{00000000-0005-0000-0000-00008D030000}"/>
    <cellStyle name="PB Table Heading" xfId="905" xr:uid="{00000000-0005-0000-0000-00008E030000}"/>
    <cellStyle name="PB Table Highlight1" xfId="906" xr:uid="{00000000-0005-0000-0000-00008F030000}"/>
    <cellStyle name="PB Table Highlight1 2" xfId="907" xr:uid="{00000000-0005-0000-0000-000090030000}"/>
    <cellStyle name="PB Table Highlight2" xfId="908" xr:uid="{00000000-0005-0000-0000-000091030000}"/>
    <cellStyle name="PB Table Highlight2 2" xfId="909" xr:uid="{00000000-0005-0000-0000-000092030000}"/>
    <cellStyle name="PB Table Highlight2 2 2" xfId="910" xr:uid="{00000000-0005-0000-0000-000093030000}"/>
    <cellStyle name="PB Table Highlight2 2 2 2" xfId="1966" xr:uid="{00000000-0005-0000-0000-000093030000}"/>
    <cellStyle name="PB Table Highlight2 2 3" xfId="911" xr:uid="{00000000-0005-0000-0000-000094030000}"/>
    <cellStyle name="PB Table Highlight2 2 3 2" xfId="1967" xr:uid="{00000000-0005-0000-0000-000094030000}"/>
    <cellStyle name="PB Table Highlight2 2 4" xfId="1965" xr:uid="{00000000-0005-0000-0000-000092030000}"/>
    <cellStyle name="PB Table Highlight2 3" xfId="912" xr:uid="{00000000-0005-0000-0000-000095030000}"/>
    <cellStyle name="PB Table Highlight2 3 2" xfId="1968" xr:uid="{00000000-0005-0000-0000-000095030000}"/>
    <cellStyle name="PB Table Highlight2 4" xfId="913" xr:uid="{00000000-0005-0000-0000-000096030000}"/>
    <cellStyle name="PB Table Highlight2 4 2" xfId="1969" xr:uid="{00000000-0005-0000-0000-000096030000}"/>
    <cellStyle name="PB Table Highlight2 5" xfId="1964" xr:uid="{00000000-0005-0000-0000-000091030000}"/>
    <cellStyle name="PB Table Highlight3" xfId="914" xr:uid="{00000000-0005-0000-0000-000097030000}"/>
    <cellStyle name="PB Table Highlight3 2" xfId="915" xr:uid="{00000000-0005-0000-0000-000098030000}"/>
    <cellStyle name="PB Table Highlight3 2 2" xfId="916" xr:uid="{00000000-0005-0000-0000-000099030000}"/>
    <cellStyle name="PB Table Highlight3 2 2 2" xfId="1972" xr:uid="{00000000-0005-0000-0000-000099030000}"/>
    <cellStyle name="PB Table Highlight3 2 3" xfId="917" xr:uid="{00000000-0005-0000-0000-00009A030000}"/>
    <cellStyle name="PB Table Highlight3 2 3 2" xfId="1973" xr:uid="{00000000-0005-0000-0000-00009A030000}"/>
    <cellStyle name="PB Table Highlight3 2 4" xfId="1971" xr:uid="{00000000-0005-0000-0000-000098030000}"/>
    <cellStyle name="PB Table Highlight3 3" xfId="918" xr:uid="{00000000-0005-0000-0000-00009B030000}"/>
    <cellStyle name="PB Table Highlight3 3 2" xfId="1974" xr:uid="{00000000-0005-0000-0000-00009B030000}"/>
    <cellStyle name="PB Table Highlight3 4" xfId="919" xr:uid="{00000000-0005-0000-0000-00009C030000}"/>
    <cellStyle name="PB Table Highlight3 4 2" xfId="1975" xr:uid="{00000000-0005-0000-0000-00009C030000}"/>
    <cellStyle name="PB Table Highlight3 5" xfId="1970" xr:uid="{00000000-0005-0000-0000-000097030000}"/>
    <cellStyle name="PB Table Standard Row" xfId="920" xr:uid="{00000000-0005-0000-0000-00009D030000}"/>
    <cellStyle name="PB Table Standard Row 2" xfId="921" xr:uid="{00000000-0005-0000-0000-00009E030000}"/>
    <cellStyle name="PB Table Subtotal Row" xfId="922" xr:uid="{00000000-0005-0000-0000-00009F030000}"/>
    <cellStyle name="PB Table Subtotal Row 10" xfId="923" xr:uid="{00000000-0005-0000-0000-0000A0030000}"/>
    <cellStyle name="PB Table Subtotal Row 11" xfId="924" xr:uid="{00000000-0005-0000-0000-0000A1030000}"/>
    <cellStyle name="PB Table Subtotal Row 12" xfId="925" xr:uid="{00000000-0005-0000-0000-0000A2030000}"/>
    <cellStyle name="PB Table Subtotal Row 13" xfId="926" xr:uid="{00000000-0005-0000-0000-0000A3030000}"/>
    <cellStyle name="PB Table Subtotal Row 14" xfId="927" xr:uid="{00000000-0005-0000-0000-0000A4030000}"/>
    <cellStyle name="PB Table Subtotal Row 15" xfId="928" xr:uid="{00000000-0005-0000-0000-0000A5030000}"/>
    <cellStyle name="PB Table Subtotal Row 16" xfId="929" xr:uid="{00000000-0005-0000-0000-0000A6030000}"/>
    <cellStyle name="PB Table Subtotal Row 17" xfId="930" xr:uid="{00000000-0005-0000-0000-0000A7030000}"/>
    <cellStyle name="PB Table Subtotal Row 18" xfId="931" xr:uid="{00000000-0005-0000-0000-0000A8030000}"/>
    <cellStyle name="PB Table Subtotal Row 19" xfId="932" xr:uid="{00000000-0005-0000-0000-0000A9030000}"/>
    <cellStyle name="PB Table Subtotal Row 2" xfId="933" xr:uid="{00000000-0005-0000-0000-0000AA030000}"/>
    <cellStyle name="PB Table Subtotal Row 2 10" xfId="934" xr:uid="{00000000-0005-0000-0000-0000AB030000}"/>
    <cellStyle name="PB Table Subtotal Row 2 11" xfId="935" xr:uid="{00000000-0005-0000-0000-0000AC030000}"/>
    <cellStyle name="PB Table Subtotal Row 2 12" xfId="936" xr:uid="{00000000-0005-0000-0000-0000AD030000}"/>
    <cellStyle name="PB Table Subtotal Row 2 13" xfId="937" xr:uid="{00000000-0005-0000-0000-0000AE030000}"/>
    <cellStyle name="PB Table Subtotal Row 2 14" xfId="938" xr:uid="{00000000-0005-0000-0000-0000AF030000}"/>
    <cellStyle name="PB Table Subtotal Row 2 15" xfId="939" xr:uid="{00000000-0005-0000-0000-0000B0030000}"/>
    <cellStyle name="PB Table Subtotal Row 2 16" xfId="940" xr:uid="{00000000-0005-0000-0000-0000B1030000}"/>
    <cellStyle name="PB Table Subtotal Row 2 17" xfId="941" xr:uid="{00000000-0005-0000-0000-0000B2030000}"/>
    <cellStyle name="PB Table Subtotal Row 2 18" xfId="942" xr:uid="{00000000-0005-0000-0000-0000B3030000}"/>
    <cellStyle name="PB Table Subtotal Row 2 19" xfId="943" xr:uid="{00000000-0005-0000-0000-0000B4030000}"/>
    <cellStyle name="PB Table Subtotal Row 2 2" xfId="944" xr:uid="{00000000-0005-0000-0000-0000B5030000}"/>
    <cellStyle name="PB Table Subtotal Row 2 2 10" xfId="945" xr:uid="{00000000-0005-0000-0000-0000B6030000}"/>
    <cellStyle name="PB Table Subtotal Row 2 2 11" xfId="946" xr:uid="{00000000-0005-0000-0000-0000B7030000}"/>
    <cellStyle name="PB Table Subtotal Row 2 2 12" xfId="947" xr:uid="{00000000-0005-0000-0000-0000B8030000}"/>
    <cellStyle name="PB Table Subtotal Row 2 2 13" xfId="948" xr:uid="{00000000-0005-0000-0000-0000B9030000}"/>
    <cellStyle name="PB Table Subtotal Row 2 2 14" xfId="949" xr:uid="{00000000-0005-0000-0000-0000BA030000}"/>
    <cellStyle name="PB Table Subtotal Row 2 2 15" xfId="950" xr:uid="{00000000-0005-0000-0000-0000BB030000}"/>
    <cellStyle name="PB Table Subtotal Row 2 2 16" xfId="951" xr:uid="{00000000-0005-0000-0000-0000BC030000}"/>
    <cellStyle name="PB Table Subtotal Row 2 2 17" xfId="952" xr:uid="{00000000-0005-0000-0000-0000BD030000}"/>
    <cellStyle name="PB Table Subtotal Row 2 2 2" xfId="953" xr:uid="{00000000-0005-0000-0000-0000BE030000}"/>
    <cellStyle name="PB Table Subtotal Row 2 2 3" xfId="954" xr:uid="{00000000-0005-0000-0000-0000BF030000}"/>
    <cellStyle name="PB Table Subtotal Row 2 2 4" xfId="955" xr:uid="{00000000-0005-0000-0000-0000C0030000}"/>
    <cellStyle name="PB Table Subtotal Row 2 2 5" xfId="956" xr:uid="{00000000-0005-0000-0000-0000C1030000}"/>
    <cellStyle name="PB Table Subtotal Row 2 2 6" xfId="957" xr:uid="{00000000-0005-0000-0000-0000C2030000}"/>
    <cellStyle name="PB Table Subtotal Row 2 2 7" xfId="958" xr:uid="{00000000-0005-0000-0000-0000C3030000}"/>
    <cellStyle name="PB Table Subtotal Row 2 2 8" xfId="959" xr:uid="{00000000-0005-0000-0000-0000C4030000}"/>
    <cellStyle name="PB Table Subtotal Row 2 2 9" xfId="960" xr:uid="{00000000-0005-0000-0000-0000C5030000}"/>
    <cellStyle name="PB Table Subtotal Row 2 20" xfId="961" xr:uid="{00000000-0005-0000-0000-0000C6030000}"/>
    <cellStyle name="PB Table Subtotal Row 2 3" xfId="962" xr:uid="{00000000-0005-0000-0000-0000C7030000}"/>
    <cellStyle name="PB Table Subtotal Row 2 3 10" xfId="963" xr:uid="{00000000-0005-0000-0000-0000C8030000}"/>
    <cellStyle name="PB Table Subtotal Row 2 3 11" xfId="964" xr:uid="{00000000-0005-0000-0000-0000C9030000}"/>
    <cellStyle name="PB Table Subtotal Row 2 3 12" xfId="965" xr:uid="{00000000-0005-0000-0000-0000CA030000}"/>
    <cellStyle name="PB Table Subtotal Row 2 3 13" xfId="966" xr:uid="{00000000-0005-0000-0000-0000CB030000}"/>
    <cellStyle name="PB Table Subtotal Row 2 3 14" xfId="967" xr:uid="{00000000-0005-0000-0000-0000CC030000}"/>
    <cellStyle name="PB Table Subtotal Row 2 3 15" xfId="968" xr:uid="{00000000-0005-0000-0000-0000CD030000}"/>
    <cellStyle name="PB Table Subtotal Row 2 3 16" xfId="969" xr:uid="{00000000-0005-0000-0000-0000CE030000}"/>
    <cellStyle name="PB Table Subtotal Row 2 3 17" xfId="970" xr:uid="{00000000-0005-0000-0000-0000CF030000}"/>
    <cellStyle name="PB Table Subtotal Row 2 3 2" xfId="971" xr:uid="{00000000-0005-0000-0000-0000D0030000}"/>
    <cellStyle name="PB Table Subtotal Row 2 3 3" xfId="972" xr:uid="{00000000-0005-0000-0000-0000D1030000}"/>
    <cellStyle name="PB Table Subtotal Row 2 3 4" xfId="973" xr:uid="{00000000-0005-0000-0000-0000D2030000}"/>
    <cellStyle name="PB Table Subtotal Row 2 3 5" xfId="974" xr:uid="{00000000-0005-0000-0000-0000D3030000}"/>
    <cellStyle name="PB Table Subtotal Row 2 3 6" xfId="975" xr:uid="{00000000-0005-0000-0000-0000D4030000}"/>
    <cellStyle name="PB Table Subtotal Row 2 3 7" xfId="976" xr:uid="{00000000-0005-0000-0000-0000D5030000}"/>
    <cellStyle name="PB Table Subtotal Row 2 3 8" xfId="977" xr:uid="{00000000-0005-0000-0000-0000D6030000}"/>
    <cellStyle name="PB Table Subtotal Row 2 3 9" xfId="978" xr:uid="{00000000-0005-0000-0000-0000D7030000}"/>
    <cellStyle name="PB Table Subtotal Row 2 4" xfId="979" xr:uid="{00000000-0005-0000-0000-0000D8030000}"/>
    <cellStyle name="PB Table Subtotal Row 2 4 10" xfId="980" xr:uid="{00000000-0005-0000-0000-0000D9030000}"/>
    <cellStyle name="PB Table Subtotal Row 2 4 11" xfId="981" xr:uid="{00000000-0005-0000-0000-0000DA030000}"/>
    <cellStyle name="PB Table Subtotal Row 2 4 12" xfId="982" xr:uid="{00000000-0005-0000-0000-0000DB030000}"/>
    <cellStyle name="PB Table Subtotal Row 2 4 13" xfId="983" xr:uid="{00000000-0005-0000-0000-0000DC030000}"/>
    <cellStyle name="PB Table Subtotal Row 2 4 14" xfId="984" xr:uid="{00000000-0005-0000-0000-0000DD030000}"/>
    <cellStyle name="PB Table Subtotal Row 2 4 15" xfId="985" xr:uid="{00000000-0005-0000-0000-0000DE030000}"/>
    <cellStyle name="PB Table Subtotal Row 2 4 16" xfId="986" xr:uid="{00000000-0005-0000-0000-0000DF030000}"/>
    <cellStyle name="PB Table Subtotal Row 2 4 17" xfId="987" xr:uid="{00000000-0005-0000-0000-0000E0030000}"/>
    <cellStyle name="PB Table Subtotal Row 2 4 2" xfId="988" xr:uid="{00000000-0005-0000-0000-0000E1030000}"/>
    <cellStyle name="PB Table Subtotal Row 2 4 3" xfId="989" xr:uid="{00000000-0005-0000-0000-0000E2030000}"/>
    <cellStyle name="PB Table Subtotal Row 2 4 4" xfId="990" xr:uid="{00000000-0005-0000-0000-0000E3030000}"/>
    <cellStyle name="PB Table Subtotal Row 2 4 5" xfId="991" xr:uid="{00000000-0005-0000-0000-0000E4030000}"/>
    <cellStyle name="PB Table Subtotal Row 2 4 6" xfId="992" xr:uid="{00000000-0005-0000-0000-0000E5030000}"/>
    <cellStyle name="PB Table Subtotal Row 2 4 7" xfId="993" xr:uid="{00000000-0005-0000-0000-0000E6030000}"/>
    <cellStyle name="PB Table Subtotal Row 2 4 8" xfId="994" xr:uid="{00000000-0005-0000-0000-0000E7030000}"/>
    <cellStyle name="PB Table Subtotal Row 2 4 9" xfId="995" xr:uid="{00000000-0005-0000-0000-0000E8030000}"/>
    <cellStyle name="PB Table Subtotal Row 2 5" xfId="996" xr:uid="{00000000-0005-0000-0000-0000E9030000}"/>
    <cellStyle name="PB Table Subtotal Row 2 6" xfId="997" xr:uid="{00000000-0005-0000-0000-0000EA030000}"/>
    <cellStyle name="PB Table Subtotal Row 2 7" xfId="998" xr:uid="{00000000-0005-0000-0000-0000EB030000}"/>
    <cellStyle name="PB Table Subtotal Row 2 8" xfId="999" xr:uid="{00000000-0005-0000-0000-0000EC030000}"/>
    <cellStyle name="PB Table Subtotal Row 2 9" xfId="1000" xr:uid="{00000000-0005-0000-0000-0000ED030000}"/>
    <cellStyle name="PB Table Subtotal Row 20" xfId="1001" xr:uid="{00000000-0005-0000-0000-0000EE030000}"/>
    <cellStyle name="PB Table Subtotal Row 21" xfId="1002" xr:uid="{00000000-0005-0000-0000-0000EF030000}"/>
    <cellStyle name="PB Table Subtotal Row 3" xfId="1003" xr:uid="{00000000-0005-0000-0000-0000F0030000}"/>
    <cellStyle name="PB Table Subtotal Row 3 10" xfId="1004" xr:uid="{00000000-0005-0000-0000-0000F1030000}"/>
    <cellStyle name="PB Table Subtotal Row 3 11" xfId="1005" xr:uid="{00000000-0005-0000-0000-0000F2030000}"/>
    <cellStyle name="PB Table Subtotal Row 3 12" xfId="1006" xr:uid="{00000000-0005-0000-0000-0000F3030000}"/>
    <cellStyle name="PB Table Subtotal Row 3 13" xfId="1007" xr:uid="{00000000-0005-0000-0000-0000F4030000}"/>
    <cellStyle name="PB Table Subtotal Row 3 14" xfId="1008" xr:uid="{00000000-0005-0000-0000-0000F5030000}"/>
    <cellStyle name="PB Table Subtotal Row 3 15" xfId="1009" xr:uid="{00000000-0005-0000-0000-0000F6030000}"/>
    <cellStyle name="PB Table Subtotal Row 3 16" xfId="1010" xr:uid="{00000000-0005-0000-0000-0000F7030000}"/>
    <cellStyle name="PB Table Subtotal Row 3 17" xfId="1011" xr:uid="{00000000-0005-0000-0000-0000F8030000}"/>
    <cellStyle name="PB Table Subtotal Row 3 2" xfId="1012" xr:uid="{00000000-0005-0000-0000-0000F9030000}"/>
    <cellStyle name="PB Table Subtotal Row 3 3" xfId="1013" xr:uid="{00000000-0005-0000-0000-0000FA030000}"/>
    <cellStyle name="PB Table Subtotal Row 3 4" xfId="1014" xr:uid="{00000000-0005-0000-0000-0000FB030000}"/>
    <cellStyle name="PB Table Subtotal Row 3 5" xfId="1015" xr:uid="{00000000-0005-0000-0000-0000FC030000}"/>
    <cellStyle name="PB Table Subtotal Row 3 6" xfId="1016" xr:uid="{00000000-0005-0000-0000-0000FD030000}"/>
    <cellStyle name="PB Table Subtotal Row 3 7" xfId="1017" xr:uid="{00000000-0005-0000-0000-0000FE030000}"/>
    <cellStyle name="PB Table Subtotal Row 3 8" xfId="1018" xr:uid="{00000000-0005-0000-0000-0000FF030000}"/>
    <cellStyle name="PB Table Subtotal Row 3 9" xfId="1019" xr:uid="{00000000-0005-0000-0000-000000040000}"/>
    <cellStyle name="PB Table Subtotal Row 4" xfId="1020" xr:uid="{00000000-0005-0000-0000-000001040000}"/>
    <cellStyle name="PB Table Subtotal Row 4 10" xfId="1021" xr:uid="{00000000-0005-0000-0000-000002040000}"/>
    <cellStyle name="PB Table Subtotal Row 4 11" xfId="1022" xr:uid="{00000000-0005-0000-0000-000003040000}"/>
    <cellStyle name="PB Table Subtotal Row 4 12" xfId="1023" xr:uid="{00000000-0005-0000-0000-000004040000}"/>
    <cellStyle name="PB Table Subtotal Row 4 13" xfId="1024" xr:uid="{00000000-0005-0000-0000-000005040000}"/>
    <cellStyle name="PB Table Subtotal Row 4 14" xfId="1025" xr:uid="{00000000-0005-0000-0000-000006040000}"/>
    <cellStyle name="PB Table Subtotal Row 4 15" xfId="1026" xr:uid="{00000000-0005-0000-0000-000007040000}"/>
    <cellStyle name="PB Table Subtotal Row 4 16" xfId="1027" xr:uid="{00000000-0005-0000-0000-000008040000}"/>
    <cellStyle name="PB Table Subtotal Row 4 17" xfId="1028" xr:uid="{00000000-0005-0000-0000-000009040000}"/>
    <cellStyle name="PB Table Subtotal Row 4 2" xfId="1029" xr:uid="{00000000-0005-0000-0000-00000A040000}"/>
    <cellStyle name="PB Table Subtotal Row 4 3" xfId="1030" xr:uid="{00000000-0005-0000-0000-00000B040000}"/>
    <cellStyle name="PB Table Subtotal Row 4 4" xfId="1031" xr:uid="{00000000-0005-0000-0000-00000C040000}"/>
    <cellStyle name="PB Table Subtotal Row 4 5" xfId="1032" xr:uid="{00000000-0005-0000-0000-00000D040000}"/>
    <cellStyle name="PB Table Subtotal Row 4 6" xfId="1033" xr:uid="{00000000-0005-0000-0000-00000E040000}"/>
    <cellStyle name="PB Table Subtotal Row 4 7" xfId="1034" xr:uid="{00000000-0005-0000-0000-00000F040000}"/>
    <cellStyle name="PB Table Subtotal Row 4 8" xfId="1035" xr:uid="{00000000-0005-0000-0000-000010040000}"/>
    <cellStyle name="PB Table Subtotal Row 4 9" xfId="1036" xr:uid="{00000000-0005-0000-0000-000011040000}"/>
    <cellStyle name="PB Table Subtotal Row 5" xfId="1037" xr:uid="{00000000-0005-0000-0000-000012040000}"/>
    <cellStyle name="PB Table Subtotal Row 5 10" xfId="1038" xr:uid="{00000000-0005-0000-0000-000013040000}"/>
    <cellStyle name="PB Table Subtotal Row 5 11" xfId="1039" xr:uid="{00000000-0005-0000-0000-000014040000}"/>
    <cellStyle name="PB Table Subtotal Row 5 12" xfId="1040" xr:uid="{00000000-0005-0000-0000-000015040000}"/>
    <cellStyle name="PB Table Subtotal Row 5 13" xfId="1041" xr:uid="{00000000-0005-0000-0000-000016040000}"/>
    <cellStyle name="PB Table Subtotal Row 5 14" xfId="1042" xr:uid="{00000000-0005-0000-0000-000017040000}"/>
    <cellStyle name="PB Table Subtotal Row 5 15" xfId="1043" xr:uid="{00000000-0005-0000-0000-000018040000}"/>
    <cellStyle name="PB Table Subtotal Row 5 16" xfId="1044" xr:uid="{00000000-0005-0000-0000-000019040000}"/>
    <cellStyle name="PB Table Subtotal Row 5 17" xfId="1045" xr:uid="{00000000-0005-0000-0000-00001A040000}"/>
    <cellStyle name="PB Table Subtotal Row 5 2" xfId="1046" xr:uid="{00000000-0005-0000-0000-00001B040000}"/>
    <cellStyle name="PB Table Subtotal Row 5 3" xfId="1047" xr:uid="{00000000-0005-0000-0000-00001C040000}"/>
    <cellStyle name="PB Table Subtotal Row 5 4" xfId="1048" xr:uid="{00000000-0005-0000-0000-00001D040000}"/>
    <cellStyle name="PB Table Subtotal Row 5 5" xfId="1049" xr:uid="{00000000-0005-0000-0000-00001E040000}"/>
    <cellStyle name="PB Table Subtotal Row 5 6" xfId="1050" xr:uid="{00000000-0005-0000-0000-00001F040000}"/>
    <cellStyle name="PB Table Subtotal Row 5 7" xfId="1051" xr:uid="{00000000-0005-0000-0000-000020040000}"/>
    <cellStyle name="PB Table Subtotal Row 5 8" xfId="1052" xr:uid="{00000000-0005-0000-0000-000021040000}"/>
    <cellStyle name="PB Table Subtotal Row 5 9" xfId="1053" xr:uid="{00000000-0005-0000-0000-000022040000}"/>
    <cellStyle name="PB Table Subtotal Row 6" xfId="1054" xr:uid="{00000000-0005-0000-0000-000023040000}"/>
    <cellStyle name="PB Table Subtotal Row 7" xfId="1055" xr:uid="{00000000-0005-0000-0000-000024040000}"/>
    <cellStyle name="PB Table Subtotal Row 8" xfId="1056" xr:uid="{00000000-0005-0000-0000-000025040000}"/>
    <cellStyle name="PB Table Subtotal Row 9" xfId="1057" xr:uid="{00000000-0005-0000-0000-000026040000}"/>
    <cellStyle name="PB Table Total Row" xfId="1058" xr:uid="{00000000-0005-0000-0000-000027040000}"/>
    <cellStyle name="pb_table_format_columnheading" xfId="1059" xr:uid="{00000000-0005-0000-0000-000028040000}"/>
    <cellStyle name="pc_flexible" xfId="1060" xr:uid="{00000000-0005-0000-0000-000029040000}"/>
    <cellStyle name="Pctdec1" xfId="1061" xr:uid="{00000000-0005-0000-0000-00002A040000}"/>
    <cellStyle name="Pctdec1+" xfId="1062" xr:uid="{00000000-0005-0000-0000-00002B040000}"/>
    <cellStyle name="Pctdec1+ 2" xfId="1063" xr:uid="{00000000-0005-0000-0000-00002C040000}"/>
    <cellStyle name="Pctdec1itals" xfId="1064" xr:uid="{00000000-0005-0000-0000-00002D040000}"/>
    <cellStyle name="Pctdec1itals 2" xfId="1065" xr:uid="{00000000-0005-0000-0000-00002E040000}"/>
    <cellStyle name="Pctdec1itals 2 2" xfId="1977" xr:uid="{00000000-0005-0000-0000-00002E040000}"/>
    <cellStyle name="Pctdec1itals 3" xfId="1066" xr:uid="{00000000-0005-0000-0000-00002F040000}"/>
    <cellStyle name="Pctdec1itals 3 2" xfId="1978" xr:uid="{00000000-0005-0000-0000-00002F040000}"/>
    <cellStyle name="Pctdec1itals 4" xfId="1976" xr:uid="{00000000-0005-0000-0000-00002D040000}"/>
    <cellStyle name="Pctdec1itals+" xfId="1067" xr:uid="{00000000-0005-0000-0000-000030040000}"/>
    <cellStyle name="Pctdec1itals+ 2" xfId="1068" xr:uid="{00000000-0005-0000-0000-000031040000}"/>
    <cellStyle name="Pctdec2" xfId="1069" xr:uid="{00000000-0005-0000-0000-000032040000}"/>
    <cellStyle name="pe" xfId="1070" xr:uid="{00000000-0005-0000-0000-000033040000}"/>
    <cellStyle name="Pec (2dec,fs)" xfId="1071" xr:uid="{00000000-0005-0000-0000-000034040000}"/>
    <cellStyle name="PEG" xfId="1072" xr:uid="{00000000-0005-0000-0000-000035040000}"/>
    <cellStyle name="Percent" xfId="1" builtinId="5"/>
    <cellStyle name="percent (0)" xfId="1073" xr:uid="{00000000-0005-0000-0000-000037040000}"/>
    <cellStyle name="Percent (1)" xfId="1074" xr:uid="{00000000-0005-0000-0000-000038040000}"/>
    <cellStyle name="Percent [0]" xfId="1075" xr:uid="{00000000-0005-0000-0000-000039040000}"/>
    <cellStyle name="Percent [2]" xfId="1076" xr:uid="{00000000-0005-0000-0000-00003A040000}"/>
    <cellStyle name="Percent [2] 2" xfId="1077" xr:uid="{00000000-0005-0000-0000-00003B040000}"/>
    <cellStyle name="Percent 1" xfId="1078" xr:uid="{00000000-0005-0000-0000-00003C040000}"/>
    <cellStyle name="Percent 10" xfId="4" xr:uid="{00000000-0005-0000-0000-00003D040000}"/>
    <cellStyle name="Percent 15" xfId="1079" xr:uid="{00000000-0005-0000-0000-00003E040000}"/>
    <cellStyle name="Percent 2" xfId="1080" xr:uid="{00000000-0005-0000-0000-00003F040000}"/>
    <cellStyle name="Percent 2 2" xfId="1081" xr:uid="{00000000-0005-0000-0000-000040040000}"/>
    <cellStyle name="Percent 2 3" xfId="1082" xr:uid="{00000000-0005-0000-0000-000041040000}"/>
    <cellStyle name="Percent 3" xfId="1083" xr:uid="{00000000-0005-0000-0000-000042040000}"/>
    <cellStyle name="Percent 3 2" xfId="1084" xr:uid="{00000000-0005-0000-0000-000043040000}"/>
    <cellStyle name="Percent 4" xfId="1085" xr:uid="{00000000-0005-0000-0000-000044040000}"/>
    <cellStyle name="Percent 5" xfId="1086" xr:uid="{00000000-0005-0000-0000-000045040000}"/>
    <cellStyle name="Percent 6" xfId="1087" xr:uid="{00000000-0005-0000-0000-000046040000}"/>
    <cellStyle name="Percent Change" xfId="1088" xr:uid="{00000000-0005-0000-0000-000047040000}"/>
    <cellStyle name="Percent Vir" xfId="1089" xr:uid="{00000000-0005-0000-0000-000048040000}"/>
    <cellStyle name="Percent[1]" xfId="1090" xr:uid="{00000000-0005-0000-0000-000049040000}"/>
    <cellStyle name="Percent1" xfId="1091" xr:uid="{00000000-0005-0000-0000-00004A040000}"/>
    <cellStyle name="Percent2" xfId="1092" xr:uid="{00000000-0005-0000-0000-00004B040000}"/>
    <cellStyle name="Percentage" xfId="1093" xr:uid="{00000000-0005-0000-0000-00004C040000}"/>
    <cellStyle name="Percentblå" xfId="1094" xr:uid="{00000000-0005-0000-0000-00004D040000}"/>
    <cellStyle name="PercentChange" xfId="1095" xr:uid="{00000000-0005-0000-0000-00004E040000}"/>
    <cellStyle name="PercentChange 2" xfId="1096" xr:uid="{00000000-0005-0000-0000-00004F040000}"/>
    <cellStyle name="PercentPresentation" xfId="1097" xr:uid="{00000000-0005-0000-0000-000050040000}"/>
    <cellStyle name="PerShare" xfId="1098" xr:uid="{00000000-0005-0000-0000-000051040000}"/>
    <cellStyle name="POPS" xfId="1099" xr:uid="{00000000-0005-0000-0000-000052040000}"/>
    <cellStyle name="Porcentual_UPDATE" xfId="1100" xr:uid="{00000000-0005-0000-0000-000053040000}"/>
    <cellStyle name="posit" xfId="1101" xr:uid="{00000000-0005-0000-0000-000054040000}"/>
    <cellStyle name="Poundsdec0" xfId="1102" xr:uid="{00000000-0005-0000-0000-000055040000}"/>
    <cellStyle name="Poundsdec0 2" xfId="1103" xr:uid="{00000000-0005-0000-0000-000056040000}"/>
    <cellStyle name="Pourcentage, 0" xfId="1104" xr:uid="{00000000-0005-0000-0000-000057040000}"/>
    <cellStyle name="Presentation" xfId="1105" xr:uid="{00000000-0005-0000-0000-000058040000}"/>
    <cellStyle name="PresentationZero" xfId="1106" xr:uid="{00000000-0005-0000-0000-000059040000}"/>
    <cellStyle name="Price" xfId="1107" xr:uid="{00000000-0005-0000-0000-00005A040000}"/>
    <cellStyle name="price 2" xfId="1108" xr:uid="{00000000-0005-0000-0000-00005B040000}"/>
    <cellStyle name="Problem" xfId="1109" xr:uid="{00000000-0005-0000-0000-00005C040000}"/>
    <cellStyle name="Problem 2" xfId="1110" xr:uid="{00000000-0005-0000-0000-00005D040000}"/>
    <cellStyle name="PROJECT" xfId="1111" xr:uid="{00000000-0005-0000-0000-00005E040000}"/>
    <cellStyle name="PROJECT R" xfId="1112" xr:uid="{00000000-0005-0000-0000-00005F040000}"/>
    <cellStyle name="prot" xfId="1113" xr:uid="{00000000-0005-0000-0000-000060040000}"/>
    <cellStyle name="ProtectedDates" xfId="1114" xr:uid="{00000000-0005-0000-0000-000061040000}"/>
    <cellStyle name="Prozent_Germany" xfId="1115" xr:uid="{00000000-0005-0000-0000-000062040000}"/>
    <cellStyle name="PSChar" xfId="1116" xr:uid="{00000000-0005-0000-0000-000063040000}"/>
    <cellStyle name="PSDate" xfId="1117" xr:uid="{00000000-0005-0000-0000-000064040000}"/>
    <cellStyle name="PSDec" xfId="1118" xr:uid="{00000000-0005-0000-0000-000065040000}"/>
    <cellStyle name="PSHeading" xfId="1119" xr:uid="{00000000-0005-0000-0000-000066040000}"/>
    <cellStyle name="PSHeading 2" xfId="1120" xr:uid="{00000000-0005-0000-0000-000067040000}"/>
    <cellStyle name="PSHeading 2 2" xfId="1121" xr:uid="{00000000-0005-0000-0000-000068040000}"/>
    <cellStyle name="PSHeading 3" xfId="1122" xr:uid="{00000000-0005-0000-0000-000069040000}"/>
    <cellStyle name="PSInt" xfId="1123" xr:uid="{00000000-0005-0000-0000-00006A040000}"/>
    <cellStyle name="PSSpacer" xfId="1124" xr:uid="{00000000-0005-0000-0000-00006B040000}"/>
    <cellStyle name="Punto" xfId="1125" xr:uid="{00000000-0005-0000-0000-00006C040000}"/>
    <cellStyle name="Purple" xfId="1126" xr:uid="{00000000-0005-0000-0000-00006D040000}"/>
    <cellStyle name="q" xfId="1127" xr:uid="{00000000-0005-0000-0000-00006E040000}"/>
    <cellStyle name="q_AA - BenefitsBonus " xfId="1128" xr:uid="{00000000-0005-0000-0000-00006F040000}"/>
    <cellStyle name="Question" xfId="1129" xr:uid="{00000000-0005-0000-0000-000070040000}"/>
    <cellStyle name="r" xfId="1130" xr:uid="{00000000-0005-0000-0000-000071040000}"/>
    <cellStyle name="rab_row_header" xfId="1131" xr:uid="{00000000-0005-0000-0000-000072040000}"/>
    <cellStyle name="Randig" xfId="1132" xr:uid="{00000000-0005-0000-0000-000073040000}"/>
    <cellStyle name="range" xfId="1133" xr:uid="{00000000-0005-0000-0000-000074040000}"/>
    <cellStyle name="RangeBelow" xfId="1134" xr:uid="{00000000-0005-0000-0000-000075040000}"/>
    <cellStyle name="Ratios" xfId="1135" xr:uid="{00000000-0005-0000-0000-000076040000}"/>
    <cellStyle name="RatioX" xfId="1136" xr:uid="{00000000-0005-0000-0000-000077040000}"/>
    <cellStyle name="Red" xfId="1137" xr:uid="{00000000-0005-0000-0000-000078040000}"/>
    <cellStyle name="red 2" xfId="1138" xr:uid="{00000000-0005-0000-0000-000079040000}"/>
    <cellStyle name="Red Text" xfId="1139" xr:uid="{00000000-0005-0000-0000-00007A040000}"/>
    <cellStyle name="Red Text 2" xfId="1140" xr:uid="{00000000-0005-0000-0000-00007B040000}"/>
    <cellStyle name="Red Text 2 2" xfId="1980" xr:uid="{00000000-0005-0000-0000-00007B040000}"/>
    <cellStyle name="Red Text 3" xfId="1141" xr:uid="{00000000-0005-0000-0000-00007C040000}"/>
    <cellStyle name="Red Text 3 2" xfId="1981" xr:uid="{00000000-0005-0000-0000-00007C040000}"/>
    <cellStyle name="Red Text 4" xfId="1979" xr:uid="{00000000-0005-0000-0000-00007A040000}"/>
    <cellStyle name="Report" xfId="1142" xr:uid="{00000000-0005-0000-0000-00007D040000}"/>
    <cellStyle name="Restruct" xfId="1143" xr:uid="{00000000-0005-0000-0000-00007E040000}"/>
    <cellStyle name="Result" xfId="1144" xr:uid="{00000000-0005-0000-0000-00007F040000}"/>
    <cellStyle name="Reuters Cells" xfId="1145" xr:uid="{00000000-0005-0000-0000-000080040000}"/>
    <cellStyle name="rh" xfId="1146" xr:uid="{00000000-0005-0000-0000-000081040000}"/>
    <cellStyle name="Right" xfId="1147" xr:uid="{00000000-0005-0000-0000-000082040000}"/>
    <cellStyle name="Role" xfId="1148" xr:uid="{00000000-0005-0000-0000-000083040000}"/>
    <cellStyle name="Role 2" xfId="1149" xr:uid="{00000000-0005-0000-0000-000084040000}"/>
    <cellStyle name="Row Title 1" xfId="1150" xr:uid="{00000000-0005-0000-0000-000085040000}"/>
    <cellStyle name="Row Title 1 2" xfId="1151" xr:uid="{00000000-0005-0000-0000-000086040000}"/>
    <cellStyle name="Row Title 2" xfId="1152" xr:uid="{00000000-0005-0000-0000-000087040000}"/>
    <cellStyle name="Row Title 2 2" xfId="1153" xr:uid="{00000000-0005-0000-0000-000088040000}"/>
    <cellStyle name="RRSInstruction" xfId="1154" xr:uid="{00000000-0005-0000-0000-000089040000}"/>
    <cellStyle name="Rubrik" xfId="1155" xr:uid="{00000000-0005-0000-0000-00008A040000}"/>
    <cellStyle name="Rubrik 2" xfId="1156" xr:uid="{00000000-0005-0000-0000-00008B040000}"/>
    <cellStyle name="Rubrik2" xfId="1157" xr:uid="{00000000-0005-0000-0000-00008C040000}"/>
    <cellStyle name="s" xfId="1158" xr:uid="{00000000-0005-0000-0000-00008D040000}"/>
    <cellStyle name="s_DCFLBO Code_Wireline Tel Forecast " xfId="1159" xr:uid="{00000000-0005-0000-0000-00008E040000}"/>
    <cellStyle name="s_HardInc " xfId="1160" xr:uid="{00000000-0005-0000-0000-00008F040000}"/>
    <cellStyle name="s_HardInc _RRST1" xfId="1161" xr:uid="{00000000-0005-0000-0000-000090040000}"/>
    <cellStyle name="s_HardInc _RRST1 2" xfId="1162" xr:uid="{00000000-0005-0000-0000-000091040000}"/>
    <cellStyle name="s_HardInc _RRST2" xfId="1163" xr:uid="{00000000-0005-0000-0000-000092040000}"/>
    <cellStyle name="s_HardInc _RRST3" xfId="1164" xr:uid="{00000000-0005-0000-0000-000093040000}"/>
    <cellStyle name="s_Valuation " xfId="1165" xr:uid="{00000000-0005-0000-0000-000094040000}"/>
    <cellStyle name="s_Valuation _RRST1" xfId="1166" xr:uid="{00000000-0005-0000-0000-000095040000}"/>
    <cellStyle name="s_Valuation _RRST1 2" xfId="1167" xr:uid="{00000000-0005-0000-0000-000096040000}"/>
    <cellStyle name="s_Valuation _RRST2" xfId="1168" xr:uid="{00000000-0005-0000-0000-000097040000}"/>
    <cellStyle name="s_Valuation _RRST3" xfId="1169" xr:uid="{00000000-0005-0000-0000-000098040000}"/>
    <cellStyle name="Salomon Logo" xfId="1170" xr:uid="{00000000-0005-0000-0000-000099040000}"/>
    <cellStyle name="Salomon Logo 10" xfId="1171" xr:uid="{00000000-0005-0000-0000-00009A040000}"/>
    <cellStyle name="Salomon Logo 11" xfId="1172" xr:uid="{00000000-0005-0000-0000-00009B040000}"/>
    <cellStyle name="Salomon Logo 12" xfId="1173" xr:uid="{00000000-0005-0000-0000-00009C040000}"/>
    <cellStyle name="Salomon Logo 13" xfId="1174" xr:uid="{00000000-0005-0000-0000-00009D040000}"/>
    <cellStyle name="Salomon Logo 14" xfId="1175" xr:uid="{00000000-0005-0000-0000-00009E040000}"/>
    <cellStyle name="Salomon Logo 15" xfId="1176" xr:uid="{00000000-0005-0000-0000-00009F040000}"/>
    <cellStyle name="Salomon Logo 16" xfId="1177" xr:uid="{00000000-0005-0000-0000-0000A0040000}"/>
    <cellStyle name="Salomon Logo 17" xfId="1178" xr:uid="{00000000-0005-0000-0000-0000A1040000}"/>
    <cellStyle name="Salomon Logo 18" xfId="1179" xr:uid="{00000000-0005-0000-0000-0000A2040000}"/>
    <cellStyle name="Salomon Logo 19" xfId="1180" xr:uid="{00000000-0005-0000-0000-0000A3040000}"/>
    <cellStyle name="Salomon Logo 2" xfId="1181" xr:uid="{00000000-0005-0000-0000-0000A4040000}"/>
    <cellStyle name="Salomon Logo 2 10" xfId="1182" xr:uid="{00000000-0005-0000-0000-0000A5040000}"/>
    <cellStyle name="Salomon Logo 2 11" xfId="1183" xr:uid="{00000000-0005-0000-0000-0000A6040000}"/>
    <cellStyle name="Salomon Logo 2 12" xfId="1184" xr:uid="{00000000-0005-0000-0000-0000A7040000}"/>
    <cellStyle name="Salomon Logo 2 13" xfId="1185" xr:uid="{00000000-0005-0000-0000-0000A8040000}"/>
    <cellStyle name="Salomon Logo 2 14" xfId="1186" xr:uid="{00000000-0005-0000-0000-0000A9040000}"/>
    <cellStyle name="Salomon Logo 2 15" xfId="1187" xr:uid="{00000000-0005-0000-0000-0000AA040000}"/>
    <cellStyle name="Salomon Logo 2 16" xfId="1188" xr:uid="{00000000-0005-0000-0000-0000AB040000}"/>
    <cellStyle name="Salomon Logo 2 17" xfId="1189" xr:uid="{00000000-0005-0000-0000-0000AC040000}"/>
    <cellStyle name="Salomon Logo 2 18" xfId="1190" xr:uid="{00000000-0005-0000-0000-0000AD040000}"/>
    <cellStyle name="Salomon Logo 2 19" xfId="1191" xr:uid="{00000000-0005-0000-0000-0000AE040000}"/>
    <cellStyle name="Salomon Logo 2 2" xfId="1192" xr:uid="{00000000-0005-0000-0000-0000AF040000}"/>
    <cellStyle name="Salomon Logo 2 3" xfId="1193" xr:uid="{00000000-0005-0000-0000-0000B0040000}"/>
    <cellStyle name="Salomon Logo 2 4" xfId="1194" xr:uid="{00000000-0005-0000-0000-0000B1040000}"/>
    <cellStyle name="Salomon Logo 2 5" xfId="1195" xr:uid="{00000000-0005-0000-0000-0000B2040000}"/>
    <cellStyle name="Salomon Logo 2 6" xfId="1196" xr:uid="{00000000-0005-0000-0000-0000B3040000}"/>
    <cellStyle name="Salomon Logo 2 7" xfId="1197" xr:uid="{00000000-0005-0000-0000-0000B4040000}"/>
    <cellStyle name="Salomon Logo 2 8" xfId="1198" xr:uid="{00000000-0005-0000-0000-0000B5040000}"/>
    <cellStyle name="Salomon Logo 2 9" xfId="1199" xr:uid="{00000000-0005-0000-0000-0000B6040000}"/>
    <cellStyle name="Salomon Logo 20" xfId="1200" xr:uid="{00000000-0005-0000-0000-0000B7040000}"/>
    <cellStyle name="Salomon Logo 21" xfId="1201" xr:uid="{00000000-0005-0000-0000-0000B8040000}"/>
    <cellStyle name="Salomon Logo 3" xfId="1202" xr:uid="{00000000-0005-0000-0000-0000B9040000}"/>
    <cellStyle name="Salomon Logo 3 10" xfId="1203" xr:uid="{00000000-0005-0000-0000-0000BA040000}"/>
    <cellStyle name="Salomon Logo 3 11" xfId="1204" xr:uid="{00000000-0005-0000-0000-0000BB040000}"/>
    <cellStyle name="Salomon Logo 3 12" xfId="1205" xr:uid="{00000000-0005-0000-0000-0000BC040000}"/>
    <cellStyle name="Salomon Logo 3 13" xfId="1206" xr:uid="{00000000-0005-0000-0000-0000BD040000}"/>
    <cellStyle name="Salomon Logo 3 14" xfId="1207" xr:uid="{00000000-0005-0000-0000-0000BE040000}"/>
    <cellStyle name="Salomon Logo 3 15" xfId="1208" xr:uid="{00000000-0005-0000-0000-0000BF040000}"/>
    <cellStyle name="Salomon Logo 3 16" xfId="1209" xr:uid="{00000000-0005-0000-0000-0000C0040000}"/>
    <cellStyle name="Salomon Logo 3 17" xfId="1210" xr:uid="{00000000-0005-0000-0000-0000C1040000}"/>
    <cellStyle name="Salomon Logo 3 18" xfId="1211" xr:uid="{00000000-0005-0000-0000-0000C2040000}"/>
    <cellStyle name="Salomon Logo 3 19" xfId="1212" xr:uid="{00000000-0005-0000-0000-0000C3040000}"/>
    <cellStyle name="Salomon Logo 3 2" xfId="1213" xr:uid="{00000000-0005-0000-0000-0000C4040000}"/>
    <cellStyle name="Salomon Logo 3 3" xfId="1214" xr:uid="{00000000-0005-0000-0000-0000C5040000}"/>
    <cellStyle name="Salomon Logo 3 4" xfId="1215" xr:uid="{00000000-0005-0000-0000-0000C6040000}"/>
    <cellStyle name="Salomon Logo 3 5" xfId="1216" xr:uid="{00000000-0005-0000-0000-0000C7040000}"/>
    <cellStyle name="Salomon Logo 3 6" xfId="1217" xr:uid="{00000000-0005-0000-0000-0000C8040000}"/>
    <cellStyle name="Salomon Logo 3 7" xfId="1218" xr:uid="{00000000-0005-0000-0000-0000C9040000}"/>
    <cellStyle name="Salomon Logo 3 8" xfId="1219" xr:uid="{00000000-0005-0000-0000-0000CA040000}"/>
    <cellStyle name="Salomon Logo 3 9" xfId="1220" xr:uid="{00000000-0005-0000-0000-0000CB040000}"/>
    <cellStyle name="Salomon Logo 4" xfId="1221" xr:uid="{00000000-0005-0000-0000-0000CC040000}"/>
    <cellStyle name="Salomon Logo 5" xfId="1222" xr:uid="{00000000-0005-0000-0000-0000CD040000}"/>
    <cellStyle name="Salomon Logo 6" xfId="1223" xr:uid="{00000000-0005-0000-0000-0000CE040000}"/>
    <cellStyle name="Salomon Logo 7" xfId="1224" xr:uid="{00000000-0005-0000-0000-0000CF040000}"/>
    <cellStyle name="Salomon Logo 8" xfId="1225" xr:uid="{00000000-0005-0000-0000-0000D0040000}"/>
    <cellStyle name="Salomon Logo 9" xfId="1226" xr:uid="{00000000-0005-0000-0000-0000D1040000}"/>
    <cellStyle name="ScripFactor" xfId="1227" xr:uid="{00000000-0005-0000-0000-0000D2040000}"/>
    <cellStyle name="ScripFactor 2" xfId="1228" xr:uid="{00000000-0005-0000-0000-0000D3040000}"/>
    <cellStyle name="SectionHeaderNormal" xfId="1229" xr:uid="{00000000-0005-0000-0000-0000D4040000}"/>
    <cellStyle name="SectionHeading" xfId="1230" xr:uid="{00000000-0005-0000-0000-0000D5040000}"/>
    <cellStyle name="SectionHeading 2" xfId="1231" xr:uid="{00000000-0005-0000-0000-0000D6040000}"/>
    <cellStyle name="ShadedCells_Database" xfId="1232" xr:uid="{00000000-0005-0000-0000-0000D7040000}"/>
    <cellStyle name="Shares" xfId="1233" xr:uid="{00000000-0005-0000-0000-0000D8040000}"/>
    <cellStyle name="Shares 2" xfId="1234" xr:uid="{00000000-0005-0000-0000-0000D9040000}"/>
    <cellStyle name="Sheet Title" xfId="1235" xr:uid="{00000000-0005-0000-0000-0000DA040000}"/>
    <cellStyle name="ShOut" xfId="1236" xr:uid="{00000000-0005-0000-0000-0000DB040000}"/>
    <cellStyle name="Single Accounting" xfId="1237" xr:uid="{00000000-0005-0000-0000-0000DC040000}"/>
    <cellStyle name="Single Border" xfId="1238" xr:uid="{00000000-0005-0000-0000-0000DD040000}"/>
    <cellStyle name="SingleTopDoubleBott" xfId="1239" xr:uid="{00000000-0005-0000-0000-0000DE040000}"/>
    <cellStyle name="SPEC" xfId="1240" xr:uid="{00000000-0005-0000-0000-0000DF040000}"/>
    <cellStyle name="SPOl" xfId="1241" xr:uid="{00000000-0005-0000-0000-0000E0040000}"/>
    <cellStyle name="srh" xfId="1242" xr:uid="{00000000-0005-0000-0000-0000E1040000}"/>
    <cellStyle name="ss1" xfId="1243" xr:uid="{00000000-0005-0000-0000-0000E2040000}"/>
    <cellStyle name="ss10" xfId="1244" xr:uid="{00000000-0005-0000-0000-0000E3040000}"/>
    <cellStyle name="SS1000" xfId="1245" xr:uid="{00000000-0005-0000-0000-0000E4040000}"/>
    <cellStyle name="ss11" xfId="1246" xr:uid="{00000000-0005-0000-0000-0000E5040000}"/>
    <cellStyle name="ss12" xfId="1247" xr:uid="{00000000-0005-0000-0000-0000E6040000}"/>
    <cellStyle name="ss13" xfId="1248" xr:uid="{00000000-0005-0000-0000-0000E7040000}"/>
    <cellStyle name="ss14" xfId="1249" xr:uid="{00000000-0005-0000-0000-0000E8040000}"/>
    <cellStyle name="ss15" xfId="1250" xr:uid="{00000000-0005-0000-0000-0000E9040000}"/>
    <cellStyle name="ss16" xfId="1251" xr:uid="{00000000-0005-0000-0000-0000EA040000}"/>
    <cellStyle name="ss17" xfId="1252" xr:uid="{00000000-0005-0000-0000-0000EB040000}"/>
    <cellStyle name="ss18" xfId="1253" xr:uid="{00000000-0005-0000-0000-0000EC040000}"/>
    <cellStyle name="ss19" xfId="1254" xr:uid="{00000000-0005-0000-0000-0000ED040000}"/>
    <cellStyle name="ss2" xfId="1255" xr:uid="{00000000-0005-0000-0000-0000EE040000}"/>
    <cellStyle name="ss20" xfId="1256" xr:uid="{00000000-0005-0000-0000-0000EF040000}"/>
    <cellStyle name="ss21" xfId="1257" xr:uid="{00000000-0005-0000-0000-0000F0040000}"/>
    <cellStyle name="ss22" xfId="1258" xr:uid="{00000000-0005-0000-0000-0000F1040000}"/>
    <cellStyle name="ss23" xfId="1259" xr:uid="{00000000-0005-0000-0000-0000F2040000}"/>
    <cellStyle name="ss24" xfId="1260" xr:uid="{00000000-0005-0000-0000-0000F3040000}"/>
    <cellStyle name="ss25" xfId="1261" xr:uid="{00000000-0005-0000-0000-0000F4040000}"/>
    <cellStyle name="ss26" xfId="1262" xr:uid="{00000000-0005-0000-0000-0000F5040000}"/>
    <cellStyle name="ss27" xfId="1263" xr:uid="{00000000-0005-0000-0000-0000F6040000}"/>
    <cellStyle name="ss28" xfId="1264" xr:uid="{00000000-0005-0000-0000-0000F7040000}"/>
    <cellStyle name="ss29" xfId="1265" xr:uid="{00000000-0005-0000-0000-0000F8040000}"/>
    <cellStyle name="ss3" xfId="1266" xr:uid="{00000000-0005-0000-0000-0000F9040000}"/>
    <cellStyle name="ss4" xfId="1267" xr:uid="{00000000-0005-0000-0000-0000FA040000}"/>
    <cellStyle name="ss5" xfId="1268" xr:uid="{00000000-0005-0000-0000-0000FB040000}"/>
    <cellStyle name="ss6" xfId="1269" xr:uid="{00000000-0005-0000-0000-0000FC040000}"/>
    <cellStyle name="ss7" xfId="1270" xr:uid="{00000000-0005-0000-0000-0000FD040000}"/>
    <cellStyle name="ss8" xfId="1271" xr:uid="{00000000-0005-0000-0000-0000FE040000}"/>
    <cellStyle name="ss9" xfId="1272" xr:uid="{00000000-0005-0000-0000-0000FF040000}"/>
    <cellStyle name="ssp " xfId="1273" xr:uid="{00000000-0005-0000-0000-000000050000}"/>
    <cellStyle name="Standard" xfId="1274" xr:uid="{00000000-0005-0000-0000-000001050000}"/>
    <cellStyle name="STYL1 - Style1" xfId="1275" xr:uid="{00000000-0005-0000-0000-000002050000}"/>
    <cellStyle name="STYL2 - Style2" xfId="1276" xr:uid="{00000000-0005-0000-0000-000003050000}"/>
    <cellStyle name="STYL2 - Style2 2" xfId="1277" xr:uid="{00000000-0005-0000-0000-000004050000}"/>
    <cellStyle name="STYL3 - Style3" xfId="1278" xr:uid="{00000000-0005-0000-0000-000005050000}"/>
    <cellStyle name="STYL4 - Style4" xfId="1279" xr:uid="{00000000-0005-0000-0000-000006050000}"/>
    <cellStyle name="STYL4 - Style4 2" xfId="1280" xr:uid="{00000000-0005-0000-0000-000007050000}"/>
    <cellStyle name="STYL5 - Style5" xfId="1281" xr:uid="{00000000-0005-0000-0000-000008050000}"/>
    <cellStyle name="STYL5 - Style5 2" xfId="1282" xr:uid="{00000000-0005-0000-0000-000009050000}"/>
    <cellStyle name="Style 1" xfId="1283" xr:uid="{00000000-0005-0000-0000-00000A050000}"/>
    <cellStyle name="Style 1 2" xfId="1284" xr:uid="{00000000-0005-0000-0000-00000B050000}"/>
    <cellStyle name="Style 1 3" xfId="1285" xr:uid="{00000000-0005-0000-0000-00000C050000}"/>
    <cellStyle name="Style 1 3 2" xfId="1286" xr:uid="{00000000-0005-0000-0000-00000D050000}"/>
    <cellStyle name="Style 1 4" xfId="1287" xr:uid="{00000000-0005-0000-0000-00000E050000}"/>
    <cellStyle name="Style 10" xfId="1288" xr:uid="{00000000-0005-0000-0000-00000F050000}"/>
    <cellStyle name="Style 100" xfId="1289" xr:uid="{00000000-0005-0000-0000-000010050000}"/>
    <cellStyle name="Style 102" xfId="1290" xr:uid="{00000000-0005-0000-0000-000011050000}"/>
    <cellStyle name="Style 1090" xfId="1291" xr:uid="{00000000-0005-0000-0000-000012050000}"/>
    <cellStyle name="Style 1094" xfId="1292" xr:uid="{00000000-0005-0000-0000-000013050000}"/>
    <cellStyle name="Style 11" xfId="1293" xr:uid="{00000000-0005-0000-0000-000014050000}"/>
    <cellStyle name="Style 12" xfId="1294" xr:uid="{00000000-0005-0000-0000-000015050000}"/>
    <cellStyle name="Style 1256" xfId="1295" xr:uid="{00000000-0005-0000-0000-000016050000}"/>
    <cellStyle name="Style 1256 2" xfId="1296" xr:uid="{00000000-0005-0000-0000-000017050000}"/>
    <cellStyle name="Style 1261" xfId="1297" xr:uid="{00000000-0005-0000-0000-000018050000}"/>
    <cellStyle name="Style 1263" xfId="1298" xr:uid="{00000000-0005-0000-0000-000019050000}"/>
    <cellStyle name="Style 1265" xfId="1299" xr:uid="{00000000-0005-0000-0000-00001A050000}"/>
    <cellStyle name="Style 1267" xfId="1300" xr:uid="{00000000-0005-0000-0000-00001B050000}"/>
    <cellStyle name="Style 1269" xfId="1301" xr:uid="{00000000-0005-0000-0000-00001C050000}"/>
    <cellStyle name="Style 1271" xfId="1302" xr:uid="{00000000-0005-0000-0000-00001D050000}"/>
    <cellStyle name="Style 2" xfId="1303" xr:uid="{00000000-0005-0000-0000-00001E050000}"/>
    <cellStyle name="Style 2 2" xfId="1304" xr:uid="{00000000-0005-0000-0000-00001F050000}"/>
    <cellStyle name="Style 2 3" xfId="1305" xr:uid="{00000000-0005-0000-0000-000020050000}"/>
    <cellStyle name="Style 2 3 2" xfId="1306" xr:uid="{00000000-0005-0000-0000-000021050000}"/>
    <cellStyle name="Style 2 4" xfId="1307" xr:uid="{00000000-0005-0000-0000-000022050000}"/>
    <cellStyle name="Style 21" xfId="1308" xr:uid="{00000000-0005-0000-0000-000023050000}"/>
    <cellStyle name="Style 212" xfId="1309" xr:uid="{00000000-0005-0000-0000-000024050000}"/>
    <cellStyle name="Style 212 2" xfId="1310" xr:uid="{00000000-0005-0000-0000-000025050000}"/>
    <cellStyle name="Style 213" xfId="1311" xr:uid="{00000000-0005-0000-0000-000026050000}"/>
    <cellStyle name="Style 213 2" xfId="1312" xr:uid="{00000000-0005-0000-0000-000027050000}"/>
    <cellStyle name="Style 22" xfId="1313" xr:uid="{00000000-0005-0000-0000-000028050000}"/>
    <cellStyle name="Style 22 2" xfId="1314" xr:uid="{00000000-0005-0000-0000-000029050000}"/>
    <cellStyle name="Style 227" xfId="1315" xr:uid="{00000000-0005-0000-0000-00002A050000}"/>
    <cellStyle name="Style 228" xfId="1316" xr:uid="{00000000-0005-0000-0000-00002B050000}"/>
    <cellStyle name="Style 229" xfId="1317" xr:uid="{00000000-0005-0000-0000-00002C050000}"/>
    <cellStyle name="Style 23" xfId="1318" xr:uid="{00000000-0005-0000-0000-00002D050000}"/>
    <cellStyle name="Style 230" xfId="1319" xr:uid="{00000000-0005-0000-0000-00002E050000}"/>
    <cellStyle name="Style 231" xfId="1320" xr:uid="{00000000-0005-0000-0000-00002F050000}"/>
    <cellStyle name="Style 232" xfId="1321" xr:uid="{00000000-0005-0000-0000-000030050000}"/>
    <cellStyle name="Style 232 2" xfId="1322" xr:uid="{00000000-0005-0000-0000-000031050000}"/>
    <cellStyle name="Style 233" xfId="1323" xr:uid="{00000000-0005-0000-0000-000032050000}"/>
    <cellStyle name="Style 234" xfId="1324" xr:uid="{00000000-0005-0000-0000-000033050000}"/>
    <cellStyle name="Style 235" xfId="1325" xr:uid="{00000000-0005-0000-0000-000034050000}"/>
    <cellStyle name="Style 235 2" xfId="1326" xr:uid="{00000000-0005-0000-0000-000035050000}"/>
    <cellStyle name="Style 236" xfId="1327" xr:uid="{00000000-0005-0000-0000-000036050000}"/>
    <cellStyle name="Style 237" xfId="1328" xr:uid="{00000000-0005-0000-0000-000037050000}"/>
    <cellStyle name="Style 238" xfId="1329" xr:uid="{00000000-0005-0000-0000-000038050000}"/>
    <cellStyle name="Style 239" xfId="1330" xr:uid="{00000000-0005-0000-0000-000039050000}"/>
    <cellStyle name="Style 24" xfId="1331" xr:uid="{00000000-0005-0000-0000-00003A050000}"/>
    <cellStyle name="Style 24 2" xfId="1332" xr:uid="{00000000-0005-0000-0000-00003B050000}"/>
    <cellStyle name="Style 240" xfId="1333" xr:uid="{00000000-0005-0000-0000-00003C050000}"/>
    <cellStyle name="Style 241" xfId="1334" xr:uid="{00000000-0005-0000-0000-00003D050000}"/>
    <cellStyle name="Style 242" xfId="1335" xr:uid="{00000000-0005-0000-0000-00003E050000}"/>
    <cellStyle name="Style 242 2" xfId="1336" xr:uid="{00000000-0005-0000-0000-00003F050000}"/>
    <cellStyle name="Style 243" xfId="1337" xr:uid="{00000000-0005-0000-0000-000040050000}"/>
    <cellStyle name="Style 243 2" xfId="1338" xr:uid="{00000000-0005-0000-0000-000041050000}"/>
    <cellStyle name="Style 244" xfId="1339" xr:uid="{00000000-0005-0000-0000-000042050000}"/>
    <cellStyle name="Style 245" xfId="1340" xr:uid="{00000000-0005-0000-0000-000043050000}"/>
    <cellStyle name="Style 246" xfId="1341" xr:uid="{00000000-0005-0000-0000-000044050000}"/>
    <cellStyle name="Style 247" xfId="1342" xr:uid="{00000000-0005-0000-0000-000045050000}"/>
    <cellStyle name="Style 248" xfId="1343" xr:uid="{00000000-0005-0000-0000-000046050000}"/>
    <cellStyle name="Style 248 2" xfId="1344" xr:uid="{00000000-0005-0000-0000-000047050000}"/>
    <cellStyle name="Style 249" xfId="1345" xr:uid="{00000000-0005-0000-0000-000048050000}"/>
    <cellStyle name="Style 249 2" xfId="1346" xr:uid="{00000000-0005-0000-0000-000049050000}"/>
    <cellStyle name="Style 25" xfId="1347" xr:uid="{00000000-0005-0000-0000-00004A050000}"/>
    <cellStyle name="Style 250" xfId="1348" xr:uid="{00000000-0005-0000-0000-00004B050000}"/>
    <cellStyle name="Style 250 2" xfId="1349" xr:uid="{00000000-0005-0000-0000-00004C050000}"/>
    <cellStyle name="Style 251" xfId="1350" xr:uid="{00000000-0005-0000-0000-00004D050000}"/>
    <cellStyle name="Style 251 2" xfId="1351" xr:uid="{00000000-0005-0000-0000-00004E050000}"/>
    <cellStyle name="Style 252" xfId="1352" xr:uid="{00000000-0005-0000-0000-00004F050000}"/>
    <cellStyle name="Style 253" xfId="1353" xr:uid="{00000000-0005-0000-0000-000050050000}"/>
    <cellStyle name="Style 254" xfId="1354" xr:uid="{00000000-0005-0000-0000-000051050000}"/>
    <cellStyle name="Style 255" xfId="1355" xr:uid="{00000000-0005-0000-0000-000052050000}"/>
    <cellStyle name="Style 256" xfId="1356" xr:uid="{00000000-0005-0000-0000-000053050000}"/>
    <cellStyle name="Style 257" xfId="1357" xr:uid="{00000000-0005-0000-0000-000054050000}"/>
    <cellStyle name="Style 258" xfId="1358" xr:uid="{00000000-0005-0000-0000-000055050000}"/>
    <cellStyle name="Style 259" xfId="1359" xr:uid="{00000000-0005-0000-0000-000056050000}"/>
    <cellStyle name="Style 26" xfId="1360" xr:uid="{00000000-0005-0000-0000-000057050000}"/>
    <cellStyle name="Style 260" xfId="1361" xr:uid="{00000000-0005-0000-0000-000058050000}"/>
    <cellStyle name="Style 27" xfId="1362" xr:uid="{00000000-0005-0000-0000-000059050000}"/>
    <cellStyle name="Style 28" xfId="1363" xr:uid="{00000000-0005-0000-0000-00005A050000}"/>
    <cellStyle name="Style 29" xfId="1364" xr:uid="{00000000-0005-0000-0000-00005B050000}"/>
    <cellStyle name="Style 3" xfId="1365" xr:uid="{00000000-0005-0000-0000-00005C050000}"/>
    <cellStyle name="Style 30" xfId="1366" xr:uid="{00000000-0005-0000-0000-00005D050000}"/>
    <cellStyle name="Style 307" xfId="1367" xr:uid="{00000000-0005-0000-0000-00005E050000}"/>
    <cellStyle name="Style 308" xfId="1368" xr:uid="{00000000-0005-0000-0000-00005F050000}"/>
    <cellStyle name="Style 309" xfId="1369" xr:uid="{00000000-0005-0000-0000-000060050000}"/>
    <cellStyle name="Style 31" xfId="1370" xr:uid="{00000000-0005-0000-0000-000061050000}"/>
    <cellStyle name="Style 310" xfId="1371" xr:uid="{00000000-0005-0000-0000-000062050000}"/>
    <cellStyle name="Style 311" xfId="1372" xr:uid="{00000000-0005-0000-0000-000063050000}"/>
    <cellStyle name="Style 312" xfId="1373" xr:uid="{00000000-0005-0000-0000-000064050000}"/>
    <cellStyle name="Style 313" xfId="1374" xr:uid="{00000000-0005-0000-0000-000065050000}"/>
    <cellStyle name="Style 314" xfId="1375" xr:uid="{00000000-0005-0000-0000-000066050000}"/>
    <cellStyle name="Style 315" xfId="1376" xr:uid="{00000000-0005-0000-0000-000067050000}"/>
    <cellStyle name="Style 316" xfId="1377" xr:uid="{00000000-0005-0000-0000-000068050000}"/>
    <cellStyle name="Style 316 2" xfId="1378" xr:uid="{00000000-0005-0000-0000-000069050000}"/>
    <cellStyle name="Style 317" xfId="1379" xr:uid="{00000000-0005-0000-0000-00006A050000}"/>
    <cellStyle name="Style 317 2" xfId="1380" xr:uid="{00000000-0005-0000-0000-00006B050000}"/>
    <cellStyle name="Style 318" xfId="1381" xr:uid="{00000000-0005-0000-0000-00006C050000}"/>
    <cellStyle name="Style 318 2" xfId="1382" xr:uid="{00000000-0005-0000-0000-00006D050000}"/>
    <cellStyle name="Style 319" xfId="1383" xr:uid="{00000000-0005-0000-0000-00006E050000}"/>
    <cellStyle name="Style 319 2" xfId="1384" xr:uid="{00000000-0005-0000-0000-00006F050000}"/>
    <cellStyle name="Style 32" xfId="1385" xr:uid="{00000000-0005-0000-0000-000070050000}"/>
    <cellStyle name="Style 320" xfId="1386" xr:uid="{00000000-0005-0000-0000-000071050000}"/>
    <cellStyle name="Style 321" xfId="1387" xr:uid="{00000000-0005-0000-0000-000072050000}"/>
    <cellStyle name="Style 322" xfId="1388" xr:uid="{00000000-0005-0000-0000-000073050000}"/>
    <cellStyle name="Style 33" xfId="1389" xr:uid="{00000000-0005-0000-0000-000074050000}"/>
    <cellStyle name="Style 34" xfId="1390" xr:uid="{00000000-0005-0000-0000-000075050000}"/>
    <cellStyle name="Style 35" xfId="1391" xr:uid="{00000000-0005-0000-0000-000076050000}"/>
    <cellStyle name="Style 351" xfId="1392" xr:uid="{00000000-0005-0000-0000-000077050000}"/>
    <cellStyle name="Style 352" xfId="1393" xr:uid="{00000000-0005-0000-0000-000078050000}"/>
    <cellStyle name="Style 353" xfId="1394" xr:uid="{00000000-0005-0000-0000-000079050000}"/>
    <cellStyle name="Style 354" xfId="1395" xr:uid="{00000000-0005-0000-0000-00007A050000}"/>
    <cellStyle name="Style 355" xfId="1396" xr:uid="{00000000-0005-0000-0000-00007B050000}"/>
    <cellStyle name="Style 356" xfId="1397" xr:uid="{00000000-0005-0000-0000-00007C050000}"/>
    <cellStyle name="Style 357" xfId="1398" xr:uid="{00000000-0005-0000-0000-00007D050000}"/>
    <cellStyle name="Style 358" xfId="1399" xr:uid="{00000000-0005-0000-0000-00007E050000}"/>
    <cellStyle name="Style 359" xfId="1400" xr:uid="{00000000-0005-0000-0000-00007F050000}"/>
    <cellStyle name="Style 36" xfId="1401" xr:uid="{00000000-0005-0000-0000-000080050000}"/>
    <cellStyle name="Style 360" xfId="1402" xr:uid="{00000000-0005-0000-0000-000081050000}"/>
    <cellStyle name="Style 361" xfId="1403" xr:uid="{00000000-0005-0000-0000-000082050000}"/>
    <cellStyle name="Style 362" xfId="1404" xr:uid="{00000000-0005-0000-0000-000083050000}"/>
    <cellStyle name="Style 363" xfId="1405" xr:uid="{00000000-0005-0000-0000-000084050000}"/>
    <cellStyle name="Style 363 2" xfId="1406" xr:uid="{00000000-0005-0000-0000-000085050000}"/>
    <cellStyle name="Style 364" xfId="1407" xr:uid="{00000000-0005-0000-0000-000086050000}"/>
    <cellStyle name="Style 365" xfId="1408" xr:uid="{00000000-0005-0000-0000-000087050000}"/>
    <cellStyle name="Style 366" xfId="1409" xr:uid="{00000000-0005-0000-0000-000088050000}"/>
    <cellStyle name="Style 366 2" xfId="1410" xr:uid="{00000000-0005-0000-0000-000089050000}"/>
    <cellStyle name="Style 367" xfId="1411" xr:uid="{00000000-0005-0000-0000-00008A050000}"/>
    <cellStyle name="Style 368" xfId="1412" xr:uid="{00000000-0005-0000-0000-00008B050000}"/>
    <cellStyle name="Style 369" xfId="1413" xr:uid="{00000000-0005-0000-0000-00008C050000}"/>
    <cellStyle name="Style 370" xfId="1414" xr:uid="{00000000-0005-0000-0000-00008D050000}"/>
    <cellStyle name="Style 371" xfId="1415" xr:uid="{00000000-0005-0000-0000-00008E050000}"/>
    <cellStyle name="Style 372" xfId="1416" xr:uid="{00000000-0005-0000-0000-00008F050000}"/>
    <cellStyle name="Style 373" xfId="1417" xr:uid="{00000000-0005-0000-0000-000090050000}"/>
    <cellStyle name="Style 373 2" xfId="1418" xr:uid="{00000000-0005-0000-0000-000091050000}"/>
    <cellStyle name="Style 374" xfId="1419" xr:uid="{00000000-0005-0000-0000-000092050000}"/>
    <cellStyle name="Style 374 2" xfId="1420" xr:uid="{00000000-0005-0000-0000-000093050000}"/>
    <cellStyle name="Style 375" xfId="1421" xr:uid="{00000000-0005-0000-0000-000094050000}"/>
    <cellStyle name="Style 376" xfId="1422" xr:uid="{00000000-0005-0000-0000-000095050000}"/>
    <cellStyle name="Style 377" xfId="1423" xr:uid="{00000000-0005-0000-0000-000096050000}"/>
    <cellStyle name="Style 378" xfId="1424" xr:uid="{00000000-0005-0000-0000-000097050000}"/>
    <cellStyle name="Style 379" xfId="1425" xr:uid="{00000000-0005-0000-0000-000098050000}"/>
    <cellStyle name="Style 379 2" xfId="1426" xr:uid="{00000000-0005-0000-0000-000099050000}"/>
    <cellStyle name="Style 380" xfId="1427" xr:uid="{00000000-0005-0000-0000-00009A050000}"/>
    <cellStyle name="Style 380 2" xfId="1428" xr:uid="{00000000-0005-0000-0000-00009B050000}"/>
    <cellStyle name="Style 381" xfId="1429" xr:uid="{00000000-0005-0000-0000-00009C050000}"/>
    <cellStyle name="Style 381 2" xfId="1430" xr:uid="{00000000-0005-0000-0000-00009D050000}"/>
    <cellStyle name="Style 382" xfId="1431" xr:uid="{00000000-0005-0000-0000-00009E050000}"/>
    <cellStyle name="Style 382 2" xfId="1432" xr:uid="{00000000-0005-0000-0000-00009F050000}"/>
    <cellStyle name="Style 383" xfId="1433" xr:uid="{00000000-0005-0000-0000-0000A0050000}"/>
    <cellStyle name="Style 384" xfId="1434" xr:uid="{00000000-0005-0000-0000-0000A1050000}"/>
    <cellStyle name="Style 385" xfId="1435" xr:uid="{00000000-0005-0000-0000-0000A2050000}"/>
    <cellStyle name="Style 386" xfId="1436" xr:uid="{00000000-0005-0000-0000-0000A3050000}"/>
    <cellStyle name="Style 387" xfId="1437" xr:uid="{00000000-0005-0000-0000-0000A4050000}"/>
    <cellStyle name="Style 388" xfId="1438" xr:uid="{00000000-0005-0000-0000-0000A5050000}"/>
    <cellStyle name="Style 389" xfId="1439" xr:uid="{00000000-0005-0000-0000-0000A6050000}"/>
    <cellStyle name="Style 39" xfId="1440" xr:uid="{00000000-0005-0000-0000-0000A7050000}"/>
    <cellStyle name="Style 39 2" xfId="1441" xr:uid="{00000000-0005-0000-0000-0000A8050000}"/>
    <cellStyle name="Style 390" xfId="1442" xr:uid="{00000000-0005-0000-0000-0000A9050000}"/>
    <cellStyle name="Style 391" xfId="1443" xr:uid="{00000000-0005-0000-0000-0000AA050000}"/>
    <cellStyle name="Style 392" xfId="1444" xr:uid="{00000000-0005-0000-0000-0000AB050000}"/>
    <cellStyle name="Style 393" xfId="1445" xr:uid="{00000000-0005-0000-0000-0000AC050000}"/>
    <cellStyle name="Style 394" xfId="1446" xr:uid="{00000000-0005-0000-0000-0000AD050000}"/>
    <cellStyle name="Style 395" xfId="1447" xr:uid="{00000000-0005-0000-0000-0000AE050000}"/>
    <cellStyle name="Style 396" xfId="1448" xr:uid="{00000000-0005-0000-0000-0000AF050000}"/>
    <cellStyle name="Style 396 2" xfId="1449" xr:uid="{00000000-0005-0000-0000-0000B0050000}"/>
    <cellStyle name="Style 397" xfId="1450" xr:uid="{00000000-0005-0000-0000-0000B1050000}"/>
    <cellStyle name="Style 398" xfId="1451" xr:uid="{00000000-0005-0000-0000-0000B2050000}"/>
    <cellStyle name="Style 399" xfId="1452" xr:uid="{00000000-0005-0000-0000-0000B3050000}"/>
    <cellStyle name="Style 4" xfId="1453" xr:uid="{00000000-0005-0000-0000-0000B4050000}"/>
    <cellStyle name="Style 4 2" xfId="1454" xr:uid="{00000000-0005-0000-0000-0000B5050000}"/>
    <cellStyle name="Style 4 3" xfId="1455" xr:uid="{00000000-0005-0000-0000-0000B6050000}"/>
    <cellStyle name="Style 4 3 2" xfId="1456" xr:uid="{00000000-0005-0000-0000-0000B7050000}"/>
    <cellStyle name="Style 4 4" xfId="1457" xr:uid="{00000000-0005-0000-0000-0000B8050000}"/>
    <cellStyle name="Style 400" xfId="1458" xr:uid="{00000000-0005-0000-0000-0000B9050000}"/>
    <cellStyle name="Style 401" xfId="1459" xr:uid="{00000000-0005-0000-0000-0000BA050000}"/>
    <cellStyle name="Style 402" xfId="1460" xr:uid="{00000000-0005-0000-0000-0000BB050000}"/>
    <cellStyle name="Style 403" xfId="1461" xr:uid="{00000000-0005-0000-0000-0000BC050000}"/>
    <cellStyle name="Style 404" xfId="1462" xr:uid="{00000000-0005-0000-0000-0000BD050000}"/>
    <cellStyle name="Style 405" xfId="1463" xr:uid="{00000000-0005-0000-0000-0000BE050000}"/>
    <cellStyle name="Style 406" xfId="1464" xr:uid="{00000000-0005-0000-0000-0000BF050000}"/>
    <cellStyle name="Style 407" xfId="1465" xr:uid="{00000000-0005-0000-0000-0000C0050000}"/>
    <cellStyle name="Style 408" xfId="1466" xr:uid="{00000000-0005-0000-0000-0000C1050000}"/>
    <cellStyle name="Style 408 2" xfId="1467" xr:uid="{00000000-0005-0000-0000-0000C2050000}"/>
    <cellStyle name="Style 409" xfId="1468" xr:uid="{00000000-0005-0000-0000-0000C3050000}"/>
    <cellStyle name="Style 409 2" xfId="1469" xr:uid="{00000000-0005-0000-0000-0000C4050000}"/>
    <cellStyle name="Style 410" xfId="1470" xr:uid="{00000000-0005-0000-0000-0000C5050000}"/>
    <cellStyle name="Style 411" xfId="1471" xr:uid="{00000000-0005-0000-0000-0000C6050000}"/>
    <cellStyle name="Style 438" xfId="1472" xr:uid="{00000000-0005-0000-0000-0000C7050000}"/>
    <cellStyle name="Style 439" xfId="1473" xr:uid="{00000000-0005-0000-0000-0000C8050000}"/>
    <cellStyle name="Style 440" xfId="1474" xr:uid="{00000000-0005-0000-0000-0000C9050000}"/>
    <cellStyle name="Style 441" xfId="1475" xr:uid="{00000000-0005-0000-0000-0000CA050000}"/>
    <cellStyle name="Style 442" xfId="1476" xr:uid="{00000000-0005-0000-0000-0000CB050000}"/>
    <cellStyle name="Style 443" xfId="1477" xr:uid="{00000000-0005-0000-0000-0000CC050000}"/>
    <cellStyle name="Style 444" xfId="1478" xr:uid="{00000000-0005-0000-0000-0000CD050000}"/>
    <cellStyle name="Style 445" xfId="1479" xr:uid="{00000000-0005-0000-0000-0000CE050000}"/>
    <cellStyle name="Style 446" xfId="1480" xr:uid="{00000000-0005-0000-0000-0000CF050000}"/>
    <cellStyle name="Style 447" xfId="1481" xr:uid="{00000000-0005-0000-0000-0000D0050000}"/>
    <cellStyle name="Style 447 2" xfId="1482" xr:uid="{00000000-0005-0000-0000-0000D1050000}"/>
    <cellStyle name="Style 448" xfId="1483" xr:uid="{00000000-0005-0000-0000-0000D2050000}"/>
    <cellStyle name="Style 448 2" xfId="1484" xr:uid="{00000000-0005-0000-0000-0000D3050000}"/>
    <cellStyle name="Style 449" xfId="1485" xr:uid="{00000000-0005-0000-0000-0000D4050000}"/>
    <cellStyle name="Style 449 2" xfId="1486" xr:uid="{00000000-0005-0000-0000-0000D5050000}"/>
    <cellStyle name="Style 450" xfId="1487" xr:uid="{00000000-0005-0000-0000-0000D6050000}"/>
    <cellStyle name="Style 450 2" xfId="1488" xr:uid="{00000000-0005-0000-0000-0000D7050000}"/>
    <cellStyle name="Style 451" xfId="1489" xr:uid="{00000000-0005-0000-0000-0000D8050000}"/>
    <cellStyle name="Style 452" xfId="1490" xr:uid="{00000000-0005-0000-0000-0000D9050000}"/>
    <cellStyle name="Style 453" xfId="1491" xr:uid="{00000000-0005-0000-0000-0000DA050000}"/>
    <cellStyle name="Style 454" xfId="1492" xr:uid="{00000000-0005-0000-0000-0000DB050000}"/>
    <cellStyle name="Style 459" xfId="1493" xr:uid="{00000000-0005-0000-0000-0000DC050000}"/>
    <cellStyle name="Style 459 2" xfId="1494" xr:uid="{00000000-0005-0000-0000-0000DD050000}"/>
    <cellStyle name="Style 460" xfId="1495" xr:uid="{00000000-0005-0000-0000-0000DE050000}"/>
    <cellStyle name="Style 460 2" xfId="1496" xr:uid="{00000000-0005-0000-0000-0000DF050000}"/>
    <cellStyle name="Style 461" xfId="1497" xr:uid="{00000000-0005-0000-0000-0000E0050000}"/>
    <cellStyle name="Style 461 2" xfId="1498" xr:uid="{00000000-0005-0000-0000-0000E1050000}"/>
    <cellStyle name="Style 462" xfId="1499" xr:uid="{00000000-0005-0000-0000-0000E2050000}"/>
    <cellStyle name="Style 462 2" xfId="1500" xr:uid="{00000000-0005-0000-0000-0000E3050000}"/>
    <cellStyle name="Style 463" xfId="1501" xr:uid="{00000000-0005-0000-0000-0000E4050000}"/>
    <cellStyle name="Style 464" xfId="1502" xr:uid="{00000000-0005-0000-0000-0000E5050000}"/>
    <cellStyle name="Style 465" xfId="1503" xr:uid="{00000000-0005-0000-0000-0000E6050000}"/>
    <cellStyle name="Style 465 2" xfId="1504" xr:uid="{00000000-0005-0000-0000-0000E7050000}"/>
    <cellStyle name="Style 466" xfId="1505" xr:uid="{00000000-0005-0000-0000-0000E8050000}"/>
    <cellStyle name="Style 466 2" xfId="1506" xr:uid="{00000000-0005-0000-0000-0000E9050000}"/>
    <cellStyle name="Style 467" xfId="1507" xr:uid="{00000000-0005-0000-0000-0000EA050000}"/>
    <cellStyle name="Style 468" xfId="1508" xr:uid="{00000000-0005-0000-0000-0000EB050000}"/>
    <cellStyle name="Style 469" xfId="1509" xr:uid="{00000000-0005-0000-0000-0000EC050000}"/>
    <cellStyle name="Style 470" xfId="1510" xr:uid="{00000000-0005-0000-0000-0000ED050000}"/>
    <cellStyle name="Style 470 2" xfId="1511" xr:uid="{00000000-0005-0000-0000-0000EE050000}"/>
    <cellStyle name="Style 471" xfId="1512" xr:uid="{00000000-0005-0000-0000-0000EF050000}"/>
    <cellStyle name="Style 471 2" xfId="1513" xr:uid="{00000000-0005-0000-0000-0000F0050000}"/>
    <cellStyle name="Style 482" xfId="1514" xr:uid="{00000000-0005-0000-0000-0000F1050000}"/>
    <cellStyle name="Style 483" xfId="1515" xr:uid="{00000000-0005-0000-0000-0000F2050000}"/>
    <cellStyle name="Style 484" xfId="1516" xr:uid="{00000000-0005-0000-0000-0000F3050000}"/>
    <cellStyle name="Style 485" xfId="1517" xr:uid="{00000000-0005-0000-0000-0000F4050000}"/>
    <cellStyle name="Style 486" xfId="1518" xr:uid="{00000000-0005-0000-0000-0000F5050000}"/>
    <cellStyle name="Style 487" xfId="1519" xr:uid="{00000000-0005-0000-0000-0000F6050000}"/>
    <cellStyle name="Style 488" xfId="1520" xr:uid="{00000000-0005-0000-0000-0000F7050000}"/>
    <cellStyle name="Style 489" xfId="1521" xr:uid="{00000000-0005-0000-0000-0000F8050000}"/>
    <cellStyle name="Style 490" xfId="1522" xr:uid="{00000000-0005-0000-0000-0000F9050000}"/>
    <cellStyle name="Style 491" xfId="1523" xr:uid="{00000000-0005-0000-0000-0000FA050000}"/>
    <cellStyle name="Style 491 2" xfId="1524" xr:uid="{00000000-0005-0000-0000-0000FB050000}"/>
    <cellStyle name="Style 492" xfId="1525" xr:uid="{00000000-0005-0000-0000-0000FC050000}"/>
    <cellStyle name="Style 492 2" xfId="1526" xr:uid="{00000000-0005-0000-0000-0000FD050000}"/>
    <cellStyle name="Style 493" xfId="1527" xr:uid="{00000000-0005-0000-0000-0000FE050000}"/>
    <cellStyle name="Style 493 2" xfId="1528" xr:uid="{00000000-0005-0000-0000-0000FF050000}"/>
    <cellStyle name="Style 494" xfId="1529" xr:uid="{00000000-0005-0000-0000-000000060000}"/>
    <cellStyle name="Style 494 2" xfId="1530" xr:uid="{00000000-0005-0000-0000-000001060000}"/>
    <cellStyle name="Style 495" xfId="1531" xr:uid="{00000000-0005-0000-0000-000002060000}"/>
    <cellStyle name="Style 496" xfId="1532" xr:uid="{00000000-0005-0000-0000-000003060000}"/>
    <cellStyle name="Style 497" xfId="1533" xr:uid="{00000000-0005-0000-0000-000004060000}"/>
    <cellStyle name="Style 497 2" xfId="1534" xr:uid="{00000000-0005-0000-0000-000005060000}"/>
    <cellStyle name="Style 498" xfId="1535" xr:uid="{00000000-0005-0000-0000-000006060000}"/>
    <cellStyle name="Style 498 2" xfId="1536" xr:uid="{00000000-0005-0000-0000-000007060000}"/>
    <cellStyle name="Style 499" xfId="1537" xr:uid="{00000000-0005-0000-0000-000008060000}"/>
    <cellStyle name="Style 499 2" xfId="1538" xr:uid="{00000000-0005-0000-0000-000009060000}"/>
    <cellStyle name="Style 5" xfId="1539" xr:uid="{00000000-0005-0000-0000-00000A060000}"/>
    <cellStyle name="Style 5 2" xfId="1540" xr:uid="{00000000-0005-0000-0000-00000B060000}"/>
    <cellStyle name="Style 500" xfId="1541" xr:uid="{00000000-0005-0000-0000-00000C060000}"/>
    <cellStyle name="Style 501" xfId="1542" xr:uid="{00000000-0005-0000-0000-00000D060000}"/>
    <cellStyle name="Style 501 2" xfId="1543" xr:uid="{00000000-0005-0000-0000-00000E060000}"/>
    <cellStyle name="Style 502" xfId="1544" xr:uid="{00000000-0005-0000-0000-00000F060000}"/>
    <cellStyle name="Style 502 2" xfId="1545" xr:uid="{00000000-0005-0000-0000-000010060000}"/>
    <cellStyle name="Style 503" xfId="1546" xr:uid="{00000000-0005-0000-0000-000011060000}"/>
    <cellStyle name="Style 504" xfId="1547" xr:uid="{00000000-0005-0000-0000-000012060000}"/>
    <cellStyle name="Style 504 2" xfId="1548" xr:uid="{00000000-0005-0000-0000-000013060000}"/>
    <cellStyle name="Style 514" xfId="1549" xr:uid="{00000000-0005-0000-0000-000014060000}"/>
    <cellStyle name="Style 515" xfId="1550" xr:uid="{00000000-0005-0000-0000-000015060000}"/>
    <cellStyle name="Style 516" xfId="1551" xr:uid="{00000000-0005-0000-0000-000016060000}"/>
    <cellStyle name="Style 517" xfId="1552" xr:uid="{00000000-0005-0000-0000-000017060000}"/>
    <cellStyle name="Style 518" xfId="1553" xr:uid="{00000000-0005-0000-0000-000018060000}"/>
    <cellStyle name="Style 519" xfId="1554" xr:uid="{00000000-0005-0000-0000-000019060000}"/>
    <cellStyle name="Style 520" xfId="1555" xr:uid="{00000000-0005-0000-0000-00001A060000}"/>
    <cellStyle name="Style 521" xfId="1556" xr:uid="{00000000-0005-0000-0000-00001B060000}"/>
    <cellStyle name="Style 522" xfId="1557" xr:uid="{00000000-0005-0000-0000-00001C060000}"/>
    <cellStyle name="Style 523" xfId="1558" xr:uid="{00000000-0005-0000-0000-00001D060000}"/>
    <cellStyle name="Style 524" xfId="1559" xr:uid="{00000000-0005-0000-0000-00001E060000}"/>
    <cellStyle name="Style 525" xfId="1560" xr:uid="{00000000-0005-0000-0000-00001F060000}"/>
    <cellStyle name="Style 525 2" xfId="1561" xr:uid="{00000000-0005-0000-0000-000020060000}"/>
    <cellStyle name="Style 526" xfId="1562" xr:uid="{00000000-0005-0000-0000-000021060000}"/>
    <cellStyle name="Style 526 2" xfId="1563" xr:uid="{00000000-0005-0000-0000-000022060000}"/>
    <cellStyle name="Style 527" xfId="1564" xr:uid="{00000000-0005-0000-0000-000023060000}"/>
    <cellStyle name="Style 527 2" xfId="1565" xr:uid="{00000000-0005-0000-0000-000024060000}"/>
    <cellStyle name="Style 528" xfId="1566" xr:uid="{00000000-0005-0000-0000-000025060000}"/>
    <cellStyle name="Style 528 2" xfId="1567" xr:uid="{00000000-0005-0000-0000-000026060000}"/>
    <cellStyle name="Style 529" xfId="1568" xr:uid="{00000000-0005-0000-0000-000027060000}"/>
    <cellStyle name="Style 529 2" xfId="1569" xr:uid="{00000000-0005-0000-0000-000028060000}"/>
    <cellStyle name="Style 530" xfId="1570" xr:uid="{00000000-0005-0000-0000-000029060000}"/>
    <cellStyle name="Style 530 2" xfId="1571" xr:uid="{00000000-0005-0000-0000-00002A060000}"/>
    <cellStyle name="Style 531" xfId="1572" xr:uid="{00000000-0005-0000-0000-00002B060000}"/>
    <cellStyle name="Style 532" xfId="1573" xr:uid="{00000000-0005-0000-0000-00002C060000}"/>
    <cellStyle name="Style 532 2" xfId="1574" xr:uid="{00000000-0005-0000-0000-00002D060000}"/>
    <cellStyle name="Style 533" xfId="1575" xr:uid="{00000000-0005-0000-0000-00002E060000}"/>
    <cellStyle name="Style 534" xfId="1576" xr:uid="{00000000-0005-0000-0000-00002F060000}"/>
    <cellStyle name="Style 535" xfId="1577" xr:uid="{00000000-0005-0000-0000-000030060000}"/>
    <cellStyle name="Style 535 2" xfId="1578" xr:uid="{00000000-0005-0000-0000-000031060000}"/>
    <cellStyle name="Style 536" xfId="1579" xr:uid="{00000000-0005-0000-0000-000032060000}"/>
    <cellStyle name="Style 536 2" xfId="1580" xr:uid="{00000000-0005-0000-0000-000033060000}"/>
    <cellStyle name="Style 537" xfId="1581" xr:uid="{00000000-0005-0000-0000-000034060000}"/>
    <cellStyle name="Style 537 2" xfId="1582" xr:uid="{00000000-0005-0000-0000-000035060000}"/>
    <cellStyle name="Style 538" xfId="1583" xr:uid="{00000000-0005-0000-0000-000036060000}"/>
    <cellStyle name="Style 539" xfId="1584" xr:uid="{00000000-0005-0000-0000-000037060000}"/>
    <cellStyle name="Style 541" xfId="1585" xr:uid="{00000000-0005-0000-0000-000038060000}"/>
    <cellStyle name="Style 541 2" xfId="1586" xr:uid="{00000000-0005-0000-0000-000039060000}"/>
    <cellStyle name="Style 543" xfId="1587" xr:uid="{00000000-0005-0000-0000-00003A060000}"/>
    <cellStyle name="Style 543 2" xfId="1588" xr:uid="{00000000-0005-0000-0000-00003B060000}"/>
    <cellStyle name="Style 545" xfId="1589" xr:uid="{00000000-0005-0000-0000-00003C060000}"/>
    <cellStyle name="Style 547" xfId="1590" xr:uid="{00000000-0005-0000-0000-00003D060000}"/>
    <cellStyle name="Style 548" xfId="1591" xr:uid="{00000000-0005-0000-0000-00003E060000}"/>
    <cellStyle name="Style 549" xfId="1592" xr:uid="{00000000-0005-0000-0000-00003F060000}"/>
    <cellStyle name="Style 550" xfId="1593" xr:uid="{00000000-0005-0000-0000-000040060000}"/>
    <cellStyle name="Style 551" xfId="1594" xr:uid="{00000000-0005-0000-0000-000041060000}"/>
    <cellStyle name="Style 552" xfId="1595" xr:uid="{00000000-0005-0000-0000-000042060000}"/>
    <cellStyle name="Style 553" xfId="1596" xr:uid="{00000000-0005-0000-0000-000043060000}"/>
    <cellStyle name="Style 554" xfId="1597" xr:uid="{00000000-0005-0000-0000-000044060000}"/>
    <cellStyle name="Style 555" xfId="1598" xr:uid="{00000000-0005-0000-0000-000045060000}"/>
    <cellStyle name="Style 556" xfId="1599" xr:uid="{00000000-0005-0000-0000-000046060000}"/>
    <cellStyle name="Style 557" xfId="1600" xr:uid="{00000000-0005-0000-0000-000047060000}"/>
    <cellStyle name="Style 558" xfId="1601" xr:uid="{00000000-0005-0000-0000-000048060000}"/>
    <cellStyle name="Style 559" xfId="1602" xr:uid="{00000000-0005-0000-0000-000049060000}"/>
    <cellStyle name="Style 560" xfId="1603" xr:uid="{00000000-0005-0000-0000-00004A060000}"/>
    <cellStyle name="Style 561" xfId="1604" xr:uid="{00000000-0005-0000-0000-00004B060000}"/>
    <cellStyle name="Style 562" xfId="1605" xr:uid="{00000000-0005-0000-0000-00004C060000}"/>
    <cellStyle name="Style 563" xfId="1606" xr:uid="{00000000-0005-0000-0000-00004D060000}"/>
    <cellStyle name="Style 564" xfId="1607" xr:uid="{00000000-0005-0000-0000-00004E060000}"/>
    <cellStyle name="Style 565" xfId="1608" xr:uid="{00000000-0005-0000-0000-00004F060000}"/>
    <cellStyle name="Style 565 2" xfId="1609" xr:uid="{00000000-0005-0000-0000-000050060000}"/>
    <cellStyle name="Style 566" xfId="1610" xr:uid="{00000000-0005-0000-0000-000051060000}"/>
    <cellStyle name="Style 566 2" xfId="1611" xr:uid="{00000000-0005-0000-0000-000052060000}"/>
    <cellStyle name="Style 567" xfId="1612" xr:uid="{00000000-0005-0000-0000-000053060000}"/>
    <cellStyle name="Style 568" xfId="1613" xr:uid="{00000000-0005-0000-0000-000054060000}"/>
    <cellStyle name="Style 568 2" xfId="1614" xr:uid="{00000000-0005-0000-0000-000055060000}"/>
    <cellStyle name="Style 569" xfId="1615" xr:uid="{00000000-0005-0000-0000-000056060000}"/>
    <cellStyle name="Style 569 2" xfId="1616" xr:uid="{00000000-0005-0000-0000-000057060000}"/>
    <cellStyle name="Style 570" xfId="1617" xr:uid="{00000000-0005-0000-0000-000058060000}"/>
    <cellStyle name="Style 582" xfId="1618" xr:uid="{00000000-0005-0000-0000-000059060000}"/>
    <cellStyle name="Style 582 2" xfId="1619" xr:uid="{00000000-0005-0000-0000-00005A060000}"/>
    <cellStyle name="Style 583" xfId="1620" xr:uid="{00000000-0005-0000-0000-00005B060000}"/>
    <cellStyle name="Style 584" xfId="1621" xr:uid="{00000000-0005-0000-0000-00005C060000}"/>
    <cellStyle name="Style 585" xfId="1622" xr:uid="{00000000-0005-0000-0000-00005D060000}"/>
    <cellStyle name="Style 585 2" xfId="1623" xr:uid="{00000000-0005-0000-0000-00005E060000}"/>
    <cellStyle name="Style 586" xfId="1624" xr:uid="{00000000-0005-0000-0000-00005F060000}"/>
    <cellStyle name="Style 587" xfId="1625" xr:uid="{00000000-0005-0000-0000-000060060000}"/>
    <cellStyle name="Style 588" xfId="1626" xr:uid="{00000000-0005-0000-0000-000061060000}"/>
    <cellStyle name="Style 588 2" xfId="1627" xr:uid="{00000000-0005-0000-0000-000062060000}"/>
    <cellStyle name="Style 589" xfId="1628" xr:uid="{00000000-0005-0000-0000-000063060000}"/>
    <cellStyle name="Style 590" xfId="1629" xr:uid="{00000000-0005-0000-0000-000064060000}"/>
    <cellStyle name="Style 591" xfId="1630" xr:uid="{00000000-0005-0000-0000-000065060000}"/>
    <cellStyle name="Style 592" xfId="1631" xr:uid="{00000000-0005-0000-0000-000066060000}"/>
    <cellStyle name="Style 593" xfId="1632" xr:uid="{00000000-0005-0000-0000-000067060000}"/>
    <cellStyle name="Style 594" xfId="1633" xr:uid="{00000000-0005-0000-0000-000068060000}"/>
    <cellStyle name="Style 595" xfId="1634" xr:uid="{00000000-0005-0000-0000-000069060000}"/>
    <cellStyle name="Style 596" xfId="1635" xr:uid="{00000000-0005-0000-0000-00006A060000}"/>
    <cellStyle name="Style 596 2" xfId="1636" xr:uid="{00000000-0005-0000-0000-00006B060000}"/>
    <cellStyle name="Style 597" xfId="1637" xr:uid="{00000000-0005-0000-0000-00006C060000}"/>
    <cellStyle name="Style 598" xfId="1638" xr:uid="{00000000-0005-0000-0000-00006D060000}"/>
    <cellStyle name="Style 599" xfId="1639" xr:uid="{00000000-0005-0000-0000-00006E060000}"/>
    <cellStyle name="Style 6" xfId="1640" xr:uid="{00000000-0005-0000-0000-00006F060000}"/>
    <cellStyle name="Style 6 2" xfId="1641" xr:uid="{00000000-0005-0000-0000-000070060000}"/>
    <cellStyle name="Style 609" xfId="1642" xr:uid="{00000000-0005-0000-0000-000071060000}"/>
    <cellStyle name="Style 609 2" xfId="1643" xr:uid="{00000000-0005-0000-0000-000072060000}"/>
    <cellStyle name="Style 610" xfId="1644" xr:uid="{00000000-0005-0000-0000-000073060000}"/>
    <cellStyle name="Style 610 2" xfId="1645" xr:uid="{00000000-0005-0000-0000-000074060000}"/>
    <cellStyle name="Style 611" xfId="1646" xr:uid="{00000000-0005-0000-0000-000075060000}"/>
    <cellStyle name="Style 611 2" xfId="1647" xr:uid="{00000000-0005-0000-0000-000076060000}"/>
    <cellStyle name="Style 612" xfId="1648" xr:uid="{00000000-0005-0000-0000-000077060000}"/>
    <cellStyle name="Style 612 2" xfId="1649" xr:uid="{00000000-0005-0000-0000-000078060000}"/>
    <cellStyle name="Style 613" xfId="1650" xr:uid="{00000000-0005-0000-0000-000079060000}"/>
    <cellStyle name="Style 614" xfId="1651" xr:uid="{00000000-0005-0000-0000-00007A060000}"/>
    <cellStyle name="Style 615" xfId="1652" xr:uid="{00000000-0005-0000-0000-00007B060000}"/>
    <cellStyle name="Style 615 2" xfId="1653" xr:uid="{00000000-0005-0000-0000-00007C060000}"/>
    <cellStyle name="Style 616" xfId="1654" xr:uid="{00000000-0005-0000-0000-00007D060000}"/>
    <cellStyle name="Style 616 2" xfId="1655" xr:uid="{00000000-0005-0000-0000-00007E060000}"/>
    <cellStyle name="Style 617" xfId="1656" xr:uid="{00000000-0005-0000-0000-00007F060000}"/>
    <cellStyle name="Style 617 2" xfId="1657" xr:uid="{00000000-0005-0000-0000-000080060000}"/>
    <cellStyle name="Style 618" xfId="1658" xr:uid="{00000000-0005-0000-0000-000081060000}"/>
    <cellStyle name="Style 618 2" xfId="1659" xr:uid="{00000000-0005-0000-0000-000082060000}"/>
    <cellStyle name="Style 619" xfId="1660" xr:uid="{00000000-0005-0000-0000-000083060000}"/>
    <cellStyle name="Style 619 2" xfId="1661" xr:uid="{00000000-0005-0000-0000-000084060000}"/>
    <cellStyle name="Style 620" xfId="1662" xr:uid="{00000000-0005-0000-0000-000085060000}"/>
    <cellStyle name="Style 621" xfId="1663" xr:uid="{00000000-0005-0000-0000-000086060000}"/>
    <cellStyle name="Style 622" xfId="1664" xr:uid="{00000000-0005-0000-0000-000087060000}"/>
    <cellStyle name="Style 622 2" xfId="1665" xr:uid="{00000000-0005-0000-0000-000088060000}"/>
    <cellStyle name="Style 623" xfId="1666" xr:uid="{00000000-0005-0000-0000-000089060000}"/>
    <cellStyle name="Style 623 2" xfId="1667" xr:uid="{00000000-0005-0000-0000-00008A060000}"/>
    <cellStyle name="Style 624" xfId="1668" xr:uid="{00000000-0005-0000-0000-00008B060000}"/>
    <cellStyle name="Style 625" xfId="1669" xr:uid="{00000000-0005-0000-0000-00008C060000}"/>
    <cellStyle name="Style 626" xfId="1670" xr:uid="{00000000-0005-0000-0000-00008D060000}"/>
    <cellStyle name="Style 627" xfId="1671" xr:uid="{00000000-0005-0000-0000-00008E060000}"/>
    <cellStyle name="Style 627 2" xfId="1672" xr:uid="{00000000-0005-0000-0000-00008F060000}"/>
    <cellStyle name="Style 628" xfId="1673" xr:uid="{00000000-0005-0000-0000-000090060000}"/>
    <cellStyle name="Style 628 2" xfId="1674" xr:uid="{00000000-0005-0000-0000-000091060000}"/>
    <cellStyle name="Style 629" xfId="1675" xr:uid="{00000000-0005-0000-0000-000092060000}"/>
    <cellStyle name="Style 630" xfId="1676" xr:uid="{00000000-0005-0000-0000-000093060000}"/>
    <cellStyle name="Style 630 2" xfId="1677" xr:uid="{00000000-0005-0000-0000-000094060000}"/>
    <cellStyle name="Style 631" xfId="1678" xr:uid="{00000000-0005-0000-0000-000095060000}"/>
    <cellStyle name="Style 631 2" xfId="1679" xr:uid="{00000000-0005-0000-0000-000096060000}"/>
    <cellStyle name="Style 643" xfId="1680" xr:uid="{00000000-0005-0000-0000-000097060000}"/>
    <cellStyle name="Style 643 2" xfId="1681" xr:uid="{00000000-0005-0000-0000-000098060000}"/>
    <cellStyle name="Style 644" xfId="1682" xr:uid="{00000000-0005-0000-0000-000099060000}"/>
    <cellStyle name="Style 644 2" xfId="1683" xr:uid="{00000000-0005-0000-0000-00009A060000}"/>
    <cellStyle name="Style 645" xfId="1684" xr:uid="{00000000-0005-0000-0000-00009B060000}"/>
    <cellStyle name="Style 645 2" xfId="1685" xr:uid="{00000000-0005-0000-0000-00009C060000}"/>
    <cellStyle name="Style 646" xfId="1686" xr:uid="{00000000-0005-0000-0000-00009D060000}"/>
    <cellStyle name="Style 646 2" xfId="1687" xr:uid="{00000000-0005-0000-0000-00009E060000}"/>
    <cellStyle name="Style 647" xfId="1688" xr:uid="{00000000-0005-0000-0000-00009F060000}"/>
    <cellStyle name="Style 648" xfId="1689" xr:uid="{00000000-0005-0000-0000-0000A0060000}"/>
    <cellStyle name="Style 649" xfId="1690" xr:uid="{00000000-0005-0000-0000-0000A1060000}"/>
    <cellStyle name="Style 649 2" xfId="1691" xr:uid="{00000000-0005-0000-0000-0000A2060000}"/>
    <cellStyle name="Style 650" xfId="1692" xr:uid="{00000000-0005-0000-0000-0000A3060000}"/>
    <cellStyle name="Style 650 2" xfId="1693" xr:uid="{00000000-0005-0000-0000-0000A4060000}"/>
    <cellStyle name="Style 651" xfId="1694" xr:uid="{00000000-0005-0000-0000-0000A5060000}"/>
    <cellStyle name="Style 652" xfId="1695" xr:uid="{00000000-0005-0000-0000-0000A6060000}"/>
    <cellStyle name="Style 653" xfId="1696" xr:uid="{00000000-0005-0000-0000-0000A7060000}"/>
    <cellStyle name="Style 654" xfId="1697" xr:uid="{00000000-0005-0000-0000-0000A8060000}"/>
    <cellStyle name="Style 654 2" xfId="1698" xr:uid="{00000000-0005-0000-0000-0000A9060000}"/>
    <cellStyle name="Style 655" xfId="1699" xr:uid="{00000000-0005-0000-0000-0000AA060000}"/>
    <cellStyle name="Style 655 2" xfId="1700" xr:uid="{00000000-0005-0000-0000-0000AB060000}"/>
    <cellStyle name="Style 656" xfId="1701" xr:uid="{00000000-0005-0000-0000-0000AC060000}"/>
    <cellStyle name="Style 656 2" xfId="1702" xr:uid="{00000000-0005-0000-0000-0000AD060000}"/>
    <cellStyle name="Style 657" xfId="1703" xr:uid="{00000000-0005-0000-0000-0000AE060000}"/>
    <cellStyle name="Style 658" xfId="1704" xr:uid="{00000000-0005-0000-0000-0000AF060000}"/>
    <cellStyle name="Style 658 2" xfId="1705" xr:uid="{00000000-0005-0000-0000-0000B0060000}"/>
    <cellStyle name="Style 659" xfId="1706" xr:uid="{00000000-0005-0000-0000-0000B1060000}"/>
    <cellStyle name="Style 659 2" xfId="1707" xr:uid="{00000000-0005-0000-0000-0000B2060000}"/>
    <cellStyle name="Style 660" xfId="1708" xr:uid="{00000000-0005-0000-0000-0000B3060000}"/>
    <cellStyle name="Style 661" xfId="1709" xr:uid="{00000000-0005-0000-0000-0000B4060000}"/>
    <cellStyle name="Style 661 2" xfId="1710" xr:uid="{00000000-0005-0000-0000-0000B5060000}"/>
    <cellStyle name="Style 662" xfId="1711" xr:uid="{00000000-0005-0000-0000-0000B6060000}"/>
    <cellStyle name="Style 662 2" xfId="1712" xr:uid="{00000000-0005-0000-0000-0000B7060000}"/>
    <cellStyle name="Style 663" xfId="1713" xr:uid="{00000000-0005-0000-0000-0000B8060000}"/>
    <cellStyle name="Style 664" xfId="1714" xr:uid="{00000000-0005-0000-0000-0000B9060000}"/>
    <cellStyle name="Style 664 2" xfId="1715" xr:uid="{00000000-0005-0000-0000-0000BA060000}"/>
    <cellStyle name="Style 666" xfId="1716" xr:uid="{00000000-0005-0000-0000-0000BB060000}"/>
    <cellStyle name="Style 673" xfId="1717" xr:uid="{00000000-0005-0000-0000-0000BC060000}"/>
    <cellStyle name="Style 673 2" xfId="1718" xr:uid="{00000000-0005-0000-0000-0000BD060000}"/>
    <cellStyle name="Style 675" xfId="1719" xr:uid="{00000000-0005-0000-0000-0000BE060000}"/>
    <cellStyle name="Style 675 2" xfId="1720" xr:uid="{00000000-0005-0000-0000-0000BF060000}"/>
    <cellStyle name="Style 677" xfId="1721" xr:uid="{00000000-0005-0000-0000-0000C0060000}"/>
    <cellStyle name="Style 679" xfId="1722" xr:uid="{00000000-0005-0000-0000-0000C1060000}"/>
    <cellStyle name="Style 679 2" xfId="1723" xr:uid="{00000000-0005-0000-0000-0000C2060000}"/>
    <cellStyle name="Style 681" xfId="1724" xr:uid="{00000000-0005-0000-0000-0000C3060000}"/>
    <cellStyle name="Style 682" xfId="1725" xr:uid="{00000000-0005-0000-0000-0000C4060000}"/>
    <cellStyle name="Style 683" xfId="1726" xr:uid="{00000000-0005-0000-0000-0000C5060000}"/>
    <cellStyle name="Style 683 2" xfId="1727" xr:uid="{00000000-0005-0000-0000-0000C6060000}"/>
    <cellStyle name="Style 684" xfId="1728" xr:uid="{00000000-0005-0000-0000-0000C7060000}"/>
    <cellStyle name="Style 685" xfId="1729" xr:uid="{00000000-0005-0000-0000-0000C8060000}"/>
    <cellStyle name="Style 686" xfId="1730" xr:uid="{00000000-0005-0000-0000-0000C9060000}"/>
    <cellStyle name="Style 686 2" xfId="1731" xr:uid="{00000000-0005-0000-0000-0000CA060000}"/>
    <cellStyle name="Style 687" xfId="1732" xr:uid="{00000000-0005-0000-0000-0000CB060000}"/>
    <cellStyle name="Style 688" xfId="1733" xr:uid="{00000000-0005-0000-0000-0000CC060000}"/>
    <cellStyle name="Style 689" xfId="1734" xr:uid="{00000000-0005-0000-0000-0000CD060000}"/>
    <cellStyle name="Style 690" xfId="1735" xr:uid="{00000000-0005-0000-0000-0000CE060000}"/>
    <cellStyle name="Style 691" xfId="1736" xr:uid="{00000000-0005-0000-0000-0000CF060000}"/>
    <cellStyle name="Style 691 2" xfId="1737" xr:uid="{00000000-0005-0000-0000-0000D0060000}"/>
    <cellStyle name="Style 692" xfId="1738" xr:uid="{00000000-0005-0000-0000-0000D1060000}"/>
    <cellStyle name="Style 692 2" xfId="1739" xr:uid="{00000000-0005-0000-0000-0000D2060000}"/>
    <cellStyle name="Style 693" xfId="1740" xr:uid="{00000000-0005-0000-0000-0000D3060000}"/>
    <cellStyle name="Style 694" xfId="1741" xr:uid="{00000000-0005-0000-0000-0000D4060000}"/>
    <cellStyle name="Style 695" xfId="1742" xr:uid="{00000000-0005-0000-0000-0000D5060000}"/>
    <cellStyle name="Style 696" xfId="1743" xr:uid="{00000000-0005-0000-0000-0000D6060000}"/>
    <cellStyle name="Style 696 2" xfId="1744" xr:uid="{00000000-0005-0000-0000-0000D7060000}"/>
    <cellStyle name="Style 697" xfId="1745" xr:uid="{00000000-0005-0000-0000-0000D8060000}"/>
    <cellStyle name="Style 698" xfId="1746" xr:uid="{00000000-0005-0000-0000-0000D9060000}"/>
    <cellStyle name="Style 698 2" xfId="1747" xr:uid="{00000000-0005-0000-0000-0000DA060000}"/>
    <cellStyle name="Style 699" xfId="1748" xr:uid="{00000000-0005-0000-0000-0000DB060000}"/>
    <cellStyle name="Style 699 2" xfId="1749" xr:uid="{00000000-0005-0000-0000-0000DC060000}"/>
    <cellStyle name="Style 7" xfId="1750" xr:uid="{00000000-0005-0000-0000-0000DD060000}"/>
    <cellStyle name="Style 7 2" xfId="1751" xr:uid="{00000000-0005-0000-0000-0000DE060000}"/>
    <cellStyle name="Style 700" xfId="1752" xr:uid="{00000000-0005-0000-0000-0000DF060000}"/>
    <cellStyle name="Style 700 2" xfId="1753" xr:uid="{00000000-0005-0000-0000-0000E0060000}"/>
    <cellStyle name="Style 702" xfId="1754" xr:uid="{00000000-0005-0000-0000-0000E1060000}"/>
    <cellStyle name="Style 702 2" xfId="1755" xr:uid="{00000000-0005-0000-0000-0000E2060000}"/>
    <cellStyle name="Style 704" xfId="1756" xr:uid="{00000000-0005-0000-0000-0000E3060000}"/>
    <cellStyle name="Style 704 2" xfId="1757" xr:uid="{00000000-0005-0000-0000-0000E4060000}"/>
    <cellStyle name="Style 713" xfId="1758" xr:uid="{00000000-0005-0000-0000-0000E5060000}"/>
    <cellStyle name="Style 714" xfId="1759" xr:uid="{00000000-0005-0000-0000-0000E6060000}"/>
    <cellStyle name="Style 715" xfId="1760" xr:uid="{00000000-0005-0000-0000-0000E7060000}"/>
    <cellStyle name="Style 715 2" xfId="1761" xr:uid="{00000000-0005-0000-0000-0000E8060000}"/>
    <cellStyle name="Style 716" xfId="1762" xr:uid="{00000000-0005-0000-0000-0000E9060000}"/>
    <cellStyle name="Style 717" xfId="1763" xr:uid="{00000000-0005-0000-0000-0000EA060000}"/>
    <cellStyle name="Style 718" xfId="1764" xr:uid="{00000000-0005-0000-0000-0000EB060000}"/>
    <cellStyle name="Style 718 2" xfId="1765" xr:uid="{00000000-0005-0000-0000-0000EC060000}"/>
    <cellStyle name="Style 719" xfId="1766" xr:uid="{00000000-0005-0000-0000-0000ED060000}"/>
    <cellStyle name="Style 720" xfId="1767" xr:uid="{00000000-0005-0000-0000-0000EE060000}"/>
    <cellStyle name="Style 721" xfId="1768" xr:uid="{00000000-0005-0000-0000-0000EF060000}"/>
    <cellStyle name="Style 735" xfId="1769" xr:uid="{00000000-0005-0000-0000-0000F0060000}"/>
    <cellStyle name="Style 736" xfId="1770" xr:uid="{00000000-0005-0000-0000-0000F1060000}"/>
    <cellStyle name="Style 737" xfId="1771" xr:uid="{00000000-0005-0000-0000-0000F2060000}"/>
    <cellStyle name="Style 737 2" xfId="1772" xr:uid="{00000000-0005-0000-0000-0000F3060000}"/>
    <cellStyle name="Style 738" xfId="1773" xr:uid="{00000000-0005-0000-0000-0000F4060000}"/>
    <cellStyle name="Style 739" xfId="1774" xr:uid="{00000000-0005-0000-0000-0000F5060000}"/>
    <cellStyle name="Style 740" xfId="1775" xr:uid="{00000000-0005-0000-0000-0000F6060000}"/>
    <cellStyle name="Style 740 2" xfId="1776" xr:uid="{00000000-0005-0000-0000-0000F7060000}"/>
    <cellStyle name="Style 741" xfId="1777" xr:uid="{00000000-0005-0000-0000-0000F8060000}"/>
    <cellStyle name="Style 742" xfId="1778" xr:uid="{00000000-0005-0000-0000-0000F9060000}"/>
    <cellStyle name="Style 743" xfId="1779" xr:uid="{00000000-0005-0000-0000-0000FA060000}"/>
    <cellStyle name="Style 773" xfId="1780" xr:uid="{00000000-0005-0000-0000-0000FB060000}"/>
    <cellStyle name="Style 775" xfId="1781" xr:uid="{00000000-0005-0000-0000-0000FC060000}"/>
    <cellStyle name="Style 777" xfId="1782" xr:uid="{00000000-0005-0000-0000-0000FD060000}"/>
    <cellStyle name="Style 779" xfId="1783" xr:uid="{00000000-0005-0000-0000-0000FE060000}"/>
    <cellStyle name="Style 8" xfId="1784" xr:uid="{00000000-0005-0000-0000-0000FF060000}"/>
    <cellStyle name="Style 8 2" xfId="1785" xr:uid="{00000000-0005-0000-0000-000000070000}"/>
    <cellStyle name="Style 80" xfId="1786" xr:uid="{00000000-0005-0000-0000-000001070000}"/>
    <cellStyle name="Style 80 2" xfId="1787" xr:uid="{00000000-0005-0000-0000-000002070000}"/>
    <cellStyle name="Style 81" xfId="1788" xr:uid="{00000000-0005-0000-0000-000003070000}"/>
    <cellStyle name="Style 81 2" xfId="1789" xr:uid="{00000000-0005-0000-0000-000004070000}"/>
    <cellStyle name="Style 818" xfId="1790" xr:uid="{00000000-0005-0000-0000-000005070000}"/>
    <cellStyle name="Style 824" xfId="1791" xr:uid="{00000000-0005-0000-0000-000006070000}"/>
    <cellStyle name="Style 826" xfId="1792" xr:uid="{00000000-0005-0000-0000-000007070000}"/>
    <cellStyle name="Style 829" xfId="1793" xr:uid="{00000000-0005-0000-0000-000008070000}"/>
    <cellStyle name="Style 829 2" xfId="1794" xr:uid="{00000000-0005-0000-0000-000009070000}"/>
    <cellStyle name="Style 831" xfId="1795" xr:uid="{00000000-0005-0000-0000-00000A070000}"/>
    <cellStyle name="Style 831 2" xfId="1796" xr:uid="{00000000-0005-0000-0000-00000B070000}"/>
    <cellStyle name="Style 833" xfId="1797" xr:uid="{00000000-0005-0000-0000-00000C070000}"/>
    <cellStyle name="Style 835" xfId="1798" xr:uid="{00000000-0005-0000-0000-00000D070000}"/>
    <cellStyle name="Style 835 2" xfId="1799" xr:uid="{00000000-0005-0000-0000-00000E070000}"/>
    <cellStyle name="Style 837" xfId="1800" xr:uid="{00000000-0005-0000-0000-00000F070000}"/>
    <cellStyle name="Style 837 2" xfId="1801" xr:uid="{00000000-0005-0000-0000-000010070000}"/>
    <cellStyle name="Style 839" xfId="1802" xr:uid="{00000000-0005-0000-0000-000011070000}"/>
    <cellStyle name="Style 86" xfId="1803" xr:uid="{00000000-0005-0000-0000-000012070000}"/>
    <cellStyle name="Style 87" xfId="1804" xr:uid="{00000000-0005-0000-0000-000013070000}"/>
    <cellStyle name="Style 88" xfId="1805" xr:uid="{00000000-0005-0000-0000-000014070000}"/>
    <cellStyle name="Style 9" xfId="1806" xr:uid="{00000000-0005-0000-0000-000015070000}"/>
    <cellStyle name="Style 90" xfId="1807" xr:uid="{00000000-0005-0000-0000-000016070000}"/>
    <cellStyle name="Style 93" xfId="1808" xr:uid="{00000000-0005-0000-0000-000017070000}"/>
    <cellStyle name="Style D green" xfId="1809" xr:uid="{00000000-0005-0000-0000-000018070000}"/>
    <cellStyle name="Style D green 2" xfId="1810" xr:uid="{00000000-0005-0000-0000-000019070000}"/>
    <cellStyle name="Style E" xfId="1811" xr:uid="{00000000-0005-0000-0000-00001A070000}"/>
    <cellStyle name="Style H" xfId="1812" xr:uid="{00000000-0005-0000-0000-00001B070000}"/>
    <cellStyle name="Sub total" xfId="1813" xr:uid="{00000000-0005-0000-0000-00001C070000}"/>
    <cellStyle name="Subhead" xfId="1814" xr:uid="{00000000-0005-0000-0000-00001D070000}"/>
    <cellStyle name="Subheadbldun" xfId="1815" xr:uid="{00000000-0005-0000-0000-00001E070000}"/>
    <cellStyle name="Subheadbldun 2" xfId="1816" xr:uid="{00000000-0005-0000-0000-00001F070000}"/>
    <cellStyle name="Subheadbldun 2 2" xfId="1983" xr:uid="{00000000-0005-0000-0000-00001F070000}"/>
    <cellStyle name="Subheadbldun 3" xfId="1817" xr:uid="{00000000-0005-0000-0000-000020070000}"/>
    <cellStyle name="Subheadbldun 3 2" xfId="1984" xr:uid="{00000000-0005-0000-0000-000020070000}"/>
    <cellStyle name="Subheadbldun 4" xfId="1982" xr:uid="{00000000-0005-0000-0000-00001E070000}"/>
    <cellStyle name="SubRoutine" xfId="1818" xr:uid="{00000000-0005-0000-0000-000021070000}"/>
    <cellStyle name="SubScript" xfId="1819" xr:uid="{00000000-0005-0000-0000-000022070000}"/>
    <cellStyle name="Subtitle" xfId="1820" xr:uid="{00000000-0005-0000-0000-000023070000}"/>
    <cellStyle name="Subtotal_left" xfId="1821" xr:uid="{00000000-0005-0000-0000-000024070000}"/>
    <cellStyle name="Sum" xfId="1822" xr:uid="{00000000-0005-0000-0000-000025070000}"/>
    <cellStyle name="SuperScript" xfId="1823" xr:uid="{00000000-0005-0000-0000-000026070000}"/>
    <cellStyle name="Swiss" xfId="1824" xr:uid="{00000000-0005-0000-0000-000027070000}"/>
    <cellStyle name="SymbolBlue" xfId="1825" xr:uid="{00000000-0005-0000-0000-000028070000}"/>
    <cellStyle name="t" xfId="1826" xr:uid="{00000000-0005-0000-0000-000029070000}"/>
    <cellStyle name="Table end" xfId="1827" xr:uid="{00000000-0005-0000-0000-00002A070000}"/>
    <cellStyle name="Table head" xfId="1828" xr:uid="{00000000-0005-0000-0000-00002B070000}"/>
    <cellStyle name="Table Head Aligned" xfId="1829" xr:uid="{00000000-0005-0000-0000-00002C070000}"/>
    <cellStyle name="Table Head Blue" xfId="1830" xr:uid="{00000000-0005-0000-0000-00002D070000}"/>
    <cellStyle name="Table Head Green" xfId="1831" xr:uid="{00000000-0005-0000-0000-00002E070000}"/>
    <cellStyle name="Table head_EVS - JB Deliverable - Nitto Denko Valuation Model - 2 May 2005" xfId="1832" xr:uid="{00000000-0005-0000-0000-00002F070000}"/>
    <cellStyle name="Table Label" xfId="1833" xr:uid="{00000000-0005-0000-0000-000030070000}"/>
    <cellStyle name="Table Text" xfId="1834" xr:uid="{00000000-0005-0000-0000-000031070000}"/>
    <cellStyle name="table text bold" xfId="1835" xr:uid="{00000000-0005-0000-0000-000032070000}"/>
    <cellStyle name="table text bold green" xfId="1836" xr:uid="{00000000-0005-0000-0000-000033070000}"/>
    <cellStyle name="table text light" xfId="1837" xr:uid="{00000000-0005-0000-0000-000034070000}"/>
    <cellStyle name="Table Title" xfId="1838" xr:uid="{00000000-0005-0000-0000-000035070000}"/>
    <cellStyle name="Table Units" xfId="1839" xr:uid="{00000000-0005-0000-0000-000036070000}"/>
    <cellStyle name="Table Units 2" xfId="1840" xr:uid="{00000000-0005-0000-0000-000037070000}"/>
    <cellStyle name="Table Units 2 2" xfId="1986" xr:uid="{00000000-0005-0000-0000-000037070000}"/>
    <cellStyle name="Table Units 3" xfId="1985" xr:uid="{00000000-0005-0000-0000-000036070000}"/>
    <cellStyle name="Table_Header" xfId="1841" xr:uid="{00000000-0005-0000-0000-000038070000}"/>
    <cellStyle name="TableName" xfId="1842" xr:uid="{00000000-0005-0000-0000-000039070000}"/>
    <cellStyle name="tcn" xfId="1843" xr:uid="{00000000-0005-0000-0000-00003A070000}"/>
    <cellStyle name="Text 1" xfId="1844" xr:uid="{00000000-0005-0000-0000-00003B070000}"/>
    <cellStyle name="Text Head 1" xfId="1845" xr:uid="{00000000-0005-0000-0000-00003C070000}"/>
    <cellStyle name="TextBold" xfId="1846" xr:uid="{00000000-0005-0000-0000-00003D070000}"/>
    <cellStyle name="textbold 2" xfId="1847" xr:uid="{00000000-0005-0000-0000-00003E070000}"/>
    <cellStyle name="Text-fin statements" xfId="1848" xr:uid="{00000000-0005-0000-0000-00003F070000}"/>
    <cellStyle name="TextItalic" xfId="1849" xr:uid="{00000000-0005-0000-0000-000040070000}"/>
    <cellStyle name="TextNormal" xfId="1850" xr:uid="{00000000-0005-0000-0000-000041070000}"/>
    <cellStyle name="threedecplace" xfId="1851" xr:uid="{00000000-0005-0000-0000-000042070000}"/>
    <cellStyle name="threedecplace 2" xfId="1852" xr:uid="{00000000-0005-0000-0000-000043070000}"/>
    <cellStyle name="Tillanalys utan" xfId="1853" xr:uid="{00000000-0005-0000-0000-000044070000}"/>
    <cellStyle name="Tillanalys utan rub" xfId="1854" xr:uid="{00000000-0005-0000-0000-000045070000}"/>
    <cellStyle name="Time" xfId="1855" xr:uid="{00000000-0005-0000-0000-000046070000}"/>
    <cellStyle name="times" xfId="1856" xr:uid="{00000000-0005-0000-0000-000047070000}"/>
    <cellStyle name="Times 10" xfId="1857" xr:uid="{00000000-0005-0000-0000-000048070000}"/>
    <cellStyle name="Times 10 2" xfId="1858" xr:uid="{00000000-0005-0000-0000-000049070000}"/>
    <cellStyle name="Times 12" xfId="1859" xr:uid="{00000000-0005-0000-0000-00004A070000}"/>
    <cellStyle name="Times 12 2" xfId="1860" xr:uid="{00000000-0005-0000-0000-00004B070000}"/>
    <cellStyle name="Times_Valuation eg for trainees" xfId="1861" xr:uid="{00000000-0005-0000-0000-00004C070000}"/>
    <cellStyle name="Timesdec1" xfId="1862" xr:uid="{00000000-0005-0000-0000-00004D070000}"/>
    <cellStyle name="Timesdec1 2" xfId="1863" xr:uid="{00000000-0005-0000-0000-00004E070000}"/>
    <cellStyle name="Timesdec2" xfId="1864" xr:uid="{00000000-0005-0000-0000-00004F070000}"/>
    <cellStyle name="Title - PROJECT" xfId="1865" xr:uid="{00000000-0005-0000-0000-000050070000}"/>
    <cellStyle name="Title - Underline" xfId="1866" xr:uid="{00000000-0005-0000-0000-000051070000}"/>
    <cellStyle name="Title1" xfId="1867" xr:uid="{00000000-0005-0000-0000-000052070000}"/>
    <cellStyle name="Title1 2" xfId="1868" xr:uid="{00000000-0005-0000-0000-000053070000}"/>
    <cellStyle name="Title2" xfId="1869" xr:uid="{00000000-0005-0000-0000-000054070000}"/>
    <cellStyle name="Title2 2" xfId="1870" xr:uid="{00000000-0005-0000-0000-000055070000}"/>
    <cellStyle name="TitleII" xfId="1871" xr:uid="{00000000-0005-0000-0000-000056070000}"/>
    <cellStyle name="TitleNormal" xfId="1872" xr:uid="{00000000-0005-0000-0000-000057070000}"/>
    <cellStyle name="Titles" xfId="1873" xr:uid="{00000000-0005-0000-0000-000058070000}"/>
    <cellStyle name="Titles - Col. Headings" xfId="1874" xr:uid="{00000000-0005-0000-0000-000059070000}"/>
    <cellStyle name="Titles - Other" xfId="1875" xr:uid="{00000000-0005-0000-0000-00005A070000}"/>
    <cellStyle name="tn" xfId="1876" xr:uid="{00000000-0005-0000-0000-00005B070000}"/>
    <cellStyle name="TNR-9F-BLACK" xfId="1877" xr:uid="{00000000-0005-0000-0000-00005C070000}"/>
    <cellStyle name="TNR-9F-BLACK 2" xfId="1878" xr:uid="{00000000-0005-0000-0000-00005D070000}"/>
    <cellStyle name="tom" xfId="1879" xr:uid="{00000000-0005-0000-0000-00005E070000}"/>
    <cellStyle name="Top and Bottom Border" xfId="1880" xr:uid="{00000000-0005-0000-0000-00005F070000}"/>
    <cellStyle name="Top Line" xfId="1881" xr:uid="{00000000-0005-0000-0000-000060070000}"/>
    <cellStyle name="Top Line Light" xfId="1882" xr:uid="{00000000-0005-0000-0000-000061070000}"/>
    <cellStyle name="TopGrey" xfId="1883" xr:uid="{00000000-0005-0000-0000-000062070000}"/>
    <cellStyle name="TopGrey 2" xfId="1884" xr:uid="{00000000-0005-0000-0000-000063070000}"/>
    <cellStyle name="TopGrey 2 2" xfId="1988" xr:uid="{00000000-0005-0000-0000-000063070000}"/>
    <cellStyle name="TopGrey 3" xfId="1885" xr:uid="{00000000-0005-0000-0000-000064070000}"/>
    <cellStyle name="TopGrey 3 2" xfId="1989" xr:uid="{00000000-0005-0000-0000-000064070000}"/>
    <cellStyle name="TopGrey 4" xfId="1987" xr:uid="{00000000-0005-0000-0000-000062070000}"/>
    <cellStyle name="topline" xfId="1886" xr:uid="{00000000-0005-0000-0000-000065070000}"/>
    <cellStyle name="topline 2" xfId="1887" xr:uid="{00000000-0005-0000-0000-000066070000}"/>
    <cellStyle name="Totals" xfId="1888" xr:uid="{00000000-0005-0000-0000-000067070000}"/>
    <cellStyle name="Tusental (0)_Delår" xfId="1889" xr:uid="{00000000-0005-0000-0000-000068070000}"/>
    <cellStyle name="Tusental_Delår" xfId="1890" xr:uid="{00000000-0005-0000-0000-000069070000}"/>
    <cellStyle name="twodecplace" xfId="1891" xr:uid="{00000000-0005-0000-0000-00006A070000}"/>
    <cellStyle name="twodecplace 2" xfId="1892" xr:uid="{00000000-0005-0000-0000-00006B070000}"/>
    <cellStyle name="Twodig" xfId="1893" xr:uid="{00000000-0005-0000-0000-00006C070000}"/>
    <cellStyle name="Underline" xfId="1894" xr:uid="{00000000-0005-0000-0000-00006D070000}"/>
    <cellStyle name="underline 1 decimal" xfId="1895" xr:uid="{00000000-0005-0000-0000-00006E070000}"/>
    <cellStyle name="Underline(0)" xfId="1896" xr:uid="{00000000-0005-0000-0000-00006F070000}"/>
    <cellStyle name="Underline_ANF" xfId="1897" xr:uid="{00000000-0005-0000-0000-000070070000}"/>
    <cellStyle name="UnderlineDouble" xfId="1898" xr:uid="{00000000-0005-0000-0000-000071070000}"/>
    <cellStyle name="UnderlineNormal" xfId="1899" xr:uid="{00000000-0005-0000-0000-000072070000}"/>
    <cellStyle name="Uniwers 9" xfId="1900" xr:uid="{00000000-0005-0000-0000-000073070000}"/>
    <cellStyle name="unm" xfId="1901" xr:uid="{00000000-0005-0000-0000-000074070000}"/>
    <cellStyle name="UnProtectedCalc" xfId="1902" xr:uid="{00000000-0005-0000-0000-000075070000}"/>
    <cellStyle name="UnProtectedCalc 2" xfId="1990" xr:uid="{00000000-0005-0000-0000-000075070000}"/>
    <cellStyle name="Update Data" xfId="1903" xr:uid="{00000000-0005-0000-0000-000076070000}"/>
    <cellStyle name="Upload Only" xfId="1904" xr:uid="{00000000-0005-0000-0000-000077070000}"/>
    <cellStyle name="Upload Only 2" xfId="1905" xr:uid="{00000000-0005-0000-0000-000078070000}"/>
    <cellStyle name="User_Defined_C" xfId="1906" xr:uid="{00000000-0005-0000-0000-000079070000}"/>
    <cellStyle name="Validation" xfId="1907" xr:uid="{00000000-0005-0000-0000-00007A070000}"/>
    <cellStyle name="Validation 2" xfId="1908" xr:uid="{00000000-0005-0000-0000-00007B070000}"/>
    <cellStyle name="Valuta ⎨0)_Delår" xfId="1909" xr:uid="{00000000-0005-0000-0000-00007C070000}"/>
    <cellStyle name="Valuta (0)_Delår" xfId="1910" xr:uid="{00000000-0005-0000-0000-00007D070000}"/>
    <cellStyle name="Valuta_Delår" xfId="1911" xr:uid="{00000000-0005-0000-0000-00007E070000}"/>
    <cellStyle name="von_flexible" xfId="1912" xr:uid="{00000000-0005-0000-0000-00007F070000}"/>
    <cellStyle name="Währung [0]" xfId="1913" xr:uid="{00000000-0005-0000-0000-000080070000}"/>
    <cellStyle name="Währung_ABB" xfId="1914" xr:uid="{00000000-0005-0000-0000-000081070000}"/>
    <cellStyle name="Warning" xfId="1915" xr:uid="{00000000-0005-0000-0000-000082070000}"/>
    <cellStyle name="WholeNumber" xfId="1916" xr:uid="{00000000-0005-0000-0000-000083070000}"/>
    <cellStyle name="WingdingsBlack" xfId="1917" xr:uid="{00000000-0005-0000-0000-000084070000}"/>
    <cellStyle name="WingdingsRed" xfId="1918" xr:uid="{00000000-0005-0000-0000-000085070000}"/>
    <cellStyle name="WingdingsWhite" xfId="1919" xr:uid="{00000000-0005-0000-0000-000086070000}"/>
    <cellStyle name="WP" xfId="1920" xr:uid="{00000000-0005-0000-0000-000087070000}"/>
    <cellStyle name="x" xfId="1921" xr:uid="{00000000-0005-0000-0000-000088070000}"/>
    <cellStyle name="x 2" xfId="1922" xr:uid="{00000000-0005-0000-0000-000089070000}"/>
    <cellStyle name="x Men" xfId="1923" xr:uid="{00000000-0005-0000-0000-00008A070000}"/>
    <cellStyle name="Year" xfId="1924" xr:uid="{00000000-0005-0000-0000-00008B070000}"/>
    <cellStyle name="Year 2" xfId="1925" xr:uid="{00000000-0005-0000-0000-00008C070000}"/>
    <cellStyle name="Years" xfId="1926" xr:uid="{00000000-0005-0000-0000-00008D070000}"/>
    <cellStyle name="Yen" xfId="1927" xr:uid="{00000000-0005-0000-0000-00008E070000}"/>
    <cellStyle name="Zaph Call 11pt" xfId="1928" xr:uid="{00000000-0005-0000-0000-00008F070000}"/>
    <cellStyle name="ﾊﾟｰｾﾝﾄ1桁" xfId="1929" xr:uid="{00000000-0005-0000-0000-000090070000}"/>
    <cellStyle name="쬞\?1@" xfId="1930" xr:uid="{00000000-0005-0000-0000-000091070000}"/>
    <cellStyle name="콤마 [0]_#3이설 견적_준공내역총괄표 " xfId="1931" xr:uid="{00000000-0005-0000-0000-000092070000}"/>
    <cellStyle name="콤마_#3이설 견적_준공내역총괄표 " xfId="1932" xr:uid="{00000000-0005-0000-0000-000093070000}"/>
    <cellStyle name="표준_SEC001024" xfId="1933" xr:uid="{00000000-0005-0000-0000-000094070000}"/>
    <cellStyle name="一般_法人 (1q)" xfId="1934" xr:uid="{00000000-0005-0000-0000-000095070000}"/>
    <cellStyle name="入力欄" xfId="1935" xr:uid="{00000000-0005-0000-0000-000096070000}"/>
    <cellStyle name="区切無し" xfId="1936" xr:uid="{00000000-0005-0000-0000-000097070000}"/>
    <cellStyle name="小数１桁" xfId="1937" xr:uid="{00000000-0005-0000-0000-000098070000}"/>
    <cellStyle name="小数２桁" xfId="1938" xr:uid="{00000000-0005-0000-0000-000099070000}"/>
    <cellStyle name="桁区切り [0.0]" xfId="1939" xr:uid="{00000000-0005-0000-0000-00009A070000}"/>
    <cellStyle name="標準_9064DT" xfId="1940" xr:uid="{00000000-0005-0000-0000-00009B070000}"/>
  </cellStyles>
  <dxfs count="0"/>
  <tableStyles count="0" defaultTableStyle="TableStyleMedium2" defaultPivotStyle="PivotStyleLight16"/>
  <colors>
    <mruColors>
      <color rgb="FF0000FF"/>
      <color rgb="FF006600"/>
      <color rgb="FFFF33CC"/>
      <color rgb="FFFF0000"/>
      <color rgb="FFFF6699"/>
      <color rgb="FFFF5D5D"/>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3" Type="http://schemas.openxmlformats.org/officeDocument/2006/relationships/worksheet" Target="worksheets/sheet3.xml"/><Relationship Id="rId21"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externalLink" Target="externalLinks/externalLink13.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styles" Target="styles.xml"/><Relationship Id="rId8"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933451</xdr:colOff>
      <xdr:row>0</xdr:row>
      <xdr:rowOff>161925</xdr:rowOff>
    </xdr:from>
    <xdr:to>
      <xdr:col>1</xdr:col>
      <xdr:colOff>2458313</xdr:colOff>
      <xdr:row>1</xdr:row>
      <xdr:rowOff>77787</xdr:rowOff>
    </xdr:to>
    <xdr:pic>
      <xdr:nvPicPr>
        <xdr:cNvPr id="3" name="Picture 2" descr="Image result for wix logo">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4601" y="161925"/>
          <a:ext cx="1535022" cy="33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438150</xdr:colOff>
      <xdr:row>1</xdr:row>
      <xdr:rowOff>9525</xdr:rowOff>
    </xdr:from>
    <xdr:to>
      <xdr:col>1</xdr:col>
      <xdr:colOff>1972537</xdr:colOff>
      <xdr:row>3</xdr:row>
      <xdr:rowOff>19685</xdr:rowOff>
    </xdr:to>
    <xdr:pic>
      <xdr:nvPicPr>
        <xdr:cNvPr id="2" name="Picture 1" descr="Image result for wix logo">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0" y="171450"/>
          <a:ext cx="1538197"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1828800</xdr:colOff>
      <xdr:row>0</xdr:row>
      <xdr:rowOff>152400</xdr:rowOff>
    </xdr:from>
    <xdr:to>
      <xdr:col>1</xdr:col>
      <xdr:colOff>3378427</xdr:colOff>
      <xdr:row>3</xdr:row>
      <xdr:rowOff>31115</xdr:rowOff>
    </xdr:to>
    <xdr:pic>
      <xdr:nvPicPr>
        <xdr:cNvPr id="2" name="Picture 1" descr="Image result for wix logo">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8400" y="152400"/>
          <a:ext cx="1538197"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msfsds02\USERS\zoetek\My%20Documents\modellen\grolsch2.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Startup" Target="TECH/INTERNET/MODELS/PCLN_model%20new.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Startup" Target="TECH/INTERNET/MODELS/GOOG_model.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Startup" Target="TECH/INTERNET/COMPANIES/AMZN/analyses/AMZN%20-%20model%20outputs.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Startup" Target="TECH/INTERNET/MODELS/MM_model.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NA/NABO/SF/lib/IBD/TECHIBD/COMPANY/Uber/2018/Project%20Liberty/Presentations/Valmat%20Update/Excel/Internet%20Comps%20Shell_vCurrent.xlsm" TargetMode="External"/><Relationship Id="rId1" Type="http://schemas.openxmlformats.org/officeDocument/2006/relationships/externalLinkPath" Target="/NA/NABO/SF/lib/IBD/TECHIBD/COMPANY/Uber/2018/Project%20Liberty/Presentations/Valmat%20Update/Excel/Internet%20Comps%20Shell_vCurrent.xlsm"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Startup" Target="TECH/INTERNET/COMPANIES/GRUB/Initiation/Other%20Charts.xlsm"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EU/LN/LIB/ibd/projects/r/ROCK_WGD9010/IBD/5.%20Analysis/1.%20LBO%20Model/170405%20Rock%20-%20LBO%20Model%20v121.xlsm" TargetMode="External"/><Relationship Id="rId1" Type="http://schemas.openxmlformats.org/officeDocument/2006/relationships/externalLinkPath" Target="/EU/LN/LIB/ibd/projects/r/ROCK_WGD9010/IBD/5.%20Analysis/1.%20LBO%20Model/170405%20Rock%20-%20LBO%20Model%20v121.xlsm"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NA/NABO/SF/lib/IBD/TECHIBD/COMPANY/Uber/2018/Project%20Liberty/Presentations/Valmat%20Update/Excel/Val%20Mat%20vCurrent%20v04.22.2019_v1.xlsm" TargetMode="External"/><Relationship Id="rId1" Type="http://schemas.openxmlformats.org/officeDocument/2006/relationships/externalLinkPath" Target="/NA/NABO/SF/lib/IBD/TECHIBD/COMPANY/Uber/2018/Project%20Liberty/Presentations/Valmat%20Update/Excel/Val%20Mat%20vCurrent%20v04.22.2019_v1.xlsm"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NA/NABO/SF/lib/IBD/TECHIBD/COMPANY/Uber/2018/Project%20Liberty/Presentations/RSUs/RSU%20Model_v11.xlsx" TargetMode="External"/><Relationship Id="rId1" Type="http://schemas.openxmlformats.org/officeDocument/2006/relationships/externalLinkPath" Target="/NA/NABO/SF/lib/IBD/TECHIBD/COMPANY/Uber/2018/Project%20Liberty/Presentations/RSUs/RSU%20Model_v1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msfsds02\USERS\ZoeteK\My%20Documents\modellen\Heineken_Data%20Linker.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lbergen/Downloads/Uber%20Operating%20Model%20-%20Master%20(1).xlsx" TargetMode="External"/><Relationship Id="rId1" Type="http://schemas.openxmlformats.org/officeDocument/2006/relationships/externalLinkPath" Target="/Users/lbergen/Downloads/Uber%20Operating%20Model%20-%20Master%20(1).xlsx"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c1"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Configuration%20Control/Rabobank/Securities/Insight/BC_Grolsch.xls" TargetMode="External"/><Relationship Id="rId1" Type="http://schemas.openxmlformats.org/officeDocument/2006/relationships/externalLinkPath" Target="/Configuration%20Control/Rabobank/Securities/Insight/BC_Grolsch.xls" TargetMode="External"/></Relationships>
</file>

<file path=xl/externalLinks/_rels/externalLink15.xml.rels><?xml version="1.0" encoding="UTF-8" standalone="yes"?>
<Relationships xmlns="http://schemas.openxmlformats.org/package/2006/relationships"><Relationship Id="rId2" Type="http://schemas.microsoft.com/office/2019/04/relationships/xlExternalLinkLongPath/xlStartup" Target="Documents%20and%20Settings/kazo/Local%20Settings/Temporary%20Internet%20Files/OLK74/Weekly%20Exec%20Meeting/Sept%2030%20Meeting/Weekly%20Exec%20Meeting/Financial%20Reporting/Final%202005%20Plan/Final%202005%20Pla?5B2EE7F7" TargetMode="External"/><Relationship Id="rId1" Type="http://schemas.openxmlformats.org/officeDocument/2006/relationships/externalLinkPath" Target="file:///\\5B2EE7F7\Final%202005%20Pla"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Research/Food/Food%20retail/Rob/2004-09-24%20PROQ%20Food.xls" TargetMode="External"/><Relationship Id="rId1" Type="http://schemas.openxmlformats.org/officeDocument/2006/relationships/externalLinkPath" Target="/Research/Food/Food%20retail/Rob/2004-09-24%20PROQ%20Food.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Chart%20in%20Microsoft%20PowerPoint"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TECHIBD/COMPANY/Xiaoju/2017/Barcelona%20Model/(8.20.17)%20Barcelona%20Model%20vCurrent.xlsm" TargetMode="External"/><Relationship Id="rId1" Type="http://schemas.openxmlformats.org/officeDocument/2006/relationships/externalLinkPath" Target="/TECHIBD/COMPANY/Xiaoju/2017/Barcelona%20Model/(8.20.17)%20Barcelona%20Model%20vCurrent.xlsm"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techno" TargetMode="External"/></Relationships>
</file>

<file path=xl/externalLinks/_rels/externalLink20.xml.rels><?xml version="1.0" encoding="UTF-8" standalone="yes"?>
<Relationships xmlns="http://schemas.openxmlformats.org/package/2006/relationships"><Relationship Id="rId2" Type="http://schemas.microsoft.com/office/2019/04/relationships/xlExternalLinkLongPath/xlStartup" Target="Documents%20and%20Settings/kazo/Local%20Settings/Temporary%20Internet%20Files/OLK74/Reply%20Financial%20Model%20FY06-FY10%20(Kaz)/Reply.com%202006%20-%202010%20Plan%20(v.19.01)%20for%20BOD%20Jan-06.xls?A99726EA" TargetMode="External"/><Relationship Id="rId1" Type="http://schemas.openxmlformats.org/officeDocument/2006/relationships/externalLinkPath" Target="file:///\\A99726EA\Reply.com%202006%20-%202010%20Plan%20(v.19.01)%20for%20BOD%20Jan-06.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msfsds02\USERS\Research\Equity_Research\historische%20gemiddelde%20koerse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chart"/>
      <sheetName val="plakpag1"/>
      <sheetName val="per capita"/>
      <sheetName val="eu"/>
      <sheetName val="data beer"/>
      <sheetName val="preview_KZ"/>
      <sheetName val="simulatie"/>
      <sheetName val="HY_results"/>
      <sheetName val="Back"/>
      <sheetName val="Front"/>
      <sheetName val="DCF"/>
      <sheetName val="valuation"/>
      <sheetName val="peers"/>
      <sheetName val="nieuws"/>
      <sheetName val="tekst"/>
      <sheetName val="grafieken ed"/>
      <sheetName val="C_sales_landen"/>
      <sheetName val="VALUE2_1.XLS"/>
      <sheetName val="Sheet1"/>
    </sheetNames>
    <sheetDataSet>
      <sheetData sheetId="0"/>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row r="1">
          <cell r="A1" t="str">
            <v>Company</v>
          </cell>
          <cell r="B1">
            <v>38565.607738657411</v>
          </cell>
          <cell r="D1" t="str">
            <v>For an in-depth study:</v>
          </cell>
          <cell r="F1" t="str">
            <v>page 1  =  A 643 - J 710</v>
          </cell>
          <cell r="H1" t="str">
            <v>For an up-date:   page 1  =  A 763 - J 833</v>
          </cell>
        </row>
        <row r="2">
          <cell r="A2" t="str">
            <v>Version</v>
          </cell>
          <cell r="B2">
            <v>38565.607738657411</v>
          </cell>
          <cell r="F2" t="str">
            <v>page 2  =  A 714 - J 787</v>
          </cell>
          <cell r="I2" t="str">
            <v xml:space="preserve"> Front-page = A 837 - E 866</v>
          </cell>
        </row>
        <row r="3">
          <cell r="F3" t="str">
            <v>page 3  =  A 791 - J 863</v>
          </cell>
        </row>
        <row r="4">
          <cell r="A4" t="str">
            <v>Last historical year:</v>
          </cell>
          <cell r="B4">
            <v>2003</v>
          </cell>
          <cell r="F4" t="str">
            <v>page 4  =  A 443 - J 510</v>
          </cell>
          <cell r="H4" t="str">
            <v>For the Monthly:  page 1  =  A 870 - J 902</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A6" t="str">
            <v>(EUR in mln)</v>
          </cell>
          <cell r="C6">
            <v>1994</v>
          </cell>
          <cell r="D6">
            <v>1995</v>
          </cell>
          <cell r="E6">
            <v>1996</v>
          </cell>
          <cell r="F6">
            <v>1997</v>
          </cell>
          <cell r="G6">
            <v>1998</v>
          </cell>
          <cell r="H6">
            <v>1999</v>
          </cell>
          <cell r="I6">
            <v>2000</v>
          </cell>
          <cell r="J6">
            <v>2001</v>
          </cell>
          <cell r="K6">
            <v>2002</v>
          </cell>
          <cell r="L6">
            <v>2003</v>
          </cell>
          <cell r="M6">
            <v>2004</v>
          </cell>
          <cell r="N6">
            <v>2005</v>
          </cell>
          <cell r="O6">
            <v>2006</v>
          </cell>
          <cell r="P6">
            <v>2007</v>
          </cell>
          <cell r="Q6">
            <v>2008</v>
          </cell>
          <cell r="R6">
            <v>2009</v>
          </cell>
          <cell r="S6">
            <v>2010</v>
          </cell>
          <cell r="T6">
            <v>2011</v>
          </cell>
          <cell r="U6">
            <v>2012</v>
          </cell>
          <cell r="V6">
            <v>2013</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9">
          <cell r="A9" t="str">
            <v>Group Sales</v>
          </cell>
        </row>
        <row r="10">
          <cell r="A10" t="str">
            <v>Cost of Goods Sold</v>
          </cell>
        </row>
        <row r="11">
          <cell r="A11" t="str">
            <v>Selling, Gen &amp; Admin Expenses</v>
          </cell>
        </row>
        <row r="12">
          <cell r="A12" t="str">
            <v>Depreciation Expense</v>
          </cell>
        </row>
        <row r="13">
          <cell r="A13" t="str">
            <v>Exceptionals</v>
          </cell>
        </row>
        <row r="14">
          <cell r="A14" t="str">
            <v>Other Oper Income/Expense</v>
          </cell>
        </row>
        <row r="16">
          <cell r="A16" t="str">
            <v>EBITDA</v>
          </cell>
        </row>
        <row r="17">
          <cell r="A17" t="str">
            <v>Operating Income (EBITA)</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 (b.e.i.)</v>
          </cell>
        </row>
        <row r="29">
          <cell r="A29" t="str">
            <v>Extraordinary Items</v>
          </cell>
        </row>
        <row r="31">
          <cell r="A31" t="str">
            <v>Net Income</v>
          </cell>
        </row>
        <row r="32">
          <cell r="A32" t="str">
            <v>Preferred Dividends</v>
          </cell>
        </row>
        <row r="33">
          <cell r="A33" t="str">
            <v>Net Income avaliable to ordinary shareholders</v>
          </cell>
        </row>
        <row r="34">
          <cell r="A34" t="str">
            <v>Income Before Extra Items and Amoritization (b.e.i.a)</v>
          </cell>
        </row>
        <row r="36">
          <cell r="A36" t="str">
            <v>Statement of Retained Earnings</v>
          </cell>
        </row>
        <row r="37">
          <cell r="A37" t="str">
            <v>-</v>
          </cell>
          <cell r="B37" t="str">
            <v>-</v>
          </cell>
        </row>
        <row r="38">
          <cell r="A38" t="str">
            <v>Beginning Ret Earnings</v>
          </cell>
        </row>
        <row r="39">
          <cell r="A39" t="str">
            <v>Net Income</v>
          </cell>
        </row>
        <row r="40">
          <cell r="A40" t="str">
            <v>Common Dividends</v>
          </cell>
        </row>
        <row r="41">
          <cell r="A41" t="str">
            <v>Preferred Dividends</v>
          </cell>
        </row>
        <row r="42">
          <cell r="A42" t="str">
            <v>Adj to Retained Earnings</v>
          </cell>
        </row>
        <row r="44">
          <cell r="A44" t="str">
            <v>Ending Ret Earnings</v>
          </cell>
        </row>
        <row r="47">
          <cell r="A47" t="str">
            <v>Off Balance Sheet Items</v>
          </cell>
        </row>
        <row r="48">
          <cell r="A48" t="str">
            <v>-</v>
          </cell>
          <cell r="B48" t="str">
            <v>-----------</v>
          </cell>
        </row>
        <row r="49">
          <cell r="A49" t="str">
            <v>Cap Value of Operating Leases</v>
          </cell>
        </row>
        <row r="50">
          <cell r="A50" t="str">
            <v>Gross Goodwill</v>
          </cell>
        </row>
        <row r="51">
          <cell r="A51" t="str">
            <v>Interest Rate on Operating Leases</v>
          </cell>
        </row>
        <row r="52">
          <cell r="A52" t="str">
            <v>Interest Rate on Retmnt Rel Liab</v>
          </cell>
        </row>
        <row r="53">
          <cell r="A53" t="str">
            <v>Marginal Tax Rate</v>
          </cell>
        </row>
        <row r="54">
          <cell r="A54" t="str">
            <v>Cost of Equity</v>
          </cell>
        </row>
        <row r="55">
          <cell r="A55" t="str">
            <v>-% Weight Equity</v>
          </cell>
        </row>
        <row r="56">
          <cell r="A56" t="str">
            <v>Cost of Debt before Taxes</v>
          </cell>
        </row>
        <row r="57">
          <cell r="A57" t="str">
            <v>-% Weight Debt</v>
          </cell>
        </row>
        <row r="58">
          <cell r="A58" t="str">
            <v>Cost of Debt after Taxes</v>
          </cell>
        </row>
        <row r="59">
          <cell r="A59" t="str">
            <v>Wght Avg Cost of Capital</v>
          </cell>
        </row>
        <row r="61">
          <cell r="A61" t="str">
            <v>aex</v>
          </cell>
        </row>
        <row r="62">
          <cell r="A62" t="str">
            <v>Share Prices</v>
          </cell>
        </row>
        <row r="63">
          <cell r="A63" t="str">
            <v>Share Price (BY)</v>
          </cell>
        </row>
        <row r="64">
          <cell r="A64" t="str">
            <v>See Spread-sheet: "Juus/Excel/Inleesgegevens" for links.</v>
          </cell>
        </row>
        <row r="67">
          <cell r="A67" t="str">
            <v>Balance Sheet</v>
          </cell>
        </row>
        <row r="68">
          <cell r="A68" t="str">
            <v>-</v>
          </cell>
          <cell r="B68" t="str">
            <v>-</v>
          </cell>
        </row>
        <row r="69">
          <cell r="A69" t="str">
            <v>Operating Cash (2% of net sales)</v>
          </cell>
        </row>
        <row r="70">
          <cell r="A70" t="str">
            <v>Excess Marketable Securities</v>
          </cell>
        </row>
        <row r="71">
          <cell r="A71" t="str">
            <v>Accounts Receivable</v>
          </cell>
        </row>
        <row r="72">
          <cell r="A72" t="str">
            <v>Inventories</v>
          </cell>
        </row>
        <row r="73">
          <cell r="A73" t="str">
            <v>Other Current Assets</v>
          </cell>
        </row>
        <row r="75">
          <cell r="A75" t="str">
            <v>Total Current Assets</v>
          </cell>
        </row>
        <row r="77">
          <cell r="A77" t="str">
            <v>Gross Prop Plant Equip</v>
          </cell>
        </row>
        <row r="78">
          <cell r="A78" t="str">
            <v>Accum. Depreciation</v>
          </cell>
        </row>
        <row r="80">
          <cell r="A80" t="str">
            <v>Net Property Plant and Equip</v>
          </cell>
        </row>
        <row r="82">
          <cell r="A82" t="str">
            <v>Goodwill</v>
          </cell>
        </row>
        <row r="83">
          <cell r="A83" t="str">
            <v xml:space="preserve">Other Operating Assets </v>
          </cell>
        </row>
        <row r="84">
          <cell r="A84" t="str">
            <v>Investments &amp; Advances</v>
          </cell>
        </row>
        <row r="85">
          <cell r="A85" t="str">
            <v>Other Non-op Assets</v>
          </cell>
        </row>
        <row r="87">
          <cell r="A87" t="str">
            <v>Total Assets</v>
          </cell>
        </row>
        <row r="90">
          <cell r="A90" t="str">
            <v>Short Term Debt</v>
          </cell>
        </row>
        <row r="91">
          <cell r="A91" t="str">
            <v>Accounts Payable</v>
          </cell>
        </row>
        <row r="92">
          <cell r="A92" t="str">
            <v>Other Current Liabilities</v>
          </cell>
        </row>
        <row r="94">
          <cell r="A94" t="str">
            <v>Total Current Liabilities</v>
          </cell>
        </row>
        <row r="96">
          <cell r="A96" t="str">
            <v>Long Term Debt</v>
          </cell>
        </row>
        <row r="97">
          <cell r="A97" t="str">
            <v>New Long-term Debt</v>
          </cell>
        </row>
        <row r="98">
          <cell r="A98" t="str">
            <v>Deferred Income Taxes</v>
          </cell>
        </row>
        <row r="99">
          <cell r="A99" t="str">
            <v>Other Provisions</v>
          </cell>
        </row>
        <row r="100">
          <cell r="A100" t="str">
            <v>Retirement Related Liabilities</v>
          </cell>
        </row>
        <row r="101">
          <cell r="A101" t="str">
            <v>Minority Interest</v>
          </cell>
        </row>
        <row r="102">
          <cell r="A102" t="str">
            <v>Preferred Stock</v>
          </cell>
        </row>
        <row r="104">
          <cell r="A104" t="str">
            <v>Common Stock &amp; Paid-in Capital</v>
          </cell>
        </row>
        <row r="105">
          <cell r="A105" t="str">
            <v>Retained Earnings</v>
          </cell>
        </row>
        <row r="106">
          <cell r="A106" t="str">
            <v>Treasury Stock</v>
          </cell>
        </row>
        <row r="107">
          <cell r="A107" t="str">
            <v>Cumulative Trans and Other Adj</v>
          </cell>
        </row>
        <row r="109">
          <cell r="A109" t="str">
            <v>Total Common Equity</v>
          </cell>
        </row>
        <row r="111">
          <cell r="A111" t="str">
            <v>Total Liabs and Equity</v>
          </cell>
        </row>
        <row r="113">
          <cell r="A113" t="str">
            <v>Assets - (Liabilities + Equity)</v>
          </cell>
        </row>
        <row r="114">
          <cell r="A114" t="str">
            <v>Net debt</v>
          </cell>
        </row>
        <row r="115">
          <cell r="A115" t="str">
            <v>NOPLAT</v>
          </cell>
        </row>
        <row r="116">
          <cell r="A116" t="str">
            <v>-</v>
          </cell>
          <cell r="B116" t="str">
            <v>-</v>
          </cell>
        </row>
        <row r="117">
          <cell r="A117" t="str">
            <v>Net Sales</v>
          </cell>
        </row>
        <row r="118">
          <cell r="A118" t="str">
            <v>Cost of Goods Sold</v>
          </cell>
        </row>
        <row r="119">
          <cell r="A119" t="str">
            <v>Selling, Gen &amp; Admin Expenses</v>
          </cell>
        </row>
        <row r="120">
          <cell r="A120" t="str">
            <v>Depreciation Expense</v>
          </cell>
        </row>
        <row r="121">
          <cell r="A121" t="str">
            <v>Exceptionals</v>
          </cell>
        </row>
        <row r="122">
          <cell r="A122" t="str">
            <v>Other Oper Income/Expense</v>
          </cell>
        </row>
        <row r="123">
          <cell r="A123" t="str">
            <v>Change in Other Provisions</v>
          </cell>
        </row>
        <row r="124">
          <cell r="A124" t="str">
            <v>Adj for Operating Leases</v>
          </cell>
        </row>
        <row r="125">
          <cell r="A125" t="str">
            <v>Adj for Ret Rel Liab</v>
          </cell>
        </row>
        <row r="127">
          <cell r="A127" t="str">
            <v>EBITA</v>
          </cell>
        </row>
        <row r="128">
          <cell r="A128" t="str">
            <v>Taxes on EBITA</v>
          </cell>
        </row>
        <row r="129">
          <cell r="A129" t="str">
            <v>Change in Deferred Taxes</v>
          </cell>
        </row>
        <row r="131">
          <cell r="A131" t="str">
            <v>NOPLAT</v>
          </cell>
        </row>
        <row r="133">
          <cell r="A133" t="str">
            <v>Taxes on EBITA</v>
          </cell>
        </row>
        <row r="134">
          <cell r="A134" t="str">
            <v>-</v>
          </cell>
          <cell r="B134" t="str">
            <v>-</v>
          </cell>
        </row>
        <row r="135">
          <cell r="A135" t="str">
            <v xml:space="preserve">Prov for Inc Taxes </v>
          </cell>
        </row>
        <row r="136">
          <cell r="A136" t="str">
            <v>Tax Shield on Interest Exp</v>
          </cell>
        </row>
        <row r="137">
          <cell r="A137" t="str">
            <v>Tax Shield on Oper Lease Interest</v>
          </cell>
        </row>
        <row r="138">
          <cell r="A138" t="str">
            <v>Tax Shield on Ret Rel Liab Interest</v>
          </cell>
        </row>
        <row r="139">
          <cell r="A139" t="str">
            <v>Tax on Interest Income</v>
          </cell>
        </row>
        <row r="140">
          <cell r="A140" t="str">
            <v>Tax on Nonoperating Income</v>
          </cell>
        </row>
        <row r="142">
          <cell r="A142" t="str">
            <v>Taxes on EBITA</v>
          </cell>
        </row>
        <row r="144">
          <cell r="A144" t="str">
            <v>Reconciliation to Net Income</v>
          </cell>
        </row>
        <row r="145">
          <cell r="A145" t="str">
            <v>-</v>
          </cell>
          <cell r="B145" t="str">
            <v>-</v>
          </cell>
        </row>
        <row r="146">
          <cell r="A146" t="str">
            <v>Net Income</v>
          </cell>
        </row>
        <row r="147">
          <cell r="A147" t="str">
            <v>Add: Increase in Deferred Taxes</v>
          </cell>
        </row>
        <row r="148">
          <cell r="A148" t="str">
            <v>Add: Goodwill Amortization</v>
          </cell>
        </row>
        <row r="149">
          <cell r="A149" t="str">
            <v>Add: Extraordinary Items</v>
          </cell>
        </row>
        <row r="150">
          <cell r="A150" t="str">
            <v>Add: Special Items After Tax</v>
          </cell>
        </row>
        <row r="151">
          <cell r="A151" t="str">
            <v>Add: Minority Interest</v>
          </cell>
        </row>
        <row r="153">
          <cell r="A153" t="str">
            <v>Adjusted Net Income</v>
          </cell>
        </row>
        <row r="154">
          <cell r="A154" t="str">
            <v>Add: Interest Expense After Tax</v>
          </cell>
        </row>
        <row r="155">
          <cell r="A155" t="str">
            <v>Add: Change in Other Provisions</v>
          </cell>
        </row>
        <row r="156">
          <cell r="A156" t="str">
            <v>Add: Interest Expense on Oper Leases</v>
          </cell>
        </row>
        <row r="157">
          <cell r="A157" t="str">
            <v>Add: Interest Expense on Ret Rel Liab</v>
          </cell>
        </row>
        <row r="159">
          <cell r="A159" t="str">
            <v>Total Income Avail to Investors</v>
          </cell>
        </row>
        <row r="160">
          <cell r="A160" t="str">
            <v>Less: Interest Income After-Tax</v>
          </cell>
        </row>
        <row r="161">
          <cell r="A161" t="str">
            <v>Less: Nonoperating Income After Tax</v>
          </cell>
        </row>
        <row r="163">
          <cell r="A163" t="str">
            <v>NOPLAT</v>
          </cell>
        </row>
        <row r="165">
          <cell r="A165" t="str">
            <v>check</v>
          </cell>
        </row>
        <row r="167">
          <cell r="A167" t="str">
            <v>Per Share Data</v>
          </cell>
        </row>
        <row r="168">
          <cell r="A168" t="str">
            <v>-</v>
          </cell>
          <cell r="B168" t="str">
            <v>-</v>
          </cell>
        </row>
        <row r="169">
          <cell r="A169" t="str">
            <v>End of Year Number of Shares</v>
          </cell>
        </row>
        <row r="170">
          <cell r="A170" t="str">
            <v>Average Number of Shares</v>
          </cell>
        </row>
        <row r="172">
          <cell r="A172" t="str">
            <v>Net Income per Share</v>
          </cell>
        </row>
        <row r="173">
          <cell r="A173" t="str">
            <v>Net Income per Share Growth</v>
          </cell>
        </row>
        <row r="174">
          <cell r="A174" t="str">
            <v>Price Earnings Ratio</v>
          </cell>
        </row>
        <row r="175">
          <cell r="A175" t="str">
            <v>Income b.e.i.a. per Share</v>
          </cell>
        </row>
        <row r="176">
          <cell r="A176" t="str">
            <v>Income b.e.i.a per Share Growth</v>
          </cell>
        </row>
        <row r="177">
          <cell r="A177" t="str">
            <v xml:space="preserve">Price Earnings b.e.i.a. Ratio </v>
          </cell>
        </row>
        <row r="178">
          <cell r="A178" t="str">
            <v>Cash Flow b.e.i. per Share</v>
          </cell>
        </row>
        <row r="179">
          <cell r="A179" t="str">
            <v>Cash Flow b.e.i. p. S. Growth</v>
          </cell>
        </row>
        <row r="180">
          <cell r="A180" t="str">
            <v>Price CF b.e.i. Ratio</v>
          </cell>
        </row>
        <row r="181">
          <cell r="A181" t="str">
            <v>Dividend per Share</v>
          </cell>
        </row>
        <row r="182">
          <cell r="A182" t="str">
            <v>Dividend per Share Growth</v>
          </cell>
        </row>
        <row r="183">
          <cell r="A183" t="str">
            <v>Dividend Yield</v>
          </cell>
        </row>
        <row r="184">
          <cell r="A184" t="str">
            <v>Dividend Payout Ratio</v>
          </cell>
        </row>
        <row r="185">
          <cell r="A185" t="str">
            <v>EBITA per Share</v>
          </cell>
        </row>
        <row r="186">
          <cell r="A186" t="str">
            <v>EBITDA per Share</v>
          </cell>
        </row>
        <row r="189">
          <cell r="A189" t="str">
            <v>Invested Capital</v>
          </cell>
        </row>
        <row r="190">
          <cell r="A190" t="str">
            <v>-</v>
          </cell>
          <cell r="B190" t="str">
            <v>-</v>
          </cell>
        </row>
        <row r="191">
          <cell r="A191" t="str">
            <v>Operating Current Assets</v>
          </cell>
        </row>
        <row r="192">
          <cell r="A192" t="str">
            <v>Non-interest Bearing Liabilties</v>
          </cell>
        </row>
        <row r="194">
          <cell r="A194" t="str">
            <v>Operating Working Capital</v>
          </cell>
        </row>
        <row r="196">
          <cell r="A196" t="str">
            <v>Net Property Plant and Equipment</v>
          </cell>
        </row>
        <row r="197">
          <cell r="A197" t="str">
            <v>Other Operating Assets</v>
          </cell>
        </row>
        <row r="198">
          <cell r="A198" t="str">
            <v>Value of Operating Leases</v>
          </cell>
        </row>
        <row r="200">
          <cell r="A200" t="str">
            <v>Operating Invested Capital</v>
          </cell>
        </row>
        <row r="203">
          <cell r="A203" t="str">
            <v>Excess Marketable Securities</v>
          </cell>
        </row>
        <row r="204">
          <cell r="A204" t="str">
            <v>Gross goodwill</v>
          </cell>
        </row>
        <row r="205">
          <cell r="A205" t="str">
            <v>Investments &amp; Advances</v>
          </cell>
        </row>
        <row r="206">
          <cell r="A206" t="str">
            <v>Non-operating Assets</v>
          </cell>
        </row>
        <row r="208">
          <cell r="A208" t="str">
            <v>Total Investor Funds</v>
          </cell>
        </row>
        <row r="212">
          <cell r="A212" t="str">
            <v>Equity</v>
          </cell>
        </row>
        <row r="213">
          <cell r="A213" t="str">
            <v>Gross Goodwill Amort</v>
          </cell>
        </row>
        <row r="214">
          <cell r="A214" t="str">
            <v>Other Provisions</v>
          </cell>
        </row>
        <row r="215">
          <cell r="A215" t="str">
            <v>Deferred Income Taxes</v>
          </cell>
        </row>
        <row r="217">
          <cell r="A217" t="str">
            <v>Adjusted Equity</v>
          </cell>
        </row>
        <row r="218">
          <cell r="A218" t="str">
            <v>Interest Bearing Debt</v>
          </cell>
        </row>
        <row r="219">
          <cell r="A219" t="str">
            <v>Value of Operating Leases</v>
          </cell>
        </row>
        <row r="220">
          <cell r="A220" t="str">
            <v>Retirement Rel Liab</v>
          </cell>
        </row>
        <row r="222">
          <cell r="A222" t="str">
            <v>Total Investor Funds</v>
          </cell>
        </row>
        <row r="224">
          <cell r="A224" t="str">
            <v>check</v>
          </cell>
        </row>
        <row r="226">
          <cell r="A226" t="str">
            <v>Free Cash Flow</v>
          </cell>
        </row>
        <row r="227">
          <cell r="A227" t="str">
            <v>-</v>
          </cell>
          <cell r="B227" t="str">
            <v>-</v>
          </cell>
        </row>
        <row r="228">
          <cell r="A228" t="str">
            <v>EBITA</v>
          </cell>
        </row>
        <row r="229">
          <cell r="A229" t="str">
            <v>Taxes on EBITA</v>
          </cell>
        </row>
        <row r="230">
          <cell r="A230" t="str">
            <v>Change in Def Taxes</v>
          </cell>
        </row>
        <row r="232">
          <cell r="A232" t="str">
            <v>NOPLAT</v>
          </cell>
        </row>
        <row r="233">
          <cell r="A233" t="str">
            <v>Depreciation</v>
          </cell>
        </row>
        <row r="235">
          <cell r="A235" t="str">
            <v>Gross Cash Flow</v>
          </cell>
        </row>
        <row r="237">
          <cell r="A237" t="str">
            <v>Increase in Working Capital</v>
          </cell>
        </row>
        <row r="238">
          <cell r="A238" t="str">
            <v>Capital Expenditures (net of disposals)</v>
          </cell>
        </row>
        <row r="239">
          <cell r="A239" t="str">
            <v>Incr in Other Operating Assets</v>
          </cell>
        </row>
        <row r="240">
          <cell r="A240" t="str">
            <v>Inv in Operating Leases</v>
          </cell>
        </row>
        <row r="242">
          <cell r="A242" t="str">
            <v>Gross Investment</v>
          </cell>
        </row>
        <row r="244">
          <cell r="A244" t="str">
            <v>Free Cash Flow Before Goodwill</v>
          </cell>
        </row>
        <row r="245">
          <cell r="A245" t="str">
            <v>Investment in Goodwill</v>
          </cell>
        </row>
        <row r="247">
          <cell r="A247" t="str">
            <v>Free Cash Flow After Goodwill</v>
          </cell>
        </row>
        <row r="249">
          <cell r="A249" t="str">
            <v>Non-operating Cash Flow</v>
          </cell>
        </row>
        <row r="250">
          <cell r="A250" t="str">
            <v>Foreign Currency Translation Effect</v>
          </cell>
        </row>
        <row r="252">
          <cell r="A252" t="str">
            <v>Cash Flow Available to Investors</v>
          </cell>
        </row>
        <row r="254">
          <cell r="A254" t="str">
            <v>Financing Flow</v>
          </cell>
        </row>
        <row r="255">
          <cell r="A255" t="str">
            <v>-</v>
          </cell>
          <cell r="B255" t="str">
            <v>-</v>
          </cell>
        </row>
        <row r="256">
          <cell r="A256" t="str">
            <v>AT Interest Income</v>
          </cell>
        </row>
        <row r="257">
          <cell r="A257" t="str">
            <v>Incr/(Decr) Excess Mkt Sec</v>
          </cell>
        </row>
        <row r="258">
          <cell r="A258" t="str">
            <v xml:space="preserve">AT Interest Expense </v>
          </cell>
        </row>
        <row r="259">
          <cell r="A259" t="str">
            <v>Interest on Operating Leases</v>
          </cell>
        </row>
        <row r="260">
          <cell r="A260" t="str">
            <v>Interest on Retirement Rel Liab</v>
          </cell>
        </row>
        <row r="261">
          <cell r="A261" t="str">
            <v>Decr/(Incr) in Debt</v>
          </cell>
        </row>
        <row r="262">
          <cell r="A262" t="str">
            <v>Decr/(Incr) in Operating Leases</v>
          </cell>
        </row>
        <row r="263">
          <cell r="A263" t="str">
            <v>Decr/(Incr) in Ret Rel Liab</v>
          </cell>
        </row>
        <row r="264">
          <cell r="A264" t="str">
            <v>Minority Interest(IS and BS)</v>
          </cell>
        </row>
        <row r="265">
          <cell r="A265" t="str">
            <v>Common Dividends</v>
          </cell>
        </row>
        <row r="266">
          <cell r="A266" t="str">
            <v>Preferred Dividends</v>
          </cell>
        </row>
        <row r="267">
          <cell r="A267" t="str">
            <v>Decr/(Incr) in Preferred</v>
          </cell>
        </row>
        <row r="268">
          <cell r="A268" t="str">
            <v>Decr/(Incr) in Common &amp; Treas Stock</v>
          </cell>
        </row>
        <row r="270">
          <cell r="A270" t="str">
            <v>Total Financing Flow</v>
          </cell>
        </row>
        <row r="272">
          <cell r="A272" t="str">
            <v>Pre-Financing - Financing Flows</v>
          </cell>
        </row>
        <row r="274">
          <cell r="A274" t="str">
            <v>Economic Profit</v>
          </cell>
        </row>
        <row r="275">
          <cell r="A275" t="str">
            <v>-</v>
          </cell>
          <cell r="B275" t="str">
            <v>-</v>
          </cell>
        </row>
        <row r="276">
          <cell r="A276" t="str">
            <v>Return on Invested Capital *</v>
          </cell>
        </row>
        <row r="277">
          <cell r="A277" t="str">
            <v>WACC</v>
          </cell>
        </row>
        <row r="279">
          <cell r="A279" t="str">
            <v>Spread</v>
          </cell>
        </row>
        <row r="280">
          <cell r="A280" t="str">
            <v xml:space="preserve">Invested Capital (Beg of Year) * </v>
          </cell>
        </row>
        <row r="282">
          <cell r="A282" t="str">
            <v>Economic Profit</v>
          </cell>
        </row>
        <row r="283">
          <cell r="A283" t="str">
            <v>( * i.e. incl. Gross Goodwill)</v>
          </cell>
        </row>
        <row r="285">
          <cell r="A285" t="str">
            <v>NOPLAT</v>
          </cell>
        </row>
        <row r="286">
          <cell r="A286" t="str">
            <v>Capital Charge *</v>
          </cell>
        </row>
        <row r="288">
          <cell r="A288" t="str">
            <v>Economic Profit</v>
          </cell>
        </row>
        <row r="291">
          <cell r="A291" t="str">
            <v xml:space="preserve">Operating Ratios </v>
          </cell>
        </row>
        <row r="292">
          <cell r="A292" t="str">
            <v>and Forecast Assumptions</v>
          </cell>
        </row>
        <row r="293">
          <cell r="A293" t="str">
            <v>-</v>
          </cell>
          <cell r="B293" t="str">
            <v>-</v>
          </cell>
        </row>
        <row r="294">
          <cell r="A294" t="str">
            <v>Operations</v>
          </cell>
        </row>
        <row r="295">
          <cell r="A295" t="str">
            <v xml:space="preserve">  Net Sales Growth</v>
          </cell>
        </row>
        <row r="296">
          <cell r="A296" t="str">
            <v xml:space="preserve">  COGS/Net Sales</v>
          </cell>
        </row>
        <row r="297">
          <cell r="A297" t="str">
            <v xml:space="preserve">  SG&amp;A/Net Sales</v>
          </cell>
        </row>
        <row r="298">
          <cell r="A298" t="str">
            <v xml:space="preserve">  Other Oper Inc/Exp Growth</v>
          </cell>
        </row>
        <row r="299">
          <cell r="A299" t="str">
            <v xml:space="preserve">  Change in Oth. Prov./Net Sales</v>
          </cell>
        </row>
        <row r="300">
          <cell r="A300" t="str">
            <v xml:space="preserve">  Oper Lease Adj/Net Sales</v>
          </cell>
        </row>
        <row r="301">
          <cell r="A301" t="str">
            <v xml:space="preserve">  Ret Rel Liab Adj/Net Sales</v>
          </cell>
        </row>
        <row r="302">
          <cell r="A302" t="str">
            <v xml:space="preserve">  Exceptionals/Net Sales</v>
          </cell>
        </row>
        <row r="303">
          <cell r="A303" t="str">
            <v xml:space="preserve">  EBITDA Margin</v>
          </cell>
        </row>
        <row r="304">
          <cell r="A304" t="str">
            <v xml:space="preserve">  Depreciation/Net Sales</v>
          </cell>
        </row>
        <row r="305">
          <cell r="A305" t="str">
            <v xml:space="preserve">  EBITA Margin</v>
          </cell>
        </row>
        <row r="307">
          <cell r="A307" t="str">
            <v>Working Capital/Net Sales</v>
          </cell>
        </row>
        <row r="308">
          <cell r="A308" t="str">
            <v xml:space="preserve">  Operating Cash</v>
          </cell>
        </row>
        <row r="309">
          <cell r="A309" t="str">
            <v xml:space="preserve">  Accounts Receivable</v>
          </cell>
        </row>
        <row r="310">
          <cell r="A310" t="str">
            <v xml:space="preserve">  Inventories</v>
          </cell>
        </row>
        <row r="311">
          <cell r="A311" t="str">
            <v xml:space="preserve">  Other Current Assets</v>
          </cell>
        </row>
        <row r="312">
          <cell r="A312" t="str">
            <v xml:space="preserve">  Accounts Payable</v>
          </cell>
        </row>
        <row r="313">
          <cell r="A313" t="str">
            <v xml:space="preserve">  Other Current Liabilities</v>
          </cell>
        </row>
        <row r="314">
          <cell r="A314" t="str">
            <v xml:space="preserve">  Net Working Capital</v>
          </cell>
        </row>
        <row r="316">
          <cell r="A316" t="str">
            <v>Prop Plant Equip</v>
          </cell>
        </row>
        <row r="317">
          <cell r="A317" t="str">
            <v>Input Values:</v>
          </cell>
        </row>
        <row r="318">
          <cell r="A318" t="str">
            <v xml:space="preserve">  CapX/Revs (Input, Mode 1)</v>
          </cell>
        </row>
        <row r="319">
          <cell r="A319" t="str">
            <v xml:space="preserve">  NPPE/Revs (Input, Mode 2)</v>
          </cell>
        </row>
        <row r="320">
          <cell r="A320" t="str">
            <v xml:space="preserve">  Depr/Last Yr's GPPE</v>
          </cell>
        </row>
        <row r="321">
          <cell r="A321" t="str">
            <v xml:space="preserve">  Retirements/Last Yr's GPPE</v>
          </cell>
        </row>
        <row r="323">
          <cell r="A323" t="str">
            <v>Calculated Values:</v>
          </cell>
        </row>
        <row r="324">
          <cell r="A324" t="str">
            <v xml:space="preserve">  Gross PPE/Net Sales</v>
          </cell>
        </row>
        <row r="325">
          <cell r="A325" t="str">
            <v xml:space="preserve">  NPPE/Net Sales</v>
          </cell>
        </row>
        <row r="326">
          <cell r="A326" t="str">
            <v xml:space="preserve">  CapX/Net Sales</v>
          </cell>
        </row>
        <row r="327">
          <cell r="A327" t="str">
            <v xml:space="preserve">  Capital Expenditures</v>
          </cell>
        </row>
        <row r="328">
          <cell r="A328" t="str">
            <v xml:space="preserve">  Depreciation Expense</v>
          </cell>
        </row>
        <row r="329">
          <cell r="A329" t="str">
            <v xml:space="preserve">  Retirements</v>
          </cell>
        </row>
        <row r="331">
          <cell r="A331" t="str">
            <v>Forecast Option</v>
          </cell>
        </row>
        <row r="333">
          <cell r="A333" t="str">
            <v>Financing/Other Ratios</v>
          </cell>
        </row>
        <row r="334">
          <cell r="A334" t="str">
            <v>and Forecast Assumptions</v>
          </cell>
        </row>
        <row r="335">
          <cell r="A335" t="str">
            <v>-</v>
          </cell>
          <cell r="B335" t="str">
            <v>-</v>
          </cell>
        </row>
        <row r="336">
          <cell r="A336" t="str">
            <v>Taxes</v>
          </cell>
        </row>
        <row r="337">
          <cell r="A337" t="str">
            <v xml:space="preserve">  EBITA Tax Rate</v>
          </cell>
        </row>
        <row r="338">
          <cell r="A338" t="str">
            <v xml:space="preserve">  Marginal Tax Rate</v>
          </cell>
        </row>
        <row r="339">
          <cell r="A339" t="str">
            <v xml:space="preserve">  Incr Def Tax/Tax on EBITA</v>
          </cell>
        </row>
        <row r="340">
          <cell r="A340" t="str">
            <v xml:space="preserve"> </v>
          </cell>
        </row>
        <row r="341">
          <cell r="A341" t="str">
            <v xml:space="preserve">  Int Rate on Excess Mkt Secs</v>
          </cell>
        </row>
        <row r="342">
          <cell r="A342" t="str">
            <v xml:space="preserve">  Int Rate on Existing Debt</v>
          </cell>
        </row>
        <row r="343">
          <cell r="A343" t="str">
            <v xml:space="preserve">  Int Rate on Short-Term Debt</v>
          </cell>
        </row>
        <row r="344">
          <cell r="A344" t="str">
            <v xml:space="preserve">  Int Rate on Long-Term Debt</v>
          </cell>
        </row>
        <row r="345">
          <cell r="A345" t="str">
            <v xml:space="preserve">  Int Rate on New L-T Debt</v>
          </cell>
        </row>
        <row r="346">
          <cell r="A346" t="str">
            <v xml:space="preserve">  Dividend Payout Ratio</v>
          </cell>
        </row>
        <row r="347">
          <cell r="A347" t="str">
            <v xml:space="preserve">  Int Rate on Operating Leases</v>
          </cell>
        </row>
        <row r="348">
          <cell r="A348" t="str">
            <v xml:space="preserve">  Int Rate on Ret Rel Liab</v>
          </cell>
        </row>
        <row r="349">
          <cell r="A349" t="str">
            <v xml:space="preserve">  Cost of Equity</v>
          </cell>
        </row>
        <row r="350">
          <cell r="A350" t="str">
            <v xml:space="preserve">  -% Weight Equity</v>
          </cell>
        </row>
        <row r="351">
          <cell r="A351" t="str">
            <v xml:space="preserve">  Cost of Debt before Taxes</v>
          </cell>
        </row>
        <row r="352">
          <cell r="A352" t="str">
            <v xml:space="preserve">  -% Weight Debt</v>
          </cell>
        </row>
        <row r="353">
          <cell r="A353" t="str">
            <v xml:space="preserve">  Cost of Debt after Taxes</v>
          </cell>
        </row>
        <row r="354">
          <cell r="A354" t="str">
            <v xml:space="preserve">  Weighted Average Cost of Capital</v>
          </cell>
        </row>
        <row r="356">
          <cell r="A356" t="str">
            <v>Minority Interest</v>
          </cell>
        </row>
        <row r="357">
          <cell r="A357" t="str">
            <v xml:space="preserve">  Min Int(IS)/(Income Aft Tax)</v>
          </cell>
        </row>
        <row r="358">
          <cell r="A358" t="str">
            <v xml:space="preserve">  Minority Int Payout Ratio</v>
          </cell>
        </row>
        <row r="359">
          <cell r="A359" t="str">
            <v xml:space="preserve">  Minority Interest (BS)</v>
          </cell>
        </row>
        <row r="360">
          <cell r="A360" t="str">
            <v xml:space="preserve">  </v>
          </cell>
        </row>
        <row r="361">
          <cell r="A361" t="str">
            <v xml:space="preserve">Other Ratios </v>
          </cell>
        </row>
        <row r="362">
          <cell r="A362" t="str">
            <v xml:space="preserve">  Non-Op Income Growth</v>
          </cell>
        </row>
        <row r="363">
          <cell r="A363" t="str">
            <v xml:space="preserve">  Other Oper. Assets/Net Sales</v>
          </cell>
        </row>
        <row r="364">
          <cell r="A364" t="str">
            <v xml:space="preserve">  Inv &amp; Advances Growth Rate</v>
          </cell>
        </row>
        <row r="365">
          <cell r="A365" t="str">
            <v xml:space="preserve">  Non-Op Assets Growth Rate</v>
          </cell>
        </row>
        <row r="366">
          <cell r="A366" t="str">
            <v xml:space="preserve">  Other Provisions/Net Sales</v>
          </cell>
        </row>
        <row r="367">
          <cell r="A367" t="str">
            <v xml:space="preserve">  Cap Oper Leases/Revenues</v>
          </cell>
        </row>
        <row r="369">
          <cell r="A369" t="str">
            <v>Other Values</v>
          </cell>
        </row>
        <row r="370">
          <cell r="A370" t="str">
            <v xml:space="preserve">  Amort of Goodwill</v>
          </cell>
        </row>
        <row r="371">
          <cell r="A371" t="str">
            <v xml:space="preserve">  Special Items</v>
          </cell>
        </row>
        <row r="372">
          <cell r="A372" t="str">
            <v xml:space="preserve">  Extraordinary Items</v>
          </cell>
        </row>
        <row r="373">
          <cell r="A373" t="str">
            <v xml:space="preserve">  Short Term Debt</v>
          </cell>
        </row>
        <row r="374">
          <cell r="A374" t="str">
            <v xml:space="preserve">  Long Term Debt</v>
          </cell>
        </row>
        <row r="375">
          <cell r="A375" t="str">
            <v xml:space="preserve">  Preferred Stock</v>
          </cell>
        </row>
        <row r="376">
          <cell r="A376" t="str">
            <v xml:space="preserve">  Preferred Dividends</v>
          </cell>
        </row>
        <row r="377">
          <cell r="A377" t="str">
            <v xml:space="preserve">  Capitalized Oper Leases</v>
          </cell>
        </row>
        <row r="378">
          <cell r="A378" t="str">
            <v xml:space="preserve">  Retirement Related Liabilities</v>
          </cell>
        </row>
        <row r="380">
          <cell r="A380" t="str">
            <v>Continuing Value Parameters</v>
          </cell>
        </row>
        <row r="381">
          <cell r="A381" t="str">
            <v>-</v>
          </cell>
          <cell r="B381" t="str">
            <v>-</v>
          </cell>
        </row>
        <row r="382">
          <cell r="A382" t="str">
            <v>Return on Net New Investment</v>
          </cell>
          <cell r="B382" t="e">
            <v>#REF!</v>
          </cell>
        </row>
        <row r="383">
          <cell r="A383" t="str">
            <v>Growth in NOPLAT</v>
          </cell>
          <cell r="B383" t="e">
            <v>#REF!</v>
          </cell>
        </row>
        <row r="385">
          <cell r="A385" t="str">
            <v>Key Operating Ratios</v>
          </cell>
        </row>
        <row r="386">
          <cell r="A386" t="str">
            <v>-</v>
          </cell>
          <cell r="B386" t="str">
            <v>-</v>
          </cell>
        </row>
        <row r="387">
          <cell r="A387" t="str">
            <v>EBITA/Net Sales</v>
          </cell>
        </row>
        <row r="388">
          <cell r="A388" t="str">
            <v xml:space="preserve">  COGS/Net Sales</v>
          </cell>
        </row>
        <row r="389">
          <cell r="A389" t="str">
            <v xml:space="preserve">  SG&amp;A/Net Sales</v>
          </cell>
        </row>
        <row r="390">
          <cell r="A390" t="str">
            <v xml:space="preserve">  Depreciation/Net Sales</v>
          </cell>
        </row>
        <row r="391">
          <cell r="A391" t="str">
            <v xml:space="preserve">  Other Oper Inc/Exp/Net Sales</v>
          </cell>
        </row>
        <row r="392">
          <cell r="A392" t="str">
            <v xml:space="preserve">  Ch. In Oth. Prov./Net Sales</v>
          </cell>
        </row>
        <row r="393">
          <cell r="A393" t="str">
            <v xml:space="preserve">  Oper Lease Adj/Net Sales</v>
          </cell>
        </row>
        <row r="394">
          <cell r="A394" t="str">
            <v xml:space="preserve">  Ret Rel Liab Adj/Net Sales</v>
          </cell>
        </row>
        <row r="395">
          <cell r="A395" t="str">
            <v xml:space="preserve">  EBITA/Net Sales</v>
          </cell>
        </row>
        <row r="397">
          <cell r="A397" t="str">
            <v>Return on Invested Capital (BY)</v>
          </cell>
        </row>
        <row r="398">
          <cell r="A398" t="str">
            <v xml:space="preserve">  Net PPE/Net Sales</v>
          </cell>
        </row>
        <row r="399">
          <cell r="A399" t="str">
            <v xml:space="preserve">  Working Capital/Net Sales</v>
          </cell>
        </row>
        <row r="400">
          <cell r="A400" t="str">
            <v xml:space="preserve">  Other Oper. Assets/Net Sales</v>
          </cell>
        </row>
        <row r="401">
          <cell r="A401" t="str">
            <v xml:space="preserve">  Gross Goodwill/Net Sales</v>
          </cell>
        </row>
        <row r="402">
          <cell r="A402" t="str">
            <v xml:space="preserve">  Revenues/Oper Inv Capital</v>
          </cell>
        </row>
        <row r="403">
          <cell r="A403" t="str">
            <v xml:space="preserve">  Pre-Tax ROIC (excl. Goodwill)</v>
          </cell>
        </row>
        <row r="404">
          <cell r="A404" t="str">
            <v xml:space="preserve">  Cash Tax Rate</v>
          </cell>
        </row>
        <row r="405">
          <cell r="A405" t="str">
            <v xml:space="preserve">  After-Tax ROIC (excl. Goodwill)</v>
          </cell>
        </row>
        <row r="406">
          <cell r="A406" t="str">
            <v xml:space="preserve">  After-Tax ROIC (incl. Goodwill)</v>
          </cell>
        </row>
        <row r="408">
          <cell r="A408" t="str">
            <v>Return on Invested Cap (Avg)</v>
          </cell>
        </row>
        <row r="409">
          <cell r="A409" t="str">
            <v xml:space="preserve">  Net PPE/Net Sales</v>
          </cell>
        </row>
        <row r="410">
          <cell r="A410" t="str">
            <v xml:space="preserve">  Working Capital/Net Sales</v>
          </cell>
        </row>
        <row r="411">
          <cell r="A411" t="str">
            <v xml:space="preserve">  Other Oper. Assets/Net Sales</v>
          </cell>
        </row>
        <row r="412">
          <cell r="A412" t="str">
            <v xml:space="preserve">  Gross Goodwill/Net Sales</v>
          </cell>
        </row>
        <row r="413">
          <cell r="A413" t="str">
            <v xml:space="preserve">  Revenues/Oper Inv Capital</v>
          </cell>
        </row>
        <row r="414">
          <cell r="A414" t="str">
            <v xml:space="preserve">  Pre-Tax ROIC (excl. Goodwill)</v>
          </cell>
        </row>
        <row r="415">
          <cell r="A415" t="str">
            <v xml:space="preserve">  After-Tax ROIC (excl. Goodwill)</v>
          </cell>
        </row>
        <row r="416">
          <cell r="A416" t="str">
            <v xml:space="preserve">  After-Tax ROIC (incl. Goodwill)</v>
          </cell>
        </row>
        <row r="418">
          <cell r="A418" t="str">
            <v>Growth Rates</v>
          </cell>
        </row>
        <row r="419">
          <cell r="A419" t="str">
            <v xml:space="preserve">  Net Sales Growth Rate</v>
          </cell>
        </row>
        <row r="420">
          <cell r="A420" t="str">
            <v xml:space="preserve">  EBITA Growth Rate</v>
          </cell>
        </row>
        <row r="421">
          <cell r="A421" t="str">
            <v xml:space="preserve">  NOPLAT Growth Rate</v>
          </cell>
        </row>
        <row r="422">
          <cell r="A422" t="str">
            <v xml:space="preserve">  Operating Invested Capital Growth Rate</v>
          </cell>
        </row>
        <row r="424">
          <cell r="A424" t="str">
            <v>Investment Rates</v>
          </cell>
        </row>
        <row r="425">
          <cell r="A425" t="str">
            <v xml:space="preserve">  Gross Investment Rate</v>
          </cell>
        </row>
        <row r="426">
          <cell r="A426" t="str">
            <v xml:space="preserve">   (i.e. Gross Investment/Gross Cash Flow)</v>
          </cell>
        </row>
        <row r="427">
          <cell r="A427" t="str">
            <v xml:space="preserve">  Net Investment Rate</v>
          </cell>
        </row>
        <row r="428">
          <cell r="A428" t="str">
            <v xml:space="preserve">   (i.e. Net Investment/NOPLAT)</v>
          </cell>
        </row>
        <row r="430">
          <cell r="A430" t="str">
            <v>Financing</v>
          </cell>
        </row>
        <row r="431">
          <cell r="A431" t="str">
            <v xml:space="preserve">  Coverage (EBITA/Interest)</v>
          </cell>
        </row>
        <row r="432">
          <cell r="A432" t="str">
            <v xml:space="preserve">  Debt/Total Cap (Book)</v>
          </cell>
        </row>
        <row r="433">
          <cell r="A433" t="str">
            <v xml:space="preserve">  Average ROE</v>
          </cell>
        </row>
        <row r="435">
          <cell r="A435" t="str">
            <v>Change in Working Capital</v>
          </cell>
        </row>
        <row r="436">
          <cell r="A436" t="str">
            <v>-</v>
          </cell>
          <cell r="B436" t="str">
            <v>-</v>
          </cell>
        </row>
        <row r="437">
          <cell r="A437" t="str">
            <v>Incr in Oper Cash</v>
          </cell>
        </row>
        <row r="438">
          <cell r="A438" t="str">
            <v>Incr in Accts Receivable</v>
          </cell>
        </row>
        <row r="439">
          <cell r="A439" t="str">
            <v>Incr in Inventories</v>
          </cell>
        </row>
        <row r="440">
          <cell r="A440" t="str">
            <v>Incr Other Current Assets</v>
          </cell>
        </row>
        <row r="441">
          <cell r="A441" t="str">
            <v>(Incr) in Accts Payable</v>
          </cell>
        </row>
        <row r="442">
          <cell r="A442" t="str">
            <v>(Incr) Other Current Liabs</v>
          </cell>
        </row>
        <row r="444">
          <cell r="A444" t="str">
            <v>Net Change in Working Capital</v>
          </cell>
        </row>
        <row r="446">
          <cell r="A446" t="str">
            <v>Capital Expenditures</v>
          </cell>
        </row>
        <row r="447">
          <cell r="A447" t="str">
            <v>-</v>
          </cell>
          <cell r="B447" t="str">
            <v>-</v>
          </cell>
        </row>
        <row r="448">
          <cell r="A448" t="str">
            <v>Increase in Net PPE</v>
          </cell>
        </row>
        <row r="449">
          <cell r="A449" t="str">
            <v>Depreciation</v>
          </cell>
        </row>
        <row r="451">
          <cell r="A451" t="str">
            <v xml:space="preserve">Cap Exp (Net of Disposals) </v>
          </cell>
        </row>
        <row r="453">
          <cell r="A453" t="str">
            <v>Investment in Goodwill</v>
          </cell>
        </row>
        <row r="454">
          <cell r="A454" t="str">
            <v>-</v>
          </cell>
          <cell r="B454" t="str">
            <v>-</v>
          </cell>
        </row>
        <row r="455">
          <cell r="A455" t="str">
            <v>Inc/(Dec) Bal Sheet Goodwill</v>
          </cell>
        </row>
        <row r="456">
          <cell r="A456" t="str">
            <v>Amort of Goodwill</v>
          </cell>
        </row>
        <row r="458">
          <cell r="A458" t="str">
            <v>Investment in Goodwill</v>
          </cell>
        </row>
        <row r="460">
          <cell r="A460" t="str">
            <v>Non-Op Cash Flow</v>
          </cell>
        </row>
        <row r="461">
          <cell r="A461" t="str">
            <v>-</v>
          </cell>
          <cell r="B461" t="str">
            <v>-</v>
          </cell>
        </row>
        <row r="462">
          <cell r="A462" t="str">
            <v>Extraordinary Items</v>
          </cell>
        </row>
        <row r="463">
          <cell r="A463" t="str">
            <v xml:space="preserve">AT Non-Op Income </v>
          </cell>
        </row>
        <row r="464">
          <cell r="A464" t="str">
            <v>Chg in Investments &amp; Advances</v>
          </cell>
        </row>
        <row r="465">
          <cell r="A465" t="str">
            <v>Change in Non-Op Assets</v>
          </cell>
        </row>
        <row r="467">
          <cell r="A467" t="str">
            <v>Non-Op Cash Flow</v>
          </cell>
        </row>
        <row r="470">
          <cell r="A470" t="str">
            <v>Page 4 in appendix word-document</v>
          </cell>
        </row>
        <row r="472">
          <cell r="A472" t="str">
            <v>DCF Valuation Summary</v>
          </cell>
        </row>
        <row r="475">
          <cell r="A475" t="str">
            <v>Operating Value</v>
          </cell>
        </row>
        <row r="476">
          <cell r="A476" t="str">
            <v>(Discounted to Current Month)</v>
          </cell>
        </row>
        <row r="478">
          <cell r="A478" t="str">
            <v>Excess Marketable Securities</v>
          </cell>
        </row>
        <row r="479">
          <cell r="A479" t="str">
            <v>Non-Operating Assets</v>
          </cell>
        </row>
        <row r="480">
          <cell r="A480" t="str">
            <v>Excess Pension Assets</v>
          </cell>
        </row>
        <row r="482">
          <cell r="A482" t="str">
            <v>Calculated Gross Entity Value</v>
          </cell>
        </row>
        <row r="484">
          <cell r="A484" t="str">
            <v>Interest Bearing Debt</v>
          </cell>
        </row>
        <row r="485">
          <cell r="A485" t="str">
            <v>Capitalised Operating Leases</v>
          </cell>
        </row>
        <row r="486">
          <cell r="A486" t="str">
            <v>Retirement Related Liabilities</v>
          </cell>
        </row>
        <row r="487">
          <cell r="A487" t="str">
            <v>Preferred Stock</v>
          </cell>
        </row>
        <row r="488">
          <cell r="A488" t="str">
            <v>Minority Interest</v>
          </cell>
        </row>
        <row r="489">
          <cell r="A489" t="str">
            <v>Stock Options</v>
          </cell>
        </row>
        <row r="491">
          <cell r="A491" t="str">
            <v>Equity Value</v>
          </cell>
        </row>
        <row r="494">
          <cell r="A494" t="str">
            <v>Most Recent Shares Outst.</v>
          </cell>
        </row>
        <row r="495">
          <cell r="A495" t="str">
            <v>Value per Share</v>
          </cell>
        </row>
        <row r="497">
          <cell r="A497" t="str">
            <v>Share Price</v>
          </cell>
        </row>
        <row r="498">
          <cell r="A498" t="str">
            <v>Difference in %</v>
          </cell>
        </row>
        <row r="503">
          <cell r="A503" t="str">
            <v>Economic Profit Valuation Summary</v>
          </cell>
        </row>
        <row r="506">
          <cell r="A506" t="str">
            <v>Operating Value</v>
          </cell>
        </row>
        <row r="507">
          <cell r="A507" t="str">
            <v>(Discounted to Current Month)</v>
          </cell>
        </row>
        <row r="509">
          <cell r="A509" t="str">
            <v>Excess Marketable Securities</v>
          </cell>
        </row>
        <row r="510">
          <cell r="A510" t="str">
            <v>Non-Operating Assets</v>
          </cell>
        </row>
        <row r="511">
          <cell r="A511" t="str">
            <v>Excess Pension Assets</v>
          </cell>
        </row>
        <row r="513">
          <cell r="A513" t="str">
            <v>Calculated Gross Entity Value</v>
          </cell>
        </row>
        <row r="515">
          <cell r="A515" t="str">
            <v>Interest Bearing Debt</v>
          </cell>
        </row>
        <row r="516">
          <cell r="A516" t="str">
            <v>Capitalised Operating Leases</v>
          </cell>
        </row>
        <row r="517">
          <cell r="A517" t="str">
            <v>Retirement Related Liabilities</v>
          </cell>
        </row>
        <row r="518">
          <cell r="A518" t="str">
            <v>Preferred Stock</v>
          </cell>
        </row>
        <row r="519">
          <cell r="A519" t="str">
            <v>Minority Interest</v>
          </cell>
        </row>
        <row r="520">
          <cell r="A520" t="str">
            <v>Stock Options</v>
          </cell>
        </row>
        <row r="522">
          <cell r="A522" t="str">
            <v>Equity Value</v>
          </cell>
        </row>
        <row r="525">
          <cell r="A525" t="str">
            <v>Most Recent Shares Outst.</v>
          </cell>
        </row>
        <row r="526">
          <cell r="A526" t="str">
            <v>Value per Share</v>
          </cell>
        </row>
        <row r="528">
          <cell r="A528" t="str">
            <v>Share Price</v>
          </cell>
        </row>
        <row r="529">
          <cell r="A529" t="str">
            <v>Difference in %</v>
          </cell>
        </row>
        <row r="531">
          <cell r="A531" t="str">
            <v xml:space="preserve"> </v>
          </cell>
        </row>
        <row r="536">
          <cell r="A536" t="str">
            <v>The information herein is based on sources we believe to be reliable but we do not guarantee its accuracy. Prices and opinions concerning the individual companies, as well as the composition of the market sectors included in this issue reflect the judgeme</v>
          </cell>
        </row>
        <row r="543">
          <cell r="A543" t="str">
            <v>Page 1 in appendix word-document</v>
          </cell>
        </row>
        <row r="546">
          <cell r="A546" t="str">
            <v>Income Statement  (EUR in mln)</v>
          </cell>
        </row>
        <row r="548">
          <cell r="A548" t="str">
            <v>Net Sales</v>
          </cell>
        </row>
        <row r="549">
          <cell r="A549" t="str">
            <v>Cost of Goods Sold</v>
          </cell>
        </row>
        <row r="550">
          <cell r="A550" t="str">
            <v>Selling, General &amp; Admin. Exp.</v>
          </cell>
        </row>
        <row r="551">
          <cell r="A551" t="str">
            <v>Depreciation</v>
          </cell>
        </row>
        <row r="552">
          <cell r="A552" t="str">
            <v>Other Oper. Income/Expense</v>
          </cell>
        </row>
        <row r="554">
          <cell r="A554" t="str">
            <v>Operating Income</v>
          </cell>
        </row>
        <row r="556">
          <cell r="A556" t="str">
            <v>Amortisation of Goodwill</v>
          </cell>
        </row>
        <row r="557">
          <cell r="A557" t="str">
            <v xml:space="preserve">Non-Operating Income </v>
          </cell>
        </row>
        <row r="558">
          <cell r="A558" t="str">
            <v>Interest Income</v>
          </cell>
        </row>
        <row r="559">
          <cell r="A559" t="str">
            <v>Interest Expense</v>
          </cell>
        </row>
        <row r="560">
          <cell r="A560" t="str">
            <v>Special Items</v>
          </cell>
        </row>
        <row r="562">
          <cell r="A562" t="str">
            <v>Earnings before Taxes</v>
          </cell>
        </row>
        <row r="564">
          <cell r="A564" t="str">
            <v>Income Taxes</v>
          </cell>
        </row>
        <row r="565">
          <cell r="A565" t="str">
            <v>Minority Interest</v>
          </cell>
        </row>
        <row r="567">
          <cell r="A567" t="str">
            <v>Net Income before Extra. Items</v>
          </cell>
        </row>
        <row r="569">
          <cell r="A569" t="str">
            <v>Extraordinary Items</v>
          </cell>
        </row>
        <row r="571">
          <cell r="A571" t="str">
            <v>Net Income</v>
          </cell>
        </row>
        <row r="573">
          <cell r="A573" t="str">
            <v>Balance Sheet  (EUR in mln)</v>
          </cell>
        </row>
        <row r="575">
          <cell r="A575" t="str">
            <v>Oper. Cash (2% of Net Sales)</v>
          </cell>
        </row>
        <row r="576">
          <cell r="A576" t="str">
            <v>Excess Marketable Securities</v>
          </cell>
        </row>
        <row r="577">
          <cell r="A577" t="str">
            <v>Accounts Receivable</v>
          </cell>
        </row>
        <row r="578">
          <cell r="A578" t="str">
            <v>Inventories</v>
          </cell>
        </row>
        <row r="579">
          <cell r="A579" t="str">
            <v>Other Current Assets</v>
          </cell>
        </row>
        <row r="581">
          <cell r="A581" t="str">
            <v>Total Current Assets</v>
          </cell>
        </row>
        <row r="583">
          <cell r="A583" t="str">
            <v>Gross Property Plant &amp; Equipm.</v>
          </cell>
        </row>
        <row r="584">
          <cell r="A584" t="str">
            <v>Accumulated Depreciation</v>
          </cell>
        </row>
        <row r="586">
          <cell r="A586" t="str">
            <v>Net Property Plant &amp; Equipment</v>
          </cell>
        </row>
        <row r="588">
          <cell r="A588" t="str">
            <v>Goodwill</v>
          </cell>
        </row>
        <row r="589">
          <cell r="A589" t="str">
            <v>Other Operating Assets</v>
          </cell>
        </row>
        <row r="590">
          <cell r="A590" t="str">
            <v>Investments &amp; Advances</v>
          </cell>
        </row>
        <row r="591">
          <cell r="A591" t="str">
            <v>Other Non-Operating Assets</v>
          </cell>
        </row>
        <row r="593">
          <cell r="A593" t="str">
            <v>Total Assets</v>
          </cell>
        </row>
        <row r="595">
          <cell r="A595" t="str">
            <v>Short Term Debt</v>
          </cell>
        </row>
        <row r="596">
          <cell r="A596" t="str">
            <v>Accounts Payable</v>
          </cell>
        </row>
        <row r="597">
          <cell r="A597" t="str">
            <v>Other Current Liabilities</v>
          </cell>
        </row>
        <row r="599">
          <cell r="A599" t="str">
            <v>Total Current Liabilities</v>
          </cell>
        </row>
        <row r="601">
          <cell r="A601" t="str">
            <v>Long Term Debt</v>
          </cell>
        </row>
        <row r="602">
          <cell r="A602" t="str">
            <v>New Long-Term Debt</v>
          </cell>
        </row>
        <row r="603">
          <cell r="A603" t="str">
            <v>Retirement Related Liabilities</v>
          </cell>
        </row>
        <row r="605">
          <cell r="A605" t="str">
            <v>Other Provisions</v>
          </cell>
        </row>
        <row r="606">
          <cell r="A606" t="str">
            <v>Deferred Income Taxes</v>
          </cell>
        </row>
        <row r="607">
          <cell r="A607" t="str">
            <v>Preferred Stock</v>
          </cell>
        </row>
        <row r="608">
          <cell r="A608" t="str">
            <v>Minority Interest</v>
          </cell>
        </row>
        <row r="609">
          <cell r="A609" t="str">
            <v>Common Equity</v>
          </cell>
        </row>
        <row r="611">
          <cell r="A611" t="str">
            <v>Total Liabilities and Equity</v>
          </cell>
        </row>
        <row r="614">
          <cell r="A614" t="str">
            <v>Page 2 in appendix word-document</v>
          </cell>
        </row>
        <row r="617">
          <cell r="A617" t="str">
            <v>Free Cash Flow  (EUR in mln)</v>
          </cell>
        </row>
        <row r="619">
          <cell r="A619" t="str">
            <v>Net Sales</v>
          </cell>
        </row>
        <row r="620">
          <cell r="A620" t="str">
            <v>Cost of Goods Sold</v>
          </cell>
        </row>
        <row r="621">
          <cell r="A621" t="str">
            <v>Selling, General &amp; Admin. Exp.</v>
          </cell>
        </row>
        <row r="622">
          <cell r="A622" t="str">
            <v>Depreciation</v>
          </cell>
        </row>
        <row r="623">
          <cell r="A623" t="str">
            <v>Other Oper. Income/Expense</v>
          </cell>
        </row>
        <row r="624">
          <cell r="A624" t="str">
            <v>Change in Other Provisions</v>
          </cell>
        </row>
        <row r="625">
          <cell r="A625" t="str">
            <v>Adjustment for Operating Leases</v>
          </cell>
        </row>
        <row r="626">
          <cell r="A626" t="str">
            <v>Adj. for Retirement Related Liabs</v>
          </cell>
        </row>
        <row r="628">
          <cell r="A628" t="str">
            <v>EBITA (adjusted)</v>
          </cell>
        </row>
        <row r="629">
          <cell r="A629" t="str">
            <v>Taxes on EBITA</v>
          </cell>
        </row>
        <row r="630">
          <cell r="A630" t="str">
            <v>Change in Deferred Taxes</v>
          </cell>
        </row>
        <row r="632">
          <cell r="A632" t="str">
            <v>NOPLAT</v>
          </cell>
        </row>
        <row r="633">
          <cell r="A633" t="str">
            <v>Depreciation</v>
          </cell>
        </row>
        <row r="635">
          <cell r="A635" t="str">
            <v>Gross Cash Flow</v>
          </cell>
        </row>
        <row r="637">
          <cell r="A637" t="str">
            <v>Increase in Working Capital</v>
          </cell>
        </row>
        <row r="638">
          <cell r="A638" t="str">
            <v>Capital Expenditures</v>
          </cell>
        </row>
        <row r="639">
          <cell r="A639" t="str">
            <v>Increase in Other Oper. Assets</v>
          </cell>
        </row>
        <row r="640">
          <cell r="A640" t="str">
            <v>Investment in Operating Leases</v>
          </cell>
        </row>
        <row r="642">
          <cell r="A642" t="str">
            <v>Gross Investment</v>
          </cell>
        </row>
        <row r="644">
          <cell r="A644" t="str">
            <v>Free Cash Flow before Goodwill</v>
          </cell>
        </row>
        <row r="645">
          <cell r="A645" t="str">
            <v>Investment in Goodwill</v>
          </cell>
        </row>
        <row r="647">
          <cell r="A647" t="str">
            <v>Free Cash Flow after Goodwill</v>
          </cell>
        </row>
        <row r="648">
          <cell r="A648" t="str">
            <v>Non-Operating Cash Flow</v>
          </cell>
        </row>
        <row r="649">
          <cell r="A649" t="str">
            <v>Currency Translation Effect</v>
          </cell>
        </row>
        <row r="651">
          <cell r="A651" t="str">
            <v>Cash Flow Available to Investors</v>
          </cell>
        </row>
        <row r="653">
          <cell r="A653" t="str">
            <v>Economic Profit  (EUR in mln)</v>
          </cell>
        </row>
        <row r="655">
          <cell r="A655" t="str">
            <v>Return on Invested Capital</v>
          </cell>
        </row>
        <row r="656">
          <cell r="A656" t="str">
            <v>WACC</v>
          </cell>
        </row>
        <row r="658">
          <cell r="A658" t="str">
            <v>Spread</v>
          </cell>
        </row>
        <row r="659">
          <cell r="A659" t="str">
            <v>Invested Capital</v>
          </cell>
        </row>
        <row r="661">
          <cell r="A661" t="str">
            <v>Economic Profit</v>
          </cell>
        </row>
        <row r="663">
          <cell r="A663" t="str">
            <v>NOPLAT</v>
          </cell>
        </row>
        <row r="664">
          <cell r="A664" t="str">
            <v>Capital Charge</v>
          </cell>
        </row>
        <row r="666">
          <cell r="A666" t="str">
            <v>Economic Profit</v>
          </cell>
        </row>
        <row r="668">
          <cell r="A668" t="str">
            <v>Invested Capital  (EUR in mln)</v>
          </cell>
        </row>
        <row r="670">
          <cell r="A670" t="str">
            <v>Operating Current Assets</v>
          </cell>
        </row>
        <row r="671">
          <cell r="A671" t="str">
            <v>Non-Interest Bearing Liabilities</v>
          </cell>
        </row>
        <row r="673">
          <cell r="A673" t="str">
            <v>Net Working Capital</v>
          </cell>
        </row>
        <row r="675">
          <cell r="A675" t="str">
            <v>Net Property Plant &amp; Equipment</v>
          </cell>
        </row>
        <row r="676">
          <cell r="A676" t="str">
            <v>Other Operating Assets</v>
          </cell>
        </row>
        <row r="677">
          <cell r="A677" t="str">
            <v>Value of Operating Leases</v>
          </cell>
        </row>
        <row r="679">
          <cell r="A679" t="str">
            <v>Operating Invested Capital</v>
          </cell>
        </row>
        <row r="680">
          <cell r="A680" t="str">
            <v>Gross goodwill</v>
          </cell>
        </row>
        <row r="682">
          <cell r="A682" t="str">
            <v>Invested Capital</v>
          </cell>
        </row>
        <row r="684">
          <cell r="A684" t="str">
            <v>Excess Marketable Securities</v>
          </cell>
        </row>
        <row r="685">
          <cell r="A685" t="str">
            <v>Investments &amp; Advances</v>
          </cell>
        </row>
        <row r="686">
          <cell r="A686" t="str">
            <v>Non-Operating Assets</v>
          </cell>
        </row>
        <row r="688">
          <cell r="A688" t="str">
            <v>Total Investor Funds</v>
          </cell>
        </row>
        <row r="691">
          <cell r="A691" t="str">
            <v>Page 3 in appendix word-document</v>
          </cell>
        </row>
        <row r="694">
          <cell r="A694" t="str">
            <v>Key Ratios</v>
          </cell>
        </row>
        <row r="696">
          <cell r="A696" t="str">
            <v>EBITA/Net Sales</v>
          </cell>
        </row>
        <row r="697">
          <cell r="A697" t="str">
            <v>Cost of Goods Sold</v>
          </cell>
        </row>
        <row r="698">
          <cell r="A698" t="str">
            <v>Selling, General &amp; Admin. Exp.</v>
          </cell>
        </row>
        <row r="699">
          <cell r="A699" t="str">
            <v>Depreciation</v>
          </cell>
        </row>
        <row r="700">
          <cell r="A700" t="str">
            <v>Other Oper. Income/Expense</v>
          </cell>
        </row>
        <row r="701">
          <cell r="A701" t="str">
            <v>Change in Other Provisions</v>
          </cell>
        </row>
        <row r="702">
          <cell r="A702" t="str">
            <v>Adjustment for Operating Leases</v>
          </cell>
        </row>
        <row r="703">
          <cell r="A703" t="str">
            <v>Adj. for Retirement Related Liabs</v>
          </cell>
        </row>
        <row r="704">
          <cell r="A704" t="str">
            <v>EBITA Margin</v>
          </cell>
        </row>
        <row r="706">
          <cell r="A706" t="str">
            <v>Taxes</v>
          </cell>
        </row>
        <row r="707">
          <cell r="A707" t="str">
            <v>EBITA Tax Rate</v>
          </cell>
        </row>
        <row r="708">
          <cell r="A708" t="str">
            <v>Cash Tax Rate</v>
          </cell>
        </row>
        <row r="709">
          <cell r="A709" t="str">
            <v>Marginal Tax Rate</v>
          </cell>
        </row>
        <row r="711">
          <cell r="A711" t="str">
            <v>Net Working Capital/Net Sales</v>
          </cell>
        </row>
        <row r="712">
          <cell r="A712" t="str">
            <v>Operating Cash</v>
          </cell>
        </row>
        <row r="713">
          <cell r="A713" t="str">
            <v>Accounts Receivable</v>
          </cell>
        </row>
        <row r="714">
          <cell r="A714" t="str">
            <v>Inventories</v>
          </cell>
        </row>
        <row r="715">
          <cell r="A715" t="str">
            <v>Other Current Assets</v>
          </cell>
        </row>
        <row r="716">
          <cell r="A716" t="str">
            <v>Accounts Payable</v>
          </cell>
        </row>
        <row r="717">
          <cell r="A717" t="str">
            <v>Other Current Liabilities</v>
          </cell>
        </row>
        <row r="718">
          <cell r="A718" t="str">
            <v>Net Working Capital</v>
          </cell>
        </row>
        <row r="720">
          <cell r="A720" t="str">
            <v>Investment Rates</v>
          </cell>
        </row>
        <row r="721">
          <cell r="A721" t="str">
            <v>Gross Investment Rate</v>
          </cell>
        </row>
        <row r="722">
          <cell r="A722" t="str">
            <v>Net Investment Rate</v>
          </cell>
        </row>
        <row r="723">
          <cell r="A723" t="str">
            <v>Gross PPE/Net Sales</v>
          </cell>
        </row>
        <row r="724">
          <cell r="A724" t="str">
            <v>Net PPE/Net Sales</v>
          </cell>
        </row>
        <row r="725">
          <cell r="A725" t="str">
            <v>CapX/Net Sales</v>
          </cell>
        </row>
        <row r="726">
          <cell r="A726" t="str">
            <v>Capital Expenditures</v>
          </cell>
        </row>
        <row r="727">
          <cell r="A727" t="str">
            <v>Depreciation</v>
          </cell>
        </row>
        <row r="729">
          <cell r="A729" t="str">
            <v>Growth Rates</v>
          </cell>
        </row>
        <row r="730">
          <cell r="A730" t="str">
            <v>Net Sales</v>
          </cell>
        </row>
        <row r="731">
          <cell r="A731" t="str">
            <v>EBITA</v>
          </cell>
        </row>
        <row r="733">
          <cell r="A733" t="str">
            <v>Financing</v>
          </cell>
        </row>
        <row r="734">
          <cell r="A734" t="str">
            <v>Coverage (EBITA/Interest Exp.)</v>
          </cell>
        </row>
        <row r="735">
          <cell r="A735" t="str">
            <v>Dividend Payout Ratio</v>
          </cell>
        </row>
        <row r="737">
          <cell r="A737" t="str">
            <v>Valuation</v>
          </cell>
        </row>
        <row r="738">
          <cell r="A738" t="str">
            <v>Market Capitalisation</v>
          </cell>
        </row>
        <row r="739">
          <cell r="A739" t="str">
            <v>+ Net Interest Bearing Debt</v>
          </cell>
        </row>
        <row r="740">
          <cell r="A740" t="str">
            <v>+ Other Items (see below * )</v>
          </cell>
        </row>
        <row r="741">
          <cell r="A741" t="str">
            <v>-/- Non-Operating Assets</v>
          </cell>
        </row>
        <row r="743">
          <cell r="A743" t="str">
            <v>Enterprise Value</v>
          </cell>
        </row>
        <row r="744">
          <cell r="A744" t="str">
            <v>EV/Net Sales</v>
          </cell>
        </row>
        <row r="745">
          <cell r="A745" t="str">
            <v>EV/Invested Capital</v>
          </cell>
        </row>
        <row r="746">
          <cell r="A746" t="str">
            <v>EV/EBITA</v>
          </cell>
        </row>
        <row r="747">
          <cell r="A747" t="str">
            <v>EV/EBITDA</v>
          </cell>
        </row>
        <row r="749">
          <cell r="A749" t="str">
            <v>Per Share Data  (in EUR)</v>
          </cell>
        </row>
        <row r="751">
          <cell r="A751" t="str">
            <v>Average Number of Shares</v>
          </cell>
        </row>
        <row r="752">
          <cell r="A752" t="str">
            <v>EPS bei and Amortisation</v>
          </cell>
        </row>
        <row r="753">
          <cell r="A753" t="str">
            <v>% Change</v>
          </cell>
        </row>
        <row r="754">
          <cell r="A754" t="str">
            <v>PER bei and Amortisation</v>
          </cell>
        </row>
        <row r="755">
          <cell r="A755" t="str">
            <v>EPS as reported</v>
          </cell>
        </row>
        <row r="756">
          <cell r="A756" t="str">
            <v>% Change</v>
          </cell>
        </row>
        <row r="757">
          <cell r="A757" t="str">
            <v>PER as reported</v>
          </cell>
        </row>
        <row r="758">
          <cell r="A758" t="str">
            <v>CFPS bei</v>
          </cell>
        </row>
        <row r="759">
          <cell r="A759" t="str">
            <v>% Change</v>
          </cell>
        </row>
        <row r="760">
          <cell r="A760" t="str">
            <v>PCFR bei</v>
          </cell>
        </row>
        <row r="761">
          <cell r="A761" t="str">
            <v>DPS</v>
          </cell>
        </row>
        <row r="762">
          <cell r="A762" t="str">
            <v>% Change</v>
          </cell>
        </row>
        <row r="763">
          <cell r="A763" t="str">
            <v>Dividend Yield</v>
          </cell>
        </row>
        <row r="765">
          <cell r="A765" t="str">
            <v>*  Capitalised Operating Leases, Retirement Related Liabilities, Preferred Stock, Minority Interest, Stock Options</v>
          </cell>
        </row>
        <row r="768">
          <cell r="A768" t="str">
            <v>Up-date:</v>
          </cell>
        </row>
        <row r="771">
          <cell r="A771" t="str">
            <v>Key Figures  (EUR in mln)</v>
          </cell>
        </row>
        <row r="773">
          <cell r="A773" t="str">
            <v>Net Sales</v>
          </cell>
        </row>
        <row r="774">
          <cell r="A774" t="str">
            <v>% Change</v>
          </cell>
        </row>
        <row r="775">
          <cell r="A775" t="str">
            <v>EBITA (adjusted)</v>
          </cell>
        </row>
        <row r="776">
          <cell r="A776" t="str">
            <v>% Change</v>
          </cell>
        </row>
        <row r="777">
          <cell r="A777" t="str">
            <v>EBITA Margin</v>
          </cell>
        </row>
        <row r="778">
          <cell r="A778" t="str">
            <v>Net Income bei and Amortisation</v>
          </cell>
        </row>
        <row r="779">
          <cell r="A779" t="str">
            <v>% Change</v>
          </cell>
        </row>
        <row r="781">
          <cell r="A781" t="str">
            <v>Economic Profit</v>
          </cell>
        </row>
        <row r="782">
          <cell r="A782" t="str">
            <v>Return on Invested Capital</v>
          </cell>
        </row>
        <row r="783">
          <cell r="A783" t="str">
            <v>WACC</v>
          </cell>
        </row>
        <row r="785">
          <cell r="A785" t="str">
            <v>Spread</v>
          </cell>
        </row>
        <row r="786">
          <cell r="A786" t="str">
            <v>Invested Capital</v>
          </cell>
        </row>
        <row r="788">
          <cell r="A788" t="str">
            <v>Economic Profit</v>
          </cell>
        </row>
        <row r="790">
          <cell r="A790" t="str">
            <v>Invested Capital</v>
          </cell>
        </row>
        <row r="791">
          <cell r="A791" t="str">
            <v>Operating Current Assets</v>
          </cell>
        </row>
        <row r="792">
          <cell r="A792" t="str">
            <v>Non-Interest Bearing Liabilities</v>
          </cell>
        </row>
        <row r="794">
          <cell r="A794" t="str">
            <v>Net Working Capital</v>
          </cell>
        </row>
        <row r="796">
          <cell r="A796" t="str">
            <v>Net Property Plant &amp; Equipment</v>
          </cell>
        </row>
        <row r="797">
          <cell r="A797" t="str">
            <v>Other Operating Assets</v>
          </cell>
        </row>
        <row r="798">
          <cell r="A798" t="str">
            <v>Value of Operating Leases</v>
          </cell>
        </row>
        <row r="800">
          <cell r="A800" t="str">
            <v>Operating Invested Capital</v>
          </cell>
        </row>
        <row r="801">
          <cell r="A801" t="str">
            <v>Gross goodwill</v>
          </cell>
        </row>
        <row r="803">
          <cell r="A803" t="str">
            <v>Invested Capital</v>
          </cell>
        </row>
        <row r="805">
          <cell r="A805" t="str">
            <v>Financing</v>
          </cell>
        </row>
        <row r="806">
          <cell r="A806" t="str">
            <v>Coverage (EBITA/Interest Exp.)</v>
          </cell>
        </row>
        <row r="807">
          <cell r="A807" t="str">
            <v>Dividend Payout Ratio</v>
          </cell>
        </row>
        <row r="809">
          <cell r="A809" t="str">
            <v>Valuation</v>
          </cell>
        </row>
        <row r="810">
          <cell r="A810" t="str">
            <v>Market Capitalisation</v>
          </cell>
        </row>
        <row r="811">
          <cell r="A811" t="str">
            <v>+ Net Interest Bearing Debt</v>
          </cell>
        </row>
        <row r="812">
          <cell r="A812" t="str">
            <v>+ Other Items</v>
          </cell>
        </row>
        <row r="813">
          <cell r="A813" t="str">
            <v>-/- Non-Operating Assets</v>
          </cell>
        </row>
        <row r="815">
          <cell r="A815" t="str">
            <v>Enterprise Value</v>
          </cell>
        </row>
        <row r="816">
          <cell r="A816" t="str">
            <v>EV/Net Sales</v>
          </cell>
        </row>
        <row r="817">
          <cell r="A817" t="str">
            <v>EV/Invested Capital</v>
          </cell>
        </row>
        <row r="818">
          <cell r="A818" t="str">
            <v>EV/EBITA</v>
          </cell>
        </row>
        <row r="819">
          <cell r="A819" t="str">
            <v>EV/EBITDA</v>
          </cell>
        </row>
        <row r="821">
          <cell r="A821" t="str">
            <v>Per Share Data</v>
          </cell>
        </row>
        <row r="822">
          <cell r="A822" t="str">
            <v>Average Number of Shares</v>
          </cell>
        </row>
        <row r="823">
          <cell r="A823" t="str">
            <v>EPS bei and Amortisation</v>
          </cell>
        </row>
        <row r="824">
          <cell r="A824" t="str">
            <v>% Change</v>
          </cell>
        </row>
        <row r="825">
          <cell r="A825" t="str">
            <v>PER bei and Amortisation</v>
          </cell>
        </row>
        <row r="826">
          <cell r="A826" t="str">
            <v>EPS as reported</v>
          </cell>
        </row>
        <row r="827">
          <cell r="A827" t="str">
            <v>% Change</v>
          </cell>
        </row>
        <row r="828">
          <cell r="A828" t="str">
            <v>PER as reported</v>
          </cell>
        </row>
        <row r="829">
          <cell r="A829" t="str">
            <v>CFPS bei</v>
          </cell>
        </row>
        <row r="830">
          <cell r="A830" t="str">
            <v>% Change</v>
          </cell>
        </row>
        <row r="831">
          <cell r="A831" t="str">
            <v>PCFR bei</v>
          </cell>
        </row>
        <row r="832">
          <cell r="A832" t="str">
            <v>DPS</v>
          </cell>
        </row>
        <row r="833">
          <cell r="A833" t="str">
            <v>% Change</v>
          </cell>
        </row>
        <row r="834">
          <cell r="A834" t="str">
            <v>Dividend Yield</v>
          </cell>
        </row>
        <row r="837">
          <cell r="A837" t="str">
            <v>The information herein is based on sources we believe to be reliable but we do not guarantee its accuracy. Prices and opinions concerning the individual companies, as well as the composition of the market sectors included in this issue reflect the judgeme</v>
          </cell>
        </row>
        <row r="842">
          <cell r="A842" t="str">
            <v>Up-date (front-page):</v>
          </cell>
        </row>
        <row r="844">
          <cell r="A844" t="str">
            <v>PERFORMANCE</v>
          </cell>
        </row>
        <row r="845">
          <cell r="A845" t="str">
            <v>Absolute</v>
          </cell>
        </row>
        <row r="846">
          <cell r="A846" t="str">
            <v>Relative (vs AEX)</v>
          </cell>
        </row>
        <row r="849">
          <cell r="A849" t="str">
            <v>PER SHARE DATA</v>
          </cell>
          <cell r="B849">
            <v>2003</v>
          </cell>
        </row>
        <row r="851">
          <cell r="A851" t="str">
            <v>EPS bei and Amortisation</v>
          </cell>
          <cell r="B851" t="e">
            <v>#REF!</v>
          </cell>
        </row>
        <row r="852">
          <cell r="A852" t="str">
            <v>EPS as reported</v>
          </cell>
          <cell r="B852">
            <v>5.4251995599164795</v>
          </cell>
        </row>
        <row r="853">
          <cell r="A853" t="str">
            <v>CFPS bei</v>
          </cell>
          <cell r="B853">
            <v>7.8171835170970967</v>
          </cell>
        </row>
        <row r="854">
          <cell r="A854" t="str">
            <v>DPS</v>
          </cell>
          <cell r="B854">
            <v>1.74</v>
          </cell>
        </row>
        <row r="856">
          <cell r="A856" t="str">
            <v>PER bei and Amortisation</v>
          </cell>
          <cell r="B856" t="e">
            <v>#REF!</v>
          </cell>
        </row>
        <row r="857">
          <cell r="A857" t="str">
            <v>PER as reported</v>
          </cell>
          <cell r="B857">
            <v>9.5572521208414738</v>
          </cell>
        </row>
        <row r="858">
          <cell r="A858" t="str">
            <v>PCFR bei</v>
          </cell>
          <cell r="B858">
            <v>6.6328236872779014</v>
          </cell>
        </row>
        <row r="859">
          <cell r="A859" t="str">
            <v>Dividend Yield</v>
          </cell>
          <cell r="B859">
            <v>3.3558341369334617E-2</v>
          </cell>
        </row>
        <row r="860">
          <cell r="A860" t="str">
            <v>EV/EBITA</v>
          </cell>
          <cell r="B860">
            <v>9.7755705475806298</v>
          </cell>
        </row>
        <row r="861">
          <cell r="A861" t="str">
            <v>EV/EBITDA</v>
          </cell>
          <cell r="B861">
            <v>8.4116180359323014</v>
          </cell>
        </row>
        <row r="863">
          <cell r="A863" t="str">
            <v>KEY DATA (in mln)</v>
          </cell>
        </row>
        <row r="864">
          <cell r="A864" t="str">
            <v>Market Capitalisation</v>
          </cell>
        </row>
        <row r="865">
          <cell r="A865" t="str">
            <v>Number of Shares</v>
          </cell>
        </row>
        <row r="866">
          <cell r="A866" t="str">
            <v>Average Daily Volume</v>
          </cell>
        </row>
        <row r="867">
          <cell r="A867" t="str">
            <v>12 Months High-Low</v>
          </cell>
        </row>
        <row r="868">
          <cell r="A868" t="str">
            <v>Reuters Symbol</v>
          </cell>
        </row>
        <row r="869">
          <cell r="A869" t="str">
            <v>Bloomberg Symbol</v>
          </cell>
        </row>
        <row r="870">
          <cell r="A870" t="str">
            <v>Internet Address</v>
          </cell>
        </row>
        <row r="871">
          <cell r="A871" t="str">
            <v>Next Event</v>
          </cell>
        </row>
        <row r="872">
          <cell r="A872" t="str">
            <v>AEX Index</v>
          </cell>
        </row>
        <row r="873">
          <cell r="A873" t="str">
            <v>AEX 12M target</v>
          </cell>
        </row>
        <row r="875">
          <cell r="A875" t="str">
            <v>For "Monthly":</v>
          </cell>
        </row>
        <row r="877">
          <cell r="A877" t="str">
            <v>COMPANY</v>
          </cell>
        </row>
        <row r="878">
          <cell r="A878" t="str">
            <v>ACCUMULATE</v>
          </cell>
        </row>
        <row r="881">
          <cell r="A881" t="str">
            <v>EUR in mln</v>
          </cell>
        </row>
        <row r="883">
          <cell r="A883" t="str">
            <v>PER SHARE DATA:</v>
          </cell>
        </row>
        <row r="884">
          <cell r="A884" t="str">
            <v>EPS bei and Amortisation</v>
          </cell>
        </row>
        <row r="885">
          <cell r="A885" t="str">
            <v>EPS as reported</v>
          </cell>
        </row>
        <row r="886">
          <cell r="A886" t="str">
            <v>CFPS bei</v>
          </cell>
        </row>
        <row r="887">
          <cell r="A887" t="str">
            <v>DPS</v>
          </cell>
        </row>
        <row r="889">
          <cell r="A889" t="str">
            <v>PER bei and Amortisation</v>
          </cell>
        </row>
        <row r="890">
          <cell r="A890" t="str">
            <v>PER as reported</v>
          </cell>
        </row>
        <row r="891">
          <cell r="A891" t="str">
            <v>PCFR bei</v>
          </cell>
        </row>
        <row r="892">
          <cell r="A892" t="str">
            <v>Dividend Yield</v>
          </cell>
        </row>
        <row r="893">
          <cell r="A893" t="str">
            <v>EV/EBITA</v>
          </cell>
        </row>
        <row r="894">
          <cell r="A894" t="str">
            <v>EV/EBITDA</v>
          </cell>
        </row>
        <row r="896">
          <cell r="A896" t="str">
            <v>KEY FIGURES:</v>
          </cell>
        </row>
        <row r="897">
          <cell r="A897" t="str">
            <v>Net Sales</v>
          </cell>
        </row>
        <row r="898">
          <cell r="A898" t="str">
            <v>% Change</v>
          </cell>
        </row>
        <row r="899">
          <cell r="A899" t="str">
            <v>EBITA (adjusted)</v>
          </cell>
        </row>
        <row r="900">
          <cell r="A900" t="str">
            <v>% Change</v>
          </cell>
        </row>
        <row r="901">
          <cell r="A901" t="str">
            <v>EBITA Margin</v>
          </cell>
        </row>
        <row r="902">
          <cell r="A902" t="str">
            <v>Net Income bei and Amortisation</v>
          </cell>
        </row>
        <row r="903">
          <cell r="A903" t="str">
            <v>% Change</v>
          </cell>
        </row>
        <row r="905">
          <cell r="A905" t="str">
            <v>Return on Invested Capital</v>
          </cell>
        </row>
        <row r="906">
          <cell r="A906" t="str">
            <v>WACC</v>
          </cell>
        </row>
        <row r="907">
          <cell r="A907" t="str">
            <v>Spread</v>
          </cell>
        </row>
        <row r="908">
          <cell r="A908" t="str">
            <v>Invested Capital (BoY)</v>
          </cell>
        </row>
        <row r="909">
          <cell r="A909" t="str">
            <v>Economic Profit</v>
          </cell>
        </row>
        <row r="912">
          <cell r="A912" t="str">
            <v>For IBES etcera, i.e. as reported figures:</v>
          </cell>
        </row>
        <row r="914">
          <cell r="A914" t="str">
            <v>EBITDA</v>
          </cell>
        </row>
        <row r="915">
          <cell r="A915" t="str">
            <v>EBIT</v>
          </cell>
        </row>
        <row r="916">
          <cell r="A916" t="str">
            <v>Net Interest</v>
          </cell>
        </row>
        <row r="917">
          <cell r="A917" t="str">
            <v>EPS bei before amort.</v>
          </cell>
        </row>
        <row r="918">
          <cell r="A918" t="str">
            <v>EPS before amort.</v>
          </cell>
        </row>
        <row r="919">
          <cell r="A919" t="str">
            <v>CFPS after amort.</v>
          </cell>
        </row>
        <row r="920">
          <cell r="A920" t="str">
            <v>Equity per share</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inputs"/>
      <sheetName val="MW-Cache"/>
      <sheetName val="__FDSCACHE__"/>
      <sheetName val="ann-inputs"/>
      <sheetName val="quarterly"/>
      <sheetName val="annual"/>
      <sheetName val="DCF"/>
      <sheetName val="Marketing Pack Metrics"/>
      <sheetName val="Marketing Pack Charts"/>
      <sheetName val="mwareDates"/>
      <sheetName val="mwareSettings"/>
      <sheetName val="RR table"/>
      <sheetName val="MWA RR"/>
    </sheetNames>
    <sheetDataSet>
      <sheetData sheetId="0" refreshError="1">
        <row r="1">
          <cell r="B1" t="str">
            <v>ElementName</v>
          </cell>
          <cell r="C1" t="str">
            <v>ScaleOverride</v>
          </cell>
          <cell r="D1" t="str">
            <v>UnitOverride</v>
          </cell>
          <cell r="E1" t="str">
            <v>ReverseSign</v>
          </cell>
          <cell r="F1" t="str">
            <v>IsDrivingAssumption</v>
          </cell>
          <cell r="G1" t="str">
            <v>SegmentID</v>
          </cell>
          <cell r="I1" t="str">
            <v>Select Model Case:</v>
          </cell>
          <cell r="L1">
            <v>649.81451297948274</v>
          </cell>
          <cell r="M1">
            <v>0.25</v>
          </cell>
          <cell r="N1">
            <v>0.25</v>
          </cell>
          <cell r="O1">
            <v>0.25</v>
          </cell>
          <cell r="P1">
            <v>0.25</v>
          </cell>
          <cell r="Q1">
            <v>0.25</v>
          </cell>
          <cell r="R1">
            <v>0.25</v>
          </cell>
          <cell r="S1">
            <v>0.25</v>
          </cell>
          <cell r="T1">
            <v>0.25</v>
          </cell>
          <cell r="U1">
            <v>0.25</v>
          </cell>
          <cell r="V1">
            <v>0.25</v>
          </cell>
          <cell r="W1">
            <v>0.25</v>
          </cell>
          <cell r="X1">
            <v>0.25</v>
          </cell>
          <cell r="Y1">
            <v>0.25</v>
          </cell>
          <cell r="Z1">
            <v>0.25</v>
          </cell>
          <cell r="AA1">
            <v>0.25</v>
          </cell>
          <cell r="AB1">
            <v>0.25</v>
          </cell>
          <cell r="AC1">
            <v>0.25</v>
          </cell>
          <cell r="AD1">
            <v>0.25</v>
          </cell>
          <cell r="AE1">
            <v>0.25</v>
          </cell>
          <cell r="AF1">
            <v>0.25</v>
          </cell>
          <cell r="AG1">
            <v>0.25</v>
          </cell>
          <cell r="AH1">
            <v>0.25</v>
          </cell>
          <cell r="AI1">
            <v>0.25</v>
          </cell>
          <cell r="AJ1">
            <v>0.25</v>
          </cell>
          <cell r="AK1">
            <v>0.25</v>
          </cell>
          <cell r="AL1">
            <v>0.25</v>
          </cell>
          <cell r="AM1">
            <v>0.25</v>
          </cell>
          <cell r="AN1">
            <v>0.25</v>
          </cell>
        </row>
        <row r="3">
          <cell r="M3" t="str">
            <v>2006-Q1</v>
          </cell>
          <cell r="N3" t="str">
            <v>2006-Q2</v>
          </cell>
          <cell r="O3" t="str">
            <v>2006-Q3</v>
          </cell>
          <cell r="P3" t="str">
            <v>2006-Q4</v>
          </cell>
          <cell r="Q3" t="str">
            <v>2007-Q1</v>
          </cell>
          <cell r="R3" t="str">
            <v>2007-Q2</v>
          </cell>
          <cell r="S3" t="str">
            <v>2007-Q3</v>
          </cell>
          <cell r="T3" t="str">
            <v>2007-Q4</v>
          </cell>
          <cell r="U3" t="str">
            <v>2008-Q1</v>
          </cell>
          <cell r="V3" t="str">
            <v>2008-Q2</v>
          </cell>
          <cell r="W3" t="str">
            <v>2008-Q3</v>
          </cell>
          <cell r="X3" t="str">
            <v>2008-Q4</v>
          </cell>
          <cell r="Y3" t="str">
            <v>2009-Q1</v>
          </cell>
          <cell r="Z3" t="str">
            <v>2009-Q2</v>
          </cell>
          <cell r="AA3" t="str">
            <v>2009-Q3</v>
          </cell>
          <cell r="AB3" t="str">
            <v>2009-Q4</v>
          </cell>
          <cell r="AC3" t="str">
            <v>2010-Q1</v>
          </cell>
          <cell r="AD3" t="str">
            <v>2010-Q2</v>
          </cell>
          <cell r="AE3" t="str">
            <v>2010-Q3</v>
          </cell>
          <cell r="AF3" t="str">
            <v>2010-Q4</v>
          </cell>
          <cell r="AG3" t="str">
            <v>2011-Q1</v>
          </cell>
          <cell r="AH3" t="str">
            <v>2011-Q2</v>
          </cell>
          <cell r="AI3" t="str">
            <v>2011-Q3</v>
          </cell>
          <cell r="AJ3" t="str">
            <v>2011-Q4</v>
          </cell>
          <cell r="AK3" t="str">
            <v>2012-Q1</v>
          </cell>
          <cell r="AL3" t="str">
            <v>2012-Q2</v>
          </cell>
          <cell r="AM3" t="str">
            <v>2012-Q3</v>
          </cell>
          <cell r="AN3" t="str">
            <v>2012-Q4</v>
          </cell>
        </row>
        <row r="4">
          <cell r="I4" t="str">
            <v>Period-End Date</v>
          </cell>
          <cell r="M4">
            <v>38807</v>
          </cell>
          <cell r="N4">
            <v>38898</v>
          </cell>
          <cell r="O4">
            <v>38990</v>
          </cell>
          <cell r="P4">
            <v>39082</v>
          </cell>
          <cell r="Q4">
            <v>39172</v>
          </cell>
          <cell r="R4">
            <v>39263</v>
          </cell>
          <cell r="S4">
            <v>39355</v>
          </cell>
          <cell r="T4">
            <v>39447</v>
          </cell>
          <cell r="U4">
            <v>39538</v>
          </cell>
          <cell r="V4">
            <v>39629</v>
          </cell>
          <cell r="W4">
            <v>39721</v>
          </cell>
          <cell r="X4">
            <v>39813</v>
          </cell>
          <cell r="Y4">
            <v>39903</v>
          </cell>
          <cell r="Z4">
            <v>39994</v>
          </cell>
          <cell r="AA4">
            <v>40086</v>
          </cell>
          <cell r="AB4">
            <v>40178</v>
          </cell>
          <cell r="AC4">
            <v>40268</v>
          </cell>
          <cell r="AD4">
            <v>40359</v>
          </cell>
          <cell r="AE4">
            <v>40451</v>
          </cell>
          <cell r="AF4">
            <v>40543</v>
          </cell>
          <cell r="AG4">
            <v>40633</v>
          </cell>
          <cell r="AH4">
            <v>40724</v>
          </cell>
          <cell r="AI4">
            <v>40816</v>
          </cell>
          <cell r="AJ4">
            <v>40908</v>
          </cell>
          <cell r="AK4">
            <v>40999</v>
          </cell>
          <cell r="AL4">
            <v>41090</v>
          </cell>
          <cell r="AM4">
            <v>41182</v>
          </cell>
          <cell r="AN4">
            <v>41274</v>
          </cell>
        </row>
        <row r="5">
          <cell r="I5" t="str">
            <v>Priceline Model</v>
          </cell>
          <cell r="M5">
            <v>39082</v>
          </cell>
          <cell r="Q5">
            <v>39447</v>
          </cell>
          <cell r="U5">
            <v>39813</v>
          </cell>
          <cell r="Y5">
            <v>40178</v>
          </cell>
          <cell r="AC5">
            <v>40543</v>
          </cell>
          <cell r="AG5">
            <v>40908</v>
          </cell>
          <cell r="AK5">
            <v>41274</v>
          </cell>
        </row>
        <row r="6">
          <cell r="I6" t="str">
            <v>(USD millions)</v>
          </cell>
          <cell r="M6">
            <v>1</v>
          </cell>
          <cell r="N6">
            <v>2</v>
          </cell>
          <cell r="O6">
            <v>3</v>
          </cell>
          <cell r="P6">
            <v>4</v>
          </cell>
          <cell r="Q6">
            <v>1</v>
          </cell>
          <cell r="R6">
            <v>2</v>
          </cell>
          <cell r="S6">
            <v>3</v>
          </cell>
          <cell r="T6">
            <v>4</v>
          </cell>
          <cell r="U6">
            <v>1</v>
          </cell>
          <cell r="V6">
            <v>2</v>
          </cell>
          <cell r="W6">
            <v>3</v>
          </cell>
          <cell r="X6">
            <v>4</v>
          </cell>
          <cell r="Y6">
            <v>1</v>
          </cell>
          <cell r="Z6">
            <v>2</v>
          </cell>
          <cell r="AA6">
            <v>3</v>
          </cell>
          <cell r="AB6">
            <v>4</v>
          </cell>
          <cell r="AC6">
            <v>1</v>
          </cell>
          <cell r="AD6">
            <v>2</v>
          </cell>
          <cell r="AE6">
            <v>3</v>
          </cell>
          <cell r="AF6">
            <v>4</v>
          </cell>
          <cell r="AG6">
            <v>1</v>
          </cell>
          <cell r="AH6">
            <v>2</v>
          </cell>
          <cell r="AI6">
            <v>3</v>
          </cell>
          <cell r="AJ6">
            <v>4</v>
          </cell>
          <cell r="AK6">
            <v>1</v>
          </cell>
          <cell r="AL6">
            <v>2</v>
          </cell>
          <cell r="AM6">
            <v>3</v>
          </cell>
          <cell r="AN6">
            <v>4</v>
          </cell>
        </row>
        <row r="8">
          <cell r="I8" t="str">
            <v>Gross Bookings Build-Up</v>
          </cell>
        </row>
        <row r="9">
          <cell r="I9" t="str">
            <v xml:space="preserve">Merchant </v>
          </cell>
          <cell r="M9">
            <v>266.315</v>
          </cell>
          <cell r="N9">
            <v>318.06599999999997</v>
          </cell>
          <cell r="O9">
            <v>302.762</v>
          </cell>
          <cell r="P9">
            <v>251.34</v>
          </cell>
          <cell r="Q9">
            <v>287.96300000000002</v>
          </cell>
          <cell r="R9">
            <v>315.65100000000001</v>
          </cell>
          <cell r="S9">
            <v>348.06400000000002</v>
          </cell>
          <cell r="T9">
            <v>292.63299999999998</v>
          </cell>
          <cell r="U9">
            <v>388.49299999999999</v>
          </cell>
          <cell r="V9">
            <v>453.19</v>
          </cell>
          <cell r="W9">
            <v>446.73399999999998</v>
          </cell>
          <cell r="X9">
            <v>373.089</v>
          </cell>
          <cell r="Y9">
            <v>473.62799999999999</v>
          </cell>
          <cell r="Z9">
            <v>554.55999999999995</v>
          </cell>
          <cell r="AA9">
            <v>592.27499999999998</v>
          </cell>
          <cell r="AB9">
            <v>498.15899999999999</v>
          </cell>
          <cell r="AC9">
            <v>591.13</v>
          </cell>
          <cell r="AD9">
            <v>727.21500000000003</v>
          </cell>
          <cell r="AE9">
            <v>838</v>
          </cell>
          <cell r="AF9">
            <v>708</v>
          </cell>
          <cell r="AG9">
            <v>884</v>
          </cell>
          <cell r="AH9">
            <v>1055</v>
          </cell>
          <cell r="AI9">
            <v>1136</v>
          </cell>
          <cell r="AJ9">
            <v>949.00731524406183</v>
          </cell>
          <cell r="AK9">
            <v>1112.6233576501836</v>
          </cell>
          <cell r="AL9">
            <v>1339.0010273855592</v>
          </cell>
          <cell r="AM9">
            <v>1523.8350547593855</v>
          </cell>
          <cell r="AN9">
            <v>1263.7258347674435</v>
          </cell>
        </row>
        <row r="10">
          <cell r="I10" t="str">
            <v xml:space="preserve">Agency </v>
          </cell>
          <cell r="M10">
            <v>480.50599999999997</v>
          </cell>
          <cell r="N10">
            <v>609.28399999999999</v>
          </cell>
          <cell r="O10">
            <v>600.40599999999995</v>
          </cell>
          <cell r="P10">
            <v>491.07</v>
          </cell>
          <cell r="Q10">
            <v>710.52800000000002</v>
          </cell>
          <cell r="R10">
            <v>919.26</v>
          </cell>
          <cell r="S10">
            <v>1042.6189999999999</v>
          </cell>
          <cell r="T10">
            <v>912.69799999999998</v>
          </cell>
          <cell r="U10">
            <v>1370.1189999999999</v>
          </cell>
          <cell r="V10">
            <v>1656.7750000000001</v>
          </cell>
          <cell r="W10">
            <v>1603.693</v>
          </cell>
          <cell r="X10">
            <v>1108.0239999999999</v>
          </cell>
          <cell r="Y10">
            <v>1469.9559999999999</v>
          </cell>
          <cell r="Z10">
            <v>1824.6179999999999</v>
          </cell>
          <cell r="AA10">
            <v>2130.5709999999999</v>
          </cell>
          <cell r="AB10">
            <v>1766.2950000000001</v>
          </cell>
          <cell r="AC10">
            <v>2373.5650000000001</v>
          </cell>
          <cell r="AD10">
            <v>2682.9650000000001</v>
          </cell>
          <cell r="AE10">
            <v>3168</v>
          </cell>
          <cell r="AF10">
            <v>2557</v>
          </cell>
          <cell r="AG10">
            <v>3781</v>
          </cell>
          <cell r="AH10">
            <v>4725</v>
          </cell>
          <cell r="AI10">
            <v>5121</v>
          </cell>
          <cell r="AJ10">
            <v>3707.880058667145</v>
          </cell>
          <cell r="AK10">
            <v>4970.0361273072558</v>
          </cell>
          <cell r="AL10">
            <v>6206.6949388255107</v>
          </cell>
          <cell r="AM10">
            <v>6808.721784176314</v>
          </cell>
          <cell r="AN10">
            <v>4834.0348947752182</v>
          </cell>
        </row>
        <row r="11">
          <cell r="I11" t="str">
            <v>Total Gross Bookings</v>
          </cell>
          <cell r="M11">
            <v>746.82099999999991</v>
          </cell>
          <cell r="N11">
            <v>927.34999999999991</v>
          </cell>
          <cell r="O11">
            <v>903.16799999999989</v>
          </cell>
          <cell r="P11">
            <v>742.41</v>
          </cell>
          <cell r="Q11">
            <v>998.49099999999999</v>
          </cell>
          <cell r="R11">
            <v>1234.9110000000001</v>
          </cell>
          <cell r="S11">
            <v>1390.683</v>
          </cell>
          <cell r="T11">
            <v>1205.3309999999999</v>
          </cell>
          <cell r="U11">
            <v>1758.6119999999999</v>
          </cell>
          <cell r="V11">
            <v>2109.9650000000001</v>
          </cell>
          <cell r="W11">
            <v>2050.4270000000001</v>
          </cell>
          <cell r="X11">
            <v>1481.1129999999998</v>
          </cell>
          <cell r="Y11">
            <v>1943.5839999999998</v>
          </cell>
          <cell r="Z11">
            <v>2379.1779999999999</v>
          </cell>
          <cell r="AA11">
            <v>2722.846</v>
          </cell>
          <cell r="AB11">
            <v>2264.4540000000002</v>
          </cell>
          <cell r="AC11">
            <v>2964.6950000000002</v>
          </cell>
          <cell r="AD11">
            <v>3410.1800000000003</v>
          </cell>
          <cell r="AE11">
            <v>4006</v>
          </cell>
          <cell r="AF11">
            <v>3265</v>
          </cell>
          <cell r="AG11">
            <v>4665</v>
          </cell>
          <cell r="AH11">
            <v>5780</v>
          </cell>
          <cell r="AI11">
            <v>6257</v>
          </cell>
          <cell r="AJ11">
            <v>4656.8873739112069</v>
          </cell>
          <cell r="AK11">
            <v>6082.6594849574394</v>
          </cell>
          <cell r="AL11">
            <v>7545.6959662110694</v>
          </cell>
          <cell r="AM11">
            <v>8332.5568389356995</v>
          </cell>
          <cell r="AN11">
            <v>6097.7607295426615</v>
          </cell>
        </row>
        <row r="12">
          <cell r="I12" t="str">
            <v>y/y Growth - %</v>
          </cell>
          <cell r="Q12">
            <v>0.33698838141937637</v>
          </cell>
          <cell r="R12">
            <v>0.33165579338976681</v>
          </cell>
          <cell r="S12">
            <v>0.53978329613095255</v>
          </cell>
          <cell r="T12">
            <v>0.6235382066513111</v>
          </cell>
          <cell r="U12">
            <v>0.76126975606189728</v>
          </cell>
          <cell r="V12">
            <v>0.70859681385946027</v>
          </cell>
          <cell r="W12">
            <v>0.47440286535464948</v>
          </cell>
          <cell r="X12">
            <v>0.22880188097709264</v>
          </cell>
          <cell r="Y12">
            <v>0.1051806765790293</v>
          </cell>
          <cell r="Z12">
            <v>0.12759121596803724</v>
          </cell>
          <cell r="AA12">
            <v>0.32794096059015998</v>
          </cell>
          <cell r="AB12">
            <v>0.52888672235001688</v>
          </cell>
          <cell r="AC12">
            <v>0.52537528606944717</v>
          </cell>
          <cell r="AD12">
            <v>0.43334378512242488</v>
          </cell>
          <cell r="AE12">
            <v>0.47125470922703672</v>
          </cell>
          <cell r="AF12">
            <v>0.44184867522148807</v>
          </cell>
          <cell r="AG12">
            <v>0.57351768057085128</v>
          </cell>
          <cell r="AH12">
            <v>0.69492519456450963</v>
          </cell>
          <cell r="AI12">
            <v>0.56190713929106351</v>
          </cell>
          <cell r="AJ12">
            <v>0.42630547439853195</v>
          </cell>
          <cell r="AK12">
            <v>0.30389270845818639</v>
          </cell>
          <cell r="AL12">
            <v>0.30548373117838579</v>
          </cell>
          <cell r="AM12">
            <v>0.33171757055069517</v>
          </cell>
          <cell r="AN12">
            <v>0.30940695789713724</v>
          </cell>
        </row>
        <row r="13">
          <cell r="I13" t="str">
            <v>y/y Growth - % (ex F/X)</v>
          </cell>
          <cell r="AC13">
            <v>0.48008575909248075</v>
          </cell>
          <cell r="AD13">
            <v>0.47893306007368919</v>
          </cell>
          <cell r="AE13">
            <v>0.53872822774405904</v>
          </cell>
          <cell r="AF13">
            <v>0.4785599530836131</v>
          </cell>
          <cell r="AG13">
            <v>0.5672691457299992</v>
          </cell>
          <cell r="AH13">
            <v>0.56442181937610347</v>
          </cell>
          <cell r="AI13">
            <v>0.47887918122815765</v>
          </cell>
          <cell r="AJ13">
            <v>0.42621560697717031</v>
          </cell>
          <cell r="AK13">
            <v>0.32929079800209116</v>
          </cell>
          <cell r="AL13">
            <v>0.36280193113816694</v>
          </cell>
          <cell r="AM13">
            <v>0.38031960312090307</v>
          </cell>
          <cell r="AN13">
            <v>0.32599983877014771</v>
          </cell>
        </row>
        <row r="14">
          <cell r="I14" t="str">
            <v>Company Guidance - Bookings incl F/X Y/Y</v>
          </cell>
          <cell r="AC14" t="str">
            <v>42-48%</v>
          </cell>
          <cell r="AD14" t="str">
            <v>32.5-37.5%</v>
          </cell>
          <cell r="AE14" t="str">
            <v>33-38%</v>
          </cell>
          <cell r="AF14" t="str">
            <v>36-41%</v>
          </cell>
          <cell r="AG14" t="str">
            <v>45-50%</v>
          </cell>
          <cell r="AH14" t="str">
            <v>53-58%</v>
          </cell>
          <cell r="AI14" t="str">
            <v>47-52%</v>
          </cell>
          <cell r="AJ14" t="str">
            <v>39 - 44%</v>
          </cell>
        </row>
        <row r="16">
          <cell r="I16" t="str">
            <v>Revenue Build-Up</v>
          </cell>
        </row>
        <row r="17">
          <cell r="I17" t="str">
            <v xml:space="preserve">Merchant </v>
          </cell>
          <cell r="M17">
            <v>210.43799999999999</v>
          </cell>
          <cell r="N17">
            <v>250.524</v>
          </cell>
          <cell r="O17">
            <v>238.55799999999999</v>
          </cell>
          <cell r="P17">
            <v>204.649</v>
          </cell>
          <cell r="Q17">
            <v>230.13299999999998</v>
          </cell>
          <cell r="R17">
            <v>252.59099999999998</v>
          </cell>
          <cell r="S17">
            <v>274.81600000000003</v>
          </cell>
          <cell r="T17">
            <v>226.69300000000001</v>
          </cell>
          <cell r="U17">
            <v>289.15899999999999</v>
          </cell>
          <cell r="V17">
            <v>336.23</v>
          </cell>
          <cell r="W17">
            <v>323.95699999999999</v>
          </cell>
          <cell r="X17">
            <v>268.81599999999997</v>
          </cell>
          <cell r="Y17">
            <v>337.03399999999999</v>
          </cell>
          <cell r="Z17">
            <v>392.822</v>
          </cell>
          <cell r="AA17">
            <v>400.31400000000002</v>
          </cell>
          <cell r="AB17">
            <v>317.40699999999998</v>
          </cell>
          <cell r="AC17">
            <v>368.26499999999999</v>
          </cell>
          <cell r="AD17">
            <v>446.66899999999998</v>
          </cell>
          <cell r="AE17">
            <v>494.47300000000001</v>
          </cell>
          <cell r="AF17">
            <v>382.23399999999998</v>
          </cell>
          <cell r="AG17">
            <v>454.80399999999997</v>
          </cell>
          <cell r="AH17">
            <v>530.53</v>
          </cell>
          <cell r="AI17">
            <v>573.23</v>
          </cell>
          <cell r="AJ17">
            <v>446.6857167439311</v>
          </cell>
          <cell r="AK17">
            <v>521.26062775905655</v>
          </cell>
          <cell r="AL17">
            <v>612.71336792662964</v>
          </cell>
          <cell r="AM17">
            <v>678.42328499717064</v>
          </cell>
          <cell r="AN17">
            <v>525.88236287621567</v>
          </cell>
        </row>
        <row r="18">
          <cell r="I18" t="str">
            <v xml:space="preserve">Agency </v>
          </cell>
          <cell r="M18">
            <v>30.381</v>
          </cell>
          <cell r="N18">
            <v>55.892000000000003</v>
          </cell>
          <cell r="O18">
            <v>73.325999999999993</v>
          </cell>
          <cell r="P18">
            <v>54.301000000000002</v>
          </cell>
          <cell r="Q18">
            <v>54.511000000000003</v>
          </cell>
          <cell r="R18">
            <v>98.343999999999994</v>
          </cell>
          <cell r="S18">
            <v>139.62299999999999</v>
          </cell>
          <cell r="T18">
            <v>105.768</v>
          </cell>
          <cell r="U18">
            <v>109.932</v>
          </cell>
          <cell r="V18">
            <v>173.249</v>
          </cell>
          <cell r="W18">
            <v>232.63800000000001</v>
          </cell>
          <cell r="X18">
            <v>132.97300000000001</v>
          </cell>
          <cell r="Y18">
            <v>120.22499999999999</v>
          </cell>
          <cell r="Z18">
            <v>204.48500000000001</v>
          </cell>
          <cell r="AA18">
            <v>323.18799999999999</v>
          </cell>
          <cell r="AB18">
            <v>220.49600000000001</v>
          </cell>
          <cell r="AC18">
            <v>213.24199999999999</v>
          </cell>
          <cell r="AD18">
            <v>317.512</v>
          </cell>
          <cell r="AE18">
            <v>504.01</v>
          </cell>
          <cell r="AF18">
            <v>345.83800000000002</v>
          </cell>
          <cell r="AG18">
            <v>351.42200000000003</v>
          </cell>
          <cell r="AH18">
            <v>569.18100000000004</v>
          </cell>
          <cell r="AI18">
            <v>876.601</v>
          </cell>
          <cell r="AJ18">
            <v>516.06051599014324</v>
          </cell>
          <cell r="AK18">
            <v>479.43720354145313</v>
          </cell>
          <cell r="AL18">
            <v>758.23969826511734</v>
          </cell>
          <cell r="AM18">
            <v>1141.8719697332156</v>
          </cell>
          <cell r="AN18">
            <v>668.26935515274067</v>
          </cell>
        </row>
        <row r="19">
          <cell r="I19" t="str">
            <v>Other</v>
          </cell>
          <cell r="M19">
            <v>1.095</v>
          </cell>
          <cell r="N19">
            <v>1.2350000000000001</v>
          </cell>
          <cell r="O19">
            <v>1.583</v>
          </cell>
          <cell r="P19">
            <v>1.121</v>
          </cell>
          <cell r="Q19">
            <v>0.86699999999999999</v>
          </cell>
          <cell r="R19">
            <v>2.6269999999999998</v>
          </cell>
          <cell r="S19">
            <v>2.4529999999999998</v>
          </cell>
          <cell r="T19">
            <v>2.3919999999999999</v>
          </cell>
          <cell r="U19">
            <v>4.0890000000000004</v>
          </cell>
          <cell r="V19">
            <v>4.4969999999999999</v>
          </cell>
          <cell r="W19">
            <v>5.0140000000000002</v>
          </cell>
          <cell r="X19">
            <v>4.2519999999999998</v>
          </cell>
          <cell r="Y19">
            <v>4.7990000000000004</v>
          </cell>
          <cell r="Z19">
            <v>6.4340000000000002</v>
          </cell>
          <cell r="AA19">
            <v>7.1580000000000004</v>
          </cell>
          <cell r="AB19">
            <v>3.85</v>
          </cell>
          <cell r="AC19">
            <v>2.887</v>
          </cell>
          <cell r="AD19">
            <v>3.258</v>
          </cell>
          <cell r="AE19">
            <v>3.274</v>
          </cell>
          <cell r="AF19">
            <v>3.2440000000000002</v>
          </cell>
          <cell r="AG19">
            <v>3.0939999999999999</v>
          </cell>
          <cell r="AH19">
            <v>3.0049999999999999</v>
          </cell>
          <cell r="AI19">
            <v>2.9729999999999999</v>
          </cell>
          <cell r="AJ19">
            <v>3.2440000000000002</v>
          </cell>
          <cell r="AK19">
            <v>3.0939999999999999</v>
          </cell>
          <cell r="AL19">
            <v>3.0049999999999999</v>
          </cell>
          <cell r="AM19">
            <v>2.9729999999999999</v>
          </cell>
          <cell r="AN19">
            <v>3.2440000000000002</v>
          </cell>
        </row>
        <row r="20">
          <cell r="I20" t="str">
            <v>Total Revenue</v>
          </cell>
          <cell r="M20">
            <v>241.91399999999999</v>
          </cell>
          <cell r="N20">
            <v>307.65100000000001</v>
          </cell>
          <cell r="O20">
            <v>313.46700000000004</v>
          </cell>
          <cell r="P20">
            <v>260.07099999999997</v>
          </cell>
          <cell r="Q20">
            <v>285.51100000000002</v>
          </cell>
          <cell r="R20">
            <v>353.56199999999995</v>
          </cell>
          <cell r="S20">
            <v>416.892</v>
          </cell>
          <cell r="T20">
            <v>334.85300000000001</v>
          </cell>
          <cell r="U20">
            <v>403.18</v>
          </cell>
          <cell r="V20">
            <v>513.976</v>
          </cell>
          <cell r="W20">
            <v>561.60900000000004</v>
          </cell>
          <cell r="X20">
            <v>406.041</v>
          </cell>
          <cell r="Y20">
            <v>462.05799999999999</v>
          </cell>
          <cell r="Z20">
            <v>603.74099999999999</v>
          </cell>
          <cell r="AA20">
            <v>730.66</v>
          </cell>
          <cell r="AB20">
            <v>541.75300000000004</v>
          </cell>
          <cell r="AC20">
            <v>584.39399999999989</v>
          </cell>
          <cell r="AD20">
            <v>767.43900000000008</v>
          </cell>
          <cell r="AE20">
            <v>1001.7569999999999</v>
          </cell>
          <cell r="AF20">
            <v>731.31600000000003</v>
          </cell>
          <cell r="AG20">
            <v>809.32</v>
          </cell>
          <cell r="AH20">
            <v>1102.7160000000001</v>
          </cell>
          <cell r="AI20">
            <v>1452.8040000000001</v>
          </cell>
          <cell r="AJ20">
            <v>965.99023273407431</v>
          </cell>
          <cell r="AK20">
            <v>1003.7918313005098</v>
          </cell>
          <cell r="AL20">
            <v>1373.9580661917471</v>
          </cell>
          <cell r="AM20">
            <v>1823.2682547303862</v>
          </cell>
          <cell r="AN20">
            <v>1197.3957180289563</v>
          </cell>
        </row>
        <row r="21">
          <cell r="I21" t="str">
            <v>y/y Growth - %</v>
          </cell>
          <cell r="Q21">
            <v>0.18021693659730342</v>
          </cell>
          <cell r="R21">
            <v>0.14923078423278313</v>
          </cell>
          <cell r="S21">
            <v>0.32993903664500546</v>
          </cell>
          <cell r="T21">
            <v>0.28754455514071187</v>
          </cell>
          <cell r="U21">
            <v>0.41213473386314359</v>
          </cell>
          <cell r="V21">
            <v>0.45370826050310864</v>
          </cell>
          <cell r="W21">
            <v>0.34713307043550867</v>
          </cell>
          <cell r="X21">
            <v>0.21259478039617385</v>
          </cell>
          <cell r="Y21">
            <v>0.14603402946574717</v>
          </cell>
          <cell r="Z21">
            <v>0.17464823260230045</v>
          </cell>
          <cell r="AA21">
            <v>0.30101191398285976</v>
          </cell>
          <cell r="AB21">
            <v>0.33423225733361916</v>
          </cell>
          <cell r="AC21">
            <v>0.26476329811408927</v>
          </cell>
          <cell r="AD21">
            <v>0.27113944555695246</v>
          </cell>
          <cell r="AE21">
            <v>0.37103030137136295</v>
          </cell>
          <cell r="AF21">
            <v>0.34990669179496914</v>
          </cell>
          <cell r="AG21">
            <v>0.38488759295954478</v>
          </cell>
          <cell r="AH21">
            <v>0.43687771927149921</v>
          </cell>
          <cell r="AI21">
            <v>0.4502559003830271</v>
          </cell>
          <cell r="AJ21">
            <v>0.32089306501440462</v>
          </cell>
          <cell r="AK21">
            <v>0.24029040589693773</v>
          </cell>
          <cell r="AL21">
            <v>0.24597635854721145</v>
          </cell>
          <cell r="AM21">
            <v>0.25499947324648486</v>
          </cell>
          <cell r="AN21">
            <v>0.2395526139430284</v>
          </cell>
        </row>
        <row r="22">
          <cell r="I22" t="str">
            <v>y/y Growth - % (ex F/X)</v>
          </cell>
          <cell r="AC22">
            <v>0.24167961597894605</v>
          </cell>
          <cell r="AD22">
            <v>0.2866560329677792</v>
          </cell>
          <cell r="AE22">
            <v>0.42498152355404706</v>
          </cell>
          <cell r="AF22">
            <v>0.37791761190062623</v>
          </cell>
          <cell r="AG22">
            <v>0.38006550375260573</v>
          </cell>
          <cell r="AH22">
            <v>0.3570616035932499</v>
          </cell>
          <cell r="AI22">
            <v>0.38944274908984933</v>
          </cell>
          <cell r="AJ22">
            <v>0.32082941007493093</v>
          </cell>
          <cell r="AK22">
            <v>0.25639988136070913</v>
          </cell>
          <cell r="AL22">
            <v>0.28715239427100214</v>
          </cell>
          <cell r="AM22">
            <v>0.29498409176440044</v>
          </cell>
          <cell r="AN22">
            <v>0.25232371875882942</v>
          </cell>
        </row>
        <row r="23">
          <cell r="I23" t="str">
            <v>Company Guidance - Revenue incl F/X Y/Y</v>
          </cell>
          <cell r="AC23" t="str">
            <v>23-27%</v>
          </cell>
          <cell r="AD23" t="str">
            <v>18-23%</v>
          </cell>
          <cell r="AE23" t="str">
            <v>29-34%</v>
          </cell>
          <cell r="AF23" t="str">
            <v>31-36%</v>
          </cell>
          <cell r="AG23" t="str">
            <v>29-34%</v>
          </cell>
          <cell r="AH23" t="str">
            <v>36-41%</v>
          </cell>
          <cell r="AI23" t="str">
            <v>37-42%</v>
          </cell>
          <cell r="AJ23" t="str">
            <v>27-32%</v>
          </cell>
        </row>
        <row r="25">
          <cell r="I25" t="str">
            <v>Cost of Revenue Build-Up</v>
          </cell>
        </row>
        <row r="26">
          <cell r="I26" t="str">
            <v>Merchant</v>
          </cell>
          <cell r="M26">
            <v>169.68299999999999</v>
          </cell>
          <cell r="N26">
            <v>201.84700000000001</v>
          </cell>
          <cell r="O26">
            <v>189.92</v>
          </cell>
          <cell r="P26">
            <v>160.554</v>
          </cell>
          <cell r="Q26">
            <v>181.672</v>
          </cell>
          <cell r="R26">
            <v>198.66900000000001</v>
          </cell>
          <cell r="S26">
            <v>214.95599999999999</v>
          </cell>
          <cell r="T26">
            <v>174.70099999999999</v>
          </cell>
          <cell r="U26">
            <v>222.077</v>
          </cell>
          <cell r="V26">
            <v>260.25099999999998</v>
          </cell>
          <cell r="W26">
            <v>245.53100000000001</v>
          </cell>
          <cell r="X26">
            <v>200.976</v>
          </cell>
          <cell r="Y26">
            <v>253.72800000000001</v>
          </cell>
          <cell r="Z26">
            <v>298.50299999999999</v>
          </cell>
          <cell r="AA26">
            <v>296.654</v>
          </cell>
          <cell r="AB26">
            <v>228.56399999999999</v>
          </cell>
          <cell r="AC26">
            <v>265.27800000000002</v>
          </cell>
          <cell r="AD26">
            <v>322.18400000000003</v>
          </cell>
          <cell r="AE26">
            <v>335.56900000000002</v>
          </cell>
          <cell r="AF26">
            <v>252.90299999999999</v>
          </cell>
          <cell r="AG26">
            <v>303.512</v>
          </cell>
          <cell r="AH26">
            <v>353.48899999999998</v>
          </cell>
          <cell r="AI26">
            <v>352.65600000000001</v>
          </cell>
          <cell r="AJ26">
            <v>274.87916999999993</v>
          </cell>
          <cell r="AK26">
            <v>332.76893385599999</v>
          </cell>
          <cell r="AL26">
            <v>390.38298726400012</v>
          </cell>
          <cell r="AM26">
            <v>389.96650415000005</v>
          </cell>
          <cell r="AN26">
            <v>301.65772140000001</v>
          </cell>
        </row>
        <row r="27">
          <cell r="I27" t="str">
            <v>Agency</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row>
        <row r="28">
          <cell r="I28" t="str">
            <v>Other</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row>
        <row r="29">
          <cell r="I29" t="str">
            <v>Total Cost of Revenue</v>
          </cell>
          <cell r="M29">
            <v>169.68299999999999</v>
          </cell>
          <cell r="N29">
            <v>201.84700000000001</v>
          </cell>
          <cell r="O29">
            <v>189.92</v>
          </cell>
          <cell r="P29">
            <v>160.554</v>
          </cell>
          <cell r="Q29">
            <v>181.672</v>
          </cell>
          <cell r="R29">
            <v>198.66900000000001</v>
          </cell>
          <cell r="S29">
            <v>214.95599999999999</v>
          </cell>
          <cell r="T29">
            <v>174.70099999999999</v>
          </cell>
          <cell r="U29">
            <v>222.077</v>
          </cell>
          <cell r="V29">
            <v>260.25099999999998</v>
          </cell>
          <cell r="W29">
            <v>245.53100000000001</v>
          </cell>
          <cell r="X29">
            <v>200.976</v>
          </cell>
          <cell r="Y29">
            <v>253.72800000000001</v>
          </cell>
          <cell r="Z29">
            <v>298.50299999999999</v>
          </cell>
          <cell r="AA29">
            <v>296.654</v>
          </cell>
          <cell r="AB29">
            <v>228.56399999999999</v>
          </cell>
          <cell r="AC29">
            <v>265.27800000000002</v>
          </cell>
          <cell r="AD29">
            <v>322.18400000000003</v>
          </cell>
          <cell r="AE29">
            <v>335.56900000000002</v>
          </cell>
          <cell r="AF29">
            <v>252.90299999999999</v>
          </cell>
          <cell r="AG29">
            <v>303.512</v>
          </cell>
          <cell r="AH29">
            <v>353.48899999999998</v>
          </cell>
          <cell r="AI29">
            <v>352.65600000000001</v>
          </cell>
          <cell r="AJ29">
            <v>274.87916999999993</v>
          </cell>
          <cell r="AK29">
            <v>332.76893385599999</v>
          </cell>
          <cell r="AL29">
            <v>390.38298726400012</v>
          </cell>
          <cell r="AM29">
            <v>389.96650415000005</v>
          </cell>
          <cell r="AN29">
            <v>301.65772140000001</v>
          </cell>
        </row>
        <row r="31">
          <cell r="I31" t="str">
            <v>Gross Profit Build-Up</v>
          </cell>
        </row>
        <row r="32">
          <cell r="I32" t="str">
            <v xml:space="preserve">Merchant </v>
          </cell>
          <cell r="M32">
            <v>40.754999999999995</v>
          </cell>
          <cell r="N32">
            <v>48.676999999999992</v>
          </cell>
          <cell r="O32">
            <v>48.638000000000005</v>
          </cell>
          <cell r="P32">
            <v>44.094999999999999</v>
          </cell>
          <cell r="Q32">
            <v>48.460999999999984</v>
          </cell>
          <cell r="R32">
            <v>53.921999999999969</v>
          </cell>
          <cell r="S32">
            <v>59.860000000000042</v>
          </cell>
          <cell r="T32">
            <v>51.992000000000019</v>
          </cell>
          <cell r="U32">
            <v>67.081999999999994</v>
          </cell>
          <cell r="V32">
            <v>75.979000000000042</v>
          </cell>
          <cell r="W32">
            <v>78.425999999999988</v>
          </cell>
          <cell r="X32">
            <v>67.839999999999975</v>
          </cell>
          <cell r="Y32">
            <v>83.305999999999983</v>
          </cell>
          <cell r="Z32">
            <v>94.319000000000017</v>
          </cell>
          <cell r="AA32">
            <v>103.66000000000003</v>
          </cell>
          <cell r="AB32">
            <v>88.842999999999989</v>
          </cell>
          <cell r="AC32">
            <v>102.98699999999997</v>
          </cell>
          <cell r="AD32">
            <v>124.48499999999996</v>
          </cell>
          <cell r="AE32">
            <v>158.904</v>
          </cell>
          <cell r="AF32">
            <v>129.33099999999999</v>
          </cell>
          <cell r="AG32">
            <v>151.29199999999997</v>
          </cell>
          <cell r="AH32">
            <v>177.041</v>
          </cell>
          <cell r="AI32">
            <v>220.57400000000001</v>
          </cell>
          <cell r="AJ32">
            <v>171.80654674393114</v>
          </cell>
          <cell r="AK32">
            <v>188.49169390305656</v>
          </cell>
          <cell r="AL32">
            <v>222.33038066262949</v>
          </cell>
          <cell r="AM32">
            <v>288.45678084717059</v>
          </cell>
          <cell r="AN32">
            <v>224.22464147621568</v>
          </cell>
        </row>
        <row r="33">
          <cell r="I33" t="str">
            <v xml:space="preserve">Agency </v>
          </cell>
          <cell r="M33">
            <v>30.381</v>
          </cell>
          <cell r="N33">
            <v>55.892000000000003</v>
          </cell>
          <cell r="O33">
            <v>73.325999999999993</v>
          </cell>
          <cell r="P33">
            <v>54.301000000000002</v>
          </cell>
          <cell r="Q33">
            <v>54.511000000000003</v>
          </cell>
          <cell r="R33">
            <v>98.343999999999994</v>
          </cell>
          <cell r="S33">
            <v>139.62299999999999</v>
          </cell>
          <cell r="T33">
            <v>105.768</v>
          </cell>
          <cell r="U33">
            <v>109.932</v>
          </cell>
          <cell r="V33">
            <v>173.249</v>
          </cell>
          <cell r="W33">
            <v>232.63800000000001</v>
          </cell>
          <cell r="X33">
            <v>132.97300000000001</v>
          </cell>
          <cell r="Y33">
            <v>120.22499999999999</v>
          </cell>
          <cell r="Z33">
            <v>204.48500000000001</v>
          </cell>
          <cell r="AA33">
            <v>323.18799999999999</v>
          </cell>
          <cell r="AB33">
            <v>220.49600000000001</v>
          </cell>
          <cell r="AC33">
            <v>213.24199999999999</v>
          </cell>
          <cell r="AD33">
            <v>317.512</v>
          </cell>
          <cell r="AE33">
            <v>504.01</v>
          </cell>
          <cell r="AF33">
            <v>345.83800000000002</v>
          </cell>
          <cell r="AG33">
            <v>351.42200000000003</v>
          </cell>
          <cell r="AH33">
            <v>569.18100000000004</v>
          </cell>
          <cell r="AI33">
            <v>876.601</v>
          </cell>
          <cell r="AJ33">
            <v>516.06051599014324</v>
          </cell>
          <cell r="AK33">
            <v>479.43720354145313</v>
          </cell>
          <cell r="AL33">
            <v>758.23969826511734</v>
          </cell>
          <cell r="AM33">
            <v>1141.8719697332156</v>
          </cell>
          <cell r="AN33">
            <v>668.26935515274067</v>
          </cell>
        </row>
        <row r="34">
          <cell r="I34" t="str">
            <v>Other</v>
          </cell>
          <cell r="M34">
            <v>1.095</v>
          </cell>
          <cell r="N34">
            <v>1.2350000000000001</v>
          </cell>
          <cell r="O34">
            <v>1.583</v>
          </cell>
          <cell r="P34">
            <v>1.121</v>
          </cell>
          <cell r="Q34">
            <v>0.86699999999999999</v>
          </cell>
          <cell r="R34">
            <v>2.6269999999999998</v>
          </cell>
          <cell r="S34">
            <v>2.4529999999999998</v>
          </cell>
          <cell r="T34">
            <v>2.3919999999999999</v>
          </cell>
          <cell r="U34">
            <v>4.0890000000000004</v>
          </cell>
          <cell r="V34">
            <v>4.4969999999999999</v>
          </cell>
          <cell r="W34">
            <v>5.0140000000000002</v>
          </cell>
          <cell r="X34">
            <v>4.2519999999999998</v>
          </cell>
          <cell r="Y34">
            <v>4.7990000000000004</v>
          </cell>
          <cell r="Z34">
            <v>6.4340000000000002</v>
          </cell>
          <cell r="AA34">
            <v>7.1580000000000004</v>
          </cell>
          <cell r="AB34">
            <v>3.85</v>
          </cell>
          <cell r="AC34">
            <v>2.887</v>
          </cell>
          <cell r="AD34">
            <v>3.258</v>
          </cell>
          <cell r="AE34">
            <v>3.274</v>
          </cell>
          <cell r="AF34">
            <v>3.2440000000000002</v>
          </cell>
          <cell r="AG34">
            <v>3.0939999999999999</v>
          </cell>
          <cell r="AH34">
            <v>3.0049999999999999</v>
          </cell>
          <cell r="AI34">
            <v>2.9729999999999999</v>
          </cell>
          <cell r="AJ34">
            <v>3.2440000000000002</v>
          </cell>
          <cell r="AK34">
            <v>3.0939999999999999</v>
          </cell>
          <cell r="AL34">
            <v>3.0049999999999999</v>
          </cell>
          <cell r="AM34">
            <v>2.9729999999999999</v>
          </cell>
          <cell r="AN34">
            <v>3.2440000000000002</v>
          </cell>
        </row>
        <row r="35">
          <cell r="I35" t="str">
            <v>Total Gross Profit</v>
          </cell>
          <cell r="M35">
            <v>72.230999999999995</v>
          </cell>
          <cell r="N35">
            <v>105.80399999999999</v>
          </cell>
          <cell r="O35">
            <v>123.547</v>
          </cell>
          <cell r="P35">
            <v>99.516999999999996</v>
          </cell>
          <cell r="Q35">
            <v>103.83899999999998</v>
          </cell>
          <cell r="R35">
            <v>154.89299999999997</v>
          </cell>
          <cell r="S35">
            <v>201.93600000000004</v>
          </cell>
          <cell r="T35">
            <v>160.15200000000002</v>
          </cell>
          <cell r="U35">
            <v>181.10300000000001</v>
          </cell>
          <cell r="V35">
            <v>253.72500000000002</v>
          </cell>
          <cell r="W35">
            <v>316.07799999999997</v>
          </cell>
          <cell r="X35">
            <v>205.065</v>
          </cell>
          <cell r="Y35">
            <v>208.32999999999998</v>
          </cell>
          <cell r="Z35">
            <v>305.23800000000006</v>
          </cell>
          <cell r="AA35">
            <v>434.00600000000003</v>
          </cell>
          <cell r="AB35">
            <v>313.18900000000002</v>
          </cell>
          <cell r="AC35">
            <v>319.11599999999993</v>
          </cell>
          <cell r="AD35">
            <v>445.25499999999994</v>
          </cell>
          <cell r="AE35">
            <v>666.18799999999999</v>
          </cell>
          <cell r="AF35">
            <v>478.41300000000001</v>
          </cell>
          <cell r="AG35">
            <v>505.80799999999999</v>
          </cell>
          <cell r="AH35">
            <v>749.22699999999998</v>
          </cell>
          <cell r="AI35">
            <v>1100.1479999999999</v>
          </cell>
          <cell r="AJ35">
            <v>691.11106273407438</v>
          </cell>
          <cell r="AK35">
            <v>671.02289744450968</v>
          </cell>
          <cell r="AL35">
            <v>983.57507892774686</v>
          </cell>
          <cell r="AM35">
            <v>1433.3017505803862</v>
          </cell>
          <cell r="AN35">
            <v>895.73799662895635</v>
          </cell>
        </row>
        <row r="36">
          <cell r="I36" t="str">
            <v>y/y Growth - %</v>
          </cell>
          <cell r="Q36">
            <v>0.43759604601902224</v>
          </cell>
          <cell r="R36">
            <v>0.46396166496540769</v>
          </cell>
          <cell r="S36">
            <v>0.63448728014439881</v>
          </cell>
          <cell r="T36">
            <v>0.60929288463277653</v>
          </cell>
          <cell r="U36">
            <v>0.74407496220110003</v>
          </cell>
          <cell r="V36">
            <v>0.63806627801127269</v>
          </cell>
          <cell r="W36">
            <v>0.56523849140321647</v>
          </cell>
          <cell r="X36">
            <v>0.28043983215944834</v>
          </cell>
          <cell r="Y36">
            <v>0.15033986184657344</v>
          </cell>
          <cell r="Z36">
            <v>0.20302689920189199</v>
          </cell>
          <cell r="AA36">
            <v>0.37309777966198232</v>
          </cell>
          <cell r="AB36">
            <v>0.52726696413332363</v>
          </cell>
          <cell r="AC36">
            <v>0.53178130850093575</v>
          </cell>
          <cell r="AD36">
            <v>0.45871418368617234</v>
          </cell>
          <cell r="AE36">
            <v>0.53497417086399723</v>
          </cell>
          <cell r="AF36">
            <v>0.52755364971311236</v>
          </cell>
          <cell r="AG36">
            <v>0.58502864162248236</v>
          </cell>
          <cell r="AH36">
            <v>0.68269194057337956</v>
          </cell>
          <cell r="AI36">
            <v>0.65140771073630854</v>
          </cell>
          <cell r="AJ36">
            <v>0.44459089266820584</v>
          </cell>
          <cell r="AK36">
            <v>0.32663559580811241</v>
          </cell>
          <cell r="AL36">
            <v>0.31278648383967322</v>
          </cell>
          <cell r="AM36">
            <v>0.30282630207970773</v>
          </cell>
          <cell r="AN36">
            <v>0.29608400867635698</v>
          </cell>
        </row>
        <row r="37">
          <cell r="I37" t="str">
            <v>y/y Growth - % (ex F/X)</v>
          </cell>
          <cell r="AC37">
            <v>0.48058368933902895</v>
          </cell>
          <cell r="AD37">
            <v>0.48940498889391271</v>
          </cell>
          <cell r="AE37">
            <v>0.62580240826163691</v>
          </cell>
          <cell r="AF37">
            <v>0.57600682016290472</v>
          </cell>
          <cell r="AG37">
            <v>0.57619799696662111</v>
          </cell>
          <cell r="AH37">
            <v>0.5451213349653572</v>
          </cell>
          <cell r="AI37">
            <v>0.55996205275387778</v>
          </cell>
          <cell r="AJ37">
            <v>0.44449358787984083</v>
          </cell>
          <cell r="AK37">
            <v>0.35241162284275696</v>
          </cell>
          <cell r="AL37">
            <v>0.37338957663957983</v>
          </cell>
          <cell r="AM37">
            <v>0.35562811940001526</v>
          </cell>
          <cell r="AN37">
            <v>0.31393463092581375</v>
          </cell>
        </row>
        <row r="38">
          <cell r="I38" t="str">
            <v>Company Guidance - Gross Profit incl F/X Y/Y</v>
          </cell>
          <cell r="AC38">
            <v>0.5</v>
          </cell>
          <cell r="AD38" t="str">
            <v>34-39%</v>
          </cell>
          <cell r="AE38" t="str">
            <v>43-48%</v>
          </cell>
          <cell r="AF38" t="str">
            <v>49-54%</v>
          </cell>
          <cell r="AG38" t="str">
            <v>47-52%</v>
          </cell>
          <cell r="AH38" t="str">
            <v>57-62%</v>
          </cell>
          <cell r="AI38" t="str">
            <v>54-59%</v>
          </cell>
          <cell r="AJ38" t="str">
            <v>42-47%</v>
          </cell>
        </row>
        <row r="40">
          <cell r="I40" t="str">
            <v>Gross Bookings Scenarios</v>
          </cell>
        </row>
        <row r="41">
          <cell r="I41" t="str">
            <v>Gross bookings by brand</v>
          </cell>
        </row>
        <row r="42">
          <cell r="I42" t="str">
            <v>US</v>
          </cell>
        </row>
        <row r="43">
          <cell r="I43" t="str">
            <v>Agency (Priceline.com)</v>
          </cell>
          <cell r="M43">
            <v>207.69199999999989</v>
          </cell>
          <cell r="N43">
            <v>252.69099999999986</v>
          </cell>
          <cell r="O43">
            <v>201.9899999999999</v>
          </cell>
          <cell r="P43">
            <v>171.93399999999994</v>
          </cell>
          <cell r="Q43">
            <v>190.84899999999999</v>
          </cell>
          <cell r="R43">
            <v>232.13600000000002</v>
          </cell>
          <cell r="S43">
            <v>254.14100000000002</v>
          </cell>
          <cell r="T43">
            <v>246.33799999999991</v>
          </cell>
          <cell r="U43">
            <v>357.07499999999987</v>
          </cell>
          <cell r="V43">
            <v>443.2940000000001</v>
          </cell>
          <cell r="W43">
            <v>385.09300000000013</v>
          </cell>
          <cell r="X43">
            <v>353.52399999999983</v>
          </cell>
          <cell r="Y43">
            <v>417.31599999999986</v>
          </cell>
          <cell r="Z43">
            <v>453.41999999999996</v>
          </cell>
          <cell r="AA43">
            <v>474.61099999999999</v>
          </cell>
          <cell r="AB43">
            <v>427.04500000000019</v>
          </cell>
          <cell r="AC43">
            <v>485.1570000000001</v>
          </cell>
          <cell r="AD43">
            <v>558.46900000000005</v>
          </cell>
          <cell r="AE43">
            <v>538.9</v>
          </cell>
          <cell r="AF43">
            <v>445.875</v>
          </cell>
          <cell r="AG43">
            <v>539.86160000000007</v>
          </cell>
          <cell r="AH43">
            <v>608.48919999999998</v>
          </cell>
          <cell r="AI43">
            <v>660.58500000000004</v>
          </cell>
          <cell r="AJ43">
            <v>526.13249999999994</v>
          </cell>
          <cell r="AK43">
            <v>620.84084000000007</v>
          </cell>
          <cell r="AL43">
            <v>711.93236399999989</v>
          </cell>
          <cell r="AM43">
            <v>772.88445000000002</v>
          </cell>
          <cell r="AN43">
            <v>610.31369999999993</v>
          </cell>
        </row>
        <row r="44">
          <cell r="I44" t="str">
            <v>Base y/y Growth - %</v>
          </cell>
          <cell r="M44" t="str">
            <v>NA</v>
          </cell>
          <cell r="N44" t="str">
            <v>NA</v>
          </cell>
          <cell r="O44" t="str">
            <v>NA</v>
          </cell>
          <cell r="P44" t="str">
            <v>NA</v>
          </cell>
          <cell r="Q44">
            <v>-8.1096046068215966E-2</v>
          </cell>
          <cell r="R44">
            <v>-8.1344408783850075E-2</v>
          </cell>
          <cell r="S44">
            <v>0.25818604881429841</v>
          </cell>
          <cell r="T44">
            <v>0.43274744960275457</v>
          </cell>
          <cell r="U44">
            <v>0.87098177092884899</v>
          </cell>
          <cell r="V44">
            <v>0.90963056139504461</v>
          </cell>
          <cell r="W44">
            <v>0.51527301773425038</v>
          </cell>
          <cell r="X44">
            <v>0.43511760264352217</v>
          </cell>
          <cell r="Y44">
            <v>0.16870685430231736</v>
          </cell>
          <cell r="Z44">
            <v>2.2842628142947685E-2</v>
          </cell>
          <cell r="AA44">
            <v>0.23245813348983191</v>
          </cell>
          <cell r="AB44">
            <v>0.20796607868207073</v>
          </cell>
          <cell r="AC44">
            <v>0.16256505861265858</v>
          </cell>
          <cell r="AD44">
            <v>0.23168144325349593</v>
          </cell>
          <cell r="AE44">
            <v>0.1354561946520414</v>
          </cell>
          <cell r="AF44">
            <v>4.4093713777236143E-2</v>
          </cell>
          <cell r="AG44">
            <v>0.11275648913650627</v>
          </cell>
          <cell r="AH44">
            <v>8.9566654550207625E-2</v>
          </cell>
          <cell r="AI44">
            <v>0.22580256077194294</v>
          </cell>
          <cell r="AJ44">
            <v>0.18</v>
          </cell>
          <cell r="AK44">
            <v>0.15</v>
          </cell>
          <cell r="AL44">
            <v>0.17</v>
          </cell>
          <cell r="AM44">
            <v>0.17</v>
          </cell>
          <cell r="AN44">
            <v>0.16</v>
          </cell>
        </row>
        <row r="45">
          <cell r="I45" t="str">
            <v>Bull y/y Growth - %</v>
          </cell>
          <cell r="M45" t="str">
            <v>NA</v>
          </cell>
          <cell r="N45" t="str">
            <v>NA</v>
          </cell>
          <cell r="O45" t="str">
            <v>NA</v>
          </cell>
          <cell r="P45" t="str">
            <v>NA</v>
          </cell>
          <cell r="Q45">
            <v>-8.1096046068215966E-2</v>
          </cell>
          <cell r="R45">
            <v>-8.1344408783850075E-2</v>
          </cell>
          <cell r="S45">
            <v>0.25818604881429841</v>
          </cell>
          <cell r="T45">
            <v>0.43274744960275457</v>
          </cell>
          <cell r="U45">
            <v>0.87098177092884899</v>
          </cell>
          <cell r="V45">
            <v>0.90963056139504461</v>
          </cell>
          <cell r="W45">
            <v>0.51527301773425038</v>
          </cell>
          <cell r="X45">
            <v>0.43511760264352217</v>
          </cell>
          <cell r="Y45">
            <v>0.16870685430231736</v>
          </cell>
          <cell r="Z45">
            <v>2.2842628142947685E-2</v>
          </cell>
          <cell r="AA45">
            <v>0.23245813348983191</v>
          </cell>
          <cell r="AB45">
            <v>0.20796607868207073</v>
          </cell>
          <cell r="AC45">
            <v>0.16256505861265858</v>
          </cell>
          <cell r="AD45">
            <v>0.23168144325349593</v>
          </cell>
          <cell r="AE45">
            <v>0.1354561946520414</v>
          </cell>
          <cell r="AF45">
            <v>4.4093713777236143E-2</v>
          </cell>
          <cell r="AG45">
            <v>0.11275648913650627</v>
          </cell>
          <cell r="AH45">
            <v>8.9566654550207625E-2</v>
          </cell>
          <cell r="AI45">
            <v>0.22580256077194294</v>
          </cell>
          <cell r="AJ45">
            <v>0.19999999999999998</v>
          </cell>
          <cell r="AK45">
            <v>0.16999999999999998</v>
          </cell>
          <cell r="AL45">
            <v>0.19</v>
          </cell>
          <cell r="AM45">
            <v>0.19</v>
          </cell>
          <cell r="AN45">
            <v>0.18</v>
          </cell>
        </row>
        <row r="46">
          <cell r="I46" t="str">
            <v>Bear y/y Growth - %</v>
          </cell>
          <cell r="M46" t="str">
            <v>NA</v>
          </cell>
          <cell r="N46" t="str">
            <v>NA</v>
          </cell>
          <cell r="O46" t="str">
            <v>NA</v>
          </cell>
          <cell r="P46" t="str">
            <v>NA</v>
          </cell>
          <cell r="Q46">
            <v>-8.1096046068215966E-2</v>
          </cell>
          <cell r="R46">
            <v>-8.1344408783850075E-2</v>
          </cell>
          <cell r="S46">
            <v>0.25818604881429841</v>
          </cell>
          <cell r="T46">
            <v>0.43274744960275457</v>
          </cell>
          <cell r="U46">
            <v>0.87098177092884899</v>
          </cell>
          <cell r="V46">
            <v>0.90963056139504461</v>
          </cell>
          <cell r="W46">
            <v>0.51527301773425038</v>
          </cell>
          <cell r="X46">
            <v>0.43511760264352217</v>
          </cell>
          <cell r="Y46">
            <v>0.16870685430231736</v>
          </cell>
          <cell r="Z46">
            <v>2.2842628142947685E-2</v>
          </cell>
          <cell r="AA46">
            <v>0.23245813348983191</v>
          </cell>
          <cell r="AB46">
            <v>0.20796607868207073</v>
          </cell>
          <cell r="AC46">
            <v>0.16256505861265858</v>
          </cell>
          <cell r="AD46">
            <v>0.23168144325349593</v>
          </cell>
          <cell r="AE46">
            <v>0.1354561946520414</v>
          </cell>
          <cell r="AF46">
            <v>4.4093713777236143E-2</v>
          </cell>
          <cell r="AG46">
            <v>0.11275648913650627</v>
          </cell>
          <cell r="AH46">
            <v>8.9566654550207625E-2</v>
          </cell>
          <cell r="AI46">
            <v>0.22580256077194294</v>
          </cell>
          <cell r="AJ46">
            <v>0.12</v>
          </cell>
          <cell r="AK46">
            <v>0.09</v>
          </cell>
          <cell r="AL46">
            <v>0.09</v>
          </cell>
          <cell r="AM46">
            <v>7.0000000000000007E-2</v>
          </cell>
          <cell r="AN46">
            <v>0.09</v>
          </cell>
        </row>
        <row r="47">
          <cell r="I47" t="str">
            <v>Merchant (NYOP &amp; Priceline.com)</v>
          </cell>
          <cell r="M47">
            <v>266.315</v>
          </cell>
          <cell r="N47">
            <v>318.06599999999997</v>
          </cell>
          <cell r="O47">
            <v>302.762</v>
          </cell>
          <cell r="P47">
            <v>251.34</v>
          </cell>
          <cell r="Q47">
            <v>287.96300000000002</v>
          </cell>
          <cell r="R47">
            <v>315.65100000000001</v>
          </cell>
          <cell r="S47">
            <v>348.06400000000002</v>
          </cell>
          <cell r="T47">
            <v>279.233</v>
          </cell>
          <cell r="U47">
            <v>363.89299999999997</v>
          </cell>
          <cell r="V47">
            <v>428.99</v>
          </cell>
          <cell r="W47">
            <v>414.334</v>
          </cell>
          <cell r="X47">
            <v>335.589</v>
          </cell>
          <cell r="Y47">
            <v>434.26799999999997</v>
          </cell>
          <cell r="Z47">
            <v>510.75799999999992</v>
          </cell>
          <cell r="AA47">
            <v>524.23500000000001</v>
          </cell>
          <cell r="AB47">
            <v>404.40899999999999</v>
          </cell>
          <cell r="AC47">
            <v>504.53799999999995</v>
          </cell>
          <cell r="AD47">
            <v>595.71100000000001</v>
          </cell>
          <cell r="AE47">
            <v>582.1</v>
          </cell>
          <cell r="AF47">
            <v>456.125</v>
          </cell>
          <cell r="AG47">
            <v>589.13839999999993</v>
          </cell>
          <cell r="AH47">
            <v>699.51080000000002</v>
          </cell>
          <cell r="AI47">
            <v>607.41499999999996</v>
          </cell>
          <cell r="AJ47">
            <v>492.61500000000001</v>
          </cell>
          <cell r="AK47">
            <v>636.26947199999995</v>
          </cell>
          <cell r="AL47">
            <v>762.46677200000011</v>
          </cell>
          <cell r="AM47">
            <v>662.08235000000002</v>
          </cell>
          <cell r="AN47">
            <v>532.02420000000006</v>
          </cell>
        </row>
        <row r="48">
          <cell r="I48" t="str">
            <v>Base y/y Growth - %</v>
          </cell>
          <cell r="M48" t="str">
            <v>NA</v>
          </cell>
          <cell r="N48" t="str">
            <v>NA</v>
          </cell>
          <cell r="O48" t="str">
            <v>NA</v>
          </cell>
          <cell r="P48" t="str">
            <v>NA</v>
          </cell>
          <cell r="Q48">
            <v>8.128719749169222E-2</v>
          </cell>
          <cell r="R48">
            <v>-7.5927637660107017E-3</v>
          </cell>
          <cell r="S48">
            <v>0.14962908158883881</v>
          </cell>
          <cell r="T48">
            <v>0.11097716240948508</v>
          </cell>
          <cell r="U48">
            <v>0.26367970885148417</v>
          </cell>
          <cell r="V48">
            <v>0.35906428302143811</v>
          </cell>
          <cell r="W48">
            <v>0.19039601912291992</v>
          </cell>
          <cell r="X48">
            <v>0.20182428294649979</v>
          </cell>
          <cell r="Y48">
            <v>0.19339476164696756</v>
          </cell>
          <cell r="Z48">
            <v>0.19060584162800986</v>
          </cell>
          <cell r="AA48">
            <v>0.26524736082484179</v>
          </cell>
          <cell r="AB48">
            <v>0.2050722759089243</v>
          </cell>
          <cell r="AC48">
            <v>0.16181252130021084</v>
          </cell>
          <cell r="AD48">
            <v>0.1663273017750091</v>
          </cell>
          <cell r="AE48">
            <v>0.11037988688279121</v>
          </cell>
          <cell r="AF48">
            <v>0.12788043787353898</v>
          </cell>
          <cell r="AG48">
            <v>0.16767894588712839</v>
          </cell>
          <cell r="AH48">
            <v>0.17424522964994771</v>
          </cell>
          <cell r="AI48">
            <v>4.3489091221439402E-2</v>
          </cell>
          <cell r="AJ48">
            <v>0.08</v>
          </cell>
          <cell r="AK48">
            <v>0.08</v>
          </cell>
          <cell r="AL48">
            <v>0.09</v>
          </cell>
          <cell r="AM48">
            <v>0.09</v>
          </cell>
          <cell r="AN48">
            <v>0.08</v>
          </cell>
        </row>
        <row r="49">
          <cell r="I49" t="str">
            <v>Bull y/y Growth - %</v>
          </cell>
          <cell r="M49" t="str">
            <v>NA</v>
          </cell>
          <cell r="N49" t="str">
            <v>NA</v>
          </cell>
          <cell r="O49" t="str">
            <v>NA</v>
          </cell>
          <cell r="P49" t="str">
            <v>NA</v>
          </cell>
          <cell r="Q49">
            <v>8.128719749169222E-2</v>
          </cell>
          <cell r="R49">
            <v>-7.5927637660107017E-3</v>
          </cell>
          <cell r="S49">
            <v>0.14962908158883881</v>
          </cell>
          <cell r="T49">
            <v>0.11097716240948508</v>
          </cell>
          <cell r="U49">
            <v>0.26367970885148417</v>
          </cell>
          <cell r="V49">
            <v>0.35906428302143811</v>
          </cell>
          <cell r="W49">
            <v>0.19039601912291992</v>
          </cell>
          <cell r="X49">
            <v>0.20182428294649979</v>
          </cell>
          <cell r="Y49">
            <v>0.19339476164696756</v>
          </cell>
          <cell r="Z49">
            <v>0.19060584162800986</v>
          </cell>
          <cell r="AA49">
            <v>0.26524736082484179</v>
          </cell>
          <cell r="AB49">
            <v>0.2050722759089243</v>
          </cell>
          <cell r="AC49">
            <v>0.16181252130021084</v>
          </cell>
          <cell r="AD49">
            <v>0.1663273017750091</v>
          </cell>
          <cell r="AE49">
            <v>0.11037988688279121</v>
          </cell>
          <cell r="AF49">
            <v>0.12788043787353898</v>
          </cell>
          <cell r="AG49">
            <v>0.16767894588712839</v>
          </cell>
          <cell r="AH49">
            <v>0.17424522964994771</v>
          </cell>
          <cell r="AI49">
            <v>4.3489091221439402E-2</v>
          </cell>
          <cell r="AJ49">
            <v>0.1</v>
          </cell>
          <cell r="AK49">
            <v>0.1</v>
          </cell>
          <cell r="AL49">
            <v>0.11</v>
          </cell>
          <cell r="AM49">
            <v>0.11</v>
          </cell>
          <cell r="AN49">
            <v>0.1</v>
          </cell>
        </row>
        <row r="50">
          <cell r="I50" t="str">
            <v>Bear y/y Growth - %</v>
          </cell>
          <cell r="M50" t="str">
            <v>NA</v>
          </cell>
          <cell r="N50" t="str">
            <v>NA</v>
          </cell>
          <cell r="O50" t="str">
            <v>NA</v>
          </cell>
          <cell r="P50" t="str">
            <v>NA</v>
          </cell>
          <cell r="Q50">
            <v>8.128719749169222E-2</v>
          </cell>
          <cell r="R50">
            <v>-7.5927637660107017E-3</v>
          </cell>
          <cell r="S50">
            <v>0.14962908158883881</v>
          </cell>
          <cell r="T50">
            <v>0.11097716240948508</v>
          </cell>
          <cell r="U50">
            <v>0.26367970885148417</v>
          </cell>
          <cell r="V50">
            <v>0.35906428302143811</v>
          </cell>
          <cell r="W50">
            <v>0.19039601912291992</v>
          </cell>
          <cell r="X50">
            <v>0.20182428294649979</v>
          </cell>
          <cell r="Y50">
            <v>0.19339476164696756</v>
          </cell>
          <cell r="Z50">
            <v>0.19060584162800986</v>
          </cell>
          <cell r="AA50">
            <v>0.26524736082484179</v>
          </cell>
          <cell r="AB50">
            <v>0.2050722759089243</v>
          </cell>
          <cell r="AC50">
            <v>0.16181252130021084</v>
          </cell>
          <cell r="AD50">
            <v>0.1663273017750091</v>
          </cell>
          <cell r="AE50">
            <v>0.11037988688279121</v>
          </cell>
          <cell r="AF50">
            <v>0.12788043787353898</v>
          </cell>
          <cell r="AG50">
            <v>0.16767894588712839</v>
          </cell>
          <cell r="AH50">
            <v>0.17424522964994771</v>
          </cell>
          <cell r="AI50">
            <v>4.3489091221439402E-2</v>
          </cell>
          <cell r="AJ50">
            <v>0.1</v>
          </cell>
          <cell r="AK50">
            <v>0.08</v>
          </cell>
          <cell r="AL50">
            <v>0.09</v>
          </cell>
          <cell r="AM50">
            <v>0.09</v>
          </cell>
          <cell r="AN50">
            <v>0.09</v>
          </cell>
        </row>
        <row r="51">
          <cell r="I51" t="str">
            <v>Total US</v>
          </cell>
          <cell r="M51">
            <v>474.00699999999989</v>
          </cell>
          <cell r="N51">
            <v>570.75699999999983</v>
          </cell>
          <cell r="O51">
            <v>504.7519999999999</v>
          </cell>
          <cell r="P51">
            <v>423.27399999999994</v>
          </cell>
          <cell r="Q51">
            <v>478.81200000000001</v>
          </cell>
          <cell r="R51">
            <v>547.78700000000003</v>
          </cell>
          <cell r="S51">
            <v>602.20500000000004</v>
          </cell>
          <cell r="T51">
            <v>525.57099999999991</v>
          </cell>
          <cell r="U51">
            <v>720.96799999999985</v>
          </cell>
          <cell r="V51">
            <v>872.28400000000011</v>
          </cell>
          <cell r="W51">
            <v>799.42700000000013</v>
          </cell>
          <cell r="X51">
            <v>689.11299999999983</v>
          </cell>
          <cell r="Y51">
            <v>851.58399999999983</v>
          </cell>
          <cell r="Z51">
            <v>964.17799999999988</v>
          </cell>
          <cell r="AA51">
            <v>998.846</v>
          </cell>
          <cell r="AB51">
            <v>831.45400000000018</v>
          </cell>
          <cell r="AC51">
            <v>989.69500000000005</v>
          </cell>
          <cell r="AD51">
            <v>1154.18</v>
          </cell>
          <cell r="AE51">
            <v>1121</v>
          </cell>
          <cell r="AF51">
            <v>902</v>
          </cell>
          <cell r="AG51">
            <v>1129</v>
          </cell>
          <cell r="AH51">
            <v>1308</v>
          </cell>
          <cell r="AI51">
            <v>1268</v>
          </cell>
          <cell r="AJ51">
            <v>1018.7474999999999</v>
          </cell>
          <cell r="AK51">
            <v>1257.110312</v>
          </cell>
          <cell r="AL51">
            <v>1474.399136</v>
          </cell>
          <cell r="AM51">
            <v>1434.9668000000001</v>
          </cell>
          <cell r="AN51">
            <v>1142.3379</v>
          </cell>
        </row>
        <row r="52">
          <cell r="I52" t="str">
            <v>y/y Growth - %</v>
          </cell>
          <cell r="M52" t="str">
            <v>NA</v>
          </cell>
          <cell r="N52" t="str">
            <v>NA</v>
          </cell>
          <cell r="O52" t="str">
            <v>NA</v>
          </cell>
          <cell r="P52" t="str">
            <v>NA</v>
          </cell>
          <cell r="Q52">
            <v>1.0136981099435394E-2</v>
          </cell>
          <cell r="R52">
            <v>-4.0244797698494872E-2</v>
          </cell>
          <cell r="S52">
            <v>0.19307105271499703</v>
          </cell>
          <cell r="T52">
            <v>0.24168032999900779</v>
          </cell>
          <cell r="U52">
            <v>0.50574338153596776</v>
          </cell>
          <cell r="V52">
            <v>0.5923780593551875</v>
          </cell>
          <cell r="W52">
            <v>0.32749977167243727</v>
          </cell>
          <cell r="X52">
            <v>0.31117013686067141</v>
          </cell>
          <cell r="Y52">
            <v>0.1811675414165399</v>
          </cell>
          <cell r="Z52">
            <v>0.10534871670235813</v>
          </cell>
          <cell r="AA52">
            <v>0.24945242029603687</v>
          </cell>
          <cell r="AB52">
            <v>0.20655683465556507</v>
          </cell>
          <cell r="AC52">
            <v>0.16218129978956886</v>
          </cell>
          <cell r="AD52">
            <v>0.19706112356846983</v>
          </cell>
          <cell r="AE52">
            <v>0.12229512857837954</v>
          </cell>
          <cell r="AF52">
            <v>8.4846545930381989E-2</v>
          </cell>
          <cell r="AG52">
            <v>0.14075548527576665</v>
          </cell>
          <cell r="AH52">
            <v>0.13327210660382249</v>
          </cell>
          <cell r="AI52">
            <v>0.13113291703835861</v>
          </cell>
          <cell r="AJ52">
            <v>0.12943181818181815</v>
          </cell>
          <cell r="AK52">
            <v>0.11347237555358736</v>
          </cell>
          <cell r="AL52">
            <v>0.12721646483180438</v>
          </cell>
          <cell r="AM52">
            <v>0.13167728706624615</v>
          </cell>
          <cell r="AN52">
            <v>0.12131602776939343</v>
          </cell>
        </row>
        <row r="54">
          <cell r="I54" t="str">
            <v>Europe</v>
          </cell>
        </row>
        <row r="55">
          <cell r="I55" t="str">
            <v>Agency (Booking.com)</v>
          </cell>
          <cell r="M55">
            <v>267.26400000000007</v>
          </cell>
          <cell r="N55">
            <v>350.74300000000011</v>
          </cell>
          <cell r="O55">
            <v>392.76600000000008</v>
          </cell>
          <cell r="P55">
            <v>313.15600000000006</v>
          </cell>
          <cell r="Q55">
            <v>504.00400000000002</v>
          </cell>
          <cell r="R55">
            <v>670.29899999999998</v>
          </cell>
          <cell r="S55">
            <v>772.15299999999979</v>
          </cell>
          <cell r="T55">
            <v>649.81000000000006</v>
          </cell>
          <cell r="U55">
            <v>972.23150000000021</v>
          </cell>
          <cell r="V55">
            <v>1168.3035</v>
          </cell>
          <cell r="W55">
            <v>1173.1324999999999</v>
          </cell>
          <cell r="X55">
            <v>711.15499999999997</v>
          </cell>
          <cell r="Y55">
            <v>962.86</v>
          </cell>
          <cell r="Z55">
            <v>1262.009125</v>
          </cell>
          <cell r="AA55">
            <v>1538.44625</v>
          </cell>
          <cell r="AB55">
            <v>1228.8415</v>
          </cell>
          <cell r="AC55">
            <v>1656.6200000000001</v>
          </cell>
          <cell r="AD55">
            <v>1843.9102500000001</v>
          </cell>
          <cell r="AE55">
            <v>2305.939625</v>
          </cell>
          <cell r="AF55">
            <v>1857.9887500000002</v>
          </cell>
          <cell r="AG55">
            <v>2708.0260000000003</v>
          </cell>
          <cell r="AH55">
            <v>3431.0739750000002</v>
          </cell>
          <cell r="AI55">
            <v>3748.7228999999998</v>
          </cell>
          <cell r="AJ55">
            <v>2679.5012112589302</v>
          </cell>
          <cell r="AK55">
            <v>3449.3490420691924</v>
          </cell>
          <cell r="AL55">
            <v>4320.3888031699053</v>
          </cell>
          <cell r="AM55">
            <v>4811.7956430876802</v>
          </cell>
          <cell r="AN55">
            <v>3367.4356604679911</v>
          </cell>
        </row>
        <row r="56">
          <cell r="I56" t="str">
            <v>Base y/y Growth - %</v>
          </cell>
          <cell r="M56" t="str">
            <v>NA</v>
          </cell>
          <cell r="N56" t="str">
            <v>NA</v>
          </cell>
          <cell r="O56" t="str">
            <v>NA</v>
          </cell>
          <cell r="P56" t="str">
            <v>NA</v>
          </cell>
          <cell r="Q56">
            <v>0.88579082854406099</v>
          </cell>
          <cell r="R56">
            <v>0.91108304371006632</v>
          </cell>
          <cell r="S56">
            <v>0.96593646089529051</v>
          </cell>
          <cell r="T56">
            <v>1.0750360842519382</v>
          </cell>
          <cell r="U56">
            <v>0.92901544432187078</v>
          </cell>
          <cell r="V56">
            <v>0.74295873930887568</v>
          </cell>
          <cell r="W56">
            <v>0.51930057903032201</v>
          </cell>
          <cell r="X56">
            <v>9.4404518243794255E-2</v>
          </cell>
          <cell r="Y56">
            <v>-9.639165157681262E-3</v>
          </cell>
          <cell r="Z56">
            <v>8.0206577314884342E-2</v>
          </cell>
          <cell r="AA56">
            <v>0.31140024677519373</v>
          </cell>
          <cell r="AB56">
            <v>0.72795171235525324</v>
          </cell>
          <cell r="AC56">
            <v>0.72052011715098785</v>
          </cell>
          <cell r="AD56">
            <v>0.46109105986060128</v>
          </cell>
          <cell r="AE56">
            <v>0.49887565132678513</v>
          </cell>
          <cell r="AF56">
            <v>0.51198405164539129</v>
          </cell>
          <cell r="AG56">
            <v>0.63466938706522935</v>
          </cell>
          <cell r="AH56">
            <v>0.86075974955939416</v>
          </cell>
          <cell r="AI56">
            <v>0.62568128816468893</v>
          </cell>
          <cell r="AJ56">
            <v>0.44215147226210577</v>
          </cell>
          <cell r="AK56">
            <v>0.27375034141813703</v>
          </cell>
          <cell r="AL56">
            <v>0.25919430319770514</v>
          </cell>
          <cell r="AM56">
            <v>0.28358264172784808</v>
          </cell>
          <cell r="AN56">
            <v>0.2567397418289814</v>
          </cell>
        </row>
        <row r="57">
          <cell r="I57" t="str">
            <v>(+/-) FX y/y Growth - %</v>
          </cell>
          <cell r="M57" t="str">
            <v>NA</v>
          </cell>
          <cell r="N57" t="str">
            <v>NA</v>
          </cell>
          <cell r="O57" t="str">
            <v>NA</v>
          </cell>
          <cell r="P57" t="str">
            <v>NA</v>
          </cell>
          <cell r="Q57">
            <v>-9.1972109638473659E-2</v>
          </cell>
          <cell r="R57">
            <v>-7.3297305063479229E-2</v>
          </cell>
          <cell r="S57">
            <v>-7.896214873579005E-2</v>
          </cell>
          <cell r="T57">
            <v>-0.11721712931699564</v>
          </cell>
          <cell r="U57">
            <v>-0.13140358182497841</v>
          </cell>
          <cell r="V57">
            <v>-0.14161757392778682</v>
          </cell>
          <cell r="W57">
            <v>-7.7851551401563981E-2</v>
          </cell>
          <cell r="X57">
            <v>0.10256635929406802</v>
          </cell>
          <cell r="Y57">
            <v>0.14560563389727577</v>
          </cell>
          <cell r="Z57">
            <v>0.13692506323139333</v>
          </cell>
          <cell r="AA57">
            <v>5.799372733296853E-2</v>
          </cell>
          <cell r="AB57">
            <v>-0.11086810894296383</v>
          </cell>
          <cell r="AC57">
            <v>-6.5479792528646219E-2</v>
          </cell>
          <cell r="AD57">
            <v>6.0472143123514489E-2</v>
          </cell>
          <cell r="AE57">
            <v>9.3155893545851146E-2</v>
          </cell>
          <cell r="AF57">
            <v>7.4243104641365701E-2</v>
          </cell>
          <cell r="AG57">
            <v>9.4701139141183943E-3</v>
          </cell>
          <cell r="AH57">
            <v>-0.12422162731977604</v>
          </cell>
          <cell r="AI57">
            <v>-9.1726248536802363E-2</v>
          </cell>
          <cell r="AJ57">
            <v>7.8485277378942623E-3</v>
          </cell>
          <cell r="AK57">
            <v>4.6249658581862953E-2</v>
          </cell>
          <cell r="AL57">
            <v>9.0805696802294833E-2</v>
          </cell>
          <cell r="AM57">
            <v>7.6417358272151931E-2</v>
          </cell>
          <cell r="AN57">
            <v>3.3260258171018589E-2</v>
          </cell>
        </row>
        <row r="58">
          <cell r="I58" t="str">
            <v>Organic y/y Growth - %</v>
          </cell>
          <cell r="M58" t="str">
            <v>NA</v>
          </cell>
          <cell r="N58" t="str">
            <v>NA</v>
          </cell>
          <cell r="O58" t="str">
            <v>NA</v>
          </cell>
          <cell r="P58" t="str">
            <v>NA</v>
          </cell>
          <cell r="Q58">
            <v>0.79381871890558731</v>
          </cell>
          <cell r="R58">
            <v>0.83778573864658712</v>
          </cell>
          <cell r="S58">
            <v>0.8869743121595004</v>
          </cell>
          <cell r="T58">
            <v>0.95781895493494251</v>
          </cell>
          <cell r="U58">
            <v>0.79761186249689242</v>
          </cell>
          <cell r="V58">
            <v>0.60134116538108884</v>
          </cell>
          <cell r="W58">
            <v>0.44144902762875804</v>
          </cell>
          <cell r="X58">
            <v>0.19697087753786227</v>
          </cell>
          <cell r="Y58">
            <v>0.1359664687395945</v>
          </cell>
          <cell r="Z58">
            <v>0.21713164054627768</v>
          </cell>
          <cell r="AA58">
            <v>0.36939397410816227</v>
          </cell>
          <cell r="AB58">
            <v>0.61708360341228941</v>
          </cell>
          <cell r="AC58">
            <v>0.65504032462234163</v>
          </cell>
          <cell r="AD58">
            <v>0.52156320298411574</v>
          </cell>
          <cell r="AE58">
            <v>0.59203154487263632</v>
          </cell>
          <cell r="AF58">
            <v>0.58622715628675703</v>
          </cell>
          <cell r="AG58">
            <v>0.6441395009793478</v>
          </cell>
          <cell r="AH58">
            <v>0.73653812223961812</v>
          </cell>
          <cell r="AI58">
            <v>0.5339550396278866</v>
          </cell>
          <cell r="AJ58">
            <v>0.45</v>
          </cell>
          <cell r="AK58">
            <v>0.32</v>
          </cell>
          <cell r="AL58">
            <v>0.35</v>
          </cell>
          <cell r="AM58">
            <v>0.36</v>
          </cell>
          <cell r="AN58">
            <v>0.28999999999999998</v>
          </cell>
        </row>
        <row r="59">
          <cell r="I59" t="str">
            <v>Bull y/y Growth - %</v>
          </cell>
          <cell r="M59" t="str">
            <v>NA</v>
          </cell>
          <cell r="N59" t="str">
            <v>NA</v>
          </cell>
          <cell r="O59" t="str">
            <v>NA</v>
          </cell>
          <cell r="P59" t="str">
            <v>NA</v>
          </cell>
          <cell r="Q59">
            <v>0.88579082854406099</v>
          </cell>
          <cell r="R59">
            <v>0.91108304371006632</v>
          </cell>
          <cell r="S59">
            <v>0.96593646089529051</v>
          </cell>
          <cell r="T59">
            <v>1.0750360842519382</v>
          </cell>
          <cell r="U59">
            <v>0.92901544432187078</v>
          </cell>
          <cell r="V59">
            <v>0.74295873930887568</v>
          </cell>
          <cell r="W59">
            <v>0.51930057903032201</v>
          </cell>
          <cell r="X59">
            <v>9.4404518243794255E-2</v>
          </cell>
          <cell r="Y59">
            <v>-9.639165157681262E-3</v>
          </cell>
          <cell r="Z59">
            <v>8.0206577314884342E-2</v>
          </cell>
          <cell r="AA59">
            <v>0.31140024677519373</v>
          </cell>
          <cell r="AB59">
            <v>0.72795171235525324</v>
          </cell>
          <cell r="AC59">
            <v>0.72052011715098785</v>
          </cell>
          <cell r="AD59">
            <v>0.46109105986060128</v>
          </cell>
          <cell r="AE59">
            <v>0.49887565132678513</v>
          </cell>
          <cell r="AF59">
            <v>0.51198405164539129</v>
          </cell>
          <cell r="AG59">
            <v>0.63466938706522935</v>
          </cell>
          <cell r="AH59">
            <v>0.86075974955939416</v>
          </cell>
          <cell r="AI59">
            <v>0.62568128816468893</v>
          </cell>
          <cell r="AJ59">
            <v>0.47215147226210574</v>
          </cell>
          <cell r="AK59">
            <v>0.30375034141813706</v>
          </cell>
          <cell r="AL59">
            <v>0.28919430319770512</v>
          </cell>
          <cell r="AM59">
            <v>0.31358264172784811</v>
          </cell>
          <cell r="AN59">
            <v>0.28673974182898143</v>
          </cell>
        </row>
        <row r="60">
          <cell r="I60" t="str">
            <v>Bear y/y Growth - %</v>
          </cell>
          <cell r="M60" t="str">
            <v>NA</v>
          </cell>
          <cell r="N60" t="str">
            <v>NA</v>
          </cell>
          <cell r="O60" t="str">
            <v>NA</v>
          </cell>
          <cell r="P60" t="str">
            <v>NA</v>
          </cell>
          <cell r="Q60">
            <v>0.88579082854406099</v>
          </cell>
          <cell r="R60">
            <v>0.91108304371006632</v>
          </cell>
          <cell r="S60">
            <v>0.96593646089529051</v>
          </cell>
          <cell r="T60">
            <v>1.0750360842519382</v>
          </cell>
          <cell r="U60">
            <v>0.92901544432187078</v>
          </cell>
          <cell r="V60">
            <v>0.74295873930887568</v>
          </cell>
          <cell r="W60">
            <v>0.51930057903032201</v>
          </cell>
          <cell r="X60">
            <v>9.4404518243794255E-2</v>
          </cell>
          <cell r="Y60">
            <v>-9.639165157681262E-3</v>
          </cell>
          <cell r="Z60">
            <v>8.0206577314884342E-2</v>
          </cell>
          <cell r="AA60">
            <v>0.31140024677519373</v>
          </cell>
          <cell r="AB60">
            <v>0.72795171235525324</v>
          </cell>
          <cell r="AC60">
            <v>0.72052011715098785</v>
          </cell>
          <cell r="AD60">
            <v>0.46109105986060128</v>
          </cell>
          <cell r="AE60">
            <v>0.49887565132678513</v>
          </cell>
          <cell r="AF60">
            <v>0.51198405164539129</v>
          </cell>
          <cell r="AG60">
            <v>0.63466938706522935</v>
          </cell>
          <cell r="AH60">
            <v>0.86075974955939416</v>
          </cell>
          <cell r="AI60">
            <v>0.62568128816468893</v>
          </cell>
          <cell r="AJ60">
            <v>0.39215147226210578</v>
          </cell>
          <cell r="AK60">
            <v>0.22375034141813704</v>
          </cell>
          <cell r="AL60">
            <v>0.20919430319770516</v>
          </cell>
          <cell r="AM60">
            <v>0.23358264172784809</v>
          </cell>
          <cell r="AN60">
            <v>0.20673974182898142</v>
          </cell>
        </row>
        <row r="61">
          <cell r="I61" t="str">
            <v>Merchant (TravelJigsaw)</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43.9</v>
          </cell>
          <cell r="AE61">
            <v>85.8</v>
          </cell>
          <cell r="AF61">
            <v>55</v>
          </cell>
          <cell r="AG61">
            <v>95.7</v>
          </cell>
          <cell r="AH61">
            <v>154</v>
          </cell>
          <cell r="AI61">
            <v>145.85999999999999</v>
          </cell>
          <cell r="AJ61">
            <v>93.068330974415815</v>
          </cell>
          <cell r="AK61">
            <v>148.69390767371573</v>
          </cell>
          <cell r="AL61">
            <v>240.11592269244659</v>
          </cell>
          <cell r="AM61">
            <v>229.52276412242392</v>
          </cell>
          <cell r="AN61">
            <v>145.81385284331043</v>
          </cell>
        </row>
        <row r="62">
          <cell r="I62" t="str">
            <v>Base y/y Growth - %</v>
          </cell>
          <cell r="M62" t="str">
            <v>NA</v>
          </cell>
          <cell r="N62" t="str">
            <v>NA</v>
          </cell>
          <cell r="O62" t="str">
            <v>NA</v>
          </cell>
          <cell r="P62" t="str">
            <v>NA</v>
          </cell>
          <cell r="Q62" t="str">
            <v>NA</v>
          </cell>
          <cell r="R62" t="str">
            <v>NA</v>
          </cell>
          <cell r="S62" t="str">
            <v>NA</v>
          </cell>
          <cell r="T62" t="str">
            <v>NA</v>
          </cell>
          <cell r="U62" t="str">
            <v>NA</v>
          </cell>
          <cell r="V62" t="str">
            <v>NA</v>
          </cell>
          <cell r="W62" t="str">
            <v>NA</v>
          </cell>
          <cell r="X62" t="str">
            <v>NA</v>
          </cell>
          <cell r="Y62" t="str">
            <v>NA</v>
          </cell>
          <cell r="Z62" t="str">
            <v>NA</v>
          </cell>
          <cell r="AA62" t="str">
            <v>NA</v>
          </cell>
          <cell r="AB62" t="str">
            <v>NA</v>
          </cell>
          <cell r="AC62" t="str">
            <v>NA</v>
          </cell>
          <cell r="AD62" t="str">
            <v>NA</v>
          </cell>
          <cell r="AE62" t="str">
            <v>NA</v>
          </cell>
          <cell r="AF62" t="str">
            <v>NA</v>
          </cell>
          <cell r="AG62" t="str">
            <v>NA</v>
          </cell>
          <cell r="AH62" t="str">
            <v>NA</v>
          </cell>
          <cell r="AI62">
            <v>0.7</v>
          </cell>
          <cell r="AJ62">
            <v>0.69215147226210572</v>
          </cell>
          <cell r="AK62">
            <v>0.55375034141813706</v>
          </cell>
          <cell r="AL62">
            <v>0.55919430319770513</v>
          </cell>
          <cell r="AM62">
            <v>0.57358264172784812</v>
          </cell>
          <cell r="AN62">
            <v>0.56673974182898135</v>
          </cell>
        </row>
        <row r="63">
          <cell r="I63" t="str">
            <v>(+/-) FX y/y Growth - %</v>
          </cell>
          <cell r="M63" t="str">
            <v>NA</v>
          </cell>
          <cell r="N63" t="str">
            <v>NA</v>
          </cell>
          <cell r="O63" t="str">
            <v>NA</v>
          </cell>
          <cell r="P63" t="str">
            <v>NA</v>
          </cell>
          <cell r="Q63" t="str">
            <v>NA</v>
          </cell>
          <cell r="R63" t="str">
            <v>NA</v>
          </cell>
          <cell r="S63" t="str">
            <v>NA</v>
          </cell>
          <cell r="T63" t="str">
            <v>NA</v>
          </cell>
          <cell r="U63" t="str">
            <v>NA</v>
          </cell>
          <cell r="V63" t="str">
            <v>NA</v>
          </cell>
          <cell r="W63" t="str">
            <v>NA</v>
          </cell>
          <cell r="X63" t="str">
            <v>NA</v>
          </cell>
          <cell r="Y63" t="str">
            <v>NA</v>
          </cell>
          <cell r="Z63" t="str">
            <v>NA</v>
          </cell>
          <cell r="AA63" t="str">
            <v>NA</v>
          </cell>
          <cell r="AB63" t="str">
            <v>NA</v>
          </cell>
          <cell r="AC63" t="str">
            <v>NA</v>
          </cell>
          <cell r="AD63" t="str">
            <v>NA</v>
          </cell>
          <cell r="AE63" t="str">
            <v>NA</v>
          </cell>
          <cell r="AF63" t="str">
            <v>NA</v>
          </cell>
          <cell r="AG63" t="str">
            <v>NA</v>
          </cell>
          <cell r="AH63" t="str">
            <v>NA</v>
          </cell>
          <cell r="AI63">
            <v>-9.1726248536802363E-2</v>
          </cell>
          <cell r="AJ63">
            <v>7.8485277378942623E-3</v>
          </cell>
          <cell r="AK63">
            <v>4.6249658581862953E-2</v>
          </cell>
          <cell r="AL63">
            <v>9.0805696802294833E-2</v>
          </cell>
          <cell r="AM63">
            <v>7.6417358272151931E-2</v>
          </cell>
          <cell r="AN63">
            <v>3.3260258171018589E-2</v>
          </cell>
        </row>
        <row r="64">
          <cell r="I64" t="str">
            <v>Organic y/y Growth - %</v>
          </cell>
          <cell r="M64" t="str">
            <v>NA</v>
          </cell>
          <cell r="N64" t="str">
            <v>NA</v>
          </cell>
          <cell r="O64" t="str">
            <v>NA</v>
          </cell>
          <cell r="P64" t="str">
            <v>NA</v>
          </cell>
          <cell r="Q64" t="str">
            <v>NA</v>
          </cell>
          <cell r="R64" t="str">
            <v>NA</v>
          </cell>
          <cell r="S64" t="str">
            <v>NA</v>
          </cell>
          <cell r="T64" t="str">
            <v>NA</v>
          </cell>
          <cell r="U64" t="str">
            <v>NA</v>
          </cell>
          <cell r="V64" t="str">
            <v>NA</v>
          </cell>
          <cell r="W64" t="str">
            <v>NA</v>
          </cell>
          <cell r="X64" t="str">
            <v>NA</v>
          </cell>
          <cell r="Y64" t="str">
            <v>NA</v>
          </cell>
          <cell r="Z64" t="str">
            <v>NA</v>
          </cell>
          <cell r="AA64" t="str">
            <v>NA</v>
          </cell>
          <cell r="AB64" t="str">
            <v>NA</v>
          </cell>
          <cell r="AC64" t="str">
            <v>NA</v>
          </cell>
          <cell r="AD64" t="str">
            <v>NA</v>
          </cell>
          <cell r="AE64" t="str">
            <v>NA</v>
          </cell>
          <cell r="AF64" t="str">
            <v>NA</v>
          </cell>
          <cell r="AG64" t="str">
            <v>NA</v>
          </cell>
          <cell r="AH64" t="str">
            <v>NA</v>
          </cell>
          <cell r="AI64">
            <v>0.60827375146319762</v>
          </cell>
          <cell r="AJ64">
            <v>0.7</v>
          </cell>
          <cell r="AK64">
            <v>0.6</v>
          </cell>
          <cell r="AL64">
            <v>0.65</v>
          </cell>
          <cell r="AM64">
            <v>0.65</v>
          </cell>
          <cell r="AN64">
            <v>0.6</v>
          </cell>
        </row>
        <row r="65">
          <cell r="I65" t="str">
            <v>Bull y/y Growth - %</v>
          </cell>
          <cell r="M65" t="str">
            <v>NA</v>
          </cell>
          <cell r="N65" t="str">
            <v>NA</v>
          </cell>
          <cell r="O65" t="str">
            <v>NA</v>
          </cell>
          <cell r="P65" t="str">
            <v>NA</v>
          </cell>
          <cell r="Q65" t="str">
            <v>NA</v>
          </cell>
          <cell r="R65" t="str">
            <v>NA</v>
          </cell>
          <cell r="S65" t="str">
            <v>NA</v>
          </cell>
          <cell r="T65" t="str">
            <v>NA</v>
          </cell>
          <cell r="U65" t="str">
            <v>NA</v>
          </cell>
          <cell r="V65" t="str">
            <v>NA</v>
          </cell>
          <cell r="W65" t="str">
            <v>NA</v>
          </cell>
          <cell r="X65" t="str">
            <v>NA</v>
          </cell>
          <cell r="Y65" t="str">
            <v>NA</v>
          </cell>
          <cell r="Z65" t="str">
            <v>NA</v>
          </cell>
          <cell r="AA65" t="str">
            <v>NA</v>
          </cell>
          <cell r="AB65" t="str">
            <v>NA</v>
          </cell>
          <cell r="AC65" t="str">
            <v>NA</v>
          </cell>
          <cell r="AD65" t="str">
            <v>NA</v>
          </cell>
          <cell r="AE65" t="str">
            <v>NA</v>
          </cell>
          <cell r="AF65" t="str">
            <v>NA</v>
          </cell>
          <cell r="AG65" t="str">
            <v>NA</v>
          </cell>
          <cell r="AH65" t="str">
            <v>NA</v>
          </cell>
          <cell r="AI65">
            <v>0.7</v>
          </cell>
          <cell r="AJ65">
            <v>0.72</v>
          </cell>
          <cell r="AK65">
            <v>0.62</v>
          </cell>
          <cell r="AL65">
            <v>0.67</v>
          </cell>
          <cell r="AM65">
            <v>0.67</v>
          </cell>
          <cell r="AN65">
            <v>0.62</v>
          </cell>
        </row>
        <row r="66">
          <cell r="I66" t="str">
            <v>Bear y/y Growth - %</v>
          </cell>
          <cell r="M66" t="str">
            <v>NA</v>
          </cell>
          <cell r="N66" t="str">
            <v>NA</v>
          </cell>
          <cell r="O66" t="str">
            <v>NA</v>
          </cell>
          <cell r="P66" t="str">
            <v>NA</v>
          </cell>
          <cell r="Q66" t="str">
            <v>NA</v>
          </cell>
          <cell r="R66" t="str">
            <v>NA</v>
          </cell>
          <cell r="S66" t="str">
            <v>NA</v>
          </cell>
          <cell r="T66" t="str">
            <v>NA</v>
          </cell>
          <cell r="U66" t="str">
            <v>NA</v>
          </cell>
          <cell r="V66" t="str">
            <v>NA</v>
          </cell>
          <cell r="W66" t="str">
            <v>NA</v>
          </cell>
          <cell r="X66" t="str">
            <v>NA</v>
          </cell>
          <cell r="Y66" t="str">
            <v>NA</v>
          </cell>
          <cell r="Z66" t="str">
            <v>NA</v>
          </cell>
          <cell r="AA66" t="str">
            <v>NA</v>
          </cell>
          <cell r="AB66" t="str">
            <v>NA</v>
          </cell>
          <cell r="AC66" t="str">
            <v>NA</v>
          </cell>
          <cell r="AD66" t="str">
            <v>NA</v>
          </cell>
          <cell r="AE66" t="str">
            <v>NA</v>
          </cell>
          <cell r="AF66" t="str">
            <v>NA</v>
          </cell>
          <cell r="AG66" t="str">
            <v>NA</v>
          </cell>
          <cell r="AH66" t="str">
            <v>NA</v>
          </cell>
          <cell r="AI66">
            <v>0.7</v>
          </cell>
          <cell r="AJ66">
            <v>0.4</v>
          </cell>
          <cell r="AK66">
            <v>0.25</v>
          </cell>
          <cell r="AL66">
            <v>0.3</v>
          </cell>
          <cell r="AM66">
            <v>0.3</v>
          </cell>
          <cell r="AN66">
            <v>0.25</v>
          </cell>
        </row>
        <row r="67">
          <cell r="I67" t="str">
            <v>Total Europe</v>
          </cell>
          <cell r="M67">
            <v>267.26400000000007</v>
          </cell>
          <cell r="N67">
            <v>350.74300000000011</v>
          </cell>
          <cell r="O67">
            <v>392.76600000000008</v>
          </cell>
          <cell r="P67">
            <v>313.15600000000006</v>
          </cell>
          <cell r="Q67">
            <v>504.00400000000002</v>
          </cell>
          <cell r="R67">
            <v>670.29899999999998</v>
          </cell>
          <cell r="S67">
            <v>772.15299999999979</v>
          </cell>
          <cell r="T67">
            <v>649.81000000000006</v>
          </cell>
          <cell r="U67">
            <v>972.23150000000021</v>
          </cell>
          <cell r="V67">
            <v>1168.3035</v>
          </cell>
          <cell r="W67">
            <v>1173.1324999999999</v>
          </cell>
          <cell r="X67">
            <v>711.15499999999997</v>
          </cell>
          <cell r="Y67">
            <v>962.86</v>
          </cell>
          <cell r="Z67">
            <v>1262.009125</v>
          </cell>
          <cell r="AA67">
            <v>1538.44625</v>
          </cell>
          <cell r="AB67">
            <v>1228.8415</v>
          </cell>
          <cell r="AC67">
            <v>1656.6200000000001</v>
          </cell>
          <cell r="AD67">
            <v>1887.8102500000002</v>
          </cell>
          <cell r="AE67">
            <v>2391.7396250000002</v>
          </cell>
          <cell r="AF67">
            <v>1912.9887500000002</v>
          </cell>
          <cell r="AG67">
            <v>2803.7260000000001</v>
          </cell>
          <cell r="AH67">
            <v>3585.0739750000002</v>
          </cell>
          <cell r="AI67">
            <v>3894.5828999999999</v>
          </cell>
          <cell r="AJ67">
            <v>2772.5695422333461</v>
          </cell>
          <cell r="AK67">
            <v>3598.0429497429081</v>
          </cell>
          <cell r="AL67">
            <v>4560.5047258623517</v>
          </cell>
          <cell r="AM67">
            <v>5041.3184072101039</v>
          </cell>
          <cell r="AN67">
            <v>3513.2495133113016</v>
          </cell>
        </row>
        <row r="68">
          <cell r="I68" t="str">
            <v>y/y Growth - %</v>
          </cell>
          <cell r="M68" t="str">
            <v>NA</v>
          </cell>
          <cell r="N68" t="str">
            <v>NA</v>
          </cell>
          <cell r="O68" t="str">
            <v>NA</v>
          </cell>
          <cell r="P68" t="str">
            <v>NA</v>
          </cell>
          <cell r="Q68">
            <v>0.88579082854406099</v>
          </cell>
          <cell r="R68">
            <v>0.91108304371006632</v>
          </cell>
          <cell r="S68">
            <v>0.96593646089529051</v>
          </cell>
          <cell r="T68">
            <v>1.0750360842519382</v>
          </cell>
          <cell r="U68">
            <v>0.92901544432187078</v>
          </cell>
          <cell r="V68">
            <v>0.74295873930887568</v>
          </cell>
          <cell r="W68">
            <v>0.51930057903032201</v>
          </cell>
          <cell r="X68">
            <v>9.4404518243794255E-2</v>
          </cell>
          <cell r="Y68">
            <v>-9.639165157681262E-3</v>
          </cell>
          <cell r="Z68">
            <v>8.0206577314884342E-2</v>
          </cell>
          <cell r="AA68">
            <v>0.31140024677519373</v>
          </cell>
          <cell r="AB68">
            <v>0.72795171235525324</v>
          </cell>
          <cell r="AC68">
            <v>0.72052011715098785</v>
          </cell>
          <cell r="AD68">
            <v>0.49587686222157878</v>
          </cell>
          <cell r="AE68">
            <v>0.55464620554666766</v>
          </cell>
          <cell r="AF68">
            <v>0.55674165463975633</v>
          </cell>
          <cell r="AG68">
            <v>0.69243761393681114</v>
          </cell>
          <cell r="AH68">
            <v>0.8990647894829471</v>
          </cell>
          <cell r="AI68">
            <v>0.62834735825393184</v>
          </cell>
          <cell r="AJ68">
            <v>0.44933917788766187</v>
          </cell>
          <cell r="AK68">
            <v>0.28330762340646265</v>
          </cell>
          <cell r="AL68">
            <v>0.27208106657334774</v>
          </cell>
          <cell r="AM68">
            <v>0.29444372777636962</v>
          </cell>
          <cell r="AN68">
            <v>0.26714567833033565</v>
          </cell>
        </row>
        <row r="70">
          <cell r="I70" t="str">
            <v>Asia</v>
          </cell>
        </row>
        <row r="71">
          <cell r="I71" t="str">
            <v>Agency (Booking.com)</v>
          </cell>
          <cell r="M71">
            <v>3.55</v>
          </cell>
          <cell r="N71">
            <v>3.85</v>
          </cell>
          <cell r="O71">
            <v>3.65</v>
          </cell>
          <cell r="P71">
            <v>3.98</v>
          </cell>
          <cell r="Q71">
            <v>8.875</v>
          </cell>
          <cell r="R71">
            <v>9.625</v>
          </cell>
          <cell r="S71">
            <v>9.125</v>
          </cell>
          <cell r="T71">
            <v>9.9499999999999993</v>
          </cell>
          <cell r="U71">
            <v>20.412499999999998</v>
          </cell>
          <cell r="V71">
            <v>22.137499999999999</v>
          </cell>
          <cell r="W71">
            <v>20.987499999999997</v>
          </cell>
          <cell r="X71">
            <v>22.884999999999998</v>
          </cell>
          <cell r="Y71">
            <v>32.659999999999997</v>
          </cell>
          <cell r="Z71">
            <v>40.068874999999998</v>
          </cell>
          <cell r="AA71">
            <v>44.073749999999997</v>
          </cell>
          <cell r="AB71">
            <v>57.212499999999991</v>
          </cell>
          <cell r="AC71">
            <v>71.852000000000004</v>
          </cell>
          <cell r="AD71">
            <v>80.137749999999997</v>
          </cell>
          <cell r="AE71">
            <v>110.18437499999999</v>
          </cell>
          <cell r="AF71">
            <v>120.14624999999998</v>
          </cell>
          <cell r="AG71">
            <v>165.25960000000001</v>
          </cell>
          <cell r="AH71">
            <v>184.31682499999997</v>
          </cell>
          <cell r="AI71">
            <v>264.44249999999994</v>
          </cell>
          <cell r="AJ71">
            <v>245.75376680028927</v>
          </cell>
          <cell r="AK71">
            <v>288.41048440831901</v>
          </cell>
          <cell r="AL71">
            <v>326.177998202222</v>
          </cell>
          <cell r="AM71">
            <v>463.28131597920077</v>
          </cell>
          <cell r="AN71">
            <v>420.87216842516807</v>
          </cell>
        </row>
        <row r="72">
          <cell r="I72" t="str">
            <v>Base y/y Growth - %</v>
          </cell>
          <cell r="M72" t="str">
            <v>NA</v>
          </cell>
          <cell r="N72" t="str">
            <v>NA</v>
          </cell>
          <cell r="O72" t="str">
            <v>NA</v>
          </cell>
          <cell r="P72" t="str">
            <v>NA</v>
          </cell>
          <cell r="Q72">
            <v>1.5</v>
          </cell>
          <cell r="R72">
            <v>1.5</v>
          </cell>
          <cell r="S72">
            <v>1.5</v>
          </cell>
          <cell r="T72">
            <v>1.5</v>
          </cell>
          <cell r="U72">
            <v>1.3</v>
          </cell>
          <cell r="V72">
            <v>1.3</v>
          </cell>
          <cell r="W72">
            <v>1.3</v>
          </cell>
          <cell r="X72">
            <v>1.3</v>
          </cell>
          <cell r="Y72">
            <v>0.6</v>
          </cell>
          <cell r="Z72">
            <v>0.81</v>
          </cell>
          <cell r="AA72">
            <v>1.1000000000000001</v>
          </cell>
          <cell r="AB72">
            <v>1.5</v>
          </cell>
          <cell r="AC72">
            <v>1.2</v>
          </cell>
          <cell r="AD72">
            <v>1</v>
          </cell>
          <cell r="AE72">
            <v>1.5</v>
          </cell>
          <cell r="AF72">
            <v>1.1000000000000001</v>
          </cell>
          <cell r="AG72">
            <v>1.3</v>
          </cell>
          <cell r="AH72">
            <v>1.3</v>
          </cell>
          <cell r="AI72">
            <v>1.4</v>
          </cell>
          <cell r="AJ72">
            <v>1.0454551581950273</v>
          </cell>
          <cell r="AK72">
            <v>0.74519655383601913</v>
          </cell>
          <cell r="AL72">
            <v>0.76965937972413578</v>
          </cell>
          <cell r="AM72">
            <v>0.75191701779857967</v>
          </cell>
          <cell r="AN72">
            <v>0.71257667341143149</v>
          </cell>
        </row>
        <row r="73">
          <cell r="I73" t="str">
            <v>(+/-) FX y/y Growth - %</v>
          </cell>
          <cell r="M73" t="str">
            <v>NA</v>
          </cell>
          <cell r="N73" t="str">
            <v>NA</v>
          </cell>
          <cell r="O73" t="str">
            <v>NA</v>
          </cell>
          <cell r="P73" t="str">
            <v>NA</v>
          </cell>
          <cell r="Q73">
            <v>-2.7114964515475831E-2</v>
          </cell>
          <cell r="R73">
            <v>-3.4211541901186582E-2</v>
          </cell>
          <cell r="S73">
            <v>-5.3667030607420285E-2</v>
          </cell>
          <cell r="T73">
            <v>-8.474354363716928E-2</v>
          </cell>
          <cell r="U73">
            <v>-0.12354776741627822</v>
          </cell>
          <cell r="V73">
            <v>-0.13074681444069366</v>
          </cell>
          <cell r="W73">
            <v>-8.2310445150418632E-2</v>
          </cell>
          <cell r="X73">
            <v>-7.5301359626306005E-3</v>
          </cell>
          <cell r="Y73">
            <v>3.2330295958266086E-2</v>
          </cell>
          <cell r="Z73">
            <v>3.3462597536049597E-2</v>
          </cell>
          <cell r="AA73">
            <v>-2.9271240896782756E-2</v>
          </cell>
          <cell r="AB73">
            <v>-0.13826937592791694</v>
          </cell>
          <cell r="AC73">
            <v>-0.13063480763906371</v>
          </cell>
          <cell r="AD73">
            <v>-7.4418350796862556E-2</v>
          </cell>
          <cell r="AE73">
            <v>-5.916642356832387E-2</v>
          </cell>
          <cell r="AF73">
            <v>-6.7611718181859695E-2</v>
          </cell>
          <cell r="AG73">
            <v>-8.6538897368229367E-2</v>
          </cell>
          <cell r="AH73">
            <v>-0.12669478419858748</v>
          </cell>
          <cell r="AI73">
            <v>-0.11126439480515408</v>
          </cell>
          <cell r="AJ73">
            <v>-4.5455158195027323E-2</v>
          </cell>
          <cell r="AK73">
            <v>-4.5196553836019136E-2</v>
          </cell>
          <cell r="AL73">
            <v>-1.9659379724135749E-2</v>
          </cell>
          <cell r="AM73">
            <v>-1.9170177985796308E-3</v>
          </cell>
          <cell r="AN73">
            <v>-1.2576673411431575E-2</v>
          </cell>
        </row>
        <row r="74">
          <cell r="I74" t="str">
            <v>Organic y/y Growth - %</v>
          </cell>
          <cell r="M74" t="str">
            <v>NA</v>
          </cell>
          <cell r="N74" t="str">
            <v>NA</v>
          </cell>
          <cell r="O74" t="str">
            <v>NA</v>
          </cell>
          <cell r="P74" t="str">
            <v>NA</v>
          </cell>
          <cell r="Q74">
            <v>1.4728850354845242</v>
          </cell>
          <cell r="R74">
            <v>1.4657884580988134</v>
          </cell>
          <cell r="S74">
            <v>1.4463329693925797</v>
          </cell>
          <cell r="T74">
            <v>1.4152564563628307</v>
          </cell>
          <cell r="U74">
            <v>1.1764522325837219</v>
          </cell>
          <cell r="V74">
            <v>1.1692531855593065</v>
          </cell>
          <cell r="W74">
            <v>1.2176895548495814</v>
          </cell>
          <cell r="X74">
            <v>1.2924698640373695</v>
          </cell>
          <cell r="Y74">
            <v>0.63233029595826606</v>
          </cell>
          <cell r="Z74">
            <v>0.84346259753604969</v>
          </cell>
          <cell r="AA74">
            <v>1.0707287591032173</v>
          </cell>
          <cell r="AB74">
            <v>1.361730624072083</v>
          </cell>
          <cell r="AC74">
            <v>1.0693651923609362</v>
          </cell>
          <cell r="AD74">
            <v>0.92558164920313746</v>
          </cell>
          <cell r="AE74">
            <v>1.4408335764316762</v>
          </cell>
          <cell r="AF74">
            <v>1.0323882818181405</v>
          </cell>
          <cell r="AG74">
            <v>1.2134611026317708</v>
          </cell>
          <cell r="AH74">
            <v>1.1733052158014126</v>
          </cell>
          <cell r="AI74">
            <v>1.2887356051948458</v>
          </cell>
          <cell r="AJ74">
            <v>1</v>
          </cell>
          <cell r="AK74">
            <v>0.7</v>
          </cell>
          <cell r="AL74">
            <v>0.75</v>
          </cell>
          <cell r="AM74">
            <v>0.75</v>
          </cell>
          <cell r="AN74">
            <v>0.7</v>
          </cell>
        </row>
        <row r="75">
          <cell r="I75" t="str">
            <v>Bull y/y Growth - %</v>
          </cell>
          <cell r="M75" t="str">
            <v>NA</v>
          </cell>
          <cell r="N75" t="str">
            <v>NA</v>
          </cell>
          <cell r="O75" t="str">
            <v>NA</v>
          </cell>
          <cell r="P75" t="str">
            <v>NA</v>
          </cell>
          <cell r="Q75">
            <v>1.5</v>
          </cell>
          <cell r="R75">
            <v>1.5</v>
          </cell>
          <cell r="S75">
            <v>1.5</v>
          </cell>
          <cell r="T75">
            <v>1.5</v>
          </cell>
          <cell r="U75">
            <v>1.3</v>
          </cell>
          <cell r="V75">
            <v>1.3</v>
          </cell>
          <cell r="W75">
            <v>1.3</v>
          </cell>
          <cell r="X75">
            <v>1.3</v>
          </cell>
          <cell r="Y75">
            <v>0.6</v>
          </cell>
          <cell r="Z75">
            <v>0.81</v>
          </cell>
          <cell r="AA75">
            <v>1.1000000000000001</v>
          </cell>
          <cell r="AB75">
            <v>1.5</v>
          </cell>
          <cell r="AC75">
            <v>1.2</v>
          </cell>
          <cell r="AD75">
            <v>1</v>
          </cell>
          <cell r="AE75">
            <v>1.5</v>
          </cell>
          <cell r="AF75">
            <v>1.1000000000000001</v>
          </cell>
          <cell r="AG75">
            <v>1.3</v>
          </cell>
          <cell r="AH75">
            <v>1.3</v>
          </cell>
          <cell r="AI75">
            <v>1.4</v>
          </cell>
          <cell r="AJ75">
            <v>1.1454551581950274</v>
          </cell>
          <cell r="AK75">
            <v>0.8451965538360191</v>
          </cell>
          <cell r="AL75">
            <v>0.86965937972413576</v>
          </cell>
          <cell r="AM75">
            <v>0.85191701779857965</v>
          </cell>
          <cell r="AN75">
            <v>0.81257667341143147</v>
          </cell>
        </row>
        <row r="76">
          <cell r="I76" t="str">
            <v>Bear y/y Growth - %</v>
          </cell>
          <cell r="M76" t="str">
            <v>NA</v>
          </cell>
          <cell r="N76" t="str">
            <v>NA</v>
          </cell>
          <cell r="O76" t="str">
            <v>NA</v>
          </cell>
          <cell r="P76" t="str">
            <v>NA</v>
          </cell>
          <cell r="Q76">
            <v>1.5</v>
          </cell>
          <cell r="R76">
            <v>1.5</v>
          </cell>
          <cell r="S76">
            <v>1.5</v>
          </cell>
          <cell r="T76">
            <v>1.5</v>
          </cell>
          <cell r="U76">
            <v>1.3</v>
          </cell>
          <cell r="V76">
            <v>1.3</v>
          </cell>
          <cell r="W76">
            <v>1.3</v>
          </cell>
          <cell r="X76">
            <v>1.3</v>
          </cell>
          <cell r="Y76">
            <v>0.6</v>
          </cell>
          <cell r="Z76">
            <v>0.81</v>
          </cell>
          <cell r="AA76">
            <v>1.1000000000000001</v>
          </cell>
          <cell r="AB76">
            <v>1.5</v>
          </cell>
          <cell r="AC76">
            <v>1.2</v>
          </cell>
          <cell r="AD76">
            <v>1</v>
          </cell>
          <cell r="AE76">
            <v>1.5</v>
          </cell>
          <cell r="AF76">
            <v>1.1000000000000001</v>
          </cell>
          <cell r="AG76">
            <v>1.3</v>
          </cell>
          <cell r="AH76">
            <v>1.3</v>
          </cell>
          <cell r="AI76">
            <v>1.4</v>
          </cell>
          <cell r="AJ76">
            <v>0.94545515819502735</v>
          </cell>
          <cell r="AK76">
            <v>0.64519655383601915</v>
          </cell>
          <cell r="AL76">
            <v>0.66965937972413581</v>
          </cell>
          <cell r="AM76">
            <v>0.65191701779857969</v>
          </cell>
          <cell r="AN76">
            <v>0.61257667341143152</v>
          </cell>
        </row>
        <row r="77">
          <cell r="I77" t="str">
            <v>Merchant (Agoda)</v>
          </cell>
          <cell r="M77">
            <v>0</v>
          </cell>
          <cell r="N77">
            <v>0</v>
          </cell>
          <cell r="O77">
            <v>0</v>
          </cell>
          <cell r="P77">
            <v>0</v>
          </cell>
          <cell r="Q77">
            <v>0</v>
          </cell>
          <cell r="R77">
            <v>0</v>
          </cell>
          <cell r="S77">
            <v>0</v>
          </cell>
          <cell r="T77">
            <v>13.4</v>
          </cell>
          <cell r="U77">
            <v>24.6</v>
          </cell>
          <cell r="V77">
            <v>24.2</v>
          </cell>
          <cell r="W77">
            <v>32.4</v>
          </cell>
          <cell r="X77">
            <v>37.5</v>
          </cell>
          <cell r="Y77">
            <v>39.360000000000007</v>
          </cell>
          <cell r="Z77">
            <v>43.802</v>
          </cell>
          <cell r="AA77">
            <v>68.040000000000006</v>
          </cell>
          <cell r="AB77">
            <v>93.75</v>
          </cell>
          <cell r="AC77">
            <v>86.592000000000027</v>
          </cell>
          <cell r="AD77">
            <v>87.603999999999999</v>
          </cell>
          <cell r="AE77">
            <v>170.10000000000002</v>
          </cell>
          <cell r="AF77">
            <v>196.875</v>
          </cell>
          <cell r="AG77">
            <v>199.16160000000005</v>
          </cell>
          <cell r="AH77">
            <v>201.48919999999998</v>
          </cell>
          <cell r="AI77">
            <v>382.72500000000002</v>
          </cell>
          <cell r="AJ77">
            <v>363.32398426964602</v>
          </cell>
          <cell r="AK77">
            <v>327.65997797646781</v>
          </cell>
          <cell r="AL77">
            <v>336.41833269311235</v>
          </cell>
          <cell r="AM77">
            <v>632.22994063696137</v>
          </cell>
          <cell r="AN77">
            <v>585.88778192413304</v>
          </cell>
        </row>
        <row r="78">
          <cell r="I78" t="str">
            <v>Base y/y Growth - %</v>
          </cell>
          <cell r="M78" t="str">
            <v>NM</v>
          </cell>
          <cell r="N78" t="str">
            <v>NM</v>
          </cell>
          <cell r="O78" t="str">
            <v>NM</v>
          </cell>
          <cell r="P78" t="str">
            <v>NM</v>
          </cell>
          <cell r="Q78" t="str">
            <v>NM</v>
          </cell>
          <cell r="R78" t="str">
            <v>NM</v>
          </cell>
          <cell r="S78" t="str">
            <v>NM</v>
          </cell>
          <cell r="T78" t="str">
            <v>NM</v>
          </cell>
          <cell r="U78" t="str">
            <v>NM</v>
          </cell>
          <cell r="V78" t="str">
            <v>NM</v>
          </cell>
          <cell r="W78" t="str">
            <v>NM</v>
          </cell>
          <cell r="X78" t="str">
            <v>NM</v>
          </cell>
          <cell r="Y78">
            <v>0.6</v>
          </cell>
          <cell r="Z78">
            <v>0.81</v>
          </cell>
          <cell r="AA78">
            <v>1.1000000000000001</v>
          </cell>
          <cell r="AB78">
            <v>1.5</v>
          </cell>
          <cell r="AC78">
            <v>1.2</v>
          </cell>
          <cell r="AD78">
            <v>1</v>
          </cell>
          <cell r="AE78">
            <v>1.5</v>
          </cell>
          <cell r="AF78">
            <v>1.1000000000000001</v>
          </cell>
          <cell r="AG78">
            <v>1.3</v>
          </cell>
          <cell r="AH78">
            <v>1.3</v>
          </cell>
          <cell r="AI78">
            <v>1.25</v>
          </cell>
          <cell r="AJ78">
            <v>0.84545515819502737</v>
          </cell>
          <cell r="AK78">
            <v>0.64519655383601915</v>
          </cell>
          <cell r="AL78">
            <v>0.66965937972413581</v>
          </cell>
          <cell r="AM78">
            <v>0.65191701779857969</v>
          </cell>
          <cell r="AN78">
            <v>0.61257667341143152</v>
          </cell>
        </row>
        <row r="79">
          <cell r="I79" t="str">
            <v>(+/-) FX y/y Growth - %</v>
          </cell>
          <cell r="M79" t="str">
            <v>NA</v>
          </cell>
          <cell r="N79" t="str">
            <v>NA</v>
          </cell>
          <cell r="O79" t="str">
            <v>NA</v>
          </cell>
          <cell r="P79" t="str">
            <v>NA</v>
          </cell>
          <cell r="Q79" t="str">
            <v>NA</v>
          </cell>
          <cell r="R79" t="str">
            <v>NA</v>
          </cell>
          <cell r="S79" t="str">
            <v>NA</v>
          </cell>
          <cell r="T79" t="str">
            <v>NA</v>
          </cell>
          <cell r="U79" t="str">
            <v>NA</v>
          </cell>
          <cell r="V79" t="str">
            <v>NA</v>
          </cell>
          <cell r="W79" t="str">
            <v>NA</v>
          </cell>
          <cell r="X79" t="str">
            <v>NA</v>
          </cell>
          <cell r="Y79">
            <v>3.2330295958266086E-2</v>
          </cell>
          <cell r="Z79">
            <v>3.3462597536049597E-2</v>
          </cell>
          <cell r="AA79">
            <v>-2.9271240896782756E-2</v>
          </cell>
          <cell r="AB79">
            <v>-0.13826937592791694</v>
          </cell>
          <cell r="AC79">
            <v>-0.13063480763906371</v>
          </cell>
          <cell r="AD79">
            <v>-7.4418350796862556E-2</v>
          </cell>
          <cell r="AE79">
            <v>-5.916642356832387E-2</v>
          </cell>
          <cell r="AF79">
            <v>-6.7611718181859695E-2</v>
          </cell>
          <cell r="AG79">
            <v>-8.6538897368229367E-2</v>
          </cell>
          <cell r="AH79">
            <v>-0.12669478419858748</v>
          </cell>
          <cell r="AI79">
            <v>-0.11126439480515408</v>
          </cell>
          <cell r="AJ79">
            <v>-4.5455158195027323E-2</v>
          </cell>
          <cell r="AK79">
            <v>-4.5196553836019136E-2</v>
          </cell>
          <cell r="AL79">
            <v>-1.9659379724135749E-2</v>
          </cell>
          <cell r="AM79">
            <v>-1.9170177985796308E-3</v>
          </cell>
          <cell r="AN79">
            <v>-1.2576673411431575E-2</v>
          </cell>
        </row>
        <row r="80">
          <cell r="I80" t="str">
            <v>Organic y/y Growth - %</v>
          </cell>
          <cell r="M80" t="str">
            <v>NA</v>
          </cell>
          <cell r="N80" t="str">
            <v>NA</v>
          </cell>
          <cell r="O80" t="str">
            <v>NA</v>
          </cell>
          <cell r="P80" t="str">
            <v>NA</v>
          </cell>
          <cell r="Q80" t="str">
            <v>NA</v>
          </cell>
          <cell r="R80" t="str">
            <v>NA</v>
          </cell>
          <cell r="S80" t="str">
            <v>NA</v>
          </cell>
          <cell r="T80" t="str">
            <v>NA</v>
          </cell>
          <cell r="U80" t="str">
            <v>NA</v>
          </cell>
          <cell r="V80" t="str">
            <v>NA</v>
          </cell>
          <cell r="W80" t="str">
            <v>NA</v>
          </cell>
          <cell r="X80" t="str">
            <v>NA</v>
          </cell>
          <cell r="Y80">
            <v>0.63233029595826606</v>
          </cell>
          <cell r="Z80">
            <v>0.84346259753604969</v>
          </cell>
          <cell r="AA80">
            <v>1.0707287591032173</v>
          </cell>
          <cell r="AB80">
            <v>1.361730624072083</v>
          </cell>
          <cell r="AC80">
            <v>1.0693651923609362</v>
          </cell>
          <cell r="AD80">
            <v>0.92558164920313746</v>
          </cell>
          <cell r="AE80">
            <v>1.4408335764316762</v>
          </cell>
          <cell r="AF80">
            <v>1.0323882818181405</v>
          </cell>
          <cell r="AG80">
            <v>1.2134611026317708</v>
          </cell>
          <cell r="AH80">
            <v>1.1733052158014126</v>
          </cell>
          <cell r="AI80">
            <v>1.1387356051948458</v>
          </cell>
          <cell r="AJ80">
            <v>0.8</v>
          </cell>
          <cell r="AK80">
            <v>0.6</v>
          </cell>
          <cell r="AL80">
            <v>0.65</v>
          </cell>
          <cell r="AM80">
            <v>0.65</v>
          </cell>
          <cell r="AN80">
            <v>0.6</v>
          </cell>
        </row>
        <row r="81">
          <cell r="I81" t="str">
            <v>Bull y/y Growth - %</v>
          </cell>
          <cell r="M81" t="str">
            <v>NM</v>
          </cell>
          <cell r="N81" t="str">
            <v>NM</v>
          </cell>
          <cell r="O81" t="str">
            <v>NM</v>
          </cell>
          <cell r="P81" t="str">
            <v>NM</v>
          </cell>
          <cell r="Q81" t="str">
            <v>NM</v>
          </cell>
          <cell r="R81" t="str">
            <v>NM</v>
          </cell>
          <cell r="S81" t="str">
            <v>NM</v>
          </cell>
          <cell r="T81" t="str">
            <v>NM</v>
          </cell>
          <cell r="U81" t="str">
            <v>NM</v>
          </cell>
          <cell r="V81" t="str">
            <v>NM</v>
          </cell>
          <cell r="W81" t="str">
            <v>NM</v>
          </cell>
          <cell r="X81" t="str">
            <v>NM</v>
          </cell>
          <cell r="Y81">
            <v>0.6</v>
          </cell>
          <cell r="Z81">
            <v>0.81</v>
          </cell>
          <cell r="AA81">
            <v>1.1000000000000001</v>
          </cell>
          <cell r="AB81">
            <v>1.5</v>
          </cell>
          <cell r="AC81">
            <v>1.2</v>
          </cell>
          <cell r="AD81">
            <v>1</v>
          </cell>
          <cell r="AE81">
            <v>1.5</v>
          </cell>
          <cell r="AF81">
            <v>1.1000000000000001</v>
          </cell>
          <cell r="AG81">
            <v>1.3</v>
          </cell>
          <cell r="AH81">
            <v>1.3</v>
          </cell>
          <cell r="AI81">
            <v>1.25</v>
          </cell>
          <cell r="AJ81">
            <v>0.89545515819502741</v>
          </cell>
          <cell r="AK81">
            <v>0.69519655383601919</v>
          </cell>
          <cell r="AL81">
            <v>0.71965937972413585</v>
          </cell>
          <cell r="AM81">
            <v>0.70191701779857973</v>
          </cell>
          <cell r="AN81">
            <v>0.66257667341143156</v>
          </cell>
        </row>
        <row r="82">
          <cell r="I82" t="str">
            <v>Bear y/y Growth - %</v>
          </cell>
          <cell r="M82" t="str">
            <v>NM</v>
          </cell>
          <cell r="N82" t="str">
            <v>NM</v>
          </cell>
          <cell r="O82" t="str">
            <v>NM</v>
          </cell>
          <cell r="P82" t="str">
            <v>NM</v>
          </cell>
          <cell r="Q82" t="str">
            <v>NM</v>
          </cell>
          <cell r="R82" t="str">
            <v>NM</v>
          </cell>
          <cell r="S82" t="str">
            <v>NM</v>
          </cell>
          <cell r="T82" t="str">
            <v>NM</v>
          </cell>
          <cell r="U82" t="str">
            <v>NM</v>
          </cell>
          <cell r="V82" t="str">
            <v>NM</v>
          </cell>
          <cell r="W82" t="str">
            <v>NM</v>
          </cell>
          <cell r="X82" t="str">
            <v>NM</v>
          </cell>
          <cell r="Y82">
            <v>0.6</v>
          </cell>
          <cell r="Z82">
            <v>0.81</v>
          </cell>
          <cell r="AA82">
            <v>1.1000000000000001</v>
          </cell>
          <cell r="AB82">
            <v>1.5</v>
          </cell>
          <cell r="AC82">
            <v>1.2</v>
          </cell>
          <cell r="AD82">
            <v>1</v>
          </cell>
          <cell r="AE82">
            <v>1.5</v>
          </cell>
          <cell r="AF82">
            <v>1.1000000000000001</v>
          </cell>
          <cell r="AG82">
            <v>1.3</v>
          </cell>
          <cell r="AH82">
            <v>1.3</v>
          </cell>
          <cell r="AI82">
            <v>1.25</v>
          </cell>
          <cell r="AJ82">
            <v>0.74545515819502739</v>
          </cell>
          <cell r="AK82">
            <v>0.54519655383601917</v>
          </cell>
          <cell r="AL82">
            <v>0.56965937972413583</v>
          </cell>
          <cell r="AM82">
            <v>0.55191701779857971</v>
          </cell>
          <cell r="AN82">
            <v>0.51257667341143154</v>
          </cell>
        </row>
        <row r="83">
          <cell r="I83" t="str">
            <v>Total Asia Pacific</v>
          </cell>
          <cell r="M83">
            <v>3.55</v>
          </cell>
          <cell r="N83">
            <v>3.85</v>
          </cell>
          <cell r="O83">
            <v>3.65</v>
          </cell>
          <cell r="P83">
            <v>3.98</v>
          </cell>
          <cell r="Q83">
            <v>8.875</v>
          </cell>
          <cell r="R83">
            <v>9.625</v>
          </cell>
          <cell r="S83">
            <v>9.125</v>
          </cell>
          <cell r="T83">
            <v>23.35</v>
          </cell>
          <cell r="U83">
            <v>45.012500000000003</v>
          </cell>
          <cell r="V83">
            <v>46.337499999999999</v>
          </cell>
          <cell r="W83">
            <v>53.387499999999996</v>
          </cell>
          <cell r="X83">
            <v>60.384999999999998</v>
          </cell>
          <cell r="Y83">
            <v>72.02000000000001</v>
          </cell>
          <cell r="Z83">
            <v>83.870874999999998</v>
          </cell>
          <cell r="AA83">
            <v>112.11375000000001</v>
          </cell>
          <cell r="AB83">
            <v>150.96249999999998</v>
          </cell>
          <cell r="AC83">
            <v>158.44400000000002</v>
          </cell>
          <cell r="AD83">
            <v>167.74175</v>
          </cell>
          <cell r="AE83">
            <v>280.28437500000001</v>
          </cell>
          <cell r="AF83">
            <v>317.02125000000001</v>
          </cell>
          <cell r="AG83">
            <v>364.42120000000006</v>
          </cell>
          <cell r="AH83">
            <v>385.80602499999998</v>
          </cell>
          <cell r="AI83">
            <v>647.16750000000002</v>
          </cell>
          <cell r="AJ83">
            <v>609.07775106993529</v>
          </cell>
          <cell r="AK83">
            <v>616.07046238478688</v>
          </cell>
          <cell r="AL83">
            <v>662.5963308953344</v>
          </cell>
          <cell r="AM83">
            <v>1095.5112566161622</v>
          </cell>
          <cell r="AN83">
            <v>1006.7599503493011</v>
          </cell>
        </row>
        <row r="84">
          <cell r="I84" t="str">
            <v>y/y Growth - %</v>
          </cell>
          <cell r="M84" t="str">
            <v>NA</v>
          </cell>
          <cell r="N84" t="str">
            <v>NA</v>
          </cell>
          <cell r="O84" t="str">
            <v>NA</v>
          </cell>
          <cell r="P84" t="str">
            <v>NA</v>
          </cell>
          <cell r="Q84">
            <v>1.5</v>
          </cell>
          <cell r="R84">
            <v>1.5</v>
          </cell>
          <cell r="S84">
            <v>1.5</v>
          </cell>
          <cell r="T84">
            <v>4.8668341708542719</v>
          </cell>
          <cell r="U84">
            <v>4.0718309859154935</v>
          </cell>
          <cell r="V84">
            <v>3.8142857142857141</v>
          </cell>
          <cell r="W84">
            <v>4.8506849315068488</v>
          </cell>
          <cell r="X84">
            <v>1.5860813704496786</v>
          </cell>
          <cell r="Y84">
            <v>0.60000000000000009</v>
          </cell>
          <cell r="Z84">
            <v>0.81</v>
          </cell>
          <cell r="AA84">
            <v>1.1000000000000005</v>
          </cell>
          <cell r="AB84">
            <v>1.4999999999999996</v>
          </cell>
          <cell r="AC84">
            <v>1.1999999999999997</v>
          </cell>
          <cell r="AD84">
            <v>1</v>
          </cell>
          <cell r="AE84">
            <v>1.5</v>
          </cell>
          <cell r="AF84">
            <v>1.1000000000000005</v>
          </cell>
          <cell r="AG84">
            <v>1.3000000000000003</v>
          </cell>
          <cell r="AH84">
            <v>1.2999999999999998</v>
          </cell>
          <cell r="AI84">
            <v>1.3089674549285881</v>
          </cell>
          <cell r="AJ84">
            <v>0.92125212764108166</v>
          </cell>
          <cell r="AK84">
            <v>0.69054506813760219</v>
          </cell>
          <cell r="AL84">
            <v>0.71743386043630197</v>
          </cell>
          <cell r="AM84">
            <v>0.69277854128361227</v>
          </cell>
          <cell r="AN84">
            <v>0.65292517840419895</v>
          </cell>
        </row>
        <row r="86">
          <cell r="I86" t="str">
            <v>Latin America &amp; RoW</v>
          </cell>
        </row>
        <row r="87">
          <cell r="I87" t="str">
            <v>Agency (Booking.com)</v>
          </cell>
          <cell r="M87">
            <v>2</v>
          </cell>
          <cell r="N87">
            <v>2</v>
          </cell>
          <cell r="O87">
            <v>2</v>
          </cell>
          <cell r="P87">
            <v>2</v>
          </cell>
          <cell r="Q87">
            <v>6.8</v>
          </cell>
          <cell r="R87">
            <v>7.2</v>
          </cell>
          <cell r="S87">
            <v>7.2</v>
          </cell>
          <cell r="T87">
            <v>6.6</v>
          </cell>
          <cell r="U87">
            <v>20.399999999999999</v>
          </cell>
          <cell r="V87">
            <v>23.040000000000003</v>
          </cell>
          <cell r="W87">
            <v>24.48</v>
          </cell>
          <cell r="X87">
            <v>20.46</v>
          </cell>
          <cell r="Y87">
            <v>57.11999999999999</v>
          </cell>
          <cell r="Z87">
            <v>69.12</v>
          </cell>
          <cell r="AA87">
            <v>73.44</v>
          </cell>
          <cell r="AB87">
            <v>53.196000000000005</v>
          </cell>
          <cell r="AC87">
            <v>159.93599999999995</v>
          </cell>
          <cell r="AD87">
            <v>200.44800000000001</v>
          </cell>
          <cell r="AE87">
            <v>212.976</v>
          </cell>
          <cell r="AF87">
            <v>132.99</v>
          </cell>
          <cell r="AG87">
            <v>367.85279999999983</v>
          </cell>
          <cell r="AH87">
            <v>501.12</v>
          </cell>
          <cell r="AI87">
            <v>447.24960000000004</v>
          </cell>
          <cell r="AJ87">
            <v>256.49258060792613</v>
          </cell>
          <cell r="AK87">
            <v>611.43576082974494</v>
          </cell>
          <cell r="AL87">
            <v>848.19577345338382</v>
          </cell>
          <cell r="AM87">
            <v>760.76037510943434</v>
          </cell>
          <cell r="AN87">
            <v>435.41336588205945</v>
          </cell>
        </row>
        <row r="88">
          <cell r="I88" t="str">
            <v>Base y/y Growth - %</v>
          </cell>
          <cell r="M88" t="str">
            <v>NA</v>
          </cell>
          <cell r="N88" t="str">
            <v>NA</v>
          </cell>
          <cell r="O88" t="str">
            <v>NA</v>
          </cell>
          <cell r="P88" t="str">
            <v>NA</v>
          </cell>
          <cell r="Q88">
            <v>2.4</v>
          </cell>
          <cell r="R88">
            <v>2.6</v>
          </cell>
          <cell r="S88">
            <v>2.6</v>
          </cell>
          <cell r="T88">
            <v>2.2999999999999998</v>
          </cell>
          <cell r="U88">
            <v>2</v>
          </cell>
          <cell r="V88">
            <v>2.2000000000000002</v>
          </cell>
          <cell r="W88">
            <v>2.4</v>
          </cell>
          <cell r="X88">
            <v>2.1</v>
          </cell>
          <cell r="Y88">
            <v>1.8</v>
          </cell>
          <cell r="Z88">
            <v>2</v>
          </cell>
          <cell r="AA88">
            <v>2</v>
          </cell>
          <cell r="AB88">
            <v>1.6</v>
          </cell>
          <cell r="AC88">
            <v>1.8</v>
          </cell>
          <cell r="AD88">
            <v>1.9</v>
          </cell>
          <cell r="AE88">
            <v>1.9</v>
          </cell>
          <cell r="AF88">
            <v>1.5</v>
          </cell>
          <cell r="AG88">
            <v>1.3</v>
          </cell>
          <cell r="AH88">
            <v>1.5</v>
          </cell>
          <cell r="AI88">
            <v>1.1000000000000001</v>
          </cell>
          <cell r="AJ88">
            <v>0.92866065574799694</v>
          </cell>
          <cell r="AK88">
            <v>0.66217508968191952</v>
          </cell>
          <cell r="AL88">
            <v>0.6926001226320716</v>
          </cell>
          <cell r="AM88">
            <v>0.70097497037321943</v>
          </cell>
          <cell r="AN88">
            <v>0.69756709862743027</v>
          </cell>
        </row>
        <row r="89">
          <cell r="I89" t="str">
            <v>(+/-) FX y/y Growth - %</v>
          </cell>
          <cell r="M89" t="str">
            <v>NA</v>
          </cell>
          <cell r="N89" t="str">
            <v>NA</v>
          </cell>
          <cell r="O89" t="str">
            <v>NA</v>
          </cell>
          <cell r="P89" t="str">
            <v>NA</v>
          </cell>
          <cell r="Q89">
            <v>-8.1143406318173739E-3</v>
          </cell>
          <cell r="R89">
            <v>-4.1015659552330629E-2</v>
          </cell>
          <cell r="S89">
            <v>-6.9013045004786708E-2</v>
          </cell>
          <cell r="T89">
            <v>-0.12258214748189453</v>
          </cell>
          <cell r="U89">
            <v>-0.12642428880961254</v>
          </cell>
          <cell r="V89">
            <v>-9.4470722294937109E-2</v>
          </cell>
          <cell r="W89">
            <v>-5.4101841788178673E-2</v>
          </cell>
          <cell r="X89">
            <v>0.13525696990200167</v>
          </cell>
          <cell r="Y89">
            <v>0.14778293452233821</v>
          </cell>
          <cell r="Z89">
            <v>0.11270414437715015</v>
          </cell>
          <cell r="AA89">
            <v>5.6352893409448379E-2</v>
          </cell>
          <cell r="AB89">
            <v>-0.14942487094956314</v>
          </cell>
          <cell r="AC89">
            <v>-0.1603604817548569</v>
          </cell>
          <cell r="AD89">
            <v>-9.7680188920470007E-2</v>
          </cell>
          <cell r="AE89">
            <v>-4.1083185173079365E-2</v>
          </cell>
          <cell r="AF89">
            <v>-2.3473147635738007E-2</v>
          </cell>
          <cell r="AG89">
            <v>-4.5608038336317915E-2</v>
          </cell>
          <cell r="AH89">
            <v>-6.2689762326748763E-2</v>
          </cell>
          <cell r="AI89">
            <v>-4.8421131506136771E-2</v>
          </cell>
          <cell r="AJ89">
            <v>2.1339344252002974E-2</v>
          </cell>
          <cell r="AK89">
            <v>3.7824910318080406E-2</v>
          </cell>
          <cell r="AL89">
            <v>5.7399877367928433E-2</v>
          </cell>
          <cell r="AM89">
            <v>4.9025029626780528E-2</v>
          </cell>
          <cell r="AN89">
            <v>2.4329013725697215E-3</v>
          </cell>
        </row>
        <row r="90">
          <cell r="I90" t="str">
            <v>Organic y/y Growth - %</v>
          </cell>
          <cell r="M90" t="str">
            <v>NA</v>
          </cell>
          <cell r="N90" t="str">
            <v>NA</v>
          </cell>
          <cell r="O90" t="str">
            <v>NA</v>
          </cell>
          <cell r="P90" t="str">
            <v>NA</v>
          </cell>
          <cell r="Q90">
            <v>2.3918856593681825</v>
          </cell>
          <cell r="R90">
            <v>2.5589843404476693</v>
          </cell>
          <cell r="S90">
            <v>2.5309869549952135</v>
          </cell>
          <cell r="T90">
            <v>2.1774178525181052</v>
          </cell>
          <cell r="U90">
            <v>1.8735757111903875</v>
          </cell>
          <cell r="V90">
            <v>2.1055292777050632</v>
          </cell>
          <cell r="W90">
            <v>2.3458981582118215</v>
          </cell>
          <cell r="X90">
            <v>2.235256969902002</v>
          </cell>
          <cell r="Y90">
            <v>1.9477829345223383</v>
          </cell>
          <cell r="Z90">
            <v>2.1127041443771502</v>
          </cell>
          <cell r="AA90">
            <v>2.0563528934094482</v>
          </cell>
          <cell r="AB90">
            <v>1.450575129050437</v>
          </cell>
          <cell r="AC90">
            <v>1.6396395182451431</v>
          </cell>
          <cell r="AD90">
            <v>1.80231981107953</v>
          </cell>
          <cell r="AE90">
            <v>1.8589168148269206</v>
          </cell>
          <cell r="AF90">
            <v>1.4765268523642621</v>
          </cell>
          <cell r="AG90">
            <v>1.2543919616636821</v>
          </cell>
          <cell r="AH90">
            <v>1.4373102376732512</v>
          </cell>
          <cell r="AI90">
            <v>1.0515788684938634</v>
          </cell>
          <cell r="AJ90">
            <v>0.95</v>
          </cell>
          <cell r="AK90">
            <v>0.7</v>
          </cell>
          <cell r="AL90">
            <v>0.75</v>
          </cell>
          <cell r="AM90">
            <v>0.75</v>
          </cell>
          <cell r="AN90">
            <v>0.7</v>
          </cell>
        </row>
        <row r="91">
          <cell r="I91" t="str">
            <v>Bull y/y Growth - %</v>
          </cell>
          <cell r="M91" t="str">
            <v>NA</v>
          </cell>
          <cell r="N91" t="str">
            <v>NA</v>
          </cell>
          <cell r="O91" t="str">
            <v>NA</v>
          </cell>
          <cell r="P91" t="str">
            <v>NA</v>
          </cell>
          <cell r="Q91">
            <v>2.4</v>
          </cell>
          <cell r="R91">
            <v>2.6</v>
          </cell>
          <cell r="S91">
            <v>2.6</v>
          </cell>
          <cell r="T91">
            <v>2.2999999999999998</v>
          </cell>
          <cell r="U91">
            <v>2</v>
          </cell>
          <cell r="V91">
            <v>2.2000000000000002</v>
          </cell>
          <cell r="W91">
            <v>2.4</v>
          </cell>
          <cell r="X91">
            <v>2.1</v>
          </cell>
          <cell r="Y91">
            <v>1.8</v>
          </cell>
          <cell r="Z91">
            <v>2</v>
          </cell>
          <cell r="AA91">
            <v>2</v>
          </cell>
          <cell r="AB91">
            <v>1.6</v>
          </cell>
          <cell r="AC91">
            <v>1.8</v>
          </cell>
          <cell r="AD91">
            <v>1.9</v>
          </cell>
          <cell r="AE91">
            <v>1.9</v>
          </cell>
          <cell r="AF91">
            <v>1.5</v>
          </cell>
          <cell r="AG91">
            <v>1.3</v>
          </cell>
          <cell r="AH91">
            <v>1.5</v>
          </cell>
          <cell r="AI91">
            <v>1.1000000000000001</v>
          </cell>
          <cell r="AJ91">
            <v>0.97866065574799699</v>
          </cell>
          <cell r="AK91">
            <v>0.71217508968191956</v>
          </cell>
          <cell r="AL91">
            <v>0.74260012263207165</v>
          </cell>
          <cell r="AM91">
            <v>0.75097497037321947</v>
          </cell>
          <cell r="AN91">
            <v>0.74756709862743032</v>
          </cell>
        </row>
        <row r="92">
          <cell r="I92" t="str">
            <v>Bear y/y Growth - %</v>
          </cell>
          <cell r="M92" t="str">
            <v>NA</v>
          </cell>
          <cell r="N92" t="str">
            <v>NA</v>
          </cell>
          <cell r="O92" t="str">
            <v>NA</v>
          </cell>
          <cell r="P92" t="str">
            <v>NA</v>
          </cell>
          <cell r="Q92">
            <v>2.4</v>
          </cell>
          <cell r="R92">
            <v>2.6</v>
          </cell>
          <cell r="S92">
            <v>2.6</v>
          </cell>
          <cell r="T92">
            <v>2.2999999999999998</v>
          </cell>
          <cell r="U92">
            <v>2</v>
          </cell>
          <cell r="V92">
            <v>2.2000000000000002</v>
          </cell>
          <cell r="W92">
            <v>2.4</v>
          </cell>
          <cell r="X92">
            <v>2.1</v>
          </cell>
          <cell r="Y92">
            <v>1.8</v>
          </cell>
          <cell r="Z92">
            <v>2</v>
          </cell>
          <cell r="AA92">
            <v>2</v>
          </cell>
          <cell r="AB92">
            <v>1.6</v>
          </cell>
          <cell r="AC92">
            <v>1.8</v>
          </cell>
          <cell r="AD92">
            <v>1.9</v>
          </cell>
          <cell r="AE92">
            <v>1.9</v>
          </cell>
          <cell r="AF92">
            <v>1.5</v>
          </cell>
          <cell r="AG92">
            <v>1.3</v>
          </cell>
          <cell r="AH92">
            <v>1.5</v>
          </cell>
          <cell r="AI92">
            <v>1.1000000000000001</v>
          </cell>
          <cell r="AJ92">
            <v>0.82866065574799697</v>
          </cell>
          <cell r="AK92">
            <v>0.56217508968191954</v>
          </cell>
          <cell r="AL92">
            <v>0.59260012263207162</v>
          </cell>
          <cell r="AM92">
            <v>0.60097497037321945</v>
          </cell>
          <cell r="AN92">
            <v>0.59756709862743029</v>
          </cell>
        </row>
        <row r="94">
          <cell r="I94" t="str">
            <v>Agency Check</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row>
        <row r="95">
          <cell r="I95" t="str">
            <v>Merchant Check</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row>
        <row r="96">
          <cell r="I96" t="str">
            <v>Geography US Check</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row>
        <row r="97">
          <cell r="I97" t="str">
            <v>Geography International Check</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row>
        <row r="99">
          <cell r="I99" t="str">
            <v>Revenue Scenarios</v>
          </cell>
        </row>
        <row r="100">
          <cell r="I100" t="str">
            <v>Revenue by brand</v>
          </cell>
        </row>
        <row r="101">
          <cell r="I101" t="str">
            <v>US</v>
          </cell>
        </row>
        <row r="102">
          <cell r="I102" t="str">
            <v>Agency (Priceline.com)</v>
          </cell>
          <cell r="M102">
            <v>7.9809999999999937</v>
          </cell>
          <cell r="N102">
            <v>8.7919999999999874</v>
          </cell>
          <cell r="O102">
            <v>8.3260000000000485</v>
          </cell>
          <cell r="P102">
            <v>6.1009999999999796</v>
          </cell>
          <cell r="Q102">
            <v>6.6110000000000371</v>
          </cell>
          <cell r="R102">
            <v>7.9439999999999413</v>
          </cell>
          <cell r="S102">
            <v>7.8229999999999542</v>
          </cell>
          <cell r="T102">
            <v>5.7799999999999976</v>
          </cell>
          <cell r="U102">
            <v>10.160000000000023</v>
          </cell>
          <cell r="V102">
            <v>13.104999999999976</v>
          </cell>
          <cell r="W102">
            <v>14.770000000000049</v>
          </cell>
          <cell r="X102">
            <v>12.32299999999999</v>
          </cell>
          <cell r="Y102">
            <v>12.709799999999952</v>
          </cell>
          <cell r="Z102">
            <v>14.769359999999974</v>
          </cell>
          <cell r="AA102">
            <v>18.535199999999989</v>
          </cell>
          <cell r="AB102">
            <v>14.471000000000084</v>
          </cell>
          <cell r="AC102">
            <v>13.028559999999914</v>
          </cell>
          <cell r="AD102">
            <v>18.582720000000034</v>
          </cell>
          <cell r="AE102">
            <v>19.071999999999946</v>
          </cell>
          <cell r="AF102">
            <v>16.275500000000051</v>
          </cell>
          <cell r="AG102">
            <v>15.397088000000048</v>
          </cell>
          <cell r="AH102">
            <v>19.913566800000122</v>
          </cell>
          <cell r="AI102">
            <v>19.274885000000111</v>
          </cell>
          <cell r="AJ102">
            <v>17.362372499999999</v>
          </cell>
          <cell r="AK102">
            <v>17.383543520000003</v>
          </cell>
          <cell r="AL102">
            <v>22.781835647999998</v>
          </cell>
          <cell r="AM102">
            <v>22.41364905</v>
          </cell>
          <cell r="AN102">
            <v>18.309410999999997</v>
          </cell>
        </row>
        <row r="103">
          <cell r="I103" t="str">
            <v>y/y Growth - %</v>
          </cell>
          <cell r="M103" t="str">
            <v>NA</v>
          </cell>
          <cell r="N103" t="str">
            <v>NA</v>
          </cell>
          <cell r="O103" t="str">
            <v>NA</v>
          </cell>
          <cell r="P103" t="str">
            <v>NA</v>
          </cell>
          <cell r="Q103">
            <v>-0.17165768700663542</v>
          </cell>
          <cell r="R103">
            <v>-9.6451319381261058E-2</v>
          </cell>
          <cell r="S103">
            <v>-6.0413163583964868E-2</v>
          </cell>
          <cell r="T103">
            <v>-5.2614325520403682E-2</v>
          </cell>
          <cell r="U103">
            <v>0.53683255180758827</v>
          </cell>
          <cell r="V103">
            <v>0.64967270896274831</v>
          </cell>
          <cell r="W103">
            <v>0.88802249776302378</v>
          </cell>
          <cell r="X103">
            <v>1.1320069204152241</v>
          </cell>
          <cell r="Y103">
            <v>0.25096456692912628</v>
          </cell>
          <cell r="Z103">
            <v>0.12700190766882891</v>
          </cell>
          <cell r="AA103">
            <v>0.25492213947189768</v>
          </cell>
          <cell r="AB103">
            <v>0.17430820417106996</v>
          </cell>
          <cell r="AC103">
            <v>2.5079859635868562E-2</v>
          </cell>
          <cell r="AD103">
            <v>0.25819399080258498</v>
          </cell>
          <cell r="AE103">
            <v>2.8961111830460906E-2</v>
          </cell>
          <cell r="AF103">
            <v>0.12469767120447495</v>
          </cell>
          <cell r="AG103">
            <v>0.18179507175007448</v>
          </cell>
          <cell r="AH103">
            <v>7.1617438136079459E-2</v>
          </cell>
          <cell r="AI103">
            <v>1.0637846057055755E-2</v>
          </cell>
          <cell r="AJ103">
            <v>6.6779668827375183E-2</v>
          </cell>
          <cell r="AK103">
            <v>0.1290150137480508</v>
          </cell>
          <cell r="AL103">
            <v>0.14403591665958393</v>
          </cell>
          <cell r="AM103">
            <v>0.16284216741110891</v>
          </cell>
          <cell r="AN103">
            <v>5.4545454545454453E-2</v>
          </cell>
        </row>
        <row r="104">
          <cell r="I104" t="str">
            <v>Revenue margin</v>
          </cell>
          <cell r="M104">
            <v>3.8427093966065126E-2</v>
          </cell>
          <cell r="N104">
            <v>3.4793482949531218E-2</v>
          </cell>
          <cell r="O104">
            <v>4.1219862369424487E-2</v>
          </cell>
          <cell r="P104">
            <v>3.5484546395709873E-2</v>
          </cell>
          <cell r="Q104">
            <v>3.463995095599158E-2</v>
          </cell>
          <cell r="R104">
            <v>3.4221318537408847E-2</v>
          </cell>
          <cell r="S104">
            <v>3.078212488343067E-2</v>
          </cell>
          <cell r="T104">
            <v>2.3463696222263717E-2</v>
          </cell>
          <cell r="U104">
            <v>2.8453406147168035E-2</v>
          </cell>
          <cell r="V104">
            <v>2.9562773238527868E-2</v>
          </cell>
          <cell r="W104">
            <v>3.8354371541419977E-2</v>
          </cell>
          <cell r="X104">
            <v>3.4857605141376528E-2</v>
          </cell>
          <cell r="Y104">
            <v>3.0456057280334223E-2</v>
          </cell>
          <cell r="Z104">
            <v>3.2573243350535873E-2</v>
          </cell>
          <cell r="AA104">
            <v>3.9053456409564861E-2</v>
          </cell>
          <cell r="AB104">
            <v>3.388635858047765E-2</v>
          </cell>
          <cell r="AC104">
            <v>2.6854317262246883E-2</v>
          </cell>
          <cell r="AD104">
            <v>3.3274398399911247E-2</v>
          </cell>
          <cell r="AE104">
            <v>3.5390610502876133E-2</v>
          </cell>
          <cell r="AF104">
            <v>3.6502382954864146E-2</v>
          </cell>
          <cell r="AG104">
            <v>2.8520435607941083E-2</v>
          </cell>
          <cell r="AH104">
            <v>3.27262452645012E-2</v>
          </cell>
          <cell r="AI104">
            <v>2.917850844327393E-2</v>
          </cell>
          <cell r="AJ104">
            <v>3.3000000000000002E-2</v>
          </cell>
          <cell r="AK104">
            <v>2.8000000000000001E-2</v>
          </cell>
          <cell r="AL104">
            <v>3.2000000000000001E-2</v>
          </cell>
          <cell r="AM104">
            <v>2.9000000000000001E-2</v>
          </cell>
          <cell r="AN104">
            <v>0.03</v>
          </cell>
        </row>
        <row r="105">
          <cell r="I105" t="str">
            <v>Merchant (NYOP &amp; Priceline.com)</v>
          </cell>
          <cell r="M105">
            <v>210.43799999999999</v>
          </cell>
          <cell r="N105">
            <v>250.524</v>
          </cell>
          <cell r="O105">
            <v>238.55799999999999</v>
          </cell>
          <cell r="P105">
            <v>204.649</v>
          </cell>
          <cell r="Q105">
            <v>230.13299999999998</v>
          </cell>
          <cell r="R105">
            <v>252.59099999999998</v>
          </cell>
          <cell r="S105">
            <v>274.81600000000003</v>
          </cell>
          <cell r="T105">
            <v>224.28100000000001</v>
          </cell>
          <cell r="U105">
            <v>284.73099999999999</v>
          </cell>
          <cell r="V105">
            <v>331.87400000000002</v>
          </cell>
          <cell r="W105">
            <v>318.125</v>
          </cell>
          <cell r="X105">
            <v>262.06599999999997</v>
          </cell>
          <cell r="Y105">
            <v>329.94920000000002</v>
          </cell>
          <cell r="Z105">
            <v>384.93763999999999</v>
          </cell>
          <cell r="AA105">
            <v>388.0668</v>
          </cell>
          <cell r="AB105">
            <v>300.53199999999998</v>
          </cell>
          <cell r="AC105">
            <v>352.67843999999997</v>
          </cell>
          <cell r="AD105">
            <v>422.99828000000002</v>
          </cell>
          <cell r="AE105">
            <v>448.411</v>
          </cell>
          <cell r="AF105">
            <v>336.8965</v>
          </cell>
          <cell r="AG105">
            <v>401.72891199999998</v>
          </cell>
          <cell r="AH105">
            <v>466.89743320000002</v>
          </cell>
          <cell r="AI105">
            <v>477.55611499999998</v>
          </cell>
          <cell r="AJ105">
            <v>364.5351</v>
          </cell>
          <cell r="AK105">
            <v>435.84458832000001</v>
          </cell>
          <cell r="AL105">
            <v>510.09027046800009</v>
          </cell>
          <cell r="AM105">
            <v>525.03130355000008</v>
          </cell>
          <cell r="AN105">
            <v>394.76195640000003</v>
          </cell>
        </row>
        <row r="106">
          <cell r="I106" t="str">
            <v>y/y Growth - %</v>
          </cell>
          <cell r="M106" t="str">
            <v>NA</v>
          </cell>
          <cell r="N106" t="str">
            <v>NA</v>
          </cell>
          <cell r="O106" t="str">
            <v>NA</v>
          </cell>
          <cell r="P106" t="str">
            <v>NA</v>
          </cell>
          <cell r="Q106">
            <v>9.3590511219456607E-2</v>
          </cell>
          <cell r="R106">
            <v>8.2507065191357309E-3</v>
          </cell>
          <cell r="S106">
            <v>0.15198819574275446</v>
          </cell>
          <cell r="T106">
            <v>9.5930104715879372E-2</v>
          </cell>
          <cell r="U106">
            <v>0.23724541895338791</v>
          </cell>
          <cell r="V106">
            <v>0.31387895847437175</v>
          </cell>
          <cell r="W106">
            <v>0.15759271658127605</v>
          </cell>
          <cell r="X106">
            <v>0.16847169399102002</v>
          </cell>
          <cell r="Y106">
            <v>0.15881024545974975</v>
          </cell>
          <cell r="Z106">
            <v>0.15989092245852321</v>
          </cell>
          <cell r="AA106">
            <v>0.21985634577603141</v>
          </cell>
          <cell r="AB106">
            <v>0.14677981882426572</v>
          </cell>
          <cell r="AC106">
            <v>6.8887089285259551E-2</v>
          </cell>
          <cell r="AD106">
            <v>9.8874820347524484E-2</v>
          </cell>
          <cell r="AE106">
            <v>0.15549951709344878</v>
          </cell>
          <cell r="AF106">
            <v>0.12100042591138394</v>
          </cell>
          <cell r="AG106">
            <v>0.1390798711710306</v>
          </cell>
          <cell r="AH106">
            <v>0.10378092601227595</v>
          </cell>
          <cell r="AI106">
            <v>6.4996431844892344E-2</v>
          </cell>
          <cell r="AJ106">
            <v>8.2038845758267032E-2</v>
          </cell>
          <cell r="AK106">
            <v>8.4922133560553892E-2</v>
          </cell>
          <cell r="AL106">
            <v>9.251033352650273E-2</v>
          </cell>
          <cell r="AM106">
            <v>9.9412795813535126E-2</v>
          </cell>
          <cell r="AN106">
            <v>8.2918918918919005E-2</v>
          </cell>
        </row>
        <row r="107">
          <cell r="I107" t="str">
            <v>Revenue margin</v>
          </cell>
          <cell r="M107">
            <v>0.79018455588307079</v>
          </cell>
          <cell r="N107">
            <v>0.78764784667333199</v>
          </cell>
          <cell r="O107">
            <v>0.78793904122710245</v>
          </cell>
          <cell r="P107">
            <v>0.81423171799156524</v>
          </cell>
          <cell r="Q107">
            <v>0.79917558853047077</v>
          </cell>
          <cell r="R107">
            <v>0.80022239752131297</v>
          </cell>
          <cell r="S107">
            <v>0.78955594373448568</v>
          </cell>
          <cell r="T107">
            <v>0.80320377605798743</v>
          </cell>
          <cell r="U107">
            <v>0.78245803024515448</v>
          </cell>
          <cell r="V107">
            <v>0.7736171006317164</v>
          </cell>
          <cell r="W107">
            <v>0.76779844280218379</v>
          </cell>
          <cell r="X107">
            <v>0.78091355795332973</v>
          </cell>
          <cell r="Y107">
            <v>0.7597824384942018</v>
          </cell>
          <cell r="Z107">
            <v>0.75365954130919155</v>
          </cell>
          <cell r="AA107">
            <v>0.74025351226072278</v>
          </cell>
          <cell r="AB107">
            <v>0.74313875309402111</v>
          </cell>
          <cell r="AC107">
            <v>0.69901264126785301</v>
          </cell>
          <cell r="AD107">
            <v>0.71007297162550298</v>
          </cell>
          <cell r="AE107">
            <v>0.77033327606940383</v>
          </cell>
          <cell r="AF107">
            <v>0.73860564538229656</v>
          </cell>
          <cell r="AG107">
            <v>0.68189225485896021</v>
          </cell>
          <cell r="AH107">
            <v>0.66746279428423405</v>
          </cell>
          <cell r="AI107">
            <v>0.78621060559913736</v>
          </cell>
          <cell r="AJ107">
            <v>0.74</v>
          </cell>
          <cell r="AK107">
            <v>0.68500000000000005</v>
          </cell>
          <cell r="AL107">
            <v>0.66900000000000004</v>
          </cell>
          <cell r="AM107">
            <v>0.79300000000000004</v>
          </cell>
          <cell r="AN107">
            <v>0.74199999999999999</v>
          </cell>
        </row>
        <row r="108">
          <cell r="I108" t="str">
            <v>Other</v>
          </cell>
          <cell r="M108">
            <v>1.095</v>
          </cell>
          <cell r="N108">
            <v>1.2350000000000001</v>
          </cell>
          <cell r="O108">
            <v>1.583</v>
          </cell>
          <cell r="P108">
            <v>1.121</v>
          </cell>
          <cell r="Q108">
            <v>0.86699999999999999</v>
          </cell>
          <cell r="R108">
            <v>2.6269999999999998</v>
          </cell>
          <cell r="S108">
            <v>2.4529999999999998</v>
          </cell>
          <cell r="T108">
            <v>2.3919999999999999</v>
          </cell>
          <cell r="U108">
            <v>4.0890000000000004</v>
          </cell>
          <cell r="V108">
            <v>4.4969999999999999</v>
          </cell>
          <cell r="W108">
            <v>5.0140000000000002</v>
          </cell>
          <cell r="X108">
            <v>4.2519999999999998</v>
          </cell>
          <cell r="Y108">
            <v>4.7990000000000004</v>
          </cell>
          <cell r="Z108">
            <v>6.4340000000000002</v>
          </cell>
          <cell r="AA108">
            <v>7.1580000000000004</v>
          </cell>
          <cell r="AB108">
            <v>3.85</v>
          </cell>
          <cell r="AC108">
            <v>2.887</v>
          </cell>
          <cell r="AD108">
            <v>3.258</v>
          </cell>
          <cell r="AE108">
            <v>3.274</v>
          </cell>
          <cell r="AF108">
            <v>3.2440000000000002</v>
          </cell>
          <cell r="AG108">
            <v>3.0939999999999999</v>
          </cell>
          <cell r="AH108">
            <v>3.0049999999999999</v>
          </cell>
          <cell r="AI108">
            <v>2.9729999999999999</v>
          </cell>
          <cell r="AJ108">
            <v>3.2440000000000002</v>
          </cell>
          <cell r="AK108">
            <v>3.0939999999999999</v>
          </cell>
          <cell r="AL108">
            <v>3.0049999999999999</v>
          </cell>
          <cell r="AM108">
            <v>2.9729999999999999</v>
          </cell>
          <cell r="AN108">
            <v>3.2440000000000002</v>
          </cell>
        </row>
        <row r="109">
          <cell r="I109" t="str">
            <v>y/y Growth - %</v>
          </cell>
          <cell r="M109" t="str">
            <v>NA</v>
          </cell>
          <cell r="N109" t="str">
            <v>NA</v>
          </cell>
          <cell r="O109" t="str">
            <v>NA</v>
          </cell>
          <cell r="P109" t="str">
            <v>NA</v>
          </cell>
          <cell r="Q109">
            <v>-0.20821917808219181</v>
          </cell>
          <cell r="R109">
            <v>1.1271255060728742</v>
          </cell>
          <cell r="S109">
            <v>0.54958938723941886</v>
          </cell>
          <cell r="T109">
            <v>1.1338090990187331</v>
          </cell>
          <cell r="U109">
            <v>3.7162629757785473</v>
          </cell>
          <cell r="V109">
            <v>0.71183859916254288</v>
          </cell>
          <cell r="W109">
            <v>1.0440277211577662</v>
          </cell>
          <cell r="X109">
            <v>0.77759197324414719</v>
          </cell>
          <cell r="Y109">
            <v>0.17363658596233789</v>
          </cell>
          <cell r="Z109">
            <v>0.43073159884367374</v>
          </cell>
          <cell r="AA109">
            <v>0.42760271240526526</v>
          </cell>
          <cell r="AB109">
            <v>-9.4543744120413886E-2</v>
          </cell>
          <cell r="AC109">
            <v>-0.3984163367368202</v>
          </cell>
          <cell r="AD109">
            <v>-0.49362760335716505</v>
          </cell>
          <cell r="AE109">
            <v>-0.5426096675048897</v>
          </cell>
          <cell r="AF109">
            <v>-0.15740259740259732</v>
          </cell>
          <cell r="AG109">
            <v>7.1700727398683606E-2</v>
          </cell>
          <cell r="AH109">
            <v>-7.765500306936779E-2</v>
          </cell>
          <cell r="AI109">
            <v>-9.1936469150885824E-2</v>
          </cell>
          <cell r="AJ109">
            <v>0</v>
          </cell>
          <cell r="AK109">
            <v>0</v>
          </cell>
          <cell r="AL109">
            <v>0</v>
          </cell>
          <cell r="AM109">
            <v>0</v>
          </cell>
          <cell r="AN109">
            <v>0</v>
          </cell>
        </row>
        <row r="110">
          <cell r="I110" t="str">
            <v>Total US</v>
          </cell>
          <cell r="M110">
            <v>219.51399999999998</v>
          </cell>
          <cell r="N110">
            <v>260.55099999999999</v>
          </cell>
          <cell r="O110">
            <v>248.46700000000004</v>
          </cell>
          <cell r="P110">
            <v>211.87099999999998</v>
          </cell>
          <cell r="Q110">
            <v>237.61100000000002</v>
          </cell>
          <cell r="R110">
            <v>263.16199999999992</v>
          </cell>
          <cell r="S110">
            <v>285.09199999999998</v>
          </cell>
          <cell r="T110">
            <v>232.453</v>
          </cell>
          <cell r="U110">
            <v>298.98</v>
          </cell>
          <cell r="V110">
            <v>349.476</v>
          </cell>
          <cell r="W110">
            <v>337.90900000000005</v>
          </cell>
          <cell r="X110">
            <v>278.64099999999996</v>
          </cell>
          <cell r="Y110">
            <v>347.45799999999997</v>
          </cell>
          <cell r="Z110">
            <v>406.14099999999996</v>
          </cell>
          <cell r="AA110">
            <v>413.76</v>
          </cell>
          <cell r="AB110">
            <v>318.85300000000007</v>
          </cell>
          <cell r="AC110">
            <v>368.59399999999988</v>
          </cell>
          <cell r="AD110">
            <v>444.83900000000006</v>
          </cell>
          <cell r="AE110">
            <v>470.75699999999995</v>
          </cell>
          <cell r="AF110">
            <v>356.41600000000005</v>
          </cell>
          <cell r="AG110">
            <v>420.22</v>
          </cell>
          <cell r="AH110">
            <v>489.81600000000014</v>
          </cell>
          <cell r="AI110">
            <v>499.80400000000009</v>
          </cell>
          <cell r="AJ110">
            <v>385.14147250000002</v>
          </cell>
          <cell r="AK110">
            <v>456.32213184</v>
          </cell>
          <cell r="AL110">
            <v>535.87710611600005</v>
          </cell>
          <cell r="AM110">
            <v>550.41795260000004</v>
          </cell>
          <cell r="AN110">
            <v>416.31536740000007</v>
          </cell>
        </row>
        <row r="111">
          <cell r="I111" t="str">
            <v>y/y Growth - %</v>
          </cell>
          <cell r="M111" t="str">
            <v>NA</v>
          </cell>
          <cell r="N111" t="str">
            <v>NA</v>
          </cell>
          <cell r="O111" t="str">
            <v>NA</v>
          </cell>
          <cell r="P111" t="str">
            <v>NA</v>
          </cell>
          <cell r="Q111">
            <v>8.244121103893165E-2</v>
          </cell>
          <cell r="R111">
            <v>1.0021070730873882E-2</v>
          </cell>
          <cell r="S111">
            <v>0.14740388059581333</v>
          </cell>
          <cell r="T111">
            <v>9.7144016878194961E-2</v>
          </cell>
          <cell r="U111">
            <v>0.25827507985741405</v>
          </cell>
          <cell r="V111">
            <v>0.32798808338589946</v>
          </cell>
          <cell r="W111">
            <v>0.18526300282014252</v>
          </cell>
          <cell r="X111">
            <v>0.19869823147044752</v>
          </cell>
          <cell r="Y111">
            <v>0.16214462505853211</v>
          </cell>
          <cell r="Z111">
            <v>0.16214275086128938</v>
          </cell>
          <cell r="AA111">
            <v>0.22447167728589634</v>
          </cell>
          <cell r="AB111">
            <v>0.14431472755265773</v>
          </cell>
          <cell r="AC111">
            <v>6.0830373743013366E-2</v>
          </cell>
          <cell r="AD111">
            <v>9.5282180326537125E-2</v>
          </cell>
          <cell r="AE111">
            <v>0.13775377030162406</v>
          </cell>
          <cell r="AF111">
            <v>0.11780663816868575</v>
          </cell>
          <cell r="AG111">
            <v>0.1400619651974806</v>
          </cell>
          <cell r="AH111">
            <v>0.10110849093717067</v>
          </cell>
          <cell r="AI111">
            <v>6.1702746852410284E-2</v>
          </cell>
          <cell r="AJ111">
            <v>8.0595350657658438E-2</v>
          </cell>
          <cell r="AK111">
            <v>8.5912454999761856E-2</v>
          </cell>
          <cell r="AL111">
            <v>9.4037569446485891E-2</v>
          </cell>
          <cell r="AM111">
            <v>0.10126760210002317</v>
          </cell>
          <cell r="AN111">
            <v>8.0941412768784637E-2</v>
          </cell>
        </row>
        <row r="113">
          <cell r="I113" t="str">
            <v>Europe</v>
          </cell>
        </row>
        <row r="114">
          <cell r="I114" t="str">
            <v>Agency (Booking.com)</v>
          </cell>
          <cell r="M114">
            <v>21.567499999999999</v>
          </cell>
          <cell r="N114">
            <v>46.222500000000004</v>
          </cell>
          <cell r="O114">
            <v>64.152500000000003</v>
          </cell>
          <cell r="P114">
            <v>47.303000000000004</v>
          </cell>
          <cell r="Q114">
            <v>45.548749999999998</v>
          </cell>
          <cell r="R114">
            <v>87.876250000000013</v>
          </cell>
          <cell r="S114">
            <v>129.35124999999999</v>
          </cell>
          <cell r="T114">
            <v>97.505499999999998</v>
          </cell>
          <cell r="U114">
            <v>93.650125000000003</v>
          </cell>
          <cell r="V114">
            <v>153.36737500000001</v>
          </cell>
          <cell r="W114">
            <v>211.047875</v>
          </cell>
          <cell r="X114">
            <v>114.14825</v>
          </cell>
          <cell r="Y114">
            <v>94.048199999999994</v>
          </cell>
          <cell r="Z114">
            <v>173.33730875000001</v>
          </cell>
          <cell r="AA114">
            <v>287.02573749999993</v>
          </cell>
          <cell r="AB114">
            <v>189.46372500000001</v>
          </cell>
          <cell r="AC114">
            <v>165.44524000000001</v>
          </cell>
          <cell r="AD114">
            <v>256.84141750000003</v>
          </cell>
          <cell r="AE114">
            <v>436.46394375000006</v>
          </cell>
          <cell r="AF114">
            <v>291.5920625</v>
          </cell>
          <cell r="AG114">
            <v>256.05805200000003</v>
          </cell>
          <cell r="AH114">
            <v>446.4519094499999</v>
          </cell>
          <cell r="AI114">
            <v>751.01954959999989</v>
          </cell>
          <cell r="AJ114">
            <v>423.36119137891097</v>
          </cell>
          <cell r="AK114">
            <v>327.68815899657329</v>
          </cell>
          <cell r="AL114">
            <v>561.6505444120877</v>
          </cell>
          <cell r="AM114">
            <v>938.30015040209764</v>
          </cell>
          <cell r="AN114">
            <v>521.95252737253861</v>
          </cell>
        </row>
        <row r="115">
          <cell r="I115" t="str">
            <v>y/y Growth - %</v>
          </cell>
          <cell r="M115" t="str">
            <v>NA</v>
          </cell>
          <cell r="N115" t="str">
            <v>NA</v>
          </cell>
          <cell r="O115" t="str">
            <v>NA</v>
          </cell>
          <cell r="P115" t="str">
            <v>NA</v>
          </cell>
          <cell r="Q115">
            <v>1.1119160774313204</v>
          </cell>
          <cell r="R115">
            <v>0.9011574449672779</v>
          </cell>
          <cell r="S115">
            <v>1.0163087954483454</v>
          </cell>
          <cell r="T115">
            <v>1.0612963237003994</v>
          </cell>
          <cell r="U115">
            <v>1.056041603776174</v>
          </cell>
          <cell r="V115">
            <v>0.74526535895648705</v>
          </cell>
          <cell r="W115">
            <v>0.63158744117277577</v>
          </cell>
          <cell r="X115">
            <v>0.17068524339652646</v>
          </cell>
          <cell r="Y115">
            <v>4.2506617049362649E-3</v>
          </cell>
          <cell r="Z115">
            <v>0.13020979038077685</v>
          </cell>
          <cell r="AA115">
            <v>0.36000297325902908</v>
          </cell>
          <cell r="AB115">
            <v>0.65980402678096262</v>
          </cell>
          <cell r="AC115">
            <v>0.75915371054416791</v>
          </cell>
          <cell r="AD115">
            <v>0.48174342472592491</v>
          </cell>
          <cell r="AE115">
            <v>0.52064392396169756</v>
          </cell>
          <cell r="AF115">
            <v>0.53903900337650379</v>
          </cell>
          <cell r="AG115">
            <v>0.54769065583270948</v>
          </cell>
          <cell r="AH115">
            <v>0.73823954794985447</v>
          </cell>
          <cell r="AI115">
            <v>0.72069093072708101</v>
          </cell>
          <cell r="AJ115">
            <v>0.4518954588447035</v>
          </cell>
          <cell r="AK115">
            <v>0.27974166966080505</v>
          </cell>
          <cell r="AL115">
            <v>0.25803145316145049</v>
          </cell>
          <cell r="AM115">
            <v>0.24936847636235981</v>
          </cell>
          <cell r="AN115">
            <v>0.23287759483222858</v>
          </cell>
        </row>
        <row r="116">
          <cell r="I116" t="str">
            <v>Base revenue margin</v>
          </cell>
          <cell r="M116">
            <v>8.0697362907088094E-2</v>
          </cell>
          <cell r="N116">
            <v>0.13178452599196561</v>
          </cell>
          <cell r="O116">
            <v>0.16333516648589744</v>
          </cell>
          <cell r="P116">
            <v>0.15105251056981184</v>
          </cell>
          <cell r="Q116">
            <v>9.0373786715978441E-2</v>
          </cell>
          <cell r="R116">
            <v>0.1311000762346356</v>
          </cell>
          <cell r="S116">
            <v>0.16752023238917679</v>
          </cell>
          <cell r="T116">
            <v>0.15005232298671917</v>
          </cell>
          <cell r="U116">
            <v>9.6324923642157223E-2</v>
          </cell>
          <cell r="V116">
            <v>0.13127357317683291</v>
          </cell>
          <cell r="W116">
            <v>0.17990114074923336</v>
          </cell>
          <cell r="X116">
            <v>0.16051107001989723</v>
          </cell>
          <cell r="Y116">
            <v>9.7675882267411668E-2</v>
          </cell>
          <cell r="Z116">
            <v>0.13735028163920765</v>
          </cell>
          <cell r="AA116">
            <v>0.1865685834002975</v>
          </cell>
          <cell r="AB116">
            <v>0.15418076700697364</v>
          </cell>
          <cell r="AC116">
            <v>9.9869155267955229E-2</v>
          </cell>
          <cell r="AD116">
            <v>0.1392917130863609</v>
          </cell>
          <cell r="AE116">
            <v>0.18927813157727408</v>
          </cell>
          <cell r="AF116">
            <v>0.15693962759462346</v>
          </cell>
          <cell r="AG116">
            <v>9.4555241345540997E-2</v>
          </cell>
          <cell r="AH116">
            <v>0.1301201643284301</v>
          </cell>
          <cell r="AI116">
            <v>0.20034010772041858</v>
          </cell>
          <cell r="AJ116">
            <v>0.158</v>
          </cell>
          <cell r="AK116">
            <v>9.5000000000000001E-2</v>
          </cell>
          <cell r="AL116">
            <v>0.13</v>
          </cell>
          <cell r="AM116">
            <v>0.19500000000000001</v>
          </cell>
          <cell r="AN116">
            <v>0.155</v>
          </cell>
        </row>
        <row r="117">
          <cell r="I117" t="str">
            <v>Merchant (TravelJigsaw)</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7.9019999999999992</v>
          </cell>
          <cell r="AE117">
            <v>15.443999999999999</v>
          </cell>
          <cell r="AF117">
            <v>9.9</v>
          </cell>
          <cell r="AG117">
            <v>17.225999999999999</v>
          </cell>
          <cell r="AH117">
            <v>27.565999999999999</v>
          </cell>
          <cell r="AI117">
            <v>26.400659999999995</v>
          </cell>
          <cell r="AJ117">
            <v>16.752299575394847</v>
          </cell>
          <cell r="AK117">
            <v>26.76490338126883</v>
          </cell>
          <cell r="AL117">
            <v>42.740634239255492</v>
          </cell>
          <cell r="AM117">
            <v>40.855052013791457</v>
          </cell>
          <cell r="AN117">
            <v>26.246493511795876</v>
          </cell>
        </row>
        <row r="118">
          <cell r="I118" t="str">
            <v>y/y Growth - %</v>
          </cell>
          <cell r="M118" t="str">
            <v>NA</v>
          </cell>
          <cell r="N118" t="str">
            <v>NA</v>
          </cell>
          <cell r="O118" t="str">
            <v>NA</v>
          </cell>
          <cell r="P118" t="str">
            <v>NA</v>
          </cell>
          <cell r="Q118" t="str">
            <v>NA</v>
          </cell>
          <cell r="R118" t="str">
            <v>NA</v>
          </cell>
          <cell r="S118" t="str">
            <v>NA</v>
          </cell>
          <cell r="T118" t="str">
            <v>NA</v>
          </cell>
          <cell r="U118" t="str">
            <v>NA</v>
          </cell>
          <cell r="V118" t="str">
            <v>NA</v>
          </cell>
          <cell r="W118" t="str">
            <v>NA</v>
          </cell>
          <cell r="X118" t="str">
            <v>NA</v>
          </cell>
          <cell r="Y118" t="str">
            <v>NA</v>
          </cell>
          <cell r="Z118" t="str">
            <v>NA</v>
          </cell>
          <cell r="AA118" t="str">
            <v>NA</v>
          </cell>
          <cell r="AB118" t="str">
            <v>NA</v>
          </cell>
          <cell r="AC118" t="str">
            <v>NA</v>
          </cell>
          <cell r="AD118" t="str">
            <v>NA</v>
          </cell>
          <cell r="AE118" t="str">
            <v>NA</v>
          </cell>
          <cell r="AF118" t="str">
            <v>NA</v>
          </cell>
          <cell r="AG118" t="str">
            <v>NA</v>
          </cell>
          <cell r="AH118" t="str">
            <v>NM</v>
          </cell>
          <cell r="AI118">
            <v>0.70944444444444432</v>
          </cell>
          <cell r="AJ118">
            <v>0.6921514722621056</v>
          </cell>
          <cell r="AK118">
            <v>0.55375034141813728</v>
          </cell>
          <cell r="AL118">
            <v>0.55048372049827665</v>
          </cell>
          <cell r="AM118">
            <v>0.54750116147821548</v>
          </cell>
          <cell r="AN118">
            <v>0.56673974182898124</v>
          </cell>
        </row>
        <row r="119">
          <cell r="I119" t="str">
            <v>Revenue Margin</v>
          </cell>
          <cell r="M119" t="str">
            <v>NA</v>
          </cell>
          <cell r="N119" t="str">
            <v>NA</v>
          </cell>
          <cell r="O119" t="str">
            <v>NA</v>
          </cell>
          <cell r="P119" t="str">
            <v>NA</v>
          </cell>
          <cell r="Q119" t="str">
            <v>NA</v>
          </cell>
          <cell r="R119" t="str">
            <v>NA</v>
          </cell>
          <cell r="S119" t="str">
            <v>NA</v>
          </cell>
          <cell r="T119" t="str">
            <v>NA</v>
          </cell>
          <cell r="U119" t="str">
            <v>NA</v>
          </cell>
          <cell r="V119" t="str">
            <v>NA</v>
          </cell>
          <cell r="W119" t="str">
            <v>NA</v>
          </cell>
          <cell r="X119" t="str">
            <v>NA</v>
          </cell>
          <cell r="Y119" t="str">
            <v>NA</v>
          </cell>
          <cell r="Z119" t="str">
            <v>NA</v>
          </cell>
          <cell r="AA119" t="str">
            <v>NA</v>
          </cell>
          <cell r="AB119" t="str">
            <v>NA</v>
          </cell>
          <cell r="AC119" t="str">
            <v>NA</v>
          </cell>
          <cell r="AD119">
            <v>0.18</v>
          </cell>
          <cell r="AE119">
            <v>0.18</v>
          </cell>
          <cell r="AF119">
            <v>0.18</v>
          </cell>
          <cell r="AG119">
            <v>0.18</v>
          </cell>
          <cell r="AH119">
            <v>0.17899999999999999</v>
          </cell>
          <cell r="AI119">
            <v>0.18099999999999999</v>
          </cell>
          <cell r="AJ119">
            <v>0.18</v>
          </cell>
          <cell r="AK119">
            <v>0.18</v>
          </cell>
          <cell r="AL119">
            <v>0.17799999999999999</v>
          </cell>
          <cell r="AM119">
            <v>0.17799999999999999</v>
          </cell>
          <cell r="AN119">
            <v>0.18</v>
          </cell>
        </row>
        <row r="120">
          <cell r="I120" t="str">
            <v>Total Europe</v>
          </cell>
          <cell r="M120">
            <v>21.567499999999999</v>
          </cell>
          <cell r="N120">
            <v>46.222500000000004</v>
          </cell>
          <cell r="O120">
            <v>64.152500000000003</v>
          </cell>
          <cell r="P120">
            <v>47.303000000000004</v>
          </cell>
          <cell r="Q120">
            <v>45.548749999999998</v>
          </cell>
          <cell r="R120">
            <v>87.876250000000013</v>
          </cell>
          <cell r="S120">
            <v>129.35124999999999</v>
          </cell>
          <cell r="T120">
            <v>97.505499999999998</v>
          </cell>
          <cell r="U120">
            <v>93.650125000000003</v>
          </cell>
          <cell r="V120">
            <v>153.36737500000001</v>
          </cell>
          <cell r="W120">
            <v>211.047875</v>
          </cell>
          <cell r="X120">
            <v>114.14825</v>
          </cell>
          <cell r="Y120">
            <v>94.048199999999994</v>
          </cell>
          <cell r="Z120">
            <v>173.33730875000001</v>
          </cell>
          <cell r="AA120">
            <v>287.02573749999993</v>
          </cell>
          <cell r="AB120">
            <v>189.46372500000001</v>
          </cell>
          <cell r="AC120">
            <v>165.44524000000001</v>
          </cell>
          <cell r="AD120">
            <v>264.74341750000002</v>
          </cell>
          <cell r="AE120">
            <v>451.90794375000007</v>
          </cell>
          <cell r="AF120">
            <v>301.49206249999997</v>
          </cell>
          <cell r="AG120">
            <v>273.28405200000003</v>
          </cell>
          <cell r="AH120">
            <v>474.01790944999988</v>
          </cell>
          <cell r="AI120">
            <v>777.42020959999991</v>
          </cell>
          <cell r="AJ120">
            <v>440.1134909543058</v>
          </cell>
          <cell r="AK120">
            <v>354.45306237784212</v>
          </cell>
          <cell r="AL120">
            <v>604.39117865134324</v>
          </cell>
          <cell r="AM120">
            <v>979.15520241588911</v>
          </cell>
          <cell r="AN120">
            <v>548.19902088433446</v>
          </cell>
        </row>
        <row r="121">
          <cell r="I121" t="str">
            <v>y/y Growth - %</v>
          </cell>
          <cell r="M121" t="str">
            <v>NA</v>
          </cell>
          <cell r="N121" t="str">
            <v>NA</v>
          </cell>
          <cell r="O121" t="str">
            <v>NA</v>
          </cell>
          <cell r="P121" t="str">
            <v>NA</v>
          </cell>
          <cell r="Q121">
            <v>1.1119160774313204</v>
          </cell>
          <cell r="R121">
            <v>0.9011574449672779</v>
          </cell>
          <cell r="S121">
            <v>1.0163087954483454</v>
          </cell>
          <cell r="T121">
            <v>1.0612963237003994</v>
          </cell>
          <cell r="U121">
            <v>1.056041603776174</v>
          </cell>
          <cell r="V121">
            <v>0.74526535895648705</v>
          </cell>
          <cell r="W121">
            <v>0.63158744117277577</v>
          </cell>
          <cell r="X121">
            <v>0.17068524339652646</v>
          </cell>
          <cell r="Y121">
            <v>4.2506617049362649E-3</v>
          </cell>
          <cell r="Z121">
            <v>0.13020979038077685</v>
          </cell>
          <cell r="AA121">
            <v>0.36000297325902908</v>
          </cell>
          <cell r="AB121">
            <v>0.65980402678096262</v>
          </cell>
          <cell r="AC121">
            <v>0.75915371054416791</v>
          </cell>
          <cell r="AD121">
            <v>0.52733084071261738</v>
          </cell>
          <cell r="AE121">
            <v>0.57445094536165131</v>
          </cell>
          <cell r="AF121">
            <v>0.59129174991149336</v>
          </cell>
          <cell r="AG121">
            <v>0.65180969848392145</v>
          </cell>
          <cell r="AH121">
            <v>0.79048043545785163</v>
          </cell>
          <cell r="AI121">
            <v>0.72030658091302868</v>
          </cell>
          <cell r="AJ121">
            <v>0.45978466996724277</v>
          </cell>
          <cell r="AK121">
            <v>0.29701334484692898</v>
          </cell>
          <cell r="AL121">
            <v>0.27503869917618662</v>
          </cell>
          <cell r="AM121">
            <v>0.25949285897736862</v>
          </cell>
          <cell r="AN121">
            <v>0.2455855867895913</v>
          </cell>
        </row>
        <row r="123">
          <cell r="I123" t="str">
            <v>Asia</v>
          </cell>
        </row>
        <row r="124">
          <cell r="I124" t="str">
            <v>Agency (Booking.com)</v>
          </cell>
          <cell r="M124">
            <v>0.53249999999999997</v>
          </cell>
          <cell r="N124">
            <v>0.57750000000000001</v>
          </cell>
          <cell r="O124">
            <v>0.54749999999999999</v>
          </cell>
          <cell r="P124">
            <v>0.59699999999999998</v>
          </cell>
          <cell r="Q124">
            <v>1.33125</v>
          </cell>
          <cell r="R124">
            <v>1.4437499999999999</v>
          </cell>
          <cell r="S124">
            <v>1.3687499999999999</v>
          </cell>
          <cell r="T124">
            <v>1.4924999999999999</v>
          </cell>
          <cell r="U124">
            <v>3.0618749999999997</v>
          </cell>
          <cell r="V124">
            <v>3.3206249999999997</v>
          </cell>
          <cell r="W124">
            <v>3.1481249999999994</v>
          </cell>
          <cell r="X124">
            <v>3.4327499999999995</v>
          </cell>
          <cell r="Y124">
            <v>4.8989999999999991</v>
          </cell>
          <cell r="Z124">
            <v>6.0103312499999992</v>
          </cell>
          <cell r="AA124">
            <v>6.6110624999999992</v>
          </cell>
          <cell r="AB124">
            <v>8.5818749999999984</v>
          </cell>
          <cell r="AC124">
            <v>10.777800000000001</v>
          </cell>
          <cell r="AD124">
            <v>12.020662499999998</v>
          </cell>
          <cell r="AE124">
            <v>16.527656249999996</v>
          </cell>
          <cell r="AF124">
            <v>18.021937499999996</v>
          </cell>
          <cell r="AG124">
            <v>24.78894</v>
          </cell>
          <cell r="AH124">
            <v>27.647523749999994</v>
          </cell>
          <cell r="AI124">
            <v>39.666374999999988</v>
          </cell>
          <cell r="AJ124">
            <v>36.863065020043386</v>
          </cell>
          <cell r="AK124">
            <v>43.261572661247847</v>
          </cell>
          <cell r="AL124">
            <v>48.274343733928852</v>
          </cell>
          <cell r="AM124">
            <v>68.565634764921711</v>
          </cell>
          <cell r="AN124">
            <v>63.130825263775208</v>
          </cell>
        </row>
        <row r="125">
          <cell r="I125" t="str">
            <v>y/y Growth - %</v>
          </cell>
          <cell r="M125" t="str">
            <v>NA</v>
          </cell>
          <cell r="N125" t="str">
            <v>NA</v>
          </cell>
          <cell r="O125" t="str">
            <v>NA</v>
          </cell>
          <cell r="P125" t="str">
            <v>NA</v>
          </cell>
          <cell r="Q125">
            <v>1.5</v>
          </cell>
          <cell r="R125">
            <v>1.4999999999999996</v>
          </cell>
          <cell r="S125">
            <v>1.5</v>
          </cell>
          <cell r="T125">
            <v>1.5</v>
          </cell>
          <cell r="U125">
            <v>1.2999999999999998</v>
          </cell>
          <cell r="V125">
            <v>1.2999999999999998</v>
          </cell>
          <cell r="W125">
            <v>1.2999999999999998</v>
          </cell>
          <cell r="X125">
            <v>1.2999999999999998</v>
          </cell>
          <cell r="Y125">
            <v>0.59999999999999987</v>
          </cell>
          <cell r="Z125">
            <v>0.80999999999999983</v>
          </cell>
          <cell r="AA125">
            <v>1.1000000000000001</v>
          </cell>
          <cell r="AB125">
            <v>1.5</v>
          </cell>
          <cell r="AC125">
            <v>1.2000000000000006</v>
          </cell>
          <cell r="AD125">
            <v>1</v>
          </cell>
          <cell r="AE125">
            <v>1.4999999999999996</v>
          </cell>
          <cell r="AF125">
            <v>1.1000000000000001</v>
          </cell>
          <cell r="AG125">
            <v>1.2999999999999998</v>
          </cell>
          <cell r="AH125">
            <v>1.2999999999999998</v>
          </cell>
          <cell r="AI125">
            <v>1.4</v>
          </cell>
          <cell r="AJ125">
            <v>1.0454551581950273</v>
          </cell>
          <cell r="AK125">
            <v>0.74519655383601902</v>
          </cell>
          <cell r="AL125">
            <v>0.74606392132781374</v>
          </cell>
          <cell r="AM125">
            <v>0.72855812422793198</v>
          </cell>
          <cell r="AN125">
            <v>0.7125766734114316</v>
          </cell>
        </row>
        <row r="126">
          <cell r="I126" t="str">
            <v>Revenue Margin</v>
          </cell>
          <cell r="M126">
            <v>0.15</v>
          </cell>
          <cell r="N126">
            <v>0.15</v>
          </cell>
          <cell r="O126">
            <v>0.15</v>
          </cell>
          <cell r="P126">
            <v>0.15</v>
          </cell>
          <cell r="Q126">
            <v>0.15</v>
          </cell>
          <cell r="R126">
            <v>0.15</v>
          </cell>
          <cell r="S126">
            <v>0.15</v>
          </cell>
          <cell r="T126">
            <v>0.15</v>
          </cell>
          <cell r="U126">
            <v>0.15</v>
          </cell>
          <cell r="V126">
            <v>0.15</v>
          </cell>
          <cell r="W126">
            <v>0.15</v>
          </cell>
          <cell r="X126">
            <v>0.15</v>
          </cell>
          <cell r="Y126">
            <v>0.15</v>
          </cell>
          <cell r="Z126">
            <v>0.15</v>
          </cell>
          <cell r="AA126">
            <v>0.15</v>
          </cell>
          <cell r="AB126">
            <v>0.15</v>
          </cell>
          <cell r="AC126">
            <v>0.15</v>
          </cell>
          <cell r="AD126">
            <v>0.15</v>
          </cell>
          <cell r="AE126">
            <v>0.15</v>
          </cell>
          <cell r="AF126">
            <v>0.15</v>
          </cell>
          <cell r="AG126">
            <v>0.15</v>
          </cell>
          <cell r="AH126">
            <v>0.15</v>
          </cell>
          <cell r="AI126">
            <v>0.15</v>
          </cell>
          <cell r="AJ126">
            <v>0.15</v>
          </cell>
          <cell r="AK126">
            <v>0.15</v>
          </cell>
          <cell r="AL126">
            <v>0.14799999999999999</v>
          </cell>
          <cell r="AM126">
            <v>0.14799999999999999</v>
          </cell>
          <cell r="AN126">
            <v>0.15</v>
          </cell>
        </row>
        <row r="127">
          <cell r="I127" t="str">
            <v>Merchant (Agoda)</v>
          </cell>
          <cell r="M127">
            <v>0</v>
          </cell>
          <cell r="N127">
            <v>0</v>
          </cell>
          <cell r="O127">
            <v>0</v>
          </cell>
          <cell r="P127">
            <v>0</v>
          </cell>
          <cell r="Q127">
            <v>0</v>
          </cell>
          <cell r="R127">
            <v>0</v>
          </cell>
          <cell r="S127">
            <v>0</v>
          </cell>
          <cell r="T127">
            <v>2.4119999999999999</v>
          </cell>
          <cell r="U127">
            <v>4.4279999999999999</v>
          </cell>
          <cell r="V127">
            <v>4.3559999999999999</v>
          </cell>
          <cell r="W127">
            <v>5.8319999999999999</v>
          </cell>
          <cell r="X127">
            <v>6.75</v>
          </cell>
          <cell r="Y127">
            <v>7.0848000000000013</v>
          </cell>
          <cell r="Z127">
            <v>7.88436</v>
          </cell>
          <cell r="AA127">
            <v>12.247200000000001</v>
          </cell>
          <cell r="AB127">
            <v>16.875</v>
          </cell>
          <cell r="AC127">
            <v>15.586560000000004</v>
          </cell>
          <cell r="AD127">
            <v>15.76872</v>
          </cell>
          <cell r="AE127">
            <v>30.618000000000002</v>
          </cell>
          <cell r="AF127">
            <v>35.4375</v>
          </cell>
          <cell r="AG127">
            <v>35.849088000000009</v>
          </cell>
          <cell r="AH127">
            <v>36.066566799999997</v>
          </cell>
          <cell r="AI127">
            <v>69.273224999999996</v>
          </cell>
          <cell r="AJ127">
            <v>65.398317168536281</v>
          </cell>
          <cell r="AK127">
            <v>58.651136057787738</v>
          </cell>
          <cell r="AL127">
            <v>59.882463219373996</v>
          </cell>
          <cell r="AM127">
            <v>112.53692943337911</v>
          </cell>
          <cell r="AN127">
            <v>104.87391296441982</v>
          </cell>
        </row>
        <row r="128">
          <cell r="I128" t="str">
            <v>y/y Growth - %</v>
          </cell>
          <cell r="M128" t="str">
            <v>NM</v>
          </cell>
          <cell r="N128" t="str">
            <v>NM</v>
          </cell>
          <cell r="O128" t="str">
            <v>NM</v>
          </cell>
          <cell r="P128" t="str">
            <v>NM</v>
          </cell>
          <cell r="Q128" t="str">
            <v>NM</v>
          </cell>
          <cell r="R128" t="str">
            <v>NM</v>
          </cell>
          <cell r="S128" t="str">
            <v>NM</v>
          </cell>
          <cell r="T128" t="str">
            <v>NM</v>
          </cell>
          <cell r="U128" t="str">
            <v>NM</v>
          </cell>
          <cell r="V128" t="str">
            <v>NM</v>
          </cell>
          <cell r="W128" t="str">
            <v>NM</v>
          </cell>
          <cell r="X128" t="str">
            <v>NM</v>
          </cell>
          <cell r="Y128">
            <v>0.60000000000000031</v>
          </cell>
          <cell r="Z128">
            <v>0.81</v>
          </cell>
          <cell r="AA128">
            <v>1.1000000000000001</v>
          </cell>
          <cell r="AB128">
            <v>1.5</v>
          </cell>
          <cell r="AC128">
            <v>1.2000000000000002</v>
          </cell>
          <cell r="AD128">
            <v>1</v>
          </cell>
          <cell r="AE128">
            <v>1.5</v>
          </cell>
          <cell r="AF128">
            <v>1.1000000000000001</v>
          </cell>
          <cell r="AG128">
            <v>1.2999999999999998</v>
          </cell>
          <cell r="AH128">
            <v>1.2872222222222218</v>
          </cell>
          <cell r="AI128">
            <v>1.2624999999999997</v>
          </cell>
          <cell r="AJ128">
            <v>0.84545515819502737</v>
          </cell>
          <cell r="AK128">
            <v>0.63605657298137475</v>
          </cell>
          <cell r="AL128">
            <v>0.66033167369215739</v>
          </cell>
          <cell r="AM128">
            <v>0.62453717772456985</v>
          </cell>
          <cell r="AN128">
            <v>0.60361791411470134</v>
          </cell>
        </row>
        <row r="129">
          <cell r="I129" t="str">
            <v>Revenue Margin</v>
          </cell>
          <cell r="M129" t="str">
            <v>NA</v>
          </cell>
          <cell r="N129" t="str">
            <v>NA</v>
          </cell>
          <cell r="O129" t="str">
            <v>NA</v>
          </cell>
          <cell r="P129" t="str">
            <v>NA</v>
          </cell>
          <cell r="Q129" t="str">
            <v>NA</v>
          </cell>
          <cell r="R129" t="str">
            <v>NA</v>
          </cell>
          <cell r="S129" t="str">
            <v>NA</v>
          </cell>
          <cell r="T129">
            <v>0.18</v>
          </cell>
          <cell r="U129">
            <v>0.18</v>
          </cell>
          <cell r="V129">
            <v>0.18</v>
          </cell>
          <cell r="W129">
            <v>0.18</v>
          </cell>
          <cell r="X129">
            <v>0.18</v>
          </cell>
          <cell r="Y129">
            <v>0.18</v>
          </cell>
          <cell r="Z129">
            <v>0.18</v>
          </cell>
          <cell r="AA129">
            <v>0.18</v>
          </cell>
          <cell r="AB129">
            <v>0.18</v>
          </cell>
          <cell r="AC129">
            <v>0.18</v>
          </cell>
          <cell r="AD129">
            <v>0.18</v>
          </cell>
          <cell r="AE129">
            <v>0.18</v>
          </cell>
          <cell r="AF129">
            <v>0.18</v>
          </cell>
          <cell r="AG129">
            <v>0.18</v>
          </cell>
          <cell r="AH129">
            <v>0.17899999999999999</v>
          </cell>
          <cell r="AI129">
            <v>0.18099999999999999</v>
          </cell>
          <cell r="AJ129">
            <v>0.18</v>
          </cell>
          <cell r="AK129">
            <v>0.17899999999999999</v>
          </cell>
          <cell r="AL129">
            <v>0.17799999999999999</v>
          </cell>
          <cell r="AM129">
            <v>0.17799999999999999</v>
          </cell>
          <cell r="AN129">
            <v>0.17899999999999999</v>
          </cell>
        </row>
        <row r="130">
          <cell r="I130" t="str">
            <v>Total Asia Pacific</v>
          </cell>
          <cell r="M130">
            <v>0.53249999999999997</v>
          </cell>
          <cell r="N130">
            <v>0.57750000000000001</v>
          </cell>
          <cell r="O130">
            <v>0.54749999999999999</v>
          </cell>
          <cell r="P130">
            <v>0.59699999999999998</v>
          </cell>
          <cell r="Q130">
            <v>1.33125</v>
          </cell>
          <cell r="R130">
            <v>1.4437499999999999</v>
          </cell>
          <cell r="S130">
            <v>1.3687499999999999</v>
          </cell>
          <cell r="T130">
            <v>3.9044999999999996</v>
          </cell>
          <cell r="U130">
            <v>7.4898749999999996</v>
          </cell>
          <cell r="V130">
            <v>7.6766249999999996</v>
          </cell>
          <cell r="W130">
            <v>8.9801249999999992</v>
          </cell>
          <cell r="X130">
            <v>10.182749999999999</v>
          </cell>
          <cell r="Y130">
            <v>11.9838</v>
          </cell>
          <cell r="Z130">
            <v>13.894691249999999</v>
          </cell>
          <cell r="AA130">
            <v>18.858262500000002</v>
          </cell>
          <cell r="AB130">
            <v>25.456874999999997</v>
          </cell>
          <cell r="AC130">
            <v>26.364360000000005</v>
          </cell>
          <cell r="AD130">
            <v>27.789382499999999</v>
          </cell>
          <cell r="AE130">
            <v>47.145656250000002</v>
          </cell>
          <cell r="AF130">
            <v>53.459437499999993</v>
          </cell>
          <cell r="AG130">
            <v>60.638028000000006</v>
          </cell>
          <cell r="AH130">
            <v>63.714090549999995</v>
          </cell>
          <cell r="AI130">
            <v>108.93959999999998</v>
          </cell>
          <cell r="AJ130">
            <v>102.26138218857966</v>
          </cell>
          <cell r="AK130">
            <v>101.91270871903558</v>
          </cell>
          <cell r="AL130">
            <v>108.15680695330285</v>
          </cell>
          <cell r="AM130">
            <v>181.10256419830083</v>
          </cell>
          <cell r="AN130">
            <v>168.00473822819504</v>
          </cell>
        </row>
        <row r="131">
          <cell r="I131" t="str">
            <v>y/y Growth - %</v>
          </cell>
          <cell r="M131" t="str">
            <v>NA</v>
          </cell>
          <cell r="N131" t="str">
            <v>NA</v>
          </cell>
          <cell r="O131" t="str">
            <v>NA</v>
          </cell>
          <cell r="P131" t="str">
            <v>NA</v>
          </cell>
          <cell r="Q131">
            <v>1.5</v>
          </cell>
          <cell r="R131">
            <v>1.4999999999999996</v>
          </cell>
          <cell r="S131">
            <v>1.5</v>
          </cell>
          <cell r="T131">
            <v>5.5402010050251249</v>
          </cell>
          <cell r="U131">
            <v>4.6261971830985908</v>
          </cell>
          <cell r="V131">
            <v>4.3171428571428576</v>
          </cell>
          <cell r="W131">
            <v>5.5608219178082194</v>
          </cell>
          <cell r="X131">
            <v>1.6079523626584709</v>
          </cell>
          <cell r="Y131">
            <v>0.60000000000000009</v>
          </cell>
          <cell r="Z131">
            <v>0.81</v>
          </cell>
          <cell r="AA131">
            <v>1.1000000000000005</v>
          </cell>
          <cell r="AB131">
            <v>1.5</v>
          </cell>
          <cell r="AC131">
            <v>1.2000000000000002</v>
          </cell>
          <cell r="AD131">
            <v>1</v>
          </cell>
          <cell r="AE131">
            <v>1.5</v>
          </cell>
          <cell r="AF131">
            <v>1.1000000000000001</v>
          </cell>
          <cell r="AG131">
            <v>1.2999999999999998</v>
          </cell>
          <cell r="AH131">
            <v>1.2927494178756942</v>
          </cell>
          <cell r="AI131">
            <v>1.3107028020211295</v>
          </cell>
          <cell r="AJ131">
            <v>0.91287800565764798</v>
          </cell>
          <cell r="AK131">
            <v>0.68067320261528907</v>
          </cell>
          <cell r="AL131">
            <v>0.6975335599968453</v>
          </cell>
          <cell r="AM131">
            <v>0.66241260476723673</v>
          </cell>
          <cell r="AN131">
            <v>0.64289524190449931</v>
          </cell>
        </row>
        <row r="133">
          <cell r="I133" t="str">
            <v>Latin America &amp; RoW</v>
          </cell>
        </row>
        <row r="134">
          <cell r="I134" t="str">
            <v>Agency (Booking.com)</v>
          </cell>
          <cell r="M134">
            <v>0.3</v>
          </cell>
          <cell r="N134">
            <v>0.3</v>
          </cell>
          <cell r="O134">
            <v>0.3</v>
          </cell>
          <cell r="P134">
            <v>0.3</v>
          </cell>
          <cell r="Q134">
            <v>1.02</v>
          </cell>
          <cell r="R134">
            <v>1.08</v>
          </cell>
          <cell r="S134">
            <v>1.08</v>
          </cell>
          <cell r="T134">
            <v>0.98999999999999988</v>
          </cell>
          <cell r="U134">
            <v>3.0599999999999996</v>
          </cell>
          <cell r="V134">
            <v>3.4560000000000004</v>
          </cell>
          <cell r="W134">
            <v>3.6719999999999997</v>
          </cell>
          <cell r="X134">
            <v>3.069</v>
          </cell>
          <cell r="Y134">
            <v>8.5679999999999978</v>
          </cell>
          <cell r="Z134">
            <v>10.368</v>
          </cell>
          <cell r="AA134">
            <v>11.016</v>
          </cell>
          <cell r="AB134">
            <v>7.9794</v>
          </cell>
          <cell r="AC134">
            <v>23.99039999999999</v>
          </cell>
          <cell r="AD134">
            <v>30.0672</v>
          </cell>
          <cell r="AE134">
            <v>31.946399999999997</v>
          </cell>
          <cell r="AF134">
            <v>19.948499999999999</v>
          </cell>
          <cell r="AG134">
            <v>55.177919999999972</v>
          </cell>
          <cell r="AH134">
            <v>75.167999999999992</v>
          </cell>
          <cell r="AI134">
            <v>66.640190400000009</v>
          </cell>
          <cell r="AJ134">
            <v>38.473887091188921</v>
          </cell>
          <cell r="AK134">
            <v>91.103928363631994</v>
          </cell>
          <cell r="AL134">
            <v>125.5329744711008</v>
          </cell>
          <cell r="AM134">
            <v>112.59253551619628</v>
          </cell>
          <cell r="AN134">
            <v>64.876591516426856</v>
          </cell>
        </row>
        <row r="135">
          <cell r="I135" t="str">
            <v>y/y Growth - %</v>
          </cell>
          <cell r="M135" t="str">
            <v>NA</v>
          </cell>
          <cell r="N135" t="str">
            <v>NA</v>
          </cell>
          <cell r="O135" t="str">
            <v>NA</v>
          </cell>
          <cell r="P135" t="str">
            <v>NA</v>
          </cell>
          <cell r="Q135">
            <v>2.4000000000000004</v>
          </cell>
          <cell r="R135">
            <v>2.6000000000000005</v>
          </cell>
          <cell r="S135">
            <v>2.6000000000000005</v>
          </cell>
          <cell r="T135">
            <v>2.2999999999999998</v>
          </cell>
          <cell r="U135">
            <v>1.9999999999999996</v>
          </cell>
          <cell r="V135">
            <v>2.2000000000000002</v>
          </cell>
          <cell r="W135">
            <v>2.3999999999999995</v>
          </cell>
          <cell r="X135">
            <v>2.1000000000000005</v>
          </cell>
          <cell r="Y135">
            <v>1.7999999999999998</v>
          </cell>
          <cell r="Z135">
            <v>1.9999999999999996</v>
          </cell>
          <cell r="AA135">
            <v>2.0000000000000004</v>
          </cell>
          <cell r="AB135">
            <v>1.6</v>
          </cell>
          <cell r="AC135">
            <v>1.7999999999999994</v>
          </cell>
          <cell r="AD135">
            <v>1.9</v>
          </cell>
          <cell r="AE135">
            <v>1.9</v>
          </cell>
          <cell r="AF135">
            <v>1.5</v>
          </cell>
          <cell r="AG135">
            <v>1.2999999999999998</v>
          </cell>
          <cell r="AH135">
            <v>1.4999999999999996</v>
          </cell>
          <cell r="AI135">
            <v>1.0860000000000003</v>
          </cell>
          <cell r="AJ135">
            <v>0.92866065574799728</v>
          </cell>
          <cell r="AK135">
            <v>0.65109392241737352</v>
          </cell>
          <cell r="AL135">
            <v>0.67003212099697751</v>
          </cell>
          <cell r="AM135">
            <v>0.68955903097474147</v>
          </cell>
          <cell r="AN135">
            <v>0.6862499846365806</v>
          </cell>
        </row>
        <row r="136">
          <cell r="I136" t="str">
            <v>Revenue Margin</v>
          </cell>
          <cell r="M136">
            <v>0.15</v>
          </cell>
          <cell r="N136">
            <v>0.15</v>
          </cell>
          <cell r="O136">
            <v>0.15</v>
          </cell>
          <cell r="P136">
            <v>0.15</v>
          </cell>
          <cell r="Q136">
            <v>0.15</v>
          </cell>
          <cell r="R136">
            <v>0.15</v>
          </cell>
          <cell r="S136">
            <v>0.15</v>
          </cell>
          <cell r="T136">
            <v>0.15</v>
          </cell>
          <cell r="U136">
            <v>0.15</v>
          </cell>
          <cell r="V136">
            <v>0.15</v>
          </cell>
          <cell r="W136">
            <v>0.15</v>
          </cell>
          <cell r="X136">
            <v>0.15</v>
          </cell>
          <cell r="Y136">
            <v>0.15</v>
          </cell>
          <cell r="Z136">
            <v>0.15</v>
          </cell>
          <cell r="AA136">
            <v>0.15</v>
          </cell>
          <cell r="AB136">
            <v>0.15</v>
          </cell>
          <cell r="AC136">
            <v>0.15</v>
          </cell>
          <cell r="AD136">
            <v>0.15</v>
          </cell>
          <cell r="AE136">
            <v>0.15</v>
          </cell>
          <cell r="AF136">
            <v>0.15</v>
          </cell>
          <cell r="AG136">
            <v>0.15</v>
          </cell>
          <cell r="AH136">
            <v>0.15</v>
          </cell>
          <cell r="AI136">
            <v>0.14899999999999999</v>
          </cell>
          <cell r="AJ136">
            <v>0.15</v>
          </cell>
          <cell r="AK136">
            <v>0.14899999999999999</v>
          </cell>
          <cell r="AL136">
            <v>0.14799999999999999</v>
          </cell>
          <cell r="AM136">
            <v>0.14799999999999999</v>
          </cell>
          <cell r="AN136">
            <v>0.14899999999999999</v>
          </cell>
        </row>
        <row r="138">
          <cell r="I138" t="str">
            <v>Agency Check</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row>
        <row r="139">
          <cell r="I139" t="str">
            <v>Merchant Check</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row>
        <row r="140">
          <cell r="I140" t="str">
            <v>Geography US Check</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row>
        <row r="141">
          <cell r="I141" t="str">
            <v>Geography International Check</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row>
        <row r="143">
          <cell r="I143" t="str">
            <v>Gross Profit Scenarios</v>
          </cell>
        </row>
        <row r="144">
          <cell r="I144" t="str">
            <v>Gross Profit by brand</v>
          </cell>
        </row>
        <row r="145">
          <cell r="I145" t="str">
            <v>US</v>
          </cell>
        </row>
        <row r="146">
          <cell r="I146" t="str">
            <v>Agency (Priceline.com)</v>
          </cell>
          <cell r="M146">
            <v>7.9809999999999937</v>
          </cell>
          <cell r="N146">
            <v>8.7919999999999874</v>
          </cell>
          <cell r="O146">
            <v>8.3260000000000485</v>
          </cell>
          <cell r="P146">
            <v>6.1009999999999796</v>
          </cell>
          <cell r="Q146">
            <v>6.6110000000000371</v>
          </cell>
          <cell r="R146">
            <v>7.9439999999999413</v>
          </cell>
          <cell r="S146">
            <v>7.8229999999999542</v>
          </cell>
          <cell r="T146">
            <v>5.7799999999999976</v>
          </cell>
          <cell r="U146">
            <v>10.160000000000023</v>
          </cell>
          <cell r="V146">
            <v>13.104999999999976</v>
          </cell>
          <cell r="W146">
            <v>14.770000000000049</v>
          </cell>
          <cell r="X146">
            <v>12.32299999999999</v>
          </cell>
          <cell r="Y146">
            <v>12.709799999999952</v>
          </cell>
          <cell r="Z146">
            <v>14.769359999999974</v>
          </cell>
          <cell r="AA146">
            <v>18.535199999999989</v>
          </cell>
          <cell r="AB146">
            <v>14.471000000000084</v>
          </cell>
          <cell r="AC146">
            <v>13.028559999999914</v>
          </cell>
          <cell r="AD146">
            <v>18.582720000000034</v>
          </cell>
          <cell r="AE146">
            <v>19.071999999999946</v>
          </cell>
          <cell r="AF146">
            <v>16.275500000000051</v>
          </cell>
          <cell r="AG146">
            <v>15.397088000000048</v>
          </cell>
          <cell r="AH146">
            <v>19.913566800000122</v>
          </cell>
          <cell r="AI146">
            <v>19.274885000000111</v>
          </cell>
          <cell r="AJ146">
            <v>17.362372499999999</v>
          </cell>
          <cell r="AK146">
            <v>17.383543520000003</v>
          </cell>
          <cell r="AL146">
            <v>22.781835647999998</v>
          </cell>
          <cell r="AM146">
            <v>22.41364905</v>
          </cell>
          <cell r="AN146">
            <v>18.309410999999997</v>
          </cell>
        </row>
        <row r="147">
          <cell r="I147" t="str">
            <v>y/y Growth - %</v>
          </cell>
          <cell r="M147" t="str">
            <v>NA</v>
          </cell>
          <cell r="N147" t="str">
            <v>NA</v>
          </cell>
          <cell r="O147" t="str">
            <v>NA</v>
          </cell>
          <cell r="P147" t="str">
            <v>NA</v>
          </cell>
          <cell r="Q147">
            <v>-0.17165768700663542</v>
          </cell>
          <cell r="R147">
            <v>-9.6451319381261058E-2</v>
          </cell>
          <cell r="S147">
            <v>-6.0413163583964868E-2</v>
          </cell>
          <cell r="T147">
            <v>-5.2614325520403682E-2</v>
          </cell>
          <cell r="U147">
            <v>0.53683255180758827</v>
          </cell>
          <cell r="V147">
            <v>0.64967270896274831</v>
          </cell>
          <cell r="W147">
            <v>0.88802249776302378</v>
          </cell>
          <cell r="X147">
            <v>1.1320069204152241</v>
          </cell>
          <cell r="Y147">
            <v>0.25096456692912628</v>
          </cell>
          <cell r="Z147">
            <v>0.12700190766882891</v>
          </cell>
          <cell r="AA147">
            <v>0.25492213947189768</v>
          </cell>
          <cell r="AB147">
            <v>0.17430820417106996</v>
          </cell>
          <cell r="AC147">
            <v>2.5079859635868562E-2</v>
          </cell>
          <cell r="AD147">
            <v>0.25819399080258498</v>
          </cell>
          <cell r="AE147">
            <v>2.8961111830460906E-2</v>
          </cell>
          <cell r="AF147">
            <v>0.12469767120447495</v>
          </cell>
          <cell r="AG147">
            <v>0.18179507175007448</v>
          </cell>
          <cell r="AH147">
            <v>7.1617438136079459E-2</v>
          </cell>
          <cell r="AI147">
            <v>1.0637846057055755E-2</v>
          </cell>
          <cell r="AJ147">
            <v>6.6779668827375183E-2</v>
          </cell>
          <cell r="AK147">
            <v>0.1290150137480508</v>
          </cell>
          <cell r="AL147">
            <v>0.14403591665958393</v>
          </cell>
          <cell r="AM147">
            <v>0.16284216741110891</v>
          </cell>
          <cell r="AN147">
            <v>5.4545454545454453E-2</v>
          </cell>
        </row>
        <row r="148">
          <cell r="I148" t="str">
            <v>Merchant (NYOP &amp; Priceline.com)</v>
          </cell>
          <cell r="M148">
            <v>40.754999999999995</v>
          </cell>
          <cell r="N148">
            <v>48.676999999999992</v>
          </cell>
          <cell r="O148">
            <v>48.638000000000005</v>
          </cell>
          <cell r="P148">
            <v>44.094999999999999</v>
          </cell>
          <cell r="Q148">
            <v>48.460999999999984</v>
          </cell>
          <cell r="R148">
            <v>53.921999999999969</v>
          </cell>
          <cell r="S148">
            <v>59.860000000000042</v>
          </cell>
          <cell r="T148">
            <v>49.580000000000013</v>
          </cell>
          <cell r="U148">
            <v>62.653999999999996</v>
          </cell>
          <cell r="V148">
            <v>71.623000000000047</v>
          </cell>
          <cell r="W148">
            <v>72.593999999999994</v>
          </cell>
          <cell r="X148">
            <v>61.089999999999975</v>
          </cell>
          <cell r="Y148">
            <v>76.22120000000001</v>
          </cell>
          <cell r="Z148">
            <v>86.434640000000002</v>
          </cell>
          <cell r="AA148">
            <v>91.412800000000004</v>
          </cell>
          <cell r="AB148">
            <v>71.967999999999989</v>
          </cell>
          <cell r="AC148">
            <v>87.400439999999946</v>
          </cell>
          <cell r="AD148">
            <v>100.81428</v>
          </cell>
          <cell r="AE148">
            <v>112.84199999999998</v>
          </cell>
          <cell r="AF148">
            <v>83.993500000000012</v>
          </cell>
          <cell r="AG148">
            <v>98.216911999999979</v>
          </cell>
          <cell r="AH148">
            <v>113.40843320000005</v>
          </cell>
          <cell r="AI148">
            <v>124.90011499999997</v>
          </cell>
          <cell r="AJ148">
            <v>89.655929999999998</v>
          </cell>
          <cell r="AK148">
            <v>103.075654464</v>
          </cell>
          <cell r="AL148">
            <v>119.70728320400002</v>
          </cell>
          <cell r="AM148">
            <v>135.0647994</v>
          </cell>
          <cell r="AN148">
            <v>93.104235000000003</v>
          </cell>
        </row>
        <row r="149">
          <cell r="I149" t="str">
            <v>y/y Growth - %</v>
          </cell>
          <cell r="M149" t="str">
            <v>NA</v>
          </cell>
          <cell r="N149" t="str">
            <v>NA</v>
          </cell>
          <cell r="O149" t="str">
            <v>NA</v>
          </cell>
          <cell r="P149" t="str">
            <v>NA</v>
          </cell>
          <cell r="Q149">
            <v>0.18908109434425202</v>
          </cell>
          <cell r="R149">
            <v>0.10775109394580551</v>
          </cell>
          <cell r="S149">
            <v>0.23072494757185802</v>
          </cell>
          <cell r="T149">
            <v>0.12439052046717336</v>
          </cell>
          <cell r="U149">
            <v>0.29287468273457051</v>
          </cell>
          <cell r="V149">
            <v>0.32827046474537469</v>
          </cell>
          <cell r="W149">
            <v>0.2127297026394912</v>
          </cell>
          <cell r="X149">
            <v>0.2321500605082687</v>
          </cell>
          <cell r="Y149">
            <v>0.21654164139560139</v>
          </cell>
          <cell r="Z149">
            <v>0.20680005026318282</v>
          </cell>
          <cell r="AA149">
            <v>0.25923354547207778</v>
          </cell>
          <cell r="AB149">
            <v>0.17806514977901489</v>
          </cell>
          <cell r="AC149">
            <v>0.14666838097537083</v>
          </cell>
          <cell r="AD149">
            <v>0.16636431874998259</v>
          </cell>
          <cell r="AE149">
            <v>0.2344223128489662</v>
          </cell>
          <cell r="AF149">
            <v>0.1670950978212542</v>
          </cell>
          <cell r="AG149">
            <v>0.12375763783340266</v>
          </cell>
          <cell r="AH149">
            <v>0.12492429842280339</v>
          </cell>
          <cell r="AI149">
            <v>0.10685839492387572</v>
          </cell>
          <cell r="AJ149">
            <v>6.7415097596837725E-2</v>
          </cell>
          <cell r="AK149">
            <v>4.9469509528053734E-2</v>
          </cell>
          <cell r="AL149">
            <v>5.554128406740011E-2</v>
          </cell>
          <cell r="AM149">
            <v>8.138250633316102E-2</v>
          </cell>
          <cell r="AN149">
            <v>3.8461538461538547E-2</v>
          </cell>
        </row>
        <row r="150">
          <cell r="I150" t="str">
            <v>Base Gross Profit margin (% of total gross bookings)</v>
          </cell>
          <cell r="M150">
            <v>0.15303306235097533</v>
          </cell>
          <cell r="N150">
            <v>0.15304056390811968</v>
          </cell>
          <cell r="O150">
            <v>0.16064763741817006</v>
          </cell>
          <cell r="P150">
            <v>0.1754396435107822</v>
          </cell>
          <cell r="Q150">
            <v>0.16828898157054892</v>
          </cell>
          <cell r="R150">
            <v>0.17082790803767442</v>
          </cell>
          <cell r="S150">
            <v>0.17197986577181218</v>
          </cell>
          <cell r="T150">
            <v>0.17755781014421651</v>
          </cell>
          <cell r="U150">
            <v>0.17217698609206553</v>
          </cell>
          <cell r="V150">
            <v>0.16695727173127589</v>
          </cell>
          <cell r="W150">
            <v>0.17520647593487379</v>
          </cell>
          <cell r="X150">
            <v>0.18203814785347547</v>
          </cell>
          <cell r="Y150">
            <v>0.17551650133097538</v>
          </cell>
          <cell r="Z150">
            <v>0.16922816676390778</v>
          </cell>
          <cell r="AA150">
            <v>0.17437370644844394</v>
          </cell>
          <cell r="AB150">
            <v>0.1779584529523329</v>
          </cell>
          <cell r="AC150">
            <v>0.17322865671168466</v>
          </cell>
          <cell r="AD150">
            <v>0.16923353773893715</v>
          </cell>
          <cell r="AE150">
            <v>0.19385328981274691</v>
          </cell>
          <cell r="AF150">
            <v>0.18414579336804607</v>
          </cell>
          <cell r="AG150">
            <v>0.16671279957307145</v>
          </cell>
          <cell r="AH150">
            <v>0.16212534988737851</v>
          </cell>
          <cell r="AI150">
            <v>0.2056256677889087</v>
          </cell>
          <cell r="AJ150">
            <v>0.182</v>
          </cell>
          <cell r="AK150">
            <v>0.16200000000000001</v>
          </cell>
          <cell r="AL150">
            <v>0.157</v>
          </cell>
          <cell r="AM150">
            <v>0.20399999999999999</v>
          </cell>
          <cell r="AN150">
            <v>0.17499999999999999</v>
          </cell>
        </row>
        <row r="151">
          <cell r="I151" t="str">
            <v>Other</v>
          </cell>
          <cell r="M151">
            <v>1.095</v>
          </cell>
          <cell r="N151">
            <v>1.2350000000000001</v>
          </cell>
          <cell r="O151">
            <v>1.583</v>
          </cell>
          <cell r="P151">
            <v>1.121</v>
          </cell>
          <cell r="Q151">
            <v>0.86699999999999999</v>
          </cell>
          <cell r="R151">
            <v>2.6269999999999998</v>
          </cell>
          <cell r="S151">
            <v>2.4529999999999998</v>
          </cell>
          <cell r="T151">
            <v>2.3919999999999999</v>
          </cell>
          <cell r="U151">
            <v>4.0890000000000004</v>
          </cell>
          <cell r="V151">
            <v>4.4969999999999999</v>
          </cell>
          <cell r="W151">
            <v>5.0140000000000002</v>
          </cell>
          <cell r="X151">
            <v>4.2519999999999998</v>
          </cell>
          <cell r="Y151">
            <v>4.7990000000000004</v>
          </cell>
          <cell r="Z151">
            <v>6.4340000000000002</v>
          </cell>
          <cell r="AA151">
            <v>7.1580000000000004</v>
          </cell>
          <cell r="AB151">
            <v>3.85</v>
          </cell>
          <cell r="AC151">
            <v>2.887</v>
          </cell>
          <cell r="AD151">
            <v>3.258</v>
          </cell>
          <cell r="AE151">
            <v>3.274</v>
          </cell>
          <cell r="AF151">
            <v>3.2440000000000002</v>
          </cell>
          <cell r="AG151">
            <v>3.0939999999999999</v>
          </cell>
          <cell r="AH151">
            <v>3.0049999999999999</v>
          </cell>
          <cell r="AI151">
            <v>2.9729999999999999</v>
          </cell>
          <cell r="AJ151">
            <v>3.2440000000000002</v>
          </cell>
          <cell r="AK151">
            <v>3.0939999999999999</v>
          </cell>
          <cell r="AL151">
            <v>3.0049999999999999</v>
          </cell>
          <cell r="AM151">
            <v>2.9729999999999999</v>
          </cell>
          <cell r="AN151">
            <v>3.2440000000000002</v>
          </cell>
        </row>
        <row r="152">
          <cell r="I152" t="str">
            <v>y/y Growth - %</v>
          </cell>
          <cell r="M152" t="str">
            <v>NA</v>
          </cell>
          <cell r="N152" t="str">
            <v>NA</v>
          </cell>
          <cell r="O152" t="str">
            <v>NA</v>
          </cell>
          <cell r="P152" t="str">
            <v>NA</v>
          </cell>
          <cell r="Q152">
            <v>-0.20821917808219181</v>
          </cell>
          <cell r="R152">
            <v>1.1271255060728742</v>
          </cell>
          <cell r="S152">
            <v>0.54958938723941886</v>
          </cell>
          <cell r="T152">
            <v>1.1338090990187331</v>
          </cell>
          <cell r="U152">
            <v>3.7162629757785473</v>
          </cell>
          <cell r="V152">
            <v>0.71183859916254288</v>
          </cell>
          <cell r="W152">
            <v>1.0440277211577662</v>
          </cell>
          <cell r="X152">
            <v>0.77759197324414719</v>
          </cell>
          <cell r="Y152">
            <v>0.17363658596233789</v>
          </cell>
          <cell r="Z152">
            <v>0.43073159884367374</v>
          </cell>
          <cell r="AA152">
            <v>0.42760271240526526</v>
          </cell>
          <cell r="AB152">
            <v>-9.4543744120413886E-2</v>
          </cell>
          <cell r="AC152">
            <v>-0.3984163367368202</v>
          </cell>
          <cell r="AD152">
            <v>-0.49362760335716505</v>
          </cell>
          <cell r="AE152">
            <v>-0.5426096675048897</v>
          </cell>
          <cell r="AF152">
            <v>-0.15740259740259732</v>
          </cell>
          <cell r="AG152">
            <v>7.1700727398683606E-2</v>
          </cell>
          <cell r="AH152">
            <v>-7.765500306936779E-2</v>
          </cell>
          <cell r="AI152">
            <v>-9.1936469150885824E-2</v>
          </cell>
          <cell r="AJ152">
            <v>0</v>
          </cell>
          <cell r="AK152">
            <v>0</v>
          </cell>
          <cell r="AL152">
            <v>0</v>
          </cell>
          <cell r="AM152">
            <v>0</v>
          </cell>
          <cell r="AN152">
            <v>0</v>
          </cell>
        </row>
        <row r="153">
          <cell r="I153" t="str">
            <v>Total US</v>
          </cell>
          <cell r="M153">
            <v>49.830999999999989</v>
          </cell>
          <cell r="N153">
            <v>58.703999999999979</v>
          </cell>
          <cell r="O153">
            <v>58.547000000000054</v>
          </cell>
          <cell r="P153">
            <v>51.316999999999979</v>
          </cell>
          <cell r="Q153">
            <v>55.939000000000021</v>
          </cell>
          <cell r="R153">
            <v>64.49299999999991</v>
          </cell>
          <cell r="S153">
            <v>70.135999999999996</v>
          </cell>
          <cell r="T153">
            <v>57.752000000000017</v>
          </cell>
          <cell r="U153">
            <v>76.90300000000002</v>
          </cell>
          <cell r="V153">
            <v>89.225000000000023</v>
          </cell>
          <cell r="W153">
            <v>92.378000000000043</v>
          </cell>
          <cell r="X153">
            <v>77.664999999999964</v>
          </cell>
          <cell r="Y153">
            <v>93.729999999999961</v>
          </cell>
          <cell r="Z153">
            <v>107.63799999999998</v>
          </cell>
          <cell r="AA153">
            <v>117.10599999999999</v>
          </cell>
          <cell r="AB153">
            <v>90.289000000000073</v>
          </cell>
          <cell r="AC153">
            <v>103.31599999999986</v>
          </cell>
          <cell r="AD153">
            <v>122.65500000000003</v>
          </cell>
          <cell r="AE153">
            <v>135.18799999999993</v>
          </cell>
          <cell r="AF153">
            <v>103.51300000000006</v>
          </cell>
          <cell r="AG153">
            <v>116.70800000000003</v>
          </cell>
          <cell r="AH153">
            <v>136.32700000000017</v>
          </cell>
          <cell r="AI153">
            <v>147.14800000000008</v>
          </cell>
          <cell r="AJ153">
            <v>110.2623025</v>
          </cell>
          <cell r="AK153">
            <v>123.55319798399999</v>
          </cell>
          <cell r="AL153">
            <v>145.49411885200001</v>
          </cell>
          <cell r="AM153">
            <v>160.45144845000002</v>
          </cell>
          <cell r="AN153">
            <v>114.657646</v>
          </cell>
        </row>
        <row r="154">
          <cell r="I154" t="str">
            <v>y/y Growth - %</v>
          </cell>
          <cell r="M154" t="str">
            <v>NA</v>
          </cell>
          <cell r="N154" t="str">
            <v>NA</v>
          </cell>
          <cell r="O154" t="str">
            <v>NA</v>
          </cell>
          <cell r="P154" t="str">
            <v>NA</v>
          </cell>
          <cell r="Q154">
            <v>0.12257430113784662</v>
          </cell>
          <cell r="R154">
            <v>9.8613382393021531E-2</v>
          </cell>
          <cell r="S154">
            <v>0.19794353254649999</v>
          </cell>
          <cell r="T154">
            <v>0.12539704191593515</v>
          </cell>
          <cell r="U154">
            <v>0.37476536942026129</v>
          </cell>
          <cell r="V154">
            <v>0.38348347882716172</v>
          </cell>
          <cell r="W154">
            <v>0.31712672521957419</v>
          </cell>
          <cell r="X154">
            <v>0.34480191162210727</v>
          </cell>
          <cell r="Y154">
            <v>0.21880810891642644</v>
          </cell>
          <cell r="Z154">
            <v>0.20636592883160487</v>
          </cell>
          <cell r="AA154">
            <v>0.26768278161466941</v>
          </cell>
          <cell r="AB154">
            <v>0.16254426060645222</v>
          </cell>
          <cell r="AC154">
            <v>0.10227248479675555</v>
          </cell>
          <cell r="AD154">
            <v>0.13951392630855319</v>
          </cell>
          <cell r="AE154">
            <v>0.15440711833723242</v>
          </cell>
          <cell r="AF154">
            <v>0.14646302428867286</v>
          </cell>
          <cell r="AG154">
            <v>0.12962174300205365</v>
          </cell>
          <cell r="AH154">
            <v>0.11146712323183028</v>
          </cell>
          <cell r="AI154">
            <v>8.8469390774330137E-2</v>
          </cell>
          <cell r="AJ154">
            <v>6.5202462492633284E-2</v>
          </cell>
          <cell r="AK154">
            <v>5.8652345888884794E-2</v>
          </cell>
          <cell r="AL154">
            <v>6.7243604363037557E-2</v>
          </cell>
          <cell r="AM154">
            <v>9.0408625669393672E-2</v>
          </cell>
          <cell r="AN154">
            <v>3.9862613063063934E-2</v>
          </cell>
        </row>
        <row r="156">
          <cell r="I156" t="str">
            <v>Europe</v>
          </cell>
        </row>
        <row r="157">
          <cell r="I157" t="str">
            <v>Agency (Booking.com)</v>
          </cell>
          <cell r="M157">
            <v>21.567499999999999</v>
          </cell>
          <cell r="N157">
            <v>46.222500000000004</v>
          </cell>
          <cell r="O157">
            <v>64.152500000000003</v>
          </cell>
          <cell r="P157">
            <v>47.303000000000004</v>
          </cell>
          <cell r="Q157">
            <v>45.548749999999998</v>
          </cell>
          <cell r="R157">
            <v>87.876250000000013</v>
          </cell>
          <cell r="S157">
            <v>129.35124999999999</v>
          </cell>
          <cell r="T157">
            <v>97.505499999999998</v>
          </cell>
          <cell r="U157">
            <v>93.650125000000003</v>
          </cell>
          <cell r="V157">
            <v>153.36737500000001</v>
          </cell>
          <cell r="W157">
            <v>211.047875</v>
          </cell>
          <cell r="X157">
            <v>114.14825</v>
          </cell>
          <cell r="Y157">
            <v>94.048199999999994</v>
          </cell>
          <cell r="Z157">
            <v>173.33730875000001</v>
          </cell>
          <cell r="AA157">
            <v>287.02573749999993</v>
          </cell>
          <cell r="AB157">
            <v>189.46372500000001</v>
          </cell>
          <cell r="AC157">
            <v>165.44524000000001</v>
          </cell>
          <cell r="AD157">
            <v>256.84141750000003</v>
          </cell>
          <cell r="AE157">
            <v>436.46394375000006</v>
          </cell>
          <cell r="AF157">
            <v>291.5920625</v>
          </cell>
          <cell r="AG157">
            <v>256.05805200000003</v>
          </cell>
          <cell r="AH157">
            <v>446.4519094499999</v>
          </cell>
          <cell r="AI157">
            <v>751.01954959999989</v>
          </cell>
          <cell r="AJ157">
            <v>423.36119137891097</v>
          </cell>
          <cell r="AK157">
            <v>327.68815899657329</v>
          </cell>
          <cell r="AL157">
            <v>561.6505444120877</v>
          </cell>
          <cell r="AM157">
            <v>938.30015040209764</v>
          </cell>
          <cell r="AN157">
            <v>521.95252737253861</v>
          </cell>
        </row>
        <row r="158">
          <cell r="I158" t="str">
            <v>y/y Growth - %</v>
          </cell>
          <cell r="M158" t="str">
            <v>NA</v>
          </cell>
          <cell r="N158" t="str">
            <v>NA</v>
          </cell>
          <cell r="O158" t="str">
            <v>NA</v>
          </cell>
          <cell r="P158" t="str">
            <v>NA</v>
          </cell>
          <cell r="Q158">
            <v>1.1119160774313204</v>
          </cell>
          <cell r="R158">
            <v>0.9011574449672779</v>
          </cell>
          <cell r="S158">
            <v>1.0163087954483454</v>
          </cell>
          <cell r="T158">
            <v>1.0612963237003994</v>
          </cell>
          <cell r="U158">
            <v>1.056041603776174</v>
          </cell>
          <cell r="V158">
            <v>0.74526535895648705</v>
          </cell>
          <cell r="W158">
            <v>0.63158744117277577</v>
          </cell>
          <cell r="X158">
            <v>0.17068524339652646</v>
          </cell>
          <cell r="Y158">
            <v>4.2506617049362649E-3</v>
          </cell>
          <cell r="Z158">
            <v>0.13020979038077685</v>
          </cell>
          <cell r="AA158">
            <v>0.36000297325902908</v>
          </cell>
          <cell r="AB158">
            <v>0.65980402678096262</v>
          </cell>
          <cell r="AC158">
            <v>0.75915371054416791</v>
          </cell>
          <cell r="AD158">
            <v>0.48174342472592491</v>
          </cell>
          <cell r="AE158">
            <v>0.52064392396169756</v>
          </cell>
          <cell r="AF158">
            <v>0.53903900337650379</v>
          </cell>
          <cell r="AG158">
            <v>0.54769065583270948</v>
          </cell>
          <cell r="AH158">
            <v>0.73823954794985447</v>
          </cell>
          <cell r="AI158">
            <v>0.72069093072708101</v>
          </cell>
          <cell r="AJ158">
            <v>0.4518954588447035</v>
          </cell>
          <cell r="AK158">
            <v>0.27974166966080505</v>
          </cell>
          <cell r="AL158">
            <v>0.25803145316145049</v>
          </cell>
          <cell r="AM158">
            <v>0.24936847636235981</v>
          </cell>
          <cell r="AN158">
            <v>0.23287759483222858</v>
          </cell>
        </row>
        <row r="159">
          <cell r="I159" t="str">
            <v>Merchant (TravelJigsaw)</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7.9019999999999992</v>
          </cell>
          <cell r="AE159">
            <v>15.443999999999999</v>
          </cell>
          <cell r="AF159">
            <v>9.9</v>
          </cell>
          <cell r="AG159">
            <v>17.225999999999999</v>
          </cell>
          <cell r="AH159">
            <v>27.565999999999999</v>
          </cell>
          <cell r="AI159">
            <v>26.400659999999995</v>
          </cell>
          <cell r="AJ159">
            <v>16.752299575394847</v>
          </cell>
          <cell r="AK159">
            <v>26.76490338126883</v>
          </cell>
          <cell r="AL159">
            <v>42.740634239255492</v>
          </cell>
          <cell r="AM159">
            <v>40.855052013791457</v>
          </cell>
          <cell r="AN159">
            <v>26.246493511795876</v>
          </cell>
        </row>
        <row r="160">
          <cell r="I160" t="str">
            <v>y/y Growth - %</v>
          </cell>
          <cell r="M160" t="str">
            <v>NA</v>
          </cell>
          <cell r="N160" t="str">
            <v>NA</v>
          </cell>
          <cell r="O160" t="str">
            <v>NA</v>
          </cell>
          <cell r="P160" t="str">
            <v>NA</v>
          </cell>
          <cell r="Q160" t="str">
            <v>NA</v>
          </cell>
          <cell r="R160" t="str">
            <v>NA</v>
          </cell>
          <cell r="S160" t="str">
            <v>NA</v>
          </cell>
          <cell r="T160" t="str">
            <v>NA</v>
          </cell>
          <cell r="U160" t="str">
            <v>NA</v>
          </cell>
          <cell r="V160" t="str">
            <v>NA</v>
          </cell>
          <cell r="W160" t="str">
            <v>NA</v>
          </cell>
          <cell r="X160" t="str">
            <v>NA</v>
          </cell>
          <cell r="Y160" t="str">
            <v>NA</v>
          </cell>
          <cell r="Z160" t="str">
            <v>NA</v>
          </cell>
          <cell r="AA160" t="str">
            <v>NA</v>
          </cell>
          <cell r="AB160" t="str">
            <v>NA</v>
          </cell>
          <cell r="AC160" t="str">
            <v>NA</v>
          </cell>
          <cell r="AD160" t="str">
            <v>NA</v>
          </cell>
          <cell r="AE160" t="str">
            <v>NA</v>
          </cell>
          <cell r="AF160" t="str">
            <v>NA</v>
          </cell>
          <cell r="AG160" t="str">
            <v>NA</v>
          </cell>
          <cell r="AH160">
            <v>2.4884839281194635</v>
          </cell>
          <cell r="AI160">
            <v>0.70944444444444432</v>
          </cell>
          <cell r="AJ160">
            <v>0.6921514722621056</v>
          </cell>
          <cell r="AK160">
            <v>0.55375034141813728</v>
          </cell>
          <cell r="AL160">
            <v>0.55048372049827665</v>
          </cell>
          <cell r="AM160">
            <v>0.54750116147821548</v>
          </cell>
          <cell r="AN160">
            <v>0.56673974182898124</v>
          </cell>
        </row>
        <row r="161">
          <cell r="I161" t="str">
            <v>Total Europe</v>
          </cell>
          <cell r="M161">
            <v>21.567499999999999</v>
          </cell>
          <cell r="N161">
            <v>46.222500000000004</v>
          </cell>
          <cell r="O161">
            <v>64.152500000000003</v>
          </cell>
          <cell r="P161">
            <v>47.303000000000004</v>
          </cell>
          <cell r="Q161">
            <v>45.548749999999998</v>
          </cell>
          <cell r="R161">
            <v>87.876250000000013</v>
          </cell>
          <cell r="S161">
            <v>129.35124999999999</v>
          </cell>
          <cell r="T161">
            <v>97.505499999999998</v>
          </cell>
          <cell r="U161">
            <v>93.650125000000003</v>
          </cell>
          <cell r="V161">
            <v>153.36737500000001</v>
          </cell>
          <cell r="W161">
            <v>211.047875</v>
          </cell>
          <cell r="X161">
            <v>114.14825</v>
          </cell>
          <cell r="Y161">
            <v>94.048199999999994</v>
          </cell>
          <cell r="Z161">
            <v>173.33730875000001</v>
          </cell>
          <cell r="AA161">
            <v>287.02573749999993</v>
          </cell>
          <cell r="AB161">
            <v>189.46372500000001</v>
          </cell>
          <cell r="AC161">
            <v>165.44524000000001</v>
          </cell>
          <cell r="AD161">
            <v>264.74341750000002</v>
          </cell>
          <cell r="AE161">
            <v>451.90794375000007</v>
          </cell>
          <cell r="AF161">
            <v>301.49206249999997</v>
          </cell>
          <cell r="AG161">
            <v>273.28405200000003</v>
          </cell>
          <cell r="AH161">
            <v>474.01790944999988</v>
          </cell>
          <cell r="AI161">
            <v>777.42020959999991</v>
          </cell>
          <cell r="AJ161">
            <v>440.1134909543058</v>
          </cell>
          <cell r="AK161">
            <v>354.45306237784212</v>
          </cell>
          <cell r="AL161">
            <v>604.39117865134324</v>
          </cell>
          <cell r="AM161">
            <v>979.15520241588911</v>
          </cell>
          <cell r="AN161">
            <v>548.19902088433446</v>
          </cell>
        </row>
        <row r="162">
          <cell r="I162" t="str">
            <v>y/y Growth - %</v>
          </cell>
          <cell r="M162" t="str">
            <v>NA</v>
          </cell>
          <cell r="N162" t="str">
            <v>NA</v>
          </cell>
          <cell r="O162" t="str">
            <v>NA</v>
          </cell>
          <cell r="P162" t="str">
            <v>NA</v>
          </cell>
          <cell r="Q162">
            <v>1.1119160774313204</v>
          </cell>
          <cell r="R162">
            <v>0.9011574449672779</v>
          </cell>
          <cell r="S162">
            <v>1.0163087954483454</v>
          </cell>
          <cell r="T162">
            <v>1.0612963237003994</v>
          </cell>
          <cell r="U162">
            <v>1.056041603776174</v>
          </cell>
          <cell r="V162">
            <v>0.74526535895648705</v>
          </cell>
          <cell r="W162">
            <v>0.63158744117277577</v>
          </cell>
          <cell r="X162">
            <v>0.17068524339652646</v>
          </cell>
          <cell r="Y162">
            <v>4.2506617049362649E-3</v>
          </cell>
          <cell r="Z162">
            <v>0.13020979038077685</v>
          </cell>
          <cell r="AA162">
            <v>0.36000297325902908</v>
          </cell>
          <cell r="AB162">
            <v>0.65980402678096262</v>
          </cell>
          <cell r="AC162">
            <v>0.75915371054416791</v>
          </cell>
          <cell r="AD162">
            <v>0.52733084071261738</v>
          </cell>
          <cell r="AE162">
            <v>0.57445094536165131</v>
          </cell>
          <cell r="AF162">
            <v>0.59129174991149336</v>
          </cell>
          <cell r="AG162">
            <v>0.65180969848392145</v>
          </cell>
          <cell r="AH162">
            <v>0.79048043545785163</v>
          </cell>
          <cell r="AI162">
            <v>0.72030658091302868</v>
          </cell>
          <cell r="AJ162">
            <v>0.45978466996724277</v>
          </cell>
          <cell r="AK162">
            <v>0.29701334484692898</v>
          </cell>
          <cell r="AL162">
            <v>0.27503869917618662</v>
          </cell>
          <cell r="AM162">
            <v>0.25949285897736862</v>
          </cell>
          <cell r="AN162">
            <v>0.2455855867895913</v>
          </cell>
        </row>
        <row r="164">
          <cell r="I164" t="str">
            <v>Asia</v>
          </cell>
        </row>
        <row r="165">
          <cell r="I165" t="str">
            <v>Agency (Booking.com)</v>
          </cell>
          <cell r="M165">
            <v>0.53249999999999997</v>
          </cell>
          <cell r="N165">
            <v>0.57750000000000001</v>
          </cell>
          <cell r="O165">
            <v>0.54749999999999999</v>
          </cell>
          <cell r="P165">
            <v>0.59699999999999998</v>
          </cell>
          <cell r="Q165">
            <v>1.33125</v>
          </cell>
          <cell r="R165">
            <v>1.4437499999999999</v>
          </cell>
          <cell r="S165">
            <v>1.3687499999999999</v>
          </cell>
          <cell r="T165">
            <v>1.4924999999999999</v>
          </cell>
          <cell r="U165">
            <v>3.0618749999999997</v>
          </cell>
          <cell r="V165">
            <v>3.3206249999999997</v>
          </cell>
          <cell r="W165">
            <v>3.1481249999999994</v>
          </cell>
          <cell r="X165">
            <v>3.4327499999999995</v>
          </cell>
          <cell r="Y165">
            <v>4.8989999999999991</v>
          </cell>
          <cell r="Z165">
            <v>6.0103312499999992</v>
          </cell>
          <cell r="AA165">
            <v>6.6110624999999992</v>
          </cell>
          <cell r="AB165">
            <v>8.5818749999999984</v>
          </cell>
          <cell r="AC165">
            <v>10.777800000000001</v>
          </cell>
          <cell r="AD165">
            <v>12.020662499999998</v>
          </cell>
          <cell r="AE165">
            <v>16.527656249999996</v>
          </cell>
          <cell r="AF165">
            <v>18.021937499999996</v>
          </cell>
          <cell r="AG165">
            <v>24.78894</v>
          </cell>
          <cell r="AH165">
            <v>27.647523749999994</v>
          </cell>
          <cell r="AI165">
            <v>39.666374999999988</v>
          </cell>
          <cell r="AJ165">
            <v>36.863065020043386</v>
          </cell>
          <cell r="AK165">
            <v>43.261572661247847</v>
          </cell>
          <cell r="AL165">
            <v>48.274343733928852</v>
          </cell>
          <cell r="AM165">
            <v>68.565634764921711</v>
          </cell>
          <cell r="AN165">
            <v>63.130825263775208</v>
          </cell>
        </row>
        <row r="166">
          <cell r="I166" t="str">
            <v>y/y Growth - %</v>
          </cell>
          <cell r="M166" t="str">
            <v>NA</v>
          </cell>
          <cell r="N166" t="str">
            <v>NA</v>
          </cell>
          <cell r="O166" t="str">
            <v>NA</v>
          </cell>
          <cell r="P166" t="str">
            <v>NA</v>
          </cell>
          <cell r="Q166">
            <v>1.5</v>
          </cell>
          <cell r="R166">
            <v>1.4999999999999996</v>
          </cell>
          <cell r="S166">
            <v>1.5</v>
          </cell>
          <cell r="T166">
            <v>1.5</v>
          </cell>
          <cell r="U166">
            <v>1.2999999999999998</v>
          </cell>
          <cell r="V166">
            <v>1.2999999999999998</v>
          </cell>
          <cell r="W166">
            <v>1.2999999999999998</v>
          </cell>
          <cell r="X166">
            <v>1.2999999999999998</v>
          </cell>
          <cell r="Y166">
            <v>0.59999999999999987</v>
          </cell>
          <cell r="Z166">
            <v>0.80999999999999983</v>
          </cell>
          <cell r="AA166">
            <v>1.1000000000000001</v>
          </cell>
          <cell r="AB166">
            <v>1.5</v>
          </cell>
          <cell r="AC166">
            <v>1.2000000000000006</v>
          </cell>
          <cell r="AD166">
            <v>1</v>
          </cell>
          <cell r="AE166">
            <v>1.4999999999999996</v>
          </cell>
          <cell r="AF166">
            <v>1.1000000000000001</v>
          </cell>
          <cell r="AG166">
            <v>1.2999999999999998</v>
          </cell>
          <cell r="AH166">
            <v>1.2999999999999998</v>
          </cell>
          <cell r="AI166">
            <v>1.4</v>
          </cell>
          <cell r="AJ166">
            <v>1.0454551581950273</v>
          </cell>
          <cell r="AK166">
            <v>0.74519655383601902</v>
          </cell>
          <cell r="AL166">
            <v>0.74606392132781374</v>
          </cell>
          <cell r="AM166">
            <v>0.72855812422793198</v>
          </cell>
          <cell r="AN166">
            <v>0.7125766734114316</v>
          </cell>
        </row>
        <row r="167">
          <cell r="I167" t="str">
            <v>Merchant (Agoda)</v>
          </cell>
          <cell r="M167">
            <v>0</v>
          </cell>
          <cell r="N167">
            <v>0</v>
          </cell>
          <cell r="O167">
            <v>0</v>
          </cell>
          <cell r="P167">
            <v>0</v>
          </cell>
          <cell r="Q167">
            <v>0</v>
          </cell>
          <cell r="R167">
            <v>0</v>
          </cell>
          <cell r="S167">
            <v>0</v>
          </cell>
          <cell r="T167">
            <v>2.4119999999999999</v>
          </cell>
          <cell r="U167">
            <v>4.4279999999999999</v>
          </cell>
          <cell r="V167">
            <v>4.3559999999999999</v>
          </cell>
          <cell r="W167">
            <v>5.8319999999999999</v>
          </cell>
          <cell r="X167">
            <v>6.75</v>
          </cell>
          <cell r="Y167">
            <v>7.0848000000000013</v>
          </cell>
          <cell r="Z167">
            <v>7.88436</v>
          </cell>
          <cell r="AA167">
            <v>12.247200000000001</v>
          </cell>
          <cell r="AB167">
            <v>16.875</v>
          </cell>
          <cell r="AC167">
            <v>15.586560000000004</v>
          </cell>
          <cell r="AD167">
            <v>15.76872</v>
          </cell>
          <cell r="AE167">
            <v>30.618000000000002</v>
          </cell>
          <cell r="AF167">
            <v>35.4375</v>
          </cell>
          <cell r="AG167">
            <v>35.849088000000009</v>
          </cell>
          <cell r="AH167">
            <v>36.066566799999997</v>
          </cell>
          <cell r="AI167">
            <v>69.273224999999996</v>
          </cell>
          <cell r="AJ167">
            <v>65.398317168536281</v>
          </cell>
          <cell r="AK167">
            <v>58.651136057787738</v>
          </cell>
          <cell r="AL167">
            <v>59.882463219373996</v>
          </cell>
          <cell r="AM167">
            <v>112.53692943337911</v>
          </cell>
          <cell r="AN167">
            <v>104.87391296441982</v>
          </cell>
        </row>
        <row r="168">
          <cell r="I168" t="str">
            <v>y/y Growth - %</v>
          </cell>
          <cell r="M168" t="str">
            <v>NA</v>
          </cell>
          <cell r="N168" t="str">
            <v>NA</v>
          </cell>
          <cell r="O168" t="str">
            <v>NA</v>
          </cell>
          <cell r="P168" t="str">
            <v>NA</v>
          </cell>
          <cell r="Q168" t="str">
            <v>NA</v>
          </cell>
          <cell r="R168" t="str">
            <v>NA</v>
          </cell>
          <cell r="S168" t="str">
            <v>NA</v>
          </cell>
          <cell r="T168" t="str">
            <v>NA</v>
          </cell>
          <cell r="U168" t="str">
            <v>NA</v>
          </cell>
          <cell r="V168" t="str">
            <v>NA</v>
          </cell>
          <cell r="W168" t="str">
            <v>NA</v>
          </cell>
          <cell r="X168">
            <v>1.7985074626865671</v>
          </cell>
          <cell r="Y168">
            <v>0.60000000000000031</v>
          </cell>
          <cell r="Z168">
            <v>0.81</v>
          </cell>
          <cell r="AA168">
            <v>1.1000000000000001</v>
          </cell>
          <cell r="AB168">
            <v>1.5</v>
          </cell>
          <cell r="AC168">
            <v>1.2000000000000002</v>
          </cell>
          <cell r="AD168">
            <v>1</v>
          </cell>
          <cell r="AE168">
            <v>1.5</v>
          </cell>
          <cell r="AF168">
            <v>1.1000000000000001</v>
          </cell>
          <cell r="AG168">
            <v>1.2999999999999998</v>
          </cell>
          <cell r="AH168">
            <v>1.2872222222222218</v>
          </cell>
          <cell r="AI168">
            <v>1.2624999999999997</v>
          </cell>
          <cell r="AJ168">
            <v>0.84545515819502737</v>
          </cell>
          <cell r="AK168">
            <v>0.63605657298137475</v>
          </cell>
          <cell r="AL168">
            <v>0.66033167369215739</v>
          </cell>
          <cell r="AM168">
            <v>0.62453717772456985</v>
          </cell>
          <cell r="AN168">
            <v>0.60361791411470134</v>
          </cell>
        </row>
        <row r="169">
          <cell r="I169" t="str">
            <v>Total Asia Pacific</v>
          </cell>
          <cell r="M169">
            <v>0.53249999999999997</v>
          </cell>
          <cell r="N169">
            <v>0.57750000000000001</v>
          </cell>
          <cell r="O169">
            <v>0.54749999999999999</v>
          </cell>
          <cell r="P169">
            <v>0.59699999999999998</v>
          </cell>
          <cell r="Q169">
            <v>1.33125</v>
          </cell>
          <cell r="R169">
            <v>1.4437499999999999</v>
          </cell>
          <cell r="S169">
            <v>1.3687499999999999</v>
          </cell>
          <cell r="T169">
            <v>3.9044999999999996</v>
          </cell>
          <cell r="U169">
            <v>7.4898749999999996</v>
          </cell>
          <cell r="V169">
            <v>7.6766249999999996</v>
          </cell>
          <cell r="W169">
            <v>8.9801249999999992</v>
          </cell>
          <cell r="X169">
            <v>10.182749999999999</v>
          </cell>
          <cell r="Y169">
            <v>11.9838</v>
          </cell>
          <cell r="Z169">
            <v>13.894691249999999</v>
          </cell>
          <cell r="AA169">
            <v>18.858262500000002</v>
          </cell>
          <cell r="AB169">
            <v>25.456874999999997</v>
          </cell>
          <cell r="AC169">
            <v>26.364360000000005</v>
          </cell>
          <cell r="AD169">
            <v>27.789382499999999</v>
          </cell>
          <cell r="AE169">
            <v>47.145656250000002</v>
          </cell>
          <cell r="AF169">
            <v>53.459437499999993</v>
          </cell>
          <cell r="AG169">
            <v>60.638028000000006</v>
          </cell>
          <cell r="AH169">
            <v>63.714090549999995</v>
          </cell>
          <cell r="AI169">
            <v>108.93959999999998</v>
          </cell>
          <cell r="AJ169">
            <v>102.26138218857966</v>
          </cell>
          <cell r="AK169">
            <v>101.91270871903558</v>
          </cell>
          <cell r="AL169">
            <v>108.15680695330285</v>
          </cell>
          <cell r="AM169">
            <v>181.10256419830083</v>
          </cell>
          <cell r="AN169">
            <v>168.00473822819504</v>
          </cell>
        </row>
        <row r="170">
          <cell r="I170" t="str">
            <v>y/y Growth - %</v>
          </cell>
          <cell r="M170" t="str">
            <v>NA</v>
          </cell>
          <cell r="N170" t="str">
            <v>NA</v>
          </cell>
          <cell r="O170" t="str">
            <v>NA</v>
          </cell>
          <cell r="P170" t="str">
            <v>NA</v>
          </cell>
          <cell r="Q170">
            <v>1.5</v>
          </cell>
          <cell r="R170">
            <v>1.4999999999999996</v>
          </cell>
          <cell r="S170">
            <v>1.5</v>
          </cell>
          <cell r="T170">
            <v>5.5402010050251249</v>
          </cell>
          <cell r="U170">
            <v>4.6261971830985908</v>
          </cell>
          <cell r="V170">
            <v>4.3171428571428576</v>
          </cell>
          <cell r="W170">
            <v>5.5608219178082194</v>
          </cell>
          <cell r="X170">
            <v>1.6079523626584709</v>
          </cell>
          <cell r="Y170">
            <v>0.60000000000000009</v>
          </cell>
          <cell r="Z170">
            <v>0.81</v>
          </cell>
          <cell r="AA170">
            <v>1.1000000000000005</v>
          </cell>
          <cell r="AB170">
            <v>1.5</v>
          </cell>
          <cell r="AC170">
            <v>1.2000000000000002</v>
          </cell>
          <cell r="AD170">
            <v>1</v>
          </cell>
          <cell r="AE170">
            <v>1.5</v>
          </cell>
          <cell r="AF170">
            <v>1.1000000000000001</v>
          </cell>
          <cell r="AG170">
            <v>1.2999999999999998</v>
          </cell>
          <cell r="AH170">
            <v>1.2927494178756942</v>
          </cell>
          <cell r="AI170">
            <v>1.3107028020211295</v>
          </cell>
          <cell r="AJ170">
            <v>0.91287800565764798</v>
          </cell>
          <cell r="AK170">
            <v>0.68067320261528907</v>
          </cell>
          <cell r="AL170">
            <v>0.6975335599968453</v>
          </cell>
          <cell r="AM170">
            <v>0.66241260476723673</v>
          </cell>
          <cell r="AN170">
            <v>0.64289524190449931</v>
          </cell>
        </row>
        <row r="172">
          <cell r="I172" t="str">
            <v>Latin America &amp; RoW</v>
          </cell>
        </row>
        <row r="173">
          <cell r="I173" t="str">
            <v>Agency (Booking.com)</v>
          </cell>
          <cell r="M173">
            <v>0.3</v>
          </cell>
          <cell r="N173">
            <v>0.3</v>
          </cell>
          <cell r="O173">
            <v>0.3</v>
          </cell>
          <cell r="P173">
            <v>0.3</v>
          </cell>
          <cell r="Q173">
            <v>1.02</v>
          </cell>
          <cell r="R173">
            <v>1.08</v>
          </cell>
          <cell r="S173">
            <v>1.08</v>
          </cell>
          <cell r="T173">
            <v>0.98999999999999988</v>
          </cell>
          <cell r="U173">
            <v>3.0599999999999996</v>
          </cell>
          <cell r="V173">
            <v>3.4560000000000004</v>
          </cell>
          <cell r="W173">
            <v>3.6719999999999997</v>
          </cell>
          <cell r="X173">
            <v>3.069</v>
          </cell>
          <cell r="Y173">
            <v>8.5679999999999978</v>
          </cell>
          <cell r="Z173">
            <v>10.368</v>
          </cell>
          <cell r="AA173">
            <v>11.016</v>
          </cell>
          <cell r="AB173">
            <v>7.9794</v>
          </cell>
          <cell r="AC173">
            <v>23.99039999999999</v>
          </cell>
          <cell r="AD173">
            <v>30.0672</v>
          </cell>
          <cell r="AE173">
            <v>31.946399999999997</v>
          </cell>
          <cell r="AF173">
            <v>19.948499999999999</v>
          </cell>
          <cell r="AG173">
            <v>55.177919999999972</v>
          </cell>
          <cell r="AH173">
            <v>75.167999999999992</v>
          </cell>
          <cell r="AI173">
            <v>66.640190400000009</v>
          </cell>
          <cell r="AJ173">
            <v>38.473887091188921</v>
          </cell>
          <cell r="AK173">
            <v>91.103928363631994</v>
          </cell>
          <cell r="AL173">
            <v>125.5329744711008</v>
          </cell>
          <cell r="AM173">
            <v>112.59253551619628</v>
          </cell>
          <cell r="AN173">
            <v>64.876591516426856</v>
          </cell>
        </row>
        <row r="174">
          <cell r="I174" t="str">
            <v>y/y Growth - %</v>
          </cell>
          <cell r="M174" t="str">
            <v>NA</v>
          </cell>
          <cell r="N174" t="str">
            <v>NA</v>
          </cell>
          <cell r="O174" t="str">
            <v>NA</v>
          </cell>
          <cell r="P174" t="str">
            <v>NA</v>
          </cell>
          <cell r="Q174">
            <v>2.4000000000000004</v>
          </cell>
          <cell r="R174">
            <v>2.6000000000000005</v>
          </cell>
          <cell r="S174">
            <v>2.6000000000000005</v>
          </cell>
          <cell r="T174">
            <v>2.2999999999999998</v>
          </cell>
          <cell r="U174">
            <v>1.9999999999999996</v>
          </cell>
          <cell r="V174">
            <v>2.2000000000000002</v>
          </cell>
          <cell r="W174">
            <v>2.3999999999999995</v>
          </cell>
          <cell r="X174">
            <v>2.1000000000000005</v>
          </cell>
          <cell r="Y174">
            <v>1.7999999999999998</v>
          </cell>
          <cell r="Z174">
            <v>1.9999999999999996</v>
          </cell>
          <cell r="AA174">
            <v>2.0000000000000004</v>
          </cell>
          <cell r="AB174">
            <v>1.6</v>
          </cell>
          <cell r="AC174">
            <v>1.7999999999999994</v>
          </cell>
          <cell r="AD174">
            <v>1.9</v>
          </cell>
          <cell r="AE174">
            <v>1.9</v>
          </cell>
          <cell r="AF174">
            <v>1.5</v>
          </cell>
          <cell r="AG174">
            <v>1.2999999999999998</v>
          </cell>
          <cell r="AH174">
            <v>1.4999999999999996</v>
          </cell>
          <cell r="AI174">
            <v>1.0860000000000003</v>
          </cell>
          <cell r="AJ174">
            <v>0.92866065574799728</v>
          </cell>
          <cell r="AK174">
            <v>0.65109392241737352</v>
          </cell>
          <cell r="AL174">
            <v>0.67003212099697751</v>
          </cell>
          <cell r="AM174">
            <v>0.68955903097474147</v>
          </cell>
          <cell r="AN174">
            <v>0.6862499846365806</v>
          </cell>
        </row>
        <row r="176">
          <cell r="I176" t="str">
            <v>Agency Check</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row>
        <row r="177">
          <cell r="I177" t="str">
            <v>Merchant Check</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row>
        <row r="178">
          <cell r="I178" t="str">
            <v>Geography US Check</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row>
        <row r="179">
          <cell r="I179" t="str">
            <v>Geography International Check</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row>
        <row r="181">
          <cell r="I181" t="str">
            <v>Gross bookings by type</v>
          </cell>
        </row>
        <row r="182">
          <cell r="I182" t="str">
            <v>Air</v>
          </cell>
        </row>
        <row r="183">
          <cell r="I183" t="str">
            <v>Airline Tickets Sold</v>
          </cell>
          <cell r="M183">
            <v>0.72799999999999998</v>
          </cell>
          <cell r="N183">
            <v>0.82099999999999995</v>
          </cell>
          <cell r="O183">
            <v>0.66600000000000004</v>
          </cell>
          <cell r="P183">
            <v>0.58799999999999997</v>
          </cell>
          <cell r="Q183">
            <v>0.63900000000000001</v>
          </cell>
          <cell r="R183">
            <v>0.68700000000000006</v>
          </cell>
          <cell r="S183">
            <v>0.81899999999999995</v>
          </cell>
          <cell r="T183">
            <v>0.79</v>
          </cell>
          <cell r="U183">
            <v>1.169</v>
          </cell>
          <cell r="V183">
            <v>1.3620000000000001</v>
          </cell>
          <cell r="W183">
            <v>1.1859999999999999</v>
          </cell>
          <cell r="X183">
            <v>1.135</v>
          </cell>
          <cell r="Y183">
            <v>1.496</v>
          </cell>
          <cell r="Z183">
            <v>1.5509999999999999</v>
          </cell>
          <cell r="AA183">
            <v>1.544</v>
          </cell>
          <cell r="AB183">
            <v>1.3180000000000001</v>
          </cell>
          <cell r="AC183">
            <v>1.538</v>
          </cell>
          <cell r="AD183">
            <v>1.6140000000000001</v>
          </cell>
          <cell r="AE183">
            <v>1.4730000000000001</v>
          </cell>
          <cell r="AF183">
            <v>1.288</v>
          </cell>
          <cell r="AG183">
            <v>1.6</v>
          </cell>
          <cell r="AH183">
            <v>1.732</v>
          </cell>
          <cell r="AI183">
            <v>1.5864210000000001</v>
          </cell>
        </row>
        <row r="184">
          <cell r="I184" t="str">
            <v>y/y Growth - %</v>
          </cell>
          <cell r="M184" t="str">
            <v>NA</v>
          </cell>
          <cell r="N184" t="str">
            <v>NA</v>
          </cell>
          <cell r="O184" t="str">
            <v>NA</v>
          </cell>
          <cell r="P184" t="str">
            <v>NA</v>
          </cell>
          <cell r="Q184">
            <v>-0.12225274725274726</v>
          </cell>
          <cell r="R184">
            <v>-0.16321559074299619</v>
          </cell>
          <cell r="S184">
            <v>0.2297297297297296</v>
          </cell>
          <cell r="T184">
            <v>0.34353741496598644</v>
          </cell>
          <cell r="U184">
            <v>0.82942097026604067</v>
          </cell>
          <cell r="V184">
            <v>0.98253275109170302</v>
          </cell>
          <cell r="W184">
            <v>0.44810744810744807</v>
          </cell>
          <cell r="X184">
            <v>0.43670886075949356</v>
          </cell>
          <cell r="Y184">
            <v>0.27972626176218984</v>
          </cell>
          <cell r="Z184">
            <v>0.1387665198237884</v>
          </cell>
          <cell r="AA184">
            <v>0.30185497470489042</v>
          </cell>
          <cell r="AB184">
            <v>0.16123348017621142</v>
          </cell>
          <cell r="AC184">
            <v>2.8074866310160429E-2</v>
          </cell>
          <cell r="AD184">
            <v>4.0618955512572663E-2</v>
          </cell>
          <cell r="AE184">
            <v>-4.5984455958549164E-2</v>
          </cell>
          <cell r="AF184">
            <v>-2.2761760242792084E-2</v>
          </cell>
          <cell r="AG184">
            <v>4.0312093628088519E-2</v>
          </cell>
          <cell r="AH184">
            <v>7.3110285006195763E-2</v>
          </cell>
          <cell r="AI184">
            <v>7.6999999999999957E-2</v>
          </cell>
        </row>
        <row r="185">
          <cell r="I185" t="str">
            <v>Average Domestic Airfare (ARC)</v>
          </cell>
          <cell r="M185">
            <v>311.92063782953522</v>
          </cell>
          <cell r="N185">
            <v>341.01857367919735</v>
          </cell>
          <cell r="O185">
            <v>317.30508970444583</v>
          </cell>
          <cell r="P185">
            <v>301.63608144100056</v>
          </cell>
          <cell r="Q185">
            <v>322.56233211686407</v>
          </cell>
          <cell r="R185">
            <v>326.44796434618843</v>
          </cell>
          <cell r="S185">
            <v>320.5083908626242</v>
          </cell>
          <cell r="T185">
            <v>320.89448946463301</v>
          </cell>
          <cell r="U185">
            <v>322.95636419101464</v>
          </cell>
          <cell r="V185">
            <v>356.59723287715144</v>
          </cell>
          <cell r="W185">
            <v>350.49185660918198</v>
          </cell>
          <cell r="X185">
            <v>327.68566590718746</v>
          </cell>
          <cell r="Y185">
            <v>294.04241939629168</v>
          </cell>
          <cell r="Z185">
            <v>291.63770003056356</v>
          </cell>
          <cell r="AA185">
            <v>301.61395621072967</v>
          </cell>
          <cell r="AB185">
            <v>312.0655686733574</v>
          </cell>
          <cell r="AC185">
            <v>309.55116796653533</v>
          </cell>
          <cell r="AD185">
            <v>335.47114806799431</v>
          </cell>
          <cell r="AE185">
            <v>317.09226353921798</v>
          </cell>
          <cell r="AF185">
            <v>319.28034424303218</v>
          </cell>
          <cell r="AG185">
            <v>342.09256584613507</v>
          </cell>
          <cell r="AH185">
            <v>349.09257156861554</v>
          </cell>
          <cell r="AI185">
            <v>346.9532358781222</v>
          </cell>
        </row>
        <row r="186">
          <cell r="I186" t="str">
            <v>y/y Growth - %</v>
          </cell>
          <cell r="M186" t="str">
            <v>NA</v>
          </cell>
          <cell r="N186" t="str">
            <v>NA</v>
          </cell>
          <cell r="O186" t="str">
            <v>NA</v>
          </cell>
          <cell r="P186" t="str">
            <v>NA</v>
          </cell>
          <cell r="Q186">
            <v>3.411667262986473E-2</v>
          </cell>
          <cell r="R186">
            <v>-4.2726732376506149E-2</v>
          </cell>
          <cell r="S186">
            <v>1.0095334938251543E-2</v>
          </cell>
          <cell r="T186">
            <v>6.3846499833937642E-2</v>
          </cell>
          <cell r="U186">
            <v>1.2215687788610374E-3</v>
          </cell>
          <cell r="V186">
            <v>9.2355510904612581E-2</v>
          </cell>
          <cell r="W186">
            <v>9.3549706033778213E-2</v>
          </cell>
          <cell r="X186">
            <v>2.1163269129004236E-2</v>
          </cell>
          <cell r="Y186">
            <v>-8.952895189772947E-2</v>
          </cell>
          <cell r="Z186">
            <v>-0.18216499416574716</v>
          </cell>
          <cell r="AA186">
            <v>-0.13945516700821359</v>
          </cell>
          <cell r="AB186">
            <v>-4.7667929540299858E-2</v>
          </cell>
          <cell r="AC186">
            <v>5.2743235489917328E-2</v>
          </cell>
          <cell r="AD186">
            <v>0.15030103458104693</v>
          </cell>
          <cell r="AE186">
            <v>5.1318272943822407E-2</v>
          </cell>
          <cell r="AF186">
            <v>2.3119421986686817E-2</v>
          </cell>
          <cell r="AG186">
            <v>0.10512445516961422</v>
          </cell>
          <cell r="AH186">
            <v>4.060385991185278E-2</v>
          </cell>
          <cell r="AI186">
            <v>9.4171242166591007E-2</v>
          </cell>
        </row>
        <row r="187">
          <cell r="I187" t="str">
            <v>Air Gross Bookings</v>
          </cell>
          <cell r="M187">
            <v>227.07822433990162</v>
          </cell>
          <cell r="N187">
            <v>279.976248990621</v>
          </cell>
          <cell r="O187">
            <v>211.32518974316093</v>
          </cell>
          <cell r="P187">
            <v>177.3620158873083</v>
          </cell>
          <cell r="Q187">
            <v>206.11733022267615</v>
          </cell>
          <cell r="R187">
            <v>224.26975150583147</v>
          </cell>
          <cell r="S187">
            <v>262.49637211648923</v>
          </cell>
          <cell r="T187">
            <v>253.5066466770601</v>
          </cell>
          <cell r="U187">
            <v>377.53598973929616</v>
          </cell>
          <cell r="V187">
            <v>485.68543117868029</v>
          </cell>
          <cell r="W187">
            <v>415.68334193848983</v>
          </cell>
          <cell r="X187">
            <v>371.92323080465775</v>
          </cell>
          <cell r="Y187">
            <v>439.88745941685232</v>
          </cell>
          <cell r="Z187">
            <v>452.33007274740407</v>
          </cell>
          <cell r="AA187">
            <v>465.69194838936664</v>
          </cell>
          <cell r="AB187">
            <v>411.30241951148508</v>
          </cell>
          <cell r="AC187">
            <v>476.08969633253133</v>
          </cell>
          <cell r="AD187">
            <v>541.45043298174289</v>
          </cell>
          <cell r="AE187">
            <v>467.07690419326809</v>
          </cell>
          <cell r="AF187">
            <v>411.23308338502545</v>
          </cell>
          <cell r="AG187">
            <v>547.34810535381609</v>
          </cell>
          <cell r="AH187">
            <v>604.62833395684208</v>
          </cell>
          <cell r="AI187">
            <v>550.41389941500654</v>
          </cell>
        </row>
        <row r="188">
          <cell r="I188" t="str">
            <v>y/y Growth - %</v>
          </cell>
          <cell r="M188" t="str">
            <v>NA</v>
          </cell>
          <cell r="N188" t="str">
            <v>NA</v>
          </cell>
          <cell r="O188" t="str">
            <v>NA</v>
          </cell>
          <cell r="P188" t="str">
            <v>NA</v>
          </cell>
          <cell r="Q188">
            <v>-9.2306931579006046E-2</v>
          </cell>
          <cell r="R188">
            <v>-0.198968654254153</v>
          </cell>
          <cell r="S188">
            <v>0.24214426323487692</v>
          </cell>
          <cell r="T188">
            <v>0.42931757630750167</v>
          </cell>
          <cell r="U188">
            <v>0.83165573380671143</v>
          </cell>
          <cell r="V188">
            <v>1.1656305762039048</v>
          </cell>
          <cell r="W188">
            <v>0.58357747418322448</v>
          </cell>
          <cell r="X188">
            <v>0.4671143170397718</v>
          </cell>
          <cell r="Y188">
            <v>0.16515371083062136</v>
          </cell>
          <cell r="Z188">
            <v>-6.8676876616060145E-2</v>
          </cell>
          <cell r="AA188">
            <v>0.12030457178694642</v>
          </cell>
          <cell r="AB188">
            <v>0.10587988446333463</v>
          </cell>
          <cell r="AC188">
            <v>8.2298861085222663E-2</v>
          </cell>
          <cell r="AD188">
            <v>0.1970250611307609</v>
          </cell>
          <cell r="AE188">
            <v>2.9739741232190919E-3</v>
          </cell>
          <cell r="AF188">
            <v>-1.6857699631811496E-4</v>
          </cell>
          <cell r="AG188">
            <v>0.14967433567710176</v>
          </cell>
          <cell r="AH188">
            <v>0.11668270468855546</v>
          </cell>
          <cell r="AI188">
            <v>0.17842242781341877</v>
          </cell>
        </row>
        <row r="189">
          <cell r="I189" t="str">
            <v>% of total bookings</v>
          </cell>
          <cell r="M189">
            <v>0.30405977381447719</v>
          </cell>
          <cell r="N189">
            <v>0.30191001131247214</v>
          </cell>
          <cell r="O189">
            <v>0.23398214921604946</v>
          </cell>
          <cell r="P189">
            <v>0.23890035948776056</v>
          </cell>
          <cell r="Q189">
            <v>0.20642883132915185</v>
          </cell>
          <cell r="R189">
            <v>0.18160802803265291</v>
          </cell>
          <cell r="S189">
            <v>0.18875356362052978</v>
          </cell>
          <cell r="T189">
            <v>0.21032118702419511</v>
          </cell>
          <cell r="U189">
            <v>0.21467838826261632</v>
          </cell>
          <cell r="V189">
            <v>0.23018648706432585</v>
          </cell>
          <cell r="W189">
            <v>0.20273013471754411</v>
          </cell>
          <cell r="X189">
            <v>0.25111063828665187</v>
          </cell>
          <cell r="Y189">
            <v>0.22632798964019685</v>
          </cell>
          <cell r="Z189">
            <v>0.19012031581806998</v>
          </cell>
          <cell r="AA189">
            <v>0.17103132104767094</v>
          </cell>
          <cell r="AB189">
            <v>0.18163425687229021</v>
          </cell>
          <cell r="AC189">
            <v>0.1605863997249401</v>
          </cell>
          <cell r="AD189">
            <v>0.15877473710529733</v>
          </cell>
          <cell r="AE189">
            <v>0.11659433454649727</v>
          </cell>
          <cell r="AF189">
            <v>0.12595193978101851</v>
          </cell>
          <cell r="AG189">
            <v>0.11733078356994986</v>
          </cell>
          <cell r="AH189">
            <v>0.10460697819322527</v>
          </cell>
          <cell r="AI189">
            <v>8.7967700082308864E-2</v>
          </cell>
        </row>
        <row r="190">
          <cell r="I190" t="str">
            <v>Air Gross Profit</v>
          </cell>
          <cell r="M190">
            <v>10.92</v>
          </cell>
          <cell r="N190">
            <v>12.315</v>
          </cell>
          <cell r="O190">
            <v>9.99</v>
          </cell>
          <cell r="P190">
            <v>8.82</v>
          </cell>
          <cell r="Q190">
            <v>9.5850000000000009</v>
          </cell>
          <cell r="R190">
            <v>10.305000000000001</v>
          </cell>
          <cell r="S190">
            <v>12.285</v>
          </cell>
          <cell r="T190">
            <v>11.850000000000001</v>
          </cell>
          <cell r="U190">
            <v>17.535</v>
          </cell>
          <cell r="V190">
            <v>20.43</v>
          </cell>
          <cell r="W190">
            <v>17.79</v>
          </cell>
          <cell r="X190">
            <v>17.024999999999999</v>
          </cell>
          <cell r="Y190">
            <v>22.44</v>
          </cell>
          <cell r="Z190">
            <v>23.265000000000001</v>
          </cell>
          <cell r="AA190">
            <v>15.440000000000001</v>
          </cell>
          <cell r="AB190">
            <v>13.18</v>
          </cell>
          <cell r="AC190">
            <v>15.38</v>
          </cell>
          <cell r="AD190">
            <v>16.14</v>
          </cell>
          <cell r="AE190">
            <v>14.73</v>
          </cell>
          <cell r="AF190">
            <v>12.88</v>
          </cell>
          <cell r="AG190">
            <v>16</v>
          </cell>
          <cell r="AH190">
            <v>17.32</v>
          </cell>
          <cell r="AI190">
            <v>15.86421</v>
          </cell>
        </row>
        <row r="191">
          <cell r="I191" t="str">
            <v>Gross Profit margin (%)</v>
          </cell>
          <cell r="M191">
            <v>4.8089155319685863E-2</v>
          </cell>
          <cell r="N191">
            <v>4.3985873960374913E-2</v>
          </cell>
          <cell r="O191">
            <v>4.7273115013603359E-2</v>
          </cell>
          <cell r="P191">
            <v>4.9728798784087022E-2</v>
          </cell>
          <cell r="Q191">
            <v>4.6502639975226599E-2</v>
          </cell>
          <cell r="R191">
            <v>4.5949130147103459E-2</v>
          </cell>
          <cell r="S191">
            <v>4.680064680874229E-2</v>
          </cell>
          <cell r="T191">
            <v>4.6744336510811932E-2</v>
          </cell>
          <cell r="U191">
            <v>4.6445903110081309E-2</v>
          </cell>
          <cell r="V191">
            <v>4.206426359221787E-2</v>
          </cell>
          <cell r="W191">
            <v>4.2797000036225774E-2</v>
          </cell>
          <cell r="X191">
            <v>4.5775575683095482E-2</v>
          </cell>
          <cell r="Y191">
            <v>5.1013047813975289E-2</v>
          </cell>
          <cell r="Z191">
            <v>5.1433679522325144E-2</v>
          </cell>
          <cell r="AA191">
            <v>3.3154964463956257E-2</v>
          </cell>
          <cell r="AB191">
            <v>3.2044547697176788E-2</v>
          </cell>
          <cell r="AC191">
            <v>3.2304836921439338E-2</v>
          </cell>
          <cell r="AD191">
            <v>2.9808822778324796E-2</v>
          </cell>
          <cell r="AE191">
            <v>3.1536562539827465E-2</v>
          </cell>
          <cell r="AF191">
            <v>3.1320437290646763E-2</v>
          </cell>
          <cell r="AG191">
            <v>2.9231854177438506E-2</v>
          </cell>
          <cell r="AH191">
            <v>2.8645696913761055E-2</v>
          </cell>
          <cell r="AI191">
            <v>2.8822328100472888E-2</v>
          </cell>
        </row>
        <row r="192">
          <cell r="I192" t="str">
            <v>% of total gross profit</v>
          </cell>
          <cell r="M192">
            <v>0.15118162561780954</v>
          </cell>
          <cell r="N192">
            <v>0.11639446523760917</v>
          </cell>
          <cell r="O192">
            <v>8.085991565962751E-2</v>
          </cell>
          <cell r="P192">
            <v>8.8628073595466109E-2</v>
          </cell>
          <cell r="Q192">
            <v>9.2306358882500814E-2</v>
          </cell>
          <cell r="R192">
            <v>6.652979798957992E-2</v>
          </cell>
          <cell r="S192">
            <v>6.083610648918468E-2</v>
          </cell>
          <cell r="T192">
            <v>7.3992207402967178E-2</v>
          </cell>
          <cell r="U192">
            <v>9.6823354665577038E-2</v>
          </cell>
          <cell r="V192">
            <v>8.0520248300325142E-2</v>
          </cell>
          <cell r="W192">
            <v>5.6283575573118028E-2</v>
          </cell>
          <cell r="X192">
            <v>8.3022456294345695E-2</v>
          </cell>
          <cell r="Y192">
            <v>0.10771372341957473</v>
          </cell>
          <cell r="Z192">
            <v>7.6219212548896256E-2</v>
          </cell>
          <cell r="AA192">
            <v>3.5575545038547852E-2</v>
          </cell>
          <cell r="AB192">
            <v>4.208321492772734E-2</v>
          </cell>
          <cell r="AC192">
            <v>4.8195640456761821E-2</v>
          </cell>
          <cell r="AD192">
            <v>3.6248891084883952E-2</v>
          </cell>
          <cell r="AE192">
            <v>2.2110875608687037E-2</v>
          </cell>
          <cell r="AF192">
            <v>2.6922345337605794E-2</v>
          </cell>
          <cell r="AG192">
            <v>3.1632556226868697E-2</v>
          </cell>
          <cell r="AH192">
            <v>2.3117159418974492E-2</v>
          </cell>
          <cell r="AI192">
            <v>1.4420068936179496E-2</v>
          </cell>
        </row>
        <row r="193">
          <cell r="I193" t="str">
            <v>GDS fees per segment</v>
          </cell>
          <cell r="M193">
            <v>4</v>
          </cell>
          <cell r="N193">
            <v>4</v>
          </cell>
          <cell r="O193">
            <v>4</v>
          </cell>
          <cell r="P193">
            <v>4</v>
          </cell>
          <cell r="Q193">
            <v>4</v>
          </cell>
          <cell r="R193">
            <v>4</v>
          </cell>
          <cell r="S193">
            <v>4</v>
          </cell>
          <cell r="T193">
            <v>4</v>
          </cell>
          <cell r="U193">
            <v>4</v>
          </cell>
          <cell r="V193">
            <v>4</v>
          </cell>
          <cell r="W193">
            <v>4</v>
          </cell>
          <cell r="X193">
            <v>4</v>
          </cell>
          <cell r="Y193">
            <v>4</v>
          </cell>
          <cell r="Z193">
            <v>4</v>
          </cell>
          <cell r="AA193">
            <v>4</v>
          </cell>
          <cell r="AB193">
            <v>4</v>
          </cell>
          <cell r="AC193">
            <v>4</v>
          </cell>
          <cell r="AD193">
            <v>4</v>
          </cell>
          <cell r="AE193">
            <v>4</v>
          </cell>
          <cell r="AF193">
            <v>4</v>
          </cell>
          <cell r="AG193">
            <v>4</v>
          </cell>
          <cell r="AH193">
            <v>4</v>
          </cell>
          <cell r="AI193">
            <v>4</v>
          </cell>
        </row>
        <row r="194">
          <cell r="I194" t="str">
            <v>Average segments</v>
          </cell>
          <cell r="M194">
            <v>2.5</v>
          </cell>
          <cell r="N194">
            <v>2.5</v>
          </cell>
          <cell r="O194">
            <v>2.5</v>
          </cell>
          <cell r="P194">
            <v>2.5</v>
          </cell>
          <cell r="Q194">
            <v>2.5</v>
          </cell>
          <cell r="R194">
            <v>2.5</v>
          </cell>
          <cell r="S194">
            <v>2.5</v>
          </cell>
          <cell r="T194">
            <v>2.5</v>
          </cell>
          <cell r="U194">
            <v>2.5</v>
          </cell>
          <cell r="V194">
            <v>2.5</v>
          </cell>
          <cell r="W194">
            <v>2.5</v>
          </cell>
          <cell r="X194">
            <v>2.5</v>
          </cell>
          <cell r="Y194">
            <v>2.5</v>
          </cell>
          <cell r="Z194">
            <v>2.5</v>
          </cell>
          <cell r="AA194">
            <v>2.5</v>
          </cell>
          <cell r="AB194">
            <v>2.5</v>
          </cell>
          <cell r="AC194">
            <v>2.5</v>
          </cell>
          <cell r="AD194">
            <v>2.5</v>
          </cell>
          <cell r="AE194">
            <v>2.5</v>
          </cell>
          <cell r="AF194">
            <v>2.5</v>
          </cell>
          <cell r="AG194">
            <v>2.5</v>
          </cell>
          <cell r="AH194">
            <v>2.5</v>
          </cell>
          <cell r="AI194">
            <v>2.5</v>
          </cell>
        </row>
        <row r="195">
          <cell r="I195" t="str">
            <v>GDS fees per ticket</v>
          </cell>
          <cell r="M195">
            <v>10</v>
          </cell>
          <cell r="N195">
            <v>10</v>
          </cell>
          <cell r="O195">
            <v>10</v>
          </cell>
          <cell r="P195">
            <v>10</v>
          </cell>
          <cell r="Q195">
            <v>10</v>
          </cell>
          <cell r="R195">
            <v>10</v>
          </cell>
          <cell r="S195">
            <v>10</v>
          </cell>
          <cell r="T195">
            <v>10</v>
          </cell>
          <cell r="U195">
            <v>10</v>
          </cell>
          <cell r="V195">
            <v>10</v>
          </cell>
          <cell r="W195">
            <v>10</v>
          </cell>
          <cell r="X195">
            <v>10</v>
          </cell>
          <cell r="Y195">
            <v>10</v>
          </cell>
          <cell r="Z195">
            <v>10</v>
          </cell>
          <cell r="AA195">
            <v>10</v>
          </cell>
          <cell r="AB195">
            <v>10</v>
          </cell>
          <cell r="AC195">
            <v>10</v>
          </cell>
          <cell r="AD195">
            <v>10</v>
          </cell>
          <cell r="AE195">
            <v>10</v>
          </cell>
          <cell r="AF195">
            <v>10</v>
          </cell>
          <cell r="AG195">
            <v>10</v>
          </cell>
          <cell r="AH195">
            <v>10</v>
          </cell>
          <cell r="AI195">
            <v>10</v>
          </cell>
        </row>
        <row r="196">
          <cell r="I196" t="str">
            <v>OTA fees per ticket</v>
          </cell>
          <cell r="M196">
            <v>5</v>
          </cell>
          <cell r="N196">
            <v>5</v>
          </cell>
          <cell r="O196">
            <v>5</v>
          </cell>
          <cell r="P196">
            <v>5</v>
          </cell>
          <cell r="Q196">
            <v>5</v>
          </cell>
          <cell r="R196">
            <v>5</v>
          </cell>
          <cell r="S196">
            <v>5</v>
          </cell>
          <cell r="T196">
            <v>5</v>
          </cell>
          <cell r="U196">
            <v>5</v>
          </cell>
          <cell r="V196">
            <v>5</v>
          </cell>
          <cell r="W196">
            <v>5</v>
          </cell>
          <cell r="X196">
            <v>5</v>
          </cell>
          <cell r="Y196">
            <v>5</v>
          </cell>
          <cell r="Z196">
            <v>5</v>
          </cell>
          <cell r="AA196">
            <v>0</v>
          </cell>
          <cell r="AB196">
            <v>0</v>
          </cell>
          <cell r="AC196">
            <v>0</v>
          </cell>
          <cell r="AD196">
            <v>0</v>
          </cell>
          <cell r="AE196">
            <v>0</v>
          </cell>
          <cell r="AF196">
            <v>0</v>
          </cell>
          <cell r="AG196">
            <v>0</v>
          </cell>
          <cell r="AH196">
            <v>0</v>
          </cell>
          <cell r="AI196">
            <v>0</v>
          </cell>
        </row>
        <row r="198">
          <cell r="I198" t="str">
            <v>Hotel</v>
          </cell>
        </row>
        <row r="199">
          <cell r="I199" t="str">
            <v>Global Hotel Room Nights</v>
          </cell>
          <cell r="M199">
            <v>4.1529999999999996</v>
          </cell>
          <cell r="N199">
            <v>4.9950000000000001</v>
          </cell>
          <cell r="O199">
            <v>5.2380000000000004</v>
          </cell>
          <cell r="P199">
            <v>4.2649999999999997</v>
          </cell>
          <cell r="Q199">
            <v>5.9550000000000001</v>
          </cell>
          <cell r="R199">
            <v>7.242</v>
          </cell>
          <cell r="S199">
            <v>7.9640000000000004</v>
          </cell>
          <cell r="T199">
            <v>6.6159999999999997</v>
          </cell>
          <cell r="U199">
            <v>9.375</v>
          </cell>
          <cell r="V199">
            <v>10.879</v>
          </cell>
          <cell r="W199">
            <v>11.433999999999999</v>
          </cell>
          <cell r="X199">
            <v>9.1259999999999994</v>
          </cell>
          <cell r="Y199">
            <v>12.785</v>
          </cell>
          <cell r="Z199">
            <v>15.664999999999999</v>
          </cell>
          <cell r="AA199">
            <v>17.869</v>
          </cell>
          <cell r="AB199">
            <v>14.593</v>
          </cell>
          <cell r="AC199">
            <v>20.042000000000002</v>
          </cell>
          <cell r="AD199">
            <v>23.21</v>
          </cell>
          <cell r="AE199">
            <v>27.53</v>
          </cell>
          <cell r="AF199">
            <v>21.98</v>
          </cell>
          <cell r="AG199">
            <v>31.2</v>
          </cell>
          <cell r="AH199">
            <v>36.11</v>
          </cell>
          <cell r="AI199">
            <v>40.579219999999999</v>
          </cell>
        </row>
        <row r="200">
          <cell r="I200" t="str">
            <v>y/y Growth - %</v>
          </cell>
          <cell r="M200" t="str">
            <v>NA</v>
          </cell>
          <cell r="N200" t="str">
            <v>NA</v>
          </cell>
          <cell r="O200" t="str">
            <v>NA</v>
          </cell>
          <cell r="P200" t="str">
            <v>NA</v>
          </cell>
          <cell r="Q200">
            <v>0.43390320250421399</v>
          </cell>
          <cell r="R200">
            <v>0.44984984984984977</v>
          </cell>
          <cell r="S200">
            <v>0.52042764413898435</v>
          </cell>
          <cell r="T200">
            <v>0.55123094958968344</v>
          </cell>
          <cell r="U200">
            <v>0.5743073047858942</v>
          </cell>
          <cell r="V200">
            <v>0.50220933443800053</v>
          </cell>
          <cell r="W200">
            <v>0.43571069814163721</v>
          </cell>
          <cell r="X200">
            <v>0.37938331318016938</v>
          </cell>
          <cell r="Y200">
            <v>0.36373333333333324</v>
          </cell>
          <cell r="Z200">
            <v>0.43993014063792635</v>
          </cell>
          <cell r="AA200">
            <v>0.56279517229316078</v>
          </cell>
          <cell r="AB200">
            <v>0.59905763751917607</v>
          </cell>
          <cell r="AC200">
            <v>0.56761830269847491</v>
          </cell>
          <cell r="AD200">
            <v>0.48164698372167258</v>
          </cell>
          <cell r="AE200">
            <v>0.54065700374951042</v>
          </cell>
          <cell r="AF200">
            <v>0.50620160350853149</v>
          </cell>
          <cell r="AG200">
            <v>0.55673086518311532</v>
          </cell>
          <cell r="AH200">
            <v>0.55579491598448927</v>
          </cell>
          <cell r="AI200">
            <v>0.47399999999999998</v>
          </cell>
        </row>
        <row r="202">
          <cell r="I202" t="str">
            <v>Car</v>
          </cell>
        </row>
        <row r="203">
          <cell r="I203" t="str">
            <v>Rental Car Days</v>
          </cell>
          <cell r="M203">
            <v>1.621</v>
          </cell>
          <cell r="N203">
            <v>2</v>
          </cell>
          <cell r="O203">
            <v>2.044</v>
          </cell>
          <cell r="P203">
            <v>1.7889999999999999</v>
          </cell>
          <cell r="Q203">
            <v>2.0030000000000001</v>
          </cell>
          <cell r="R203">
            <v>2.278</v>
          </cell>
          <cell r="S203">
            <v>2.3380000000000001</v>
          </cell>
          <cell r="T203">
            <v>2.0019999999999998</v>
          </cell>
          <cell r="U203">
            <v>2.6120000000000001</v>
          </cell>
          <cell r="V203">
            <v>2.8149999999999999</v>
          </cell>
          <cell r="W203">
            <v>2.3330000000000002</v>
          </cell>
          <cell r="X203">
            <v>2.2240000000000002</v>
          </cell>
          <cell r="Y203">
            <v>3.0139999999999998</v>
          </cell>
          <cell r="Z203">
            <v>3.2370000000000001</v>
          </cell>
          <cell r="AA203">
            <v>2.6040000000000001</v>
          </cell>
          <cell r="AB203">
            <v>2.37</v>
          </cell>
          <cell r="AC203">
            <v>2.9860000000000002</v>
          </cell>
          <cell r="AD203">
            <v>4.2720000000000002</v>
          </cell>
          <cell r="AE203">
            <v>5.1369999999999996</v>
          </cell>
          <cell r="AF203">
            <v>3.92</v>
          </cell>
          <cell r="AG203">
            <v>4.9000000000000004</v>
          </cell>
          <cell r="AH203">
            <v>6.6050000000000004</v>
          </cell>
          <cell r="AI203">
            <v>6.9657719999999985</v>
          </cell>
        </row>
        <row r="204">
          <cell r="I204" t="str">
            <v>y/y Growth - %</v>
          </cell>
          <cell r="M204" t="str">
            <v>NA</v>
          </cell>
          <cell r="N204" t="str">
            <v>NA</v>
          </cell>
          <cell r="O204" t="str">
            <v>NA</v>
          </cell>
          <cell r="P204" t="str">
            <v>NA</v>
          </cell>
          <cell r="Q204">
            <v>0.23565700185070959</v>
          </cell>
          <cell r="R204">
            <v>0.13900000000000001</v>
          </cell>
          <cell r="S204">
            <v>0.14383561643835607</v>
          </cell>
          <cell r="T204">
            <v>0.1190609278926773</v>
          </cell>
          <cell r="U204">
            <v>0.30404393409885166</v>
          </cell>
          <cell r="V204">
            <v>0.23573309920983321</v>
          </cell>
          <cell r="W204">
            <v>-2.1385799828913532E-3</v>
          </cell>
          <cell r="X204">
            <v>0.11088911088911102</v>
          </cell>
          <cell r="Y204">
            <v>0.15390505359877471</v>
          </cell>
          <cell r="Z204">
            <v>0.14991119005328613</v>
          </cell>
          <cell r="AA204">
            <v>0.1161594513501929</v>
          </cell>
          <cell r="AB204">
            <v>6.5647482014388414E-2</v>
          </cell>
          <cell r="AC204">
            <v>-9.2899800928996079E-3</v>
          </cell>
          <cell r="AD204">
            <v>0.31974050046339197</v>
          </cell>
          <cell r="AE204">
            <v>0.97273425499231925</v>
          </cell>
          <cell r="AF204">
            <v>0.65400843881856541</v>
          </cell>
          <cell r="AG204">
            <v>0.64099129269926314</v>
          </cell>
          <cell r="AH204">
            <v>0.54611423220973787</v>
          </cell>
          <cell r="AI204">
            <v>0.35599999999999987</v>
          </cell>
        </row>
        <row r="206">
          <cell r="I206" t="str">
            <v>Air Check</v>
          </cell>
          <cell r="M206" t="str">
            <v>YES</v>
          </cell>
          <cell r="N206" t="str">
            <v>YES</v>
          </cell>
          <cell r="O206" t="str">
            <v>YES</v>
          </cell>
          <cell r="P206" t="str">
            <v>YES</v>
          </cell>
          <cell r="Q206" t="str">
            <v>YES</v>
          </cell>
          <cell r="R206" t="str">
            <v>YES</v>
          </cell>
          <cell r="S206" t="str">
            <v>YES</v>
          </cell>
          <cell r="T206" t="str">
            <v>YES</v>
          </cell>
          <cell r="U206" t="str">
            <v>YES</v>
          </cell>
          <cell r="V206" t="str">
            <v>YES</v>
          </cell>
          <cell r="W206" t="str">
            <v>YES</v>
          </cell>
          <cell r="X206" t="str">
            <v>YES</v>
          </cell>
          <cell r="Y206" t="str">
            <v>YES</v>
          </cell>
          <cell r="Z206" t="str">
            <v>YES</v>
          </cell>
          <cell r="AA206" t="str">
            <v>YES</v>
          </cell>
          <cell r="AB206" t="str">
            <v>YES</v>
          </cell>
          <cell r="AC206" t="str">
            <v>YES</v>
          </cell>
          <cell r="AD206" t="str">
            <v>YES</v>
          </cell>
          <cell r="AE206" t="str">
            <v>YES</v>
          </cell>
          <cell r="AF206" t="str">
            <v>YES</v>
          </cell>
          <cell r="AG206" t="str">
            <v>YES</v>
          </cell>
          <cell r="AH206" t="str">
            <v>YES</v>
          </cell>
          <cell r="AI206" t="str">
            <v>YES</v>
          </cell>
        </row>
        <row r="207">
          <cell r="I207" t="str">
            <v>Air Check</v>
          </cell>
          <cell r="M207" t="str">
            <v>YES</v>
          </cell>
          <cell r="N207" t="str">
            <v>YES</v>
          </cell>
          <cell r="O207" t="str">
            <v>YES</v>
          </cell>
          <cell r="P207" t="str">
            <v>YES</v>
          </cell>
          <cell r="Q207" t="str">
            <v>YES</v>
          </cell>
          <cell r="R207" t="str">
            <v>YES</v>
          </cell>
          <cell r="S207" t="str">
            <v>YES</v>
          </cell>
          <cell r="T207" t="str">
            <v>YES</v>
          </cell>
          <cell r="U207" t="str">
            <v>YES</v>
          </cell>
          <cell r="V207" t="str">
            <v>YES</v>
          </cell>
          <cell r="W207" t="str">
            <v>YES</v>
          </cell>
          <cell r="X207" t="str">
            <v>YES</v>
          </cell>
          <cell r="Y207" t="str">
            <v>YES</v>
          </cell>
          <cell r="Z207" t="str">
            <v>YES</v>
          </cell>
          <cell r="AA207" t="str">
            <v>YES</v>
          </cell>
          <cell r="AB207" t="str">
            <v>YES</v>
          </cell>
          <cell r="AC207" t="str">
            <v>YES</v>
          </cell>
          <cell r="AD207" t="str">
            <v>YES</v>
          </cell>
          <cell r="AE207" t="str">
            <v>YES</v>
          </cell>
          <cell r="AF207" t="str">
            <v>YES</v>
          </cell>
          <cell r="AG207" t="str">
            <v>YES</v>
          </cell>
          <cell r="AH207" t="str">
            <v>YES</v>
          </cell>
          <cell r="AI207" t="str">
            <v>YES</v>
          </cell>
        </row>
        <row r="209">
          <cell r="I209" t="str">
            <v>Gross bookings by Geography</v>
          </cell>
        </row>
        <row r="210">
          <cell r="I210" t="str">
            <v>US</v>
          </cell>
          <cell r="M210">
            <v>474.00699999999989</v>
          </cell>
          <cell r="N210">
            <v>570.75699999999983</v>
          </cell>
          <cell r="O210">
            <v>504.7519999999999</v>
          </cell>
          <cell r="P210">
            <v>423.27399999999994</v>
          </cell>
          <cell r="Q210">
            <v>478.81200000000001</v>
          </cell>
          <cell r="R210">
            <v>547.78700000000003</v>
          </cell>
          <cell r="S210">
            <v>602.20500000000004</v>
          </cell>
          <cell r="T210">
            <v>525.57099999999991</v>
          </cell>
          <cell r="U210">
            <v>720.96799999999985</v>
          </cell>
          <cell r="V210">
            <v>872.28400000000011</v>
          </cell>
          <cell r="W210">
            <v>799.42700000000013</v>
          </cell>
          <cell r="X210">
            <v>689.11299999999983</v>
          </cell>
          <cell r="Y210">
            <v>851.58399999999983</v>
          </cell>
          <cell r="Z210">
            <v>964.17799999999988</v>
          </cell>
          <cell r="AA210">
            <v>998.846</v>
          </cell>
          <cell r="AB210">
            <v>831.45400000000018</v>
          </cell>
          <cell r="AC210">
            <v>989.69500000000005</v>
          </cell>
          <cell r="AD210">
            <v>1154.18</v>
          </cell>
          <cell r="AE210">
            <v>1121</v>
          </cell>
          <cell r="AF210">
            <v>902</v>
          </cell>
          <cell r="AG210">
            <v>1129</v>
          </cell>
          <cell r="AH210">
            <v>1308</v>
          </cell>
          <cell r="AI210">
            <v>1268</v>
          </cell>
          <cell r="AJ210">
            <v>1018.7474999999999</v>
          </cell>
          <cell r="AK210">
            <v>1257.110312</v>
          </cell>
          <cell r="AL210">
            <v>1474.399136</v>
          </cell>
          <cell r="AM210">
            <v>1434.9668000000001</v>
          </cell>
          <cell r="AN210">
            <v>1142.3379</v>
          </cell>
        </row>
        <row r="211">
          <cell r="I211" t="str">
            <v>y/y Growth - %</v>
          </cell>
          <cell r="M211" t="str">
            <v>NA</v>
          </cell>
          <cell r="N211" t="str">
            <v>NA</v>
          </cell>
          <cell r="O211" t="str">
            <v>NA</v>
          </cell>
          <cell r="P211" t="str">
            <v>NA</v>
          </cell>
          <cell r="Q211">
            <v>1.0136981099435394E-2</v>
          </cell>
          <cell r="R211">
            <v>-4.0244797698494872E-2</v>
          </cell>
          <cell r="S211">
            <v>0.19307105271499703</v>
          </cell>
          <cell r="T211">
            <v>0.24168032999900779</v>
          </cell>
          <cell r="U211">
            <v>0.50574338153596776</v>
          </cell>
          <cell r="V211">
            <v>0.5923780593551875</v>
          </cell>
          <cell r="W211">
            <v>0.32749977167243727</v>
          </cell>
          <cell r="X211">
            <v>0.31117013686067141</v>
          </cell>
          <cell r="Y211">
            <v>0.1811675414165399</v>
          </cell>
          <cell r="Z211">
            <v>0.10534871670235813</v>
          </cell>
          <cell r="AA211">
            <v>0.24945242029603687</v>
          </cell>
          <cell r="AB211">
            <v>0.20655683465556507</v>
          </cell>
          <cell r="AC211">
            <v>0.16218129978956886</v>
          </cell>
          <cell r="AD211">
            <v>0.19706112356846983</v>
          </cell>
          <cell r="AE211">
            <v>0.12229512857837954</v>
          </cell>
          <cell r="AF211">
            <v>8.4846545930381989E-2</v>
          </cell>
          <cell r="AG211">
            <v>0.14075548527576665</v>
          </cell>
          <cell r="AH211">
            <v>0.13327210660382249</v>
          </cell>
          <cell r="AI211">
            <v>0.13113291703835861</v>
          </cell>
          <cell r="AJ211">
            <v>0.12943181818181815</v>
          </cell>
          <cell r="AK211">
            <v>0.11347237555358736</v>
          </cell>
          <cell r="AL211">
            <v>0.12721646483180438</v>
          </cell>
          <cell r="AM211">
            <v>0.13167728706624615</v>
          </cell>
          <cell r="AN211">
            <v>0.12131602776939343</v>
          </cell>
        </row>
        <row r="212">
          <cell r="I212" t="str">
            <v>% of total gross bookings</v>
          </cell>
          <cell r="M212">
            <v>0.6346996134281172</v>
          </cell>
          <cell r="N212">
            <v>0.61547096565482273</v>
          </cell>
          <cell r="O212">
            <v>0.55886833900226751</v>
          </cell>
          <cell r="P212">
            <v>0.57013510055090844</v>
          </cell>
          <cell r="Q212">
            <v>0.47953561924944743</v>
          </cell>
          <cell r="R212">
            <v>0.44358419351677975</v>
          </cell>
          <cell r="S212">
            <v>0.43302823145173991</v>
          </cell>
          <cell r="T212">
            <v>0.4360387312696678</v>
          </cell>
          <cell r="U212">
            <v>0.40996422178399777</v>
          </cell>
          <cell r="V212">
            <v>0.4134115968748297</v>
          </cell>
          <cell r="W212">
            <v>0.38988318043022263</v>
          </cell>
          <cell r="X212">
            <v>0.46526699853421039</v>
          </cell>
          <cell r="Y212">
            <v>0.43815137395656678</v>
          </cell>
          <cell r="Z212">
            <v>0.40525677355792628</v>
          </cell>
          <cell r="AA212">
            <v>0.36683896188032666</v>
          </cell>
          <cell r="AB212">
            <v>0.36717637010952758</v>
          </cell>
          <cell r="AC212">
            <v>0.33382691980119372</v>
          </cell>
          <cell r="AD212">
            <v>0.33845134274437128</v>
          </cell>
          <cell r="AE212">
            <v>0.27983025461807287</v>
          </cell>
          <cell r="AF212">
            <v>0.27626339969372127</v>
          </cell>
          <cell r="AG212">
            <v>0.24201500535905682</v>
          </cell>
          <cell r="AH212">
            <v>0.22629757785467128</v>
          </cell>
          <cell r="AI212">
            <v>0.20265302860795908</v>
          </cell>
          <cell r="AJ212">
            <v>0.21876146408590907</v>
          </cell>
          <cell r="AK212">
            <v>0.20667116334702995</v>
          </cell>
          <cell r="AL212">
            <v>0.19539604333413688</v>
          </cell>
          <cell r="AM212">
            <v>0.17221206260421806</v>
          </cell>
          <cell r="AN212">
            <v>0.18733727849726181</v>
          </cell>
        </row>
        <row r="213">
          <cell r="I213" t="str">
            <v>International</v>
          </cell>
          <cell r="M213">
            <v>272.81400000000002</v>
          </cell>
          <cell r="N213">
            <v>356.59300000000002</v>
          </cell>
          <cell r="O213">
            <v>398.416</v>
          </cell>
          <cell r="P213">
            <v>319.13600000000002</v>
          </cell>
          <cell r="Q213">
            <v>519.67899999999997</v>
          </cell>
          <cell r="R213">
            <v>687.12400000000002</v>
          </cell>
          <cell r="S213">
            <v>788.47799999999995</v>
          </cell>
          <cell r="T213">
            <v>679.76</v>
          </cell>
          <cell r="U213">
            <v>1037.644</v>
          </cell>
          <cell r="V213">
            <v>1237.681</v>
          </cell>
          <cell r="W213">
            <v>1251</v>
          </cell>
          <cell r="X213">
            <v>792</v>
          </cell>
          <cell r="Y213">
            <v>1092</v>
          </cell>
          <cell r="Z213">
            <v>1415</v>
          </cell>
          <cell r="AA213">
            <v>1724</v>
          </cell>
          <cell r="AB213">
            <v>1433</v>
          </cell>
          <cell r="AC213">
            <v>1975</v>
          </cell>
          <cell r="AD213">
            <v>2256</v>
          </cell>
          <cell r="AE213">
            <v>2885</v>
          </cell>
          <cell r="AF213">
            <v>2363</v>
          </cell>
          <cell r="AG213">
            <v>3536</v>
          </cell>
          <cell r="AH213">
            <v>4472</v>
          </cell>
          <cell r="AI213">
            <v>4989</v>
          </cell>
          <cell r="AJ213">
            <v>3638.1398739112074</v>
          </cell>
          <cell r="AK213">
            <v>4825.5491729574405</v>
          </cell>
          <cell r="AL213">
            <v>6071.2968302110694</v>
          </cell>
          <cell r="AM213">
            <v>6897.5900389357012</v>
          </cell>
          <cell r="AN213">
            <v>4955.4228295426619</v>
          </cell>
        </row>
        <row r="214">
          <cell r="I214" t="str">
            <v>y/y Growth - %</v>
          </cell>
          <cell r="M214" t="str">
            <v>NA</v>
          </cell>
          <cell r="N214" t="str">
            <v>NA</v>
          </cell>
          <cell r="O214" t="str">
            <v>NA</v>
          </cell>
          <cell r="P214" t="str">
            <v>NA</v>
          </cell>
          <cell r="Q214">
            <v>0.90488391358214737</v>
          </cell>
          <cell r="R214">
            <v>0.92691387660442004</v>
          </cell>
          <cell r="S214">
            <v>0.97903196658768721</v>
          </cell>
          <cell r="T214">
            <v>1.1300010027073095</v>
          </cell>
          <cell r="U214">
            <v>0.99670181015588488</v>
          </cell>
          <cell r="V214">
            <v>0.80124839184775953</v>
          </cell>
          <cell r="W214">
            <v>0.58660102120794755</v>
          </cell>
          <cell r="X214">
            <v>0.16511710015299519</v>
          </cell>
          <cell r="Y214">
            <v>5.2384054646873013E-2</v>
          </cell>
          <cell r="Z214">
            <v>0.14326712618194826</v>
          </cell>
          <cell r="AA214">
            <v>0.37809752198241409</v>
          </cell>
          <cell r="AB214">
            <v>0.80934343434343425</v>
          </cell>
          <cell r="AC214">
            <v>0.80860805860805862</v>
          </cell>
          <cell r="AD214">
            <v>0.59434628975265014</v>
          </cell>
          <cell r="AE214">
            <v>0.67343387470997684</v>
          </cell>
          <cell r="AF214">
            <v>0.64898813677599443</v>
          </cell>
          <cell r="AG214">
            <v>0.79037974683544299</v>
          </cell>
          <cell r="AH214">
            <v>0.98226950354609932</v>
          </cell>
          <cell r="AI214">
            <v>0.72928942807625652</v>
          </cell>
          <cell r="AJ214">
            <v>0.5396275386843874</v>
          </cell>
          <cell r="AK214">
            <v>0.36469150818932139</v>
          </cell>
          <cell r="AL214">
            <v>0.35762451480569535</v>
          </cell>
          <cell r="AM214">
            <v>0.38255963899292467</v>
          </cell>
          <cell r="AN214">
            <v>0.36207595125123659</v>
          </cell>
        </row>
        <row r="215">
          <cell r="I215" t="str">
            <v>(+/-) FX y/y Growth - %</v>
          </cell>
          <cell r="M215" t="str">
            <v>NA</v>
          </cell>
          <cell r="N215" t="str">
            <v>NA</v>
          </cell>
          <cell r="O215" t="str">
            <v>NA</v>
          </cell>
          <cell r="P215" t="str">
            <v>NA</v>
          </cell>
          <cell r="Q215">
            <v>-0.15988391358214737</v>
          </cell>
          <cell r="R215">
            <v>-0.13091387660442011</v>
          </cell>
          <cell r="S215">
            <v>-0.14503196658768713</v>
          </cell>
          <cell r="T215">
            <v>-0.2310010027073095</v>
          </cell>
          <cell r="U215">
            <v>-0.24670181015588488</v>
          </cell>
          <cell r="V215">
            <v>-0.24324839184775959</v>
          </cell>
          <cell r="W215">
            <v>-0.13960102120794754</v>
          </cell>
          <cell r="X215">
            <v>0.11088289984700483</v>
          </cell>
          <cell r="Y215">
            <v>0.18261594535312697</v>
          </cell>
          <cell r="Z215">
            <v>0.18073287381805175</v>
          </cell>
          <cell r="AA215">
            <v>0.1069024780175859</v>
          </cell>
          <cell r="AB215">
            <v>-0.1143434343434343</v>
          </cell>
          <cell r="AC215">
            <v>-8.0608058608058641E-2</v>
          </cell>
          <cell r="AD215">
            <v>7.6653710247349793E-2</v>
          </cell>
          <cell r="AE215">
            <v>0.10656612529002318</v>
          </cell>
          <cell r="AF215">
            <v>5.8011863224005644E-2</v>
          </cell>
          <cell r="AG215">
            <v>-9.3797468354430702E-3</v>
          </cell>
          <cell r="AH215">
            <v>-0.19726950354609929</v>
          </cell>
          <cell r="AI215">
            <v>-0.11528942807625653</v>
          </cell>
          <cell r="AJ215">
            <v>-1.2417144762863358E-4</v>
          </cell>
          <cell r="AK215">
            <v>3.3507377749523511E-2</v>
          </cell>
          <cell r="AL215">
            <v>7.4083004420289852E-2</v>
          </cell>
          <cell r="AM215">
            <v>6.0954683862856254E-2</v>
          </cell>
          <cell r="AN215">
            <v>2.1239199182098902E-2</v>
          </cell>
        </row>
        <row r="216">
          <cell r="I216" t="str">
            <v>Organic y/y Growth - %</v>
          </cell>
          <cell r="M216">
            <v>3.1379999999999999</v>
          </cell>
          <cell r="N216">
            <v>3.6150000000000002</v>
          </cell>
          <cell r="O216">
            <v>1.3180000000000001</v>
          </cell>
          <cell r="P216">
            <v>0.86299999999999999</v>
          </cell>
          <cell r="Q216">
            <v>0.745</v>
          </cell>
          <cell r="R216">
            <v>0.79599999999999993</v>
          </cell>
          <cell r="S216">
            <v>0.83400000000000007</v>
          </cell>
          <cell r="T216">
            <v>0.89900000000000002</v>
          </cell>
          <cell r="U216">
            <v>0.75</v>
          </cell>
          <cell r="V216">
            <v>0.55799999999999994</v>
          </cell>
          <cell r="W216">
            <v>0.44700000000000001</v>
          </cell>
          <cell r="X216">
            <v>0.27600000000000002</v>
          </cell>
          <cell r="Y216">
            <v>0.23499999999999999</v>
          </cell>
          <cell r="Z216">
            <v>0.32400000000000001</v>
          </cell>
          <cell r="AA216">
            <v>0.48499999999999999</v>
          </cell>
          <cell r="AB216">
            <v>0.69499999999999995</v>
          </cell>
          <cell r="AC216">
            <v>0.72799999999999998</v>
          </cell>
          <cell r="AD216">
            <v>0.67099999999999993</v>
          </cell>
          <cell r="AE216">
            <v>0.78</v>
          </cell>
          <cell r="AF216">
            <v>0.70700000000000007</v>
          </cell>
          <cell r="AG216">
            <v>0.78099999999999992</v>
          </cell>
          <cell r="AH216">
            <v>0.78500000000000003</v>
          </cell>
          <cell r="AI216">
            <v>0.61399999999999999</v>
          </cell>
          <cell r="AJ216">
            <v>0.53950336723675874</v>
          </cell>
          <cell r="AK216">
            <v>0.39819888593884489</v>
          </cell>
          <cell r="AL216">
            <v>0.43170751922598521</v>
          </cell>
          <cell r="AM216">
            <v>0.44351432285578091</v>
          </cell>
          <cell r="AN216">
            <v>0.38331515043333547</v>
          </cell>
        </row>
        <row r="217">
          <cell r="I217" t="str">
            <v>% of total gross bookings</v>
          </cell>
          <cell r="M217">
            <v>0.36530038657188274</v>
          </cell>
          <cell r="N217">
            <v>0.38452903434517716</v>
          </cell>
          <cell r="O217">
            <v>0.44113166099773249</v>
          </cell>
          <cell r="P217">
            <v>0.42986489944909151</v>
          </cell>
          <cell r="Q217">
            <v>0.52046438075055257</v>
          </cell>
          <cell r="R217">
            <v>0.5564158064832202</v>
          </cell>
          <cell r="S217">
            <v>0.56697176854826004</v>
          </cell>
          <cell r="T217">
            <v>0.56396126873033225</v>
          </cell>
          <cell r="U217">
            <v>0.59003577821600217</v>
          </cell>
          <cell r="V217">
            <v>0.58658840312517035</v>
          </cell>
          <cell r="W217">
            <v>0.61011681956977737</v>
          </cell>
          <cell r="X217">
            <v>0.53473300146578961</v>
          </cell>
          <cell r="Y217">
            <v>0.56184862604343322</v>
          </cell>
          <cell r="Z217">
            <v>0.59474322644207367</v>
          </cell>
          <cell r="AA217">
            <v>0.63316103811967328</v>
          </cell>
          <cell r="AB217">
            <v>0.63282362989047247</v>
          </cell>
          <cell r="AC217">
            <v>0.66617308019880628</v>
          </cell>
          <cell r="AD217">
            <v>0.66154865725562872</v>
          </cell>
          <cell r="AE217">
            <v>0.72016974538192713</v>
          </cell>
          <cell r="AF217">
            <v>0.72373660030627873</v>
          </cell>
          <cell r="AG217">
            <v>0.75798499464094315</v>
          </cell>
          <cell r="AH217">
            <v>0.77370242214532869</v>
          </cell>
          <cell r="AI217">
            <v>0.79734697139204092</v>
          </cell>
          <cell r="AJ217">
            <v>0.78123853591409098</v>
          </cell>
          <cell r="AK217">
            <v>0.79332883665297027</v>
          </cell>
          <cell r="AL217">
            <v>0.80460395666586315</v>
          </cell>
          <cell r="AM217">
            <v>0.82778793739578216</v>
          </cell>
          <cell r="AN217">
            <v>0.81266272150273822</v>
          </cell>
        </row>
        <row r="218">
          <cell r="I218" t="str">
            <v>Total Check</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row>
        <row r="220">
          <cell r="I220" t="str">
            <v>Company Guidance - US Bookings Y/Y</v>
          </cell>
          <cell r="AC220" t="str">
            <v>10-15%</v>
          </cell>
          <cell r="AD220" t="str">
            <v>15-20%</v>
          </cell>
          <cell r="AE220">
            <v>0.13</v>
          </cell>
          <cell r="AF220" t="str">
            <v>5-10%</v>
          </cell>
          <cell r="AG220" t="str">
            <v>7-12%</v>
          </cell>
          <cell r="AH220" t="str">
            <v>8-13%</v>
          </cell>
          <cell r="AI220" t="str">
            <v>8-13%</v>
          </cell>
          <cell r="AJ220">
            <v>0.13</v>
          </cell>
        </row>
        <row r="221">
          <cell r="I221" t="str">
            <v>Company Guidance - International Bookings Y/Y</v>
          </cell>
          <cell r="AC221" t="str">
            <v>65-73%</v>
          </cell>
          <cell r="AD221" t="str">
            <v>45-50%</v>
          </cell>
          <cell r="AE221" t="str">
            <v>46-51%</v>
          </cell>
          <cell r="AF221" t="str">
            <v>54-59%</v>
          </cell>
          <cell r="AG221" t="str">
            <v>64-69%</v>
          </cell>
          <cell r="AH221" t="str">
            <v>76-81%</v>
          </cell>
          <cell r="AI221" t="str">
            <v>62-67%</v>
          </cell>
          <cell r="AJ221" t="str">
            <v>50-55%</v>
          </cell>
        </row>
        <row r="222">
          <cell r="I222" t="str">
            <v xml:space="preserve">Company Guidance - International Bookings ex F/X Y/Y </v>
          </cell>
          <cell r="AC222" t="str">
            <v>56-64%</v>
          </cell>
          <cell r="AD222" t="str">
            <v>55-60%</v>
          </cell>
          <cell r="AE222" t="str">
            <v>57.5-62.5%</v>
          </cell>
          <cell r="AF222" t="str">
            <v>58-63%</v>
          </cell>
          <cell r="AG222" t="str">
            <v>66-71%</v>
          </cell>
          <cell r="AH222" t="str">
            <v>53-58%</v>
          </cell>
          <cell r="AI222" t="str">
            <v>49-54%</v>
          </cell>
          <cell r="AJ222" t="str">
            <v>49-54%</v>
          </cell>
        </row>
        <row r="224">
          <cell r="I224" t="str">
            <v>Exchange Rates</v>
          </cell>
        </row>
        <row r="225">
          <cell r="I225" t="str">
            <v>EUR / USD Exchange Rate</v>
          </cell>
          <cell r="M225">
            <v>1.2028896612903226</v>
          </cell>
          <cell r="N225">
            <v>1.2582159206349206</v>
          </cell>
          <cell r="O225">
            <v>1.2740698412698412</v>
          </cell>
          <cell r="P225">
            <v>1.2892777936507938</v>
          </cell>
          <cell r="Q225">
            <v>1.3104360655737701</v>
          </cell>
          <cell r="R225">
            <v>1.3486722222222223</v>
          </cell>
          <cell r="S225">
            <v>1.3748341269841271</v>
          </cell>
          <cell r="T225">
            <v>1.4475453125000004</v>
          </cell>
          <cell r="U225">
            <v>1.4999024590163936</v>
          </cell>
          <cell r="V225">
            <v>1.5620843750000004</v>
          </cell>
          <cell r="W225">
            <v>1.5034601562500003</v>
          </cell>
          <cell r="X225">
            <v>1.3196531250000001</v>
          </cell>
          <cell r="Y225">
            <v>1.3028999999999999</v>
          </cell>
          <cell r="Z225">
            <v>1.3616999999999999</v>
          </cell>
          <cell r="AA225">
            <v>1.4288000000000001</v>
          </cell>
          <cell r="AB225">
            <v>1.4766999999999999</v>
          </cell>
          <cell r="AC225">
            <v>1.3852</v>
          </cell>
          <cell r="AD225">
            <v>1.2757000000000001</v>
          </cell>
          <cell r="AE225">
            <v>1.2898000000000001</v>
          </cell>
          <cell r="AF225">
            <v>1.36</v>
          </cell>
          <cell r="AG225">
            <v>1.3667</v>
          </cell>
          <cell r="AH225">
            <v>1.4384999999999999</v>
          </cell>
          <cell r="AI225">
            <v>1.4155</v>
          </cell>
          <cell r="AJ225">
            <v>1.349</v>
          </cell>
          <cell r="AK225">
            <v>1.3003</v>
          </cell>
          <cell r="AL225">
            <v>1.3003</v>
          </cell>
          <cell r="AM225">
            <v>1.3003</v>
          </cell>
          <cell r="AN225">
            <v>1.3003</v>
          </cell>
        </row>
        <row r="226">
          <cell r="I226" t="str">
            <v>GBP / USD Exchange Rate</v>
          </cell>
          <cell r="M226">
            <v>1.7524686935483871</v>
          </cell>
          <cell r="N226">
            <v>1.82940473015873</v>
          </cell>
          <cell r="O226">
            <v>1.8752729523809533</v>
          </cell>
          <cell r="P226">
            <v>1.915321523809524</v>
          </cell>
          <cell r="Q226">
            <v>1.9541090163934427</v>
          </cell>
          <cell r="R226">
            <v>1.9866246031746033</v>
          </cell>
          <cell r="S226">
            <v>2.0212158730158731</v>
          </cell>
          <cell r="T226">
            <v>2.0443390624999997</v>
          </cell>
          <cell r="U226">
            <v>1.9791049180327867</v>
          </cell>
          <cell r="V226">
            <v>1.9707859375000003</v>
          </cell>
          <cell r="W226">
            <v>1.89286484375</v>
          </cell>
          <cell r="X226">
            <v>1.5731109374999996</v>
          </cell>
          <cell r="Y226">
            <v>1.4369000000000001</v>
          </cell>
          <cell r="Z226">
            <v>1.5476000000000001</v>
          </cell>
          <cell r="AA226">
            <v>1.6411</v>
          </cell>
          <cell r="AB226">
            <v>1.6323000000000001</v>
          </cell>
          <cell r="AC226">
            <v>1.5609</v>
          </cell>
          <cell r="AD226">
            <v>1.4914000000000001</v>
          </cell>
          <cell r="AE226">
            <v>1.5491999999999999</v>
          </cell>
          <cell r="AF226">
            <v>1.5813999999999999</v>
          </cell>
          <cell r="AG226">
            <v>1.6007</v>
          </cell>
          <cell r="AH226">
            <v>1.6311</v>
          </cell>
          <cell r="AI226">
            <v>1.6113999999999999</v>
          </cell>
          <cell r="AJ226">
            <v>1.5724</v>
          </cell>
          <cell r="AK226">
            <v>1.5603</v>
          </cell>
          <cell r="AL226">
            <v>1.5603</v>
          </cell>
          <cell r="AM226">
            <v>1.5603</v>
          </cell>
          <cell r="AN226">
            <v>1.5603</v>
          </cell>
        </row>
        <row r="227">
          <cell r="I227" t="str">
            <v>YEN / USD Exchange Rate</v>
          </cell>
          <cell r="M227">
            <v>8.5563769838709683E-3</v>
          </cell>
          <cell r="N227">
            <v>8.7513493492063481E-3</v>
          </cell>
          <cell r="O227">
            <v>8.602287428571425E-3</v>
          </cell>
          <cell r="P227">
            <v>8.4910499682539688E-3</v>
          </cell>
          <cell r="Q227">
            <v>8.3801849836065596E-3</v>
          </cell>
          <cell r="R227">
            <v>8.2793680634920611E-3</v>
          </cell>
          <cell r="S227">
            <v>8.4975262857142821E-3</v>
          </cell>
          <cell r="T227">
            <v>8.8368685312500035E-3</v>
          </cell>
          <cell r="U227">
            <v>9.5101622459016384E-3</v>
          </cell>
          <cell r="V227">
            <v>9.5618232499999987E-3</v>
          </cell>
          <cell r="W227">
            <v>9.2980728749999988E-3</v>
          </cell>
          <cell r="X227">
            <v>1.0426574828125E-2</v>
          </cell>
          <cell r="Y227">
            <v>1.0699999999999999E-2</v>
          </cell>
          <cell r="Z227">
            <v>1.03E-2</v>
          </cell>
          <cell r="AA227">
            <v>1.0699999999999999E-2</v>
          </cell>
          <cell r="AB227">
            <v>1.11E-2</v>
          </cell>
          <cell r="AC227">
            <v>1.0999999999999999E-2</v>
          </cell>
          <cell r="AD227">
            <v>1.09E-2</v>
          </cell>
          <cell r="AE227">
            <v>1.1599999999999999E-2</v>
          </cell>
          <cell r="AF227">
            <v>1.21E-2</v>
          </cell>
          <cell r="AG227">
            <v>1.2200000000000001E-2</v>
          </cell>
          <cell r="AH227">
            <v>1.23E-2</v>
          </cell>
          <cell r="AI227">
            <v>1.29E-2</v>
          </cell>
          <cell r="AJ227">
            <v>1.29E-2</v>
          </cell>
          <cell r="AK227">
            <v>1.2999999999999999E-2</v>
          </cell>
          <cell r="AL227">
            <v>1.2999999999999999E-2</v>
          </cell>
          <cell r="AM227">
            <v>1.2999999999999999E-2</v>
          </cell>
          <cell r="AN227">
            <v>1.2999999999999999E-2</v>
          </cell>
        </row>
        <row r="228">
          <cell r="I228" t="str">
            <v>AUD / USD Exchange Rate</v>
          </cell>
          <cell r="M228">
            <v>0.73857501451612906</v>
          </cell>
          <cell r="N228">
            <v>0.74733413650793645</v>
          </cell>
          <cell r="O228">
            <v>0.75714126984126995</v>
          </cell>
          <cell r="P228">
            <v>0.77006031746031767</v>
          </cell>
          <cell r="Q228">
            <v>0.78614262295081982</v>
          </cell>
          <cell r="R228">
            <v>0.83181507936507915</v>
          </cell>
          <cell r="S228">
            <v>0.84742460317460344</v>
          </cell>
          <cell r="T228">
            <v>0.8899531249999999</v>
          </cell>
          <cell r="U228">
            <v>0.90592459016393467</v>
          </cell>
          <cell r="V228">
            <v>0.94325156250000031</v>
          </cell>
          <cell r="W228">
            <v>0.88815937500000008</v>
          </cell>
          <cell r="X228">
            <v>0.67281328125000017</v>
          </cell>
          <cell r="Y228">
            <v>0.66290000000000004</v>
          </cell>
          <cell r="Z228">
            <v>0.75949999999999995</v>
          </cell>
          <cell r="AA228">
            <v>0.83199999999999996</v>
          </cell>
          <cell r="AB228">
            <v>0.90790000000000004</v>
          </cell>
          <cell r="AC228">
            <v>0.9032</v>
          </cell>
          <cell r="AD228">
            <v>0.88429999999999997</v>
          </cell>
          <cell r="AE228">
            <v>0.90229999999999999</v>
          </cell>
          <cell r="AF228">
            <v>0.98729999999999996</v>
          </cell>
          <cell r="AG228">
            <v>1.0052000000000001</v>
          </cell>
          <cell r="AH228">
            <v>1.0621</v>
          </cell>
          <cell r="AI228">
            <v>1.0522</v>
          </cell>
          <cell r="AJ228">
            <v>1.0119</v>
          </cell>
          <cell r="AK228">
            <v>1.0331999999999999</v>
          </cell>
          <cell r="AL228">
            <v>1.0331999999999999</v>
          </cell>
          <cell r="AM228">
            <v>1.0331999999999999</v>
          </cell>
          <cell r="AN228">
            <v>1.0331999999999999</v>
          </cell>
        </row>
        <row r="229">
          <cell r="I229" t="str">
            <v>CNY / USD Exchange Rate</v>
          </cell>
          <cell r="M229">
            <v>0.12423598612903231</v>
          </cell>
          <cell r="N229">
            <v>0.12482675634920637</v>
          </cell>
          <cell r="O229">
            <v>0.12554230349206352</v>
          </cell>
          <cell r="P229">
            <v>0.12716859365079361</v>
          </cell>
          <cell r="Q229">
            <v>0.128898837704918</v>
          </cell>
          <cell r="R229">
            <v>0.13025971111111112</v>
          </cell>
          <cell r="S229">
            <v>0.13231367777777775</v>
          </cell>
          <cell r="T229">
            <v>0.13452026875</v>
          </cell>
          <cell r="U229">
            <v>0.13965382295081971</v>
          </cell>
          <cell r="V229">
            <v>0.14372529218749999</v>
          </cell>
          <cell r="W229">
            <v>0.146160709375</v>
          </cell>
          <cell r="X229">
            <v>0.14618127343750001</v>
          </cell>
          <cell r="Y229">
            <v>0.14610000000000001</v>
          </cell>
          <cell r="Z229">
            <v>0.1462</v>
          </cell>
          <cell r="AA229">
            <v>0.1462</v>
          </cell>
          <cell r="AB229">
            <v>0.14630000000000001</v>
          </cell>
          <cell r="AC229">
            <v>0.14630000000000001</v>
          </cell>
          <cell r="AD229">
            <v>0.14630000000000001</v>
          </cell>
          <cell r="AE229">
            <v>0.14749999999999999</v>
          </cell>
          <cell r="AF229">
            <v>0.15</v>
          </cell>
          <cell r="AG229">
            <v>0.15179999999999999</v>
          </cell>
          <cell r="AH229">
            <v>0.1537</v>
          </cell>
          <cell r="AI229">
            <v>0.15570000000000001</v>
          </cell>
          <cell r="AJ229">
            <v>0.15679999999999999</v>
          </cell>
          <cell r="AK229">
            <v>0.15820000000000001</v>
          </cell>
          <cell r="AL229">
            <v>0.15820000000000001</v>
          </cell>
          <cell r="AM229">
            <v>0.15820000000000001</v>
          </cell>
          <cell r="AN229">
            <v>0.15820000000000001</v>
          </cell>
        </row>
        <row r="230">
          <cell r="I230" t="str">
            <v>BRL / USD Exchange Rate</v>
          </cell>
          <cell r="M230">
            <v>0.45569999999999999</v>
          </cell>
          <cell r="N230">
            <v>0.45750000000000002</v>
          </cell>
          <cell r="O230">
            <v>0.4592</v>
          </cell>
          <cell r="P230">
            <v>0.46410000000000001</v>
          </cell>
          <cell r="Q230">
            <v>0.47339999999999999</v>
          </cell>
          <cell r="R230">
            <v>0.50329999999999997</v>
          </cell>
          <cell r="S230">
            <v>0.52080000000000004</v>
          </cell>
          <cell r="T230">
            <v>0.55959999999999999</v>
          </cell>
          <cell r="U230">
            <v>0.5736</v>
          </cell>
          <cell r="V230">
            <v>0.60299999999999998</v>
          </cell>
          <cell r="W230">
            <v>0.60299999999999998</v>
          </cell>
          <cell r="X230">
            <v>0.43830000000000002</v>
          </cell>
          <cell r="Y230">
            <v>0.4299</v>
          </cell>
          <cell r="Z230">
            <v>0.47989999999999999</v>
          </cell>
          <cell r="AA230">
            <v>0.53320000000000001</v>
          </cell>
          <cell r="AB230">
            <v>0.57230000000000003</v>
          </cell>
          <cell r="AC230">
            <v>0.55310000000000004</v>
          </cell>
          <cell r="AD230">
            <v>0.55569999999999997</v>
          </cell>
          <cell r="AE230">
            <v>0.56850000000000001</v>
          </cell>
          <cell r="AF230">
            <v>0.58760000000000001</v>
          </cell>
          <cell r="AG230">
            <v>0.59819999999999995</v>
          </cell>
          <cell r="AH230">
            <v>0.626</v>
          </cell>
          <cell r="AI230">
            <v>0.61519999999999997</v>
          </cell>
          <cell r="AJ230">
            <v>0.55569999999999997</v>
          </cell>
          <cell r="AK230">
            <v>0.54590000000000005</v>
          </cell>
          <cell r="AL230">
            <v>0.54590000000000005</v>
          </cell>
          <cell r="AM230">
            <v>0.54590000000000005</v>
          </cell>
          <cell r="AN230">
            <v>0.54590000000000005</v>
          </cell>
        </row>
        <row r="231">
          <cell r="I231" t="str">
            <v>CAD / USD Exchange Rate</v>
          </cell>
          <cell r="M231">
            <v>0.86573837258064512</v>
          </cell>
          <cell r="N231">
            <v>0.89153962698412681</v>
          </cell>
          <cell r="O231">
            <v>0.89174674126984144</v>
          </cell>
          <cell r="P231">
            <v>0.87807072857142854</v>
          </cell>
          <cell r="Q231">
            <v>0.85318661967213127</v>
          </cell>
          <cell r="R231">
            <v>0.91198948571428562</v>
          </cell>
          <cell r="S231">
            <v>0.95674865238095219</v>
          </cell>
          <cell r="T231">
            <v>1.020293446875</v>
          </cell>
          <cell r="U231">
            <v>0.99619139344262342</v>
          </cell>
          <cell r="V231">
            <v>0.98980004374999986</v>
          </cell>
          <cell r="W231">
            <v>0.96102668125000001</v>
          </cell>
          <cell r="X231">
            <v>0.82744886718749988</v>
          </cell>
          <cell r="Y231">
            <v>0.80410000000000004</v>
          </cell>
          <cell r="Z231">
            <v>0.85719999999999996</v>
          </cell>
          <cell r="AA231">
            <v>0.90980000000000005</v>
          </cell>
          <cell r="AB231">
            <v>0.94540000000000002</v>
          </cell>
          <cell r="AC231">
            <v>0.96050000000000002</v>
          </cell>
          <cell r="AD231">
            <v>0.97299999999999998</v>
          </cell>
          <cell r="AE231">
            <v>0.9617</v>
          </cell>
          <cell r="AF231">
            <v>0.98670000000000002</v>
          </cell>
          <cell r="AG231">
            <v>1.0136000000000001</v>
          </cell>
          <cell r="AH231">
            <v>1.0328999999999999</v>
          </cell>
          <cell r="AI231">
            <v>1.0224</v>
          </cell>
          <cell r="AJ231">
            <v>0.97709999999999997</v>
          </cell>
          <cell r="AK231">
            <v>0.98719999999999997</v>
          </cell>
          <cell r="AL231">
            <v>0.98719999999999997</v>
          </cell>
          <cell r="AM231">
            <v>0.98719999999999997</v>
          </cell>
          <cell r="AN231">
            <v>0.98719999999999997</v>
          </cell>
        </row>
        <row r="232">
          <cell r="I232" t="str">
            <v>USD / USD Exchange Rate</v>
          </cell>
          <cell r="M232">
            <v>1</v>
          </cell>
          <cell r="N232">
            <v>1</v>
          </cell>
          <cell r="O232">
            <v>1</v>
          </cell>
          <cell r="P232">
            <v>1</v>
          </cell>
          <cell r="Q232">
            <v>1</v>
          </cell>
          <cell r="R232">
            <v>1</v>
          </cell>
          <cell r="S232">
            <v>1</v>
          </cell>
          <cell r="T232">
            <v>1</v>
          </cell>
          <cell r="U232">
            <v>1</v>
          </cell>
          <cell r="V232">
            <v>1</v>
          </cell>
          <cell r="W232">
            <v>1</v>
          </cell>
          <cell r="X232">
            <v>1</v>
          </cell>
          <cell r="Y232">
            <v>1</v>
          </cell>
          <cell r="Z232">
            <v>1</v>
          </cell>
          <cell r="AA232">
            <v>1</v>
          </cell>
          <cell r="AB232">
            <v>1</v>
          </cell>
          <cell r="AC232">
            <v>1</v>
          </cell>
          <cell r="AD232">
            <v>1</v>
          </cell>
          <cell r="AE232">
            <v>1</v>
          </cell>
          <cell r="AF232">
            <v>1</v>
          </cell>
          <cell r="AG232">
            <v>1</v>
          </cell>
          <cell r="AH232">
            <v>1</v>
          </cell>
          <cell r="AI232">
            <v>1</v>
          </cell>
          <cell r="AJ232">
            <v>1</v>
          </cell>
          <cell r="AK232">
            <v>1</v>
          </cell>
          <cell r="AL232">
            <v>1</v>
          </cell>
          <cell r="AM232">
            <v>1</v>
          </cell>
          <cell r="AN232">
            <v>1</v>
          </cell>
        </row>
        <row r="234">
          <cell r="I234" t="str">
            <v>Exchange Rate Change</v>
          </cell>
        </row>
        <row r="235">
          <cell r="I235" t="str">
            <v>EUR / USD change</v>
          </cell>
          <cell r="Q235">
            <v>8.9406707651044304E-2</v>
          </cell>
          <cell r="R235">
            <v>7.1892510739854254E-2</v>
          </cell>
          <cell r="S235">
            <v>7.9088510260831635E-2</v>
          </cell>
          <cell r="T235">
            <v>0.12275672444574348</v>
          </cell>
          <cell r="U235">
            <v>0.14458270679513552</v>
          </cell>
          <cell r="V235">
            <v>0.15823871008934742</v>
          </cell>
          <cell r="W235">
            <v>9.3557489402762206E-2</v>
          </cell>
          <cell r="X235">
            <v>-8.8351077092794106E-2</v>
          </cell>
          <cell r="Y235">
            <v>-0.13134351359460006</v>
          </cell>
          <cell r="Z235">
            <v>-0.12828012251258869</v>
          </cell>
          <cell r="AA235">
            <v>-4.9658885830550448E-2</v>
          </cell>
          <cell r="AB235">
            <v>0.11900617823338977</v>
          </cell>
          <cell r="AC235">
            <v>6.316678179445856E-2</v>
          </cell>
          <cell r="AD235">
            <v>-6.3156348681794761E-2</v>
          </cell>
          <cell r="AE235">
            <v>-9.7284434490481519E-2</v>
          </cell>
          <cell r="AF235">
            <v>-7.9027561454594553E-2</v>
          </cell>
          <cell r="AG235">
            <v>-1.33554721339878E-2</v>
          </cell>
          <cell r="AH235">
            <v>0.12761621070784646</v>
          </cell>
          <cell r="AI235">
            <v>9.7456970072879345E-2</v>
          </cell>
          <cell r="AJ235">
            <v>-8.0882352941177293E-3</v>
          </cell>
          <cell r="AK235">
            <v>-4.858418087363725E-2</v>
          </cell>
          <cell r="AL235">
            <v>-9.6072297532151518E-2</v>
          </cell>
          <cell r="AM235">
            <v>-8.1384669728011283E-2</v>
          </cell>
          <cell r="AN235">
            <v>-3.6100815418828702E-2</v>
          </cell>
        </row>
        <row r="236">
          <cell r="I236" t="str">
            <v>GBP / USD change</v>
          </cell>
          <cell r="Q236">
            <v>0.11506072752533769</v>
          </cell>
          <cell r="R236">
            <v>8.5940453976103948E-2</v>
          </cell>
          <cell r="S236">
            <v>7.7824895010415673E-2</v>
          </cell>
          <cell r="T236">
            <v>6.7360773158265053E-2</v>
          </cell>
          <cell r="U236">
            <v>1.2791457093564329E-2</v>
          </cell>
          <cell r="V236">
            <v>-7.9726515262587005E-3</v>
          </cell>
          <cell r="W236">
            <v>-6.3501890609220069E-2</v>
          </cell>
          <cell r="X236">
            <v>-0.23050389910553315</v>
          </cell>
          <cell r="Y236">
            <v>-0.27396471662135713</v>
          </cell>
          <cell r="Z236">
            <v>-0.21472952970063508</v>
          </cell>
          <cell r="AA236">
            <v>-0.13300730085473123</v>
          </cell>
          <cell r="AB236">
            <v>3.7625485329130237E-2</v>
          </cell>
          <cell r="AC236">
            <v>8.6296889136335153E-2</v>
          </cell>
          <cell r="AD236">
            <v>-3.6314293098992034E-2</v>
          </cell>
          <cell r="AE236">
            <v>-5.5999025044177753E-2</v>
          </cell>
          <cell r="AF236">
            <v>-3.1182993322306007E-2</v>
          </cell>
          <cell r="AG236">
            <v>2.5498110064706259E-2</v>
          </cell>
          <cell r="AH236">
            <v>9.3670376827142299E-2</v>
          </cell>
          <cell r="AI236">
            <v>4.0149754712109464E-2</v>
          </cell>
          <cell r="AJ236">
            <v>-5.6911597318830554E-3</v>
          </cell>
          <cell r="AK236">
            <v>-2.5238957955894259E-2</v>
          </cell>
          <cell r="AL236">
            <v>-4.3406290233584666E-2</v>
          </cell>
          <cell r="AM236">
            <v>-3.1711555169417815E-2</v>
          </cell>
          <cell r="AN236">
            <v>-7.6952429407275424E-3</v>
          </cell>
        </row>
        <row r="237">
          <cell r="I237" t="str">
            <v>YEN / USD change</v>
          </cell>
          <cell r="Q237">
            <v>-2.0591893110429305E-2</v>
          </cell>
          <cell r="R237">
            <v>-5.3932401379575889E-2</v>
          </cell>
          <cell r="S237">
            <v>-1.217828905707008E-2</v>
          </cell>
          <cell r="T237">
            <v>4.0727420553284821E-2</v>
          </cell>
          <cell r="U237">
            <v>0.13483917890900465</v>
          </cell>
          <cell r="V237">
            <v>0.15489771401309405</v>
          </cell>
          <cell r="W237">
            <v>9.4209368982072439E-2</v>
          </cell>
          <cell r="X237">
            <v>0.17989475471466898</v>
          </cell>
          <cell r="Y237">
            <v>0.12511224554671685</v>
          </cell>
          <cell r="Z237">
            <v>7.7200417817804956E-2</v>
          </cell>
          <cell r="AA237">
            <v>0.15077609563261252</v>
          </cell>
          <cell r="AB237">
            <v>6.4587382047887942E-2</v>
          </cell>
          <cell r="AC237">
            <v>2.8037383177569986E-2</v>
          </cell>
          <cell r="AD237">
            <v>5.8252427184465994E-2</v>
          </cell>
          <cell r="AE237">
            <v>8.4112149532710179E-2</v>
          </cell>
          <cell r="AF237">
            <v>9.0090090090090058E-2</v>
          </cell>
          <cell r="AG237">
            <v>0.10909090909090913</v>
          </cell>
          <cell r="AH237">
            <v>0.12844036697247718</v>
          </cell>
          <cell r="AI237">
            <v>0.11206896551724155</v>
          </cell>
          <cell r="AJ237">
            <v>6.6115702479338845E-2</v>
          </cell>
          <cell r="AK237">
            <v>6.5573770491803129E-2</v>
          </cell>
          <cell r="AL237">
            <v>5.6910569105691033E-2</v>
          </cell>
          <cell r="AM237">
            <v>7.7519379844961378E-3</v>
          </cell>
          <cell r="AN237">
            <v>7.7519379844961378E-3</v>
          </cell>
        </row>
        <row r="238">
          <cell r="I238" t="str">
            <v>AUD / USD change</v>
          </cell>
          <cell r="Q238">
            <v>6.4404572995004905E-2</v>
          </cell>
          <cell r="R238">
            <v>0.11304306698994937</v>
          </cell>
          <cell r="S238">
            <v>0.11924238834882273</v>
          </cell>
          <cell r="T238">
            <v>0.15569274876426875</v>
          </cell>
          <cell r="U238">
            <v>0.15236671275182623</v>
          </cell>
          <cell r="V238">
            <v>0.1339678564374911</v>
          </cell>
          <cell r="W238">
            <v>4.8068903915223782E-2</v>
          </cell>
          <cell r="X238">
            <v>-0.24399020313569864</v>
          </cell>
          <cell r="Y238">
            <v>-0.26826139040994268</v>
          </cell>
          <cell r="Z238">
            <v>-0.19480652861362235</v>
          </cell>
          <cell r="AA238">
            <v>-6.3231190910978285E-2</v>
          </cell>
          <cell r="AB238">
            <v>0.34940855851305308</v>
          </cell>
          <cell r="AC238">
            <v>0.36249811434605506</v>
          </cell>
          <cell r="AD238">
            <v>0.16431863067807773</v>
          </cell>
          <cell r="AE238">
            <v>8.4495192307692424E-2</v>
          </cell>
          <cell r="AF238">
            <v>8.7454565480779678E-2</v>
          </cell>
          <cell r="AG238">
            <v>0.1129317980513731</v>
          </cell>
          <cell r="AH238">
            <v>0.20106298767386632</v>
          </cell>
          <cell r="AI238">
            <v>0.16613099855923763</v>
          </cell>
          <cell r="AJ238">
            <v>2.4916438772409677E-2</v>
          </cell>
          <cell r="AK238">
            <v>2.785515320334242E-2</v>
          </cell>
          <cell r="AL238">
            <v>-2.721024385651083E-2</v>
          </cell>
          <cell r="AM238">
            <v>-1.8057403535449601E-2</v>
          </cell>
          <cell r="AN238">
            <v>2.1049510821227191E-2</v>
          </cell>
        </row>
        <row r="239">
          <cell r="I239" t="str">
            <v>CNY / USD change</v>
          </cell>
          <cell r="Q239">
            <v>3.7532213661851888E-2</v>
          </cell>
          <cell r="R239">
            <v>4.3523960093186265E-2</v>
          </cell>
          <cell r="S239">
            <v>5.393699253050821E-2</v>
          </cell>
          <cell r="T239">
            <v>5.781046159395431E-2</v>
          </cell>
          <cell r="U239">
            <v>8.3437410588003802E-2</v>
          </cell>
          <cell r="V239">
            <v>0.10337487287149583</v>
          </cell>
          <cell r="W239">
            <v>0.10465306255395967</v>
          </cell>
          <cell r="X239">
            <v>8.668585630892145E-2</v>
          </cell>
          <cell r="Y239">
            <v>4.6158256988427571E-2</v>
          </cell>
          <cell r="Z239">
            <v>1.7218318187668613E-2</v>
          </cell>
          <cell r="AA239">
            <v>2.6881796871403019E-4</v>
          </cell>
          <cell r="AB239">
            <v>8.1218722280973488E-4</v>
          </cell>
          <cell r="AC239">
            <v>1.3689253935660339E-3</v>
          </cell>
          <cell r="AD239">
            <v>6.8399452804390748E-4</v>
          </cell>
          <cell r="AE239">
            <v>8.8919288645690209E-3</v>
          </cell>
          <cell r="AF239">
            <v>2.5290498974709363E-2</v>
          </cell>
          <cell r="AG239">
            <v>3.7593984962405846E-2</v>
          </cell>
          <cell r="AH239">
            <v>5.0580997949418949E-2</v>
          </cell>
          <cell r="AI239">
            <v>5.5593220338983063E-2</v>
          </cell>
          <cell r="AJ239">
            <v>4.5333333333333448E-2</v>
          </cell>
          <cell r="AK239">
            <v>4.2160737812911853E-2</v>
          </cell>
          <cell r="AL239">
            <v>2.9277813923227036E-2</v>
          </cell>
          <cell r="AM239">
            <v>1.6056518946692355E-2</v>
          </cell>
          <cell r="AN239">
            <v>8.9285714285713969E-3</v>
          </cell>
        </row>
        <row r="240">
          <cell r="I240" t="str">
            <v>BRL / USD change</v>
          </cell>
          <cell r="Q240">
            <v>3.8841342988808369E-2</v>
          </cell>
          <cell r="R240">
            <v>0.10010928961748622</v>
          </cell>
          <cell r="S240">
            <v>0.13414634146341475</v>
          </cell>
          <cell r="T240">
            <v>0.20577461753932336</v>
          </cell>
          <cell r="U240">
            <v>0.21166032953105196</v>
          </cell>
          <cell r="V240">
            <v>0.19809258891317305</v>
          </cell>
          <cell r="W240">
            <v>0.15783410138248843</v>
          </cell>
          <cell r="X240">
            <v>-0.21676197283774123</v>
          </cell>
          <cell r="Y240">
            <v>-0.25052301255230125</v>
          </cell>
          <cell r="Z240">
            <v>-0.20414593698175787</v>
          </cell>
          <cell r="AA240">
            <v>-0.1157545605306799</v>
          </cell>
          <cell r="AB240">
            <v>0.30572667122975128</v>
          </cell>
          <cell r="AC240">
            <v>0.28657827401721336</v>
          </cell>
          <cell r="AD240">
            <v>0.1579495728276723</v>
          </cell>
          <cell r="AE240">
            <v>6.6204051012753284E-2</v>
          </cell>
          <cell r="AF240">
            <v>2.6734230298794293E-2</v>
          </cell>
          <cell r="AG240">
            <v>8.1540408606038506E-2</v>
          </cell>
          <cell r="AH240">
            <v>0.12650710815188049</v>
          </cell>
          <cell r="AI240">
            <v>8.2145998240984897E-2</v>
          </cell>
          <cell r="AJ240">
            <v>-5.4288631722260061E-2</v>
          </cell>
          <cell r="AK240">
            <v>-8.7428953527248221E-2</v>
          </cell>
          <cell r="AL240">
            <v>-0.12795527156549513</v>
          </cell>
          <cell r="AM240">
            <v>-0.11264629388816627</v>
          </cell>
          <cell r="AN240">
            <v>-1.7635414792153914E-2</v>
          </cell>
        </row>
        <row r="241">
          <cell r="I241" t="str">
            <v>CAD / USD change</v>
          </cell>
          <cell r="Q241">
            <v>-1.4498321093356248E-2</v>
          </cell>
          <cell r="R241">
            <v>2.293768903950566E-2</v>
          </cell>
          <cell r="S241">
            <v>7.2892793550945356E-2</v>
          </cell>
          <cell r="T241">
            <v>0.1619718249063602</v>
          </cell>
          <cell r="U241">
            <v>0.16761253689778566</v>
          </cell>
          <cell r="V241">
            <v>8.531957797163825E-2</v>
          </cell>
          <cell r="W241">
            <v>4.4714239820475843E-3</v>
          </cell>
          <cell r="X241">
            <v>-0.18900893686826381</v>
          </cell>
          <cell r="Y241">
            <v>-0.19282579101471331</v>
          </cell>
          <cell r="Z241">
            <v>-0.13396649614969258</v>
          </cell>
          <cell r="AA241">
            <v>-5.3304119697665242E-2</v>
          </cell>
          <cell r="AB241">
            <v>0.14254794161893813</v>
          </cell>
          <cell r="AC241">
            <v>0.19450317124735728</v>
          </cell>
          <cell r="AD241">
            <v>0.13509099393373769</v>
          </cell>
          <cell r="AE241">
            <v>5.7045504506484823E-2</v>
          </cell>
          <cell r="AF241">
            <v>4.3685212608419732E-2</v>
          </cell>
          <cell r="AG241">
            <v>5.5283706402915245E-2</v>
          </cell>
          <cell r="AH241">
            <v>6.1562178828365788E-2</v>
          </cell>
          <cell r="AI241">
            <v>6.3117396277425408E-2</v>
          </cell>
          <cell r="AJ241">
            <v>-9.7294010337488634E-3</v>
          </cell>
          <cell r="AK241">
            <v>-2.6045777426992989E-2</v>
          </cell>
          <cell r="AL241">
            <v>-4.4244360538290173E-2</v>
          </cell>
          <cell r="AM241">
            <v>-3.4428794992175327E-2</v>
          </cell>
          <cell r="AN241">
            <v>1.0336710674444749E-2</v>
          </cell>
        </row>
        <row r="242">
          <cell r="I242" t="str">
            <v>USD / USD change</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row>
        <row r="244">
          <cell r="I244" t="str">
            <v>Weighting</v>
          </cell>
        </row>
        <row r="245">
          <cell r="I245" t="str">
            <v xml:space="preserve">EUR / USD </v>
          </cell>
          <cell r="Q245">
            <v>0.87285343452400432</v>
          </cell>
          <cell r="R245">
            <v>0.87796249294159412</v>
          </cell>
          <cell r="S245">
            <v>0.88136599879768351</v>
          </cell>
          <cell r="T245">
            <v>0.86034629869365675</v>
          </cell>
          <cell r="U245">
            <v>0.84326450111984474</v>
          </cell>
          <cell r="V245">
            <v>0.8495510151646507</v>
          </cell>
          <cell r="W245">
            <v>0.84398021582733818</v>
          </cell>
          <cell r="X245">
            <v>0.80813068181818182</v>
          </cell>
          <cell r="Y245">
            <v>0.79356593406593412</v>
          </cell>
          <cell r="Z245">
            <v>0.80269131625441692</v>
          </cell>
          <cell r="AA245">
            <v>0.8031331931554524</v>
          </cell>
          <cell r="AB245">
            <v>0.77177763433356605</v>
          </cell>
          <cell r="AC245">
            <v>0.75491544303797475</v>
          </cell>
          <cell r="AD245">
            <v>0.75311579122340433</v>
          </cell>
          <cell r="AE245">
            <v>0.7461232798960139</v>
          </cell>
          <cell r="AF245">
            <v>0.72860341726618716</v>
          </cell>
          <cell r="AG245">
            <v>0.71361804298642539</v>
          </cell>
          <cell r="AH245">
            <v>0.72150415418157432</v>
          </cell>
          <cell r="AI245">
            <v>0.70257057726999395</v>
          </cell>
          <cell r="AJ245">
            <v>0.68587593509081024</v>
          </cell>
          <cell r="AK245">
            <v>0.67106116603594645</v>
          </cell>
          <cell r="AL245">
            <v>0.67604242850590857</v>
          </cell>
          <cell r="AM245">
            <v>0.65779301768841891</v>
          </cell>
          <cell r="AN245">
            <v>0.63807361566197307</v>
          </cell>
        </row>
        <row r="246">
          <cell r="I246" t="str">
            <v>GBP / USD</v>
          </cell>
          <cell r="Q246">
            <v>9.6983714947111596E-2</v>
          </cell>
          <cell r="R246">
            <v>9.7551388104621578E-2</v>
          </cell>
          <cell r="S246">
            <v>9.792955542196484E-2</v>
          </cell>
          <cell r="T246">
            <v>9.5594033188184088E-2</v>
          </cell>
          <cell r="U246">
            <v>9.3696055679982751E-2</v>
          </cell>
          <cell r="V246">
            <v>9.4394557240516749E-2</v>
          </cell>
          <cell r="W246">
            <v>9.3775579536370904E-2</v>
          </cell>
          <cell r="X246">
            <v>8.9792297979797986E-2</v>
          </cell>
          <cell r="Y246">
            <v>8.8173992673992674E-2</v>
          </cell>
          <cell r="Z246">
            <v>8.9187924028268556E-2</v>
          </cell>
          <cell r="AA246">
            <v>8.9237021461716942E-2</v>
          </cell>
          <cell r="AB246">
            <v>8.5753070481507335E-2</v>
          </cell>
          <cell r="AC246">
            <v>8.3879493670886096E-2</v>
          </cell>
          <cell r="AD246">
            <v>8.3679532358156047E-2</v>
          </cell>
          <cell r="AE246">
            <v>8.2902586655112659E-2</v>
          </cell>
          <cell r="AF246">
            <v>8.0955935251798575E-2</v>
          </cell>
          <cell r="AG246">
            <v>7.9290893665158388E-2</v>
          </cell>
          <cell r="AH246">
            <v>8.0167128242397148E-2</v>
          </cell>
          <cell r="AI246">
            <v>7.8063397474443783E-2</v>
          </cell>
          <cell r="AJ246">
            <v>7.6208437232312243E-2</v>
          </cell>
          <cell r="AK246">
            <v>7.4562351781771827E-2</v>
          </cell>
          <cell r="AL246">
            <v>7.5115825389545407E-2</v>
          </cell>
          <cell r="AM246">
            <v>7.308811307649099E-2</v>
          </cell>
          <cell r="AN246">
            <v>7.0897068406885907E-2</v>
          </cell>
        </row>
        <row r="247">
          <cell r="I247" t="str">
            <v>YEN / USD</v>
          </cell>
          <cell r="Q247">
            <v>5.6926166601562371E-3</v>
          </cell>
          <cell r="R247">
            <v>4.6692203056993105E-3</v>
          </cell>
          <cell r="S247">
            <v>3.8576430371762647E-3</v>
          </cell>
          <cell r="T247">
            <v>1.1450119650072576E-2</v>
          </cell>
          <cell r="U247">
            <v>1.4459840433392058E-2</v>
          </cell>
          <cell r="V247">
            <v>1.2479656174194588E-2</v>
          </cell>
          <cell r="W247">
            <v>1.4225286437516652E-2</v>
          </cell>
          <cell r="X247">
            <v>2.5414562289562289E-2</v>
          </cell>
          <cell r="Y247">
            <v>2.1984126984126984E-2</v>
          </cell>
          <cell r="Z247">
            <v>1.9757567726737337E-2</v>
          </cell>
          <cell r="AA247">
            <v>2.167705916473318E-2</v>
          </cell>
          <cell r="AB247">
            <v>3.5115724587113276E-2</v>
          </cell>
          <cell r="AC247">
            <v>2.6741603375527431E-2</v>
          </cell>
          <cell r="AD247">
            <v>2.4784537529550829E-2</v>
          </cell>
          <cell r="AE247">
            <v>3.2384098786828422E-2</v>
          </cell>
          <cell r="AF247">
            <v>4.4720165044435045E-2</v>
          </cell>
          <cell r="AG247">
            <v>3.4353431372549023E-2</v>
          </cell>
          <cell r="AH247">
            <v>2.8757157498509239E-2</v>
          </cell>
          <cell r="AI247">
            <v>4.3239627179795549E-2</v>
          </cell>
          <cell r="AJ247">
            <v>5.5804868438180021E-2</v>
          </cell>
          <cell r="AK247">
            <v>4.2556155462212746E-2</v>
          </cell>
          <cell r="AL247">
            <v>3.6378627138231971E-2</v>
          </cell>
          <cell r="AM247">
            <v>5.2941740058590071E-2</v>
          </cell>
          <cell r="AN247">
            <v>6.7721092964211319E-2</v>
          </cell>
        </row>
        <row r="248">
          <cell r="I248" t="str">
            <v xml:space="preserve">AUD / USD </v>
          </cell>
          <cell r="Q248">
            <v>5.6926166601562371E-3</v>
          </cell>
          <cell r="R248">
            <v>4.6692203056993105E-3</v>
          </cell>
          <cell r="S248">
            <v>3.8576430371762647E-3</v>
          </cell>
          <cell r="T248">
            <v>1.1450119650072576E-2</v>
          </cell>
          <cell r="U248">
            <v>1.4459840433392058E-2</v>
          </cell>
          <cell r="V248">
            <v>1.2479656174194588E-2</v>
          </cell>
          <cell r="W248">
            <v>1.4225286437516652E-2</v>
          </cell>
          <cell r="X248">
            <v>2.5414562289562289E-2</v>
          </cell>
          <cell r="Y248">
            <v>2.1984126984126984E-2</v>
          </cell>
          <cell r="Z248">
            <v>1.9757567726737337E-2</v>
          </cell>
          <cell r="AA248">
            <v>2.167705916473318E-2</v>
          </cell>
          <cell r="AB248">
            <v>3.5115724587113276E-2</v>
          </cell>
          <cell r="AC248">
            <v>2.6741603375527431E-2</v>
          </cell>
          <cell r="AD248">
            <v>2.4784537529550829E-2</v>
          </cell>
          <cell r="AE248">
            <v>3.2384098786828422E-2</v>
          </cell>
          <cell r="AF248">
            <v>4.4720165044435045E-2</v>
          </cell>
          <cell r="AG248">
            <v>3.4353431372549023E-2</v>
          </cell>
          <cell r="AH248">
            <v>2.8757157498509239E-2</v>
          </cell>
          <cell r="AI248">
            <v>4.3239627179795549E-2</v>
          </cell>
          <cell r="AJ248">
            <v>5.5804868438180021E-2</v>
          </cell>
          <cell r="AK248">
            <v>4.2556155462212746E-2</v>
          </cell>
          <cell r="AL248">
            <v>3.6378627138231971E-2</v>
          </cell>
          <cell r="AM248">
            <v>5.2941740058590071E-2</v>
          </cell>
          <cell r="AN248">
            <v>6.7721092964211319E-2</v>
          </cell>
        </row>
        <row r="249">
          <cell r="I249" t="str">
            <v xml:space="preserve">CNY / USD </v>
          </cell>
          <cell r="Q249">
            <v>5.6926166601562371E-3</v>
          </cell>
          <cell r="R249">
            <v>4.6692203056993105E-3</v>
          </cell>
          <cell r="S249">
            <v>3.8576430371762647E-3</v>
          </cell>
          <cell r="T249">
            <v>1.1450119650072576E-2</v>
          </cell>
          <cell r="U249">
            <v>1.4459840433392058E-2</v>
          </cell>
          <cell r="V249">
            <v>1.2479656174194588E-2</v>
          </cell>
          <cell r="W249">
            <v>1.4225286437516652E-2</v>
          </cell>
          <cell r="X249">
            <v>2.5414562289562289E-2</v>
          </cell>
          <cell r="Y249">
            <v>2.1984126984126984E-2</v>
          </cell>
          <cell r="Z249">
            <v>1.9757567726737337E-2</v>
          </cell>
          <cell r="AA249">
            <v>2.167705916473318E-2</v>
          </cell>
          <cell r="AB249">
            <v>3.5115724587113276E-2</v>
          </cell>
          <cell r="AC249">
            <v>2.6741603375527431E-2</v>
          </cell>
          <cell r="AD249">
            <v>2.4784537529550829E-2</v>
          </cell>
          <cell r="AE249">
            <v>3.2384098786828422E-2</v>
          </cell>
          <cell r="AF249">
            <v>4.4720165044435045E-2</v>
          </cell>
          <cell r="AG249">
            <v>3.4353431372549023E-2</v>
          </cell>
          <cell r="AH249">
            <v>2.8757157498509239E-2</v>
          </cell>
          <cell r="AI249">
            <v>4.3239627179795549E-2</v>
          </cell>
          <cell r="AJ249">
            <v>5.5804868438180021E-2</v>
          </cell>
          <cell r="AK249">
            <v>4.2556155462212746E-2</v>
          </cell>
          <cell r="AL249">
            <v>3.6378627138231971E-2</v>
          </cell>
          <cell r="AM249">
            <v>5.2941740058590071E-2</v>
          </cell>
          <cell r="AN249">
            <v>6.7721092964211319E-2</v>
          </cell>
        </row>
        <row r="250">
          <cell r="I250" t="str">
            <v xml:space="preserve">BRL / USD </v>
          </cell>
          <cell r="Q250">
            <v>4.361666849471822E-3</v>
          </cell>
          <cell r="R250">
            <v>3.4928193455620819E-3</v>
          </cell>
          <cell r="S250">
            <v>3.0438388896075735E-3</v>
          </cell>
          <cell r="T250">
            <v>3.2364363893138755E-3</v>
          </cell>
          <cell r="U250">
            <v>6.553307299998843E-3</v>
          </cell>
          <cell r="V250">
            <v>6.2051530240829428E-3</v>
          </cell>
          <cell r="W250">
            <v>6.5227817745803357E-3</v>
          </cell>
          <cell r="X250">
            <v>8.611111111111111E-3</v>
          </cell>
          <cell r="Y250">
            <v>1.7435897435897432E-2</v>
          </cell>
          <cell r="Z250">
            <v>1.628268551236749E-2</v>
          </cell>
          <cell r="AA250">
            <v>1.4199535962877029E-2</v>
          </cell>
          <cell r="AB250">
            <v>1.2374040474528961E-2</v>
          </cell>
          <cell r="AC250">
            <v>2.6993417721518979E-2</v>
          </cell>
          <cell r="AD250">
            <v>2.9617021276595743E-2</v>
          </cell>
          <cell r="AE250">
            <v>2.4607279029462737E-2</v>
          </cell>
          <cell r="AF250">
            <v>1.876005078290309E-2</v>
          </cell>
          <cell r="AG250">
            <v>3.4676923076923057E-2</v>
          </cell>
          <cell r="AH250">
            <v>3.7352415026833632E-2</v>
          </cell>
          <cell r="AI250">
            <v>2.9882381238725195E-2</v>
          </cell>
          <cell r="AJ250">
            <v>2.3500340787445867E-2</v>
          </cell>
          <cell r="AK250">
            <v>4.2236005265214434E-2</v>
          </cell>
          <cell r="AL250">
            <v>4.656862156328339E-2</v>
          </cell>
          <cell r="AM250">
            <v>3.676454968643994E-2</v>
          </cell>
          <cell r="AN250">
            <v>2.9288679012835717E-2</v>
          </cell>
        </row>
        <row r="251">
          <cell r="I251" t="str">
            <v>CAD / USD</v>
          </cell>
          <cell r="Q251">
            <v>4.361666849471822E-3</v>
          </cell>
          <cell r="R251">
            <v>3.4928193455620819E-3</v>
          </cell>
          <cell r="S251">
            <v>3.0438388896075735E-3</v>
          </cell>
          <cell r="T251">
            <v>3.2364363893138755E-3</v>
          </cell>
          <cell r="U251">
            <v>6.553307299998843E-3</v>
          </cell>
          <cell r="V251">
            <v>6.2051530240829428E-3</v>
          </cell>
          <cell r="W251">
            <v>6.5227817745803357E-3</v>
          </cell>
          <cell r="X251">
            <v>8.611111111111111E-3</v>
          </cell>
          <cell r="Y251">
            <v>1.7435897435897432E-2</v>
          </cell>
          <cell r="Z251">
            <v>1.628268551236749E-2</v>
          </cell>
          <cell r="AA251">
            <v>1.4199535962877029E-2</v>
          </cell>
          <cell r="AB251">
            <v>1.2374040474528961E-2</v>
          </cell>
          <cell r="AC251">
            <v>2.6993417721518979E-2</v>
          </cell>
          <cell r="AD251">
            <v>2.9617021276595743E-2</v>
          </cell>
          <cell r="AE251">
            <v>2.4607279029462737E-2</v>
          </cell>
          <cell r="AF251">
            <v>1.876005078290309E-2</v>
          </cell>
          <cell r="AG251">
            <v>3.4676923076923057E-2</v>
          </cell>
          <cell r="AH251">
            <v>3.7352415026833632E-2</v>
          </cell>
          <cell r="AI251">
            <v>2.9882381238725195E-2</v>
          </cell>
          <cell r="AJ251">
            <v>2.3500340787445867E-2</v>
          </cell>
          <cell r="AK251">
            <v>4.2236005265214434E-2</v>
          </cell>
          <cell r="AL251">
            <v>4.656862156328339E-2</v>
          </cell>
          <cell r="AM251">
            <v>3.676454968643994E-2</v>
          </cell>
          <cell r="AN251">
            <v>2.9288679012835717E-2</v>
          </cell>
        </row>
        <row r="252">
          <cell r="I252" t="str">
            <v>USD / USD</v>
          </cell>
          <cell r="Q252">
            <v>4.361666849471822E-3</v>
          </cell>
          <cell r="R252">
            <v>3.4928193455620819E-3</v>
          </cell>
          <cell r="S252">
            <v>3.0438388896075735E-3</v>
          </cell>
          <cell r="T252">
            <v>3.2364363893138755E-3</v>
          </cell>
          <cell r="U252">
            <v>6.553307299998843E-3</v>
          </cell>
          <cell r="V252">
            <v>6.2051530240829428E-3</v>
          </cell>
          <cell r="W252">
            <v>6.5227817745803357E-3</v>
          </cell>
          <cell r="X252">
            <v>8.611111111111111E-3</v>
          </cell>
          <cell r="Y252">
            <v>1.7435897435897432E-2</v>
          </cell>
          <cell r="Z252">
            <v>1.628268551236749E-2</v>
          </cell>
          <cell r="AA252">
            <v>1.4199535962877029E-2</v>
          </cell>
          <cell r="AB252">
            <v>1.2374040474528961E-2</v>
          </cell>
          <cell r="AC252">
            <v>2.6993417721518979E-2</v>
          </cell>
          <cell r="AD252">
            <v>2.9617021276595743E-2</v>
          </cell>
          <cell r="AE252">
            <v>2.4607279029462737E-2</v>
          </cell>
          <cell r="AF252">
            <v>1.876005078290309E-2</v>
          </cell>
          <cell r="AG252">
            <v>3.4676923076923057E-2</v>
          </cell>
          <cell r="AH252">
            <v>3.7352415026833632E-2</v>
          </cell>
          <cell r="AI252">
            <v>2.9882381238725195E-2</v>
          </cell>
          <cell r="AJ252">
            <v>2.3500340787445867E-2</v>
          </cell>
          <cell r="AK252">
            <v>4.2236005265214434E-2</v>
          </cell>
          <cell r="AL252">
            <v>4.656862156328339E-2</v>
          </cell>
          <cell r="AM252">
            <v>3.676454968643994E-2</v>
          </cell>
          <cell r="AN252">
            <v>2.9288679012835717E-2</v>
          </cell>
        </row>
        <row r="254">
          <cell r="I254" t="str">
            <v>Weighted Exchange rates</v>
          </cell>
        </row>
        <row r="255">
          <cell r="I255" t="str">
            <v xml:space="preserve">EUR / USD </v>
          </cell>
          <cell r="Q255">
            <v>7.8038951842697601E-2</v>
          </cell>
          <cell r="R255">
            <v>6.3118927952992773E-2</v>
          </cell>
          <cell r="S255">
            <v>6.9705923839458714E-2</v>
          </cell>
          <cell r="T255">
            <v>0.10561329351665254</v>
          </cell>
          <cell r="U255">
            <v>0.12192146411615674</v>
          </cell>
          <cell r="V255">
            <v>0.13443185679474995</v>
          </cell>
          <cell r="W255">
            <v>7.8960670098407154E-2</v>
          </cell>
          <cell r="X255">
            <v>-7.1399216170370441E-2</v>
          </cell>
          <cell r="Y255">
            <v>-0.10422973804920051</v>
          </cell>
          <cell r="Z255">
            <v>-0.10296934038890768</v>
          </cell>
          <cell r="AA255">
            <v>-3.9882699545632033E-2</v>
          </cell>
          <cell r="AB255">
            <v>9.1846306708044279E-2</v>
          </cell>
          <cell r="AC255">
            <v>4.768557906364676E-2</v>
          </cell>
          <cell r="AD255">
            <v>-4.7564043508271071E-2</v>
          </cell>
          <cell r="AE255">
            <v>-7.2586181344866968E-2</v>
          </cell>
          <cell r="AF255">
            <v>-5.7579751334031204E-2</v>
          </cell>
          <cell r="AG255">
            <v>-9.5307058874161132E-3</v>
          </cell>
          <cell r="AH255">
            <v>9.2075626166622321E-2</v>
          </cell>
          <cell r="AI255">
            <v>6.8470399723087369E-2</v>
          </cell>
          <cell r="AJ255">
            <v>-5.5475259455874922E-3</v>
          </cell>
          <cell r="AK255">
            <v>-3.2602957067964344E-2</v>
          </cell>
          <cell r="AL255">
            <v>-6.4948949335777925E-2</v>
          </cell>
          <cell r="AM255">
            <v>-5.3534267493963859E-2</v>
          </cell>
          <cell r="AN255">
            <v>-2.3034977822637536E-2</v>
          </cell>
        </row>
        <row r="256">
          <cell r="I256" t="str">
            <v>GBP / USD</v>
          </cell>
          <cell r="Q256">
            <v>1.1159016799924627E-2</v>
          </cell>
          <cell r="R256">
            <v>8.3836105797102847E-3</v>
          </cell>
          <cell r="S256">
            <v>7.6213573691310968E-3</v>
          </cell>
          <cell r="T256">
            <v>6.439287984872929E-3</v>
          </cell>
          <cell r="U256">
            <v>1.1985090760667136E-3</v>
          </cell>
          <cell r="V256">
            <v>-7.525749108541201E-4</v>
          </cell>
          <cell r="W256">
            <v>-5.9549265935348412E-3</v>
          </cell>
          <cell r="X256">
            <v>-2.0697474793989323E-2</v>
          </cell>
          <cell r="Y256">
            <v>-2.4156562916304022E-2</v>
          </cell>
          <cell r="Z256">
            <v>-1.9151280981566078E-2</v>
          </cell>
          <cell r="AA256">
            <v>-1.1869175360938693E-2</v>
          </cell>
          <cell r="AB256">
            <v>3.2265008953298252E-3</v>
          </cell>
          <cell r="AC256">
            <v>7.2385393661283833E-3</v>
          </cell>
          <cell r="AD256">
            <v>-3.0387630644406667E-3</v>
          </cell>
          <cell r="AE256">
            <v>-4.6424640263267704E-3</v>
          </cell>
          <cell r="AF256">
            <v>-2.5244483883578727E-3</v>
          </cell>
          <cell r="AG256">
            <v>2.0217679338031288E-3</v>
          </cell>
          <cell r="AH256">
            <v>7.5092851116151825E-3</v>
          </cell>
          <cell r="AI256">
            <v>3.1342262605928233E-3</v>
          </cell>
          <cell r="AJ256">
            <v>-4.3371438920627282E-4</v>
          </cell>
          <cell r="AK256">
            <v>-1.8818760617127365E-3</v>
          </cell>
          <cell r="AL256">
            <v>-3.2604993179938761E-3</v>
          </cell>
          <cell r="AM256">
            <v>-2.3177377300537916E-3</v>
          </cell>
          <cell r="AN256">
            <v>-5.455701651763665E-4</v>
          </cell>
        </row>
        <row r="257">
          <cell r="I257" t="str">
            <v>YEN / USD</v>
          </cell>
          <cell r="Q257">
            <v>-1.172217537845863E-4</v>
          </cell>
          <cell r="R257">
            <v>-2.5182226365664124E-4</v>
          </cell>
          <cell r="S257">
            <v>-4.6979491985726293E-5</v>
          </cell>
          <cell r="T257">
            <v>4.6633383837393623E-4</v>
          </cell>
          <cell r="U257">
            <v>1.9497530111938111E-3</v>
          </cell>
          <cell r="V257">
            <v>1.9330702130521368E-3</v>
          </cell>
          <cell r="W257">
            <v>1.3401552588676771E-3</v>
          </cell>
          <cell r="X257">
            <v>4.5719464492614843E-3</v>
          </cell>
          <cell r="Y257">
            <v>2.7504834933682991E-3</v>
          </cell>
          <cell r="Z257">
            <v>1.5252924835677012E-3</v>
          </cell>
          <cell r="AA257">
            <v>3.2683823456556098E-3</v>
          </cell>
          <cell r="AB257">
            <v>2.2680327197962973E-3</v>
          </cell>
          <cell r="AC257">
            <v>7.4976458062226152E-4</v>
          </cell>
          <cell r="AD257">
            <v>1.4437594677408243E-3</v>
          </cell>
          <cell r="AE257">
            <v>2.7238961596397705E-3</v>
          </cell>
          <cell r="AF257">
            <v>4.0288436976968498E-3</v>
          </cell>
          <cell r="AG257">
            <v>3.7476470588235309E-3</v>
          </cell>
          <cell r="AH257">
            <v>3.6935798621938508E-3</v>
          </cell>
          <cell r="AI257">
            <v>4.8458202873908878E-3</v>
          </cell>
          <cell r="AJ257">
            <v>3.689578078557357E-3</v>
          </cell>
          <cell r="AK257">
            <v>2.7905675712926329E-3</v>
          </cell>
          <cell r="AL257">
            <v>2.0703283737205178E-3</v>
          </cell>
          <cell r="AM257">
            <v>4.1040108572550516E-4</v>
          </cell>
          <cell r="AN257">
            <v>5.2496971290086391E-4</v>
          </cell>
        </row>
        <row r="258">
          <cell r="I258" t="str">
            <v xml:space="preserve">AUD / USD </v>
          </cell>
          <cell r="Q258">
            <v>3.6663054522161341E-4</v>
          </cell>
          <cell r="R258">
            <v>5.2782298380799899E-4</v>
          </cell>
          <cell r="S258">
            <v>4.5999456915010414E-4</v>
          </cell>
          <cell r="T258">
            <v>1.7827006019995664E-3</v>
          </cell>
          <cell r="U258">
            <v>2.2031983537518902E-3</v>
          </cell>
          <cell r="V258">
            <v>1.67187278673375E-3</v>
          </cell>
          <cell r="W258">
            <v>6.8379392693152397E-4</v>
          </cell>
          <cell r="X258">
            <v>-6.2009042156351687E-3</v>
          </cell>
          <cell r="Y258">
            <v>-5.8974924717106443E-3</v>
          </cell>
          <cell r="Z258">
            <v>-3.8489031826942385E-3</v>
          </cell>
          <cell r="AA258">
            <v>-1.3706662664338153E-3</v>
          </cell>
          <cell r="AB258">
            <v>1.2269734709124626E-2</v>
          </cell>
          <cell r="AC258">
            <v>9.6937807982187939E-3</v>
          </cell>
          <cell r="AD258">
            <v>4.0725612688452192E-3</v>
          </cell>
          <cell r="AE258">
            <v>2.7363006547043763E-3</v>
          </cell>
          <cell r="AF258">
            <v>3.9109826021898192E-3</v>
          </cell>
          <cell r="AG258">
            <v>3.8795947741364113E-3</v>
          </cell>
          <cell r="AH258">
            <v>5.782000003658196E-3</v>
          </cell>
          <cell r="AI258">
            <v>7.1834424407085868E-3</v>
          </cell>
          <cell r="AJ258">
            <v>1.3904585876422897E-3</v>
          </cell>
          <cell r="AK258">
            <v>1.1854082301451935E-3</v>
          </cell>
          <cell r="AL258">
            <v>-9.8987131559637458E-4</v>
          </cell>
          <cell r="AM258">
            <v>-9.5599036410683809E-4</v>
          </cell>
          <cell r="AN258">
            <v>1.4254958791754988E-3</v>
          </cell>
        </row>
        <row r="259">
          <cell r="I259" t="str">
            <v xml:space="preserve">CNY / USD </v>
          </cell>
          <cell r="Q259">
            <v>2.1365650478400157E-4</v>
          </cell>
          <cell r="R259">
            <v>2.0322295825155176E-4</v>
          </cell>
          <cell r="S259">
            <v>2.080696636815432E-4</v>
          </cell>
          <cell r="T259">
            <v>6.6193670227670219E-4</v>
          </cell>
          <cell r="U259">
            <v>1.206491643277952E-3</v>
          </cell>
          <cell r="V259">
            <v>1.2900828704873436E-3</v>
          </cell>
          <cell r="W259">
            <v>1.4887197913934242E-3</v>
          </cell>
          <cell r="X259">
            <v>2.2030830947871302E-3</v>
          </cell>
          <cell r="Y259">
            <v>1.0147489829995585E-3</v>
          </cell>
          <cell r="Z259">
            <v>3.4019208773337591E-4</v>
          </cell>
          <cell r="AA259">
            <v>5.8271830123574255E-6</v>
          </cell>
          <cell r="AB259">
            <v>2.8520542829359057E-5</v>
          </cell>
          <cell r="AC259">
            <v>3.660725992543067E-5</v>
          </cell>
          <cell r="AD259">
            <v>1.6952488050311631E-5</v>
          </cell>
          <cell r="AE259">
            <v>2.8795710275565428E-4</v>
          </cell>
          <cell r="AF259">
            <v>1.1309952882051181E-3</v>
          </cell>
          <cell r="AG259">
            <v>1.2914823824266492E-3</v>
          </cell>
          <cell r="AH259">
            <v>1.4545657244632135E-3</v>
          </cell>
          <cell r="AI259">
            <v>2.4038301211818549E-3</v>
          </cell>
          <cell r="AJ259">
            <v>2.5298207025308342E-3</v>
          </cell>
          <cell r="AK259">
            <v>1.7941989127678681E-3</v>
          </cell>
          <cell r="AL259">
            <v>1.065086676135613E-3</v>
          </cell>
          <cell r="AM259">
            <v>8.5006005232161311E-4</v>
          </cell>
          <cell r="AN259">
            <v>6.046526157518846E-4</v>
          </cell>
        </row>
        <row r="260">
          <cell r="I260" t="str">
            <v xml:space="preserve">BRL / USD </v>
          </cell>
          <cell r="Q260">
            <v>1.6941299810325025E-4</v>
          </cell>
          <cell r="R260">
            <v>3.4966366344643316E-4</v>
          </cell>
          <cell r="S260">
            <v>4.0831985104491876E-4</v>
          </cell>
          <cell r="T260">
            <v>6.6597646020141136E-4</v>
          </cell>
          <cell r="U260">
            <v>1.3870751826360035E-3</v>
          </cell>
          <cell r="V260">
            <v>1.229194827142995E-3</v>
          </cell>
          <cell r="W260">
            <v>1.0295173999049605E-3</v>
          </cell>
          <cell r="X260">
            <v>-1.8665614327694384E-3</v>
          </cell>
          <cell r="Y260">
            <v>-4.3680935521939693E-3</v>
          </cell>
          <cell r="Z260">
            <v>-3.3240440905015554E-3</v>
          </cell>
          <cell r="AA260">
            <v>-1.6436610451224152E-3</v>
          </cell>
          <cell r="AB260">
            <v>3.7830742039399508E-3</v>
          </cell>
          <cell r="AC260">
            <v>7.7357270604585691E-3</v>
          </cell>
          <cell r="AD260">
            <v>4.6779958590663796E-3</v>
          </cell>
          <cell r="AE260">
            <v>1.6291015561516052E-3</v>
          </cell>
          <cell r="AF260">
            <v>5.0153551804720735E-4</v>
          </cell>
          <cell r="AG260">
            <v>2.8275704768924719E-3</v>
          </cell>
          <cell r="AH260">
            <v>4.7253460075335684E-3</v>
          </cell>
          <cell r="AI260">
            <v>2.4547180366727601E-3</v>
          </cell>
          <cell r="AJ260">
            <v>-1.2758013463572556E-3</v>
          </cell>
          <cell r="AK260">
            <v>-3.6926497415090439E-3</v>
          </cell>
          <cell r="AL260">
            <v>-5.9587006185606983E-3</v>
          </cell>
          <cell r="AM260">
            <v>-4.1413902686448043E-3</v>
          </cell>
          <cell r="AN260">
            <v>-5.1651800310561092E-4</v>
          </cell>
        </row>
        <row r="261">
          <cell r="I261" t="str">
            <v>CAD / USD</v>
          </cell>
          <cell r="Q261">
            <v>-6.3236846485890011E-5</v>
          </cell>
          <cell r="R261">
            <v>8.0117204019672703E-5</v>
          </cell>
          <cell r="S261">
            <v>2.2187391978250361E-4</v>
          </cell>
          <cell r="T261">
            <v>5.2421150817051967E-4</v>
          </cell>
          <cell r="U261">
            <v>1.0984164616235843E-3</v>
          </cell>
          <cell r="V261">
            <v>5.2942103726419149E-4</v>
          </cell>
          <cell r="W261">
            <v>2.9166122856521412E-5</v>
          </cell>
          <cell r="X261">
            <v>-1.6275769563656049E-3</v>
          </cell>
          <cell r="Y261">
            <v>-3.3620907151283336E-3</v>
          </cell>
          <cell r="Z261">
            <v>-2.1813343259992346E-3</v>
          </cell>
          <cell r="AA261">
            <v>-7.5689376461649947E-4</v>
          </cell>
          <cell r="AB261">
            <v>1.7638939991535317E-3</v>
          </cell>
          <cell r="AC261">
            <v>5.250305349640055E-3</v>
          </cell>
          <cell r="AD261">
            <v>4.0009928416119755E-3</v>
          </cell>
          <cell r="AE261">
            <v>1.403734646767546E-3</v>
          </cell>
          <cell r="AF261">
            <v>8.1953680699587252E-4</v>
          </cell>
          <cell r="AG261">
            <v>1.9170688343410906E-3</v>
          </cell>
          <cell r="AH261">
            <v>2.2994960535532697E-3</v>
          </cell>
          <cell r="AI261">
            <v>1.8860980983577205E-3</v>
          </cell>
          <cell r="AJ261">
            <v>-2.2864423995082639E-4</v>
          </cell>
          <cell r="AK261">
            <v>-1.100069592543079E-3</v>
          </cell>
          <cell r="AL261">
            <v>-2.0603988822171042E-3</v>
          </cell>
          <cell r="AM261">
            <v>-1.2657591441340844E-3</v>
          </cell>
          <cell r="AN261">
            <v>3.0274860099236485E-4</v>
          </cell>
        </row>
        <row r="262">
          <cell r="I262" t="str">
            <v>USD / USD</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row>
        <row r="264">
          <cell r="I264" t="str">
            <v xml:space="preserve">Weighted F/X favorable / (unfavorable) </v>
          </cell>
          <cell r="Q264">
            <v>8.9767210090460597E-2</v>
          </cell>
          <cell r="R264">
            <v>7.2411543078572074E-2</v>
          </cell>
          <cell r="S264">
            <v>7.8578559720263147E-2</v>
          </cell>
          <cell r="T264">
            <v>0.1161537406125476</v>
          </cell>
          <cell r="U264">
            <v>0.13096490784470671</v>
          </cell>
          <cell r="V264">
            <v>0.14033292361857624</v>
          </cell>
          <cell r="W264">
            <v>7.7577096004826415E-2</v>
          </cell>
          <cell r="X264">
            <v>-9.5016704025081361E-2</v>
          </cell>
          <cell r="Y264">
            <v>-0.13824874522816963</v>
          </cell>
          <cell r="Z264">
            <v>-0.1296094183983677</v>
          </cell>
          <cell r="AA264">
            <v>-5.2248886454075487E-2</v>
          </cell>
          <cell r="AB264">
            <v>0.11518606377821786</v>
          </cell>
          <cell r="AC264">
            <v>7.8390303478640247E-2</v>
          </cell>
          <cell r="AD264">
            <v>-3.6390544647397036E-2</v>
          </cell>
          <cell r="AE264">
            <v>-6.8447655251174785E-2</v>
          </cell>
          <cell r="AF264">
            <v>-4.9712305809254211E-2</v>
          </cell>
          <cell r="AG264">
            <v>6.1544255730071693E-3</v>
          </cell>
          <cell r="AH264">
            <v>0.11753989892963959</v>
          </cell>
          <cell r="AI264">
            <v>9.0378534967992002E-2</v>
          </cell>
          <cell r="AJ264">
            <v>1.2417144762863358E-4</v>
          </cell>
          <cell r="AK264">
            <v>-3.3507377749523511E-2</v>
          </cell>
          <cell r="AL264">
            <v>-7.4083004420289852E-2</v>
          </cell>
          <cell r="AM264">
            <v>-6.0954683862856254E-2</v>
          </cell>
          <cell r="AN264">
            <v>-2.1239199182098902E-2</v>
          </cell>
        </row>
        <row r="265">
          <cell r="I265" t="str">
            <v xml:space="preserve">Actual </v>
          </cell>
          <cell r="Q265">
            <v>0.15988391358214737</v>
          </cell>
          <cell r="R265">
            <v>0.13091387660442011</v>
          </cell>
          <cell r="S265">
            <v>0.14503196658768713</v>
          </cell>
          <cell r="T265">
            <v>0.2310010027073095</v>
          </cell>
          <cell r="U265">
            <v>0.24670181015588488</v>
          </cell>
          <cell r="V265">
            <v>0.24324839184775959</v>
          </cell>
          <cell r="W265">
            <v>0.13960102120794754</v>
          </cell>
          <cell r="X265">
            <v>-0.11088289984700483</v>
          </cell>
          <cell r="Y265">
            <v>-0.18261594535312697</v>
          </cell>
          <cell r="Z265">
            <v>-0.18073287381805175</v>
          </cell>
          <cell r="AA265">
            <v>-0.1069024780175859</v>
          </cell>
          <cell r="AB265">
            <v>0.1143434343434343</v>
          </cell>
          <cell r="AC265">
            <v>8.0608058608058641E-2</v>
          </cell>
          <cell r="AD265">
            <v>-7.6653710247349793E-2</v>
          </cell>
          <cell r="AE265">
            <v>-0.10656612529002318</v>
          </cell>
          <cell r="AF265">
            <v>-5.8011863224005644E-2</v>
          </cell>
          <cell r="AG265">
            <v>9.3797468354430702E-3</v>
          </cell>
          <cell r="AH265">
            <v>0.19726950354609929</v>
          </cell>
          <cell r="AI265">
            <v>0.11528942807625653</v>
          </cell>
        </row>
        <row r="266">
          <cell r="I266" t="str">
            <v>Difference</v>
          </cell>
          <cell r="Q266">
            <v>7.0116703491686777E-2</v>
          </cell>
          <cell r="R266">
            <v>5.8502333525848035E-2</v>
          </cell>
          <cell r="S266">
            <v>6.6453406867423986E-2</v>
          </cell>
          <cell r="T266">
            <v>0.1148472620947619</v>
          </cell>
          <cell r="U266">
            <v>0.11573690231117817</v>
          </cell>
          <cell r="V266">
            <v>0.10291546822918335</v>
          </cell>
          <cell r="W266">
            <v>6.2023925203121125E-2</v>
          </cell>
          <cell r="X266">
            <v>-1.5866195821923473E-2</v>
          </cell>
          <cell r="Y266">
            <v>-4.4367200124957346E-2</v>
          </cell>
          <cell r="Z266">
            <v>-5.112345541968405E-2</v>
          </cell>
          <cell r="AA266">
            <v>-5.4653591563510413E-2</v>
          </cell>
          <cell r="AB266">
            <v>-8.426294347835539E-4</v>
          </cell>
          <cell r="AC266">
            <v>2.2177551294183945E-3</v>
          </cell>
          <cell r="AD266">
            <v>-4.0263165599952758E-2</v>
          </cell>
          <cell r="AE266">
            <v>-3.8118470038848398E-2</v>
          </cell>
          <cell r="AF266">
            <v>-8.2995574147514337E-3</v>
          </cell>
          <cell r="AG266">
            <v>3.2253212624359009E-3</v>
          </cell>
          <cell r="AH266">
            <v>7.9729604616459698E-2</v>
          </cell>
          <cell r="AI266">
            <v>2.4910893108264526E-2</v>
          </cell>
          <cell r="AJ266">
            <v>-1.2417144762863358E-4</v>
          </cell>
          <cell r="AK266">
            <v>3.3507377749523511E-2</v>
          </cell>
          <cell r="AL266">
            <v>7.4083004420289852E-2</v>
          </cell>
          <cell r="AM266">
            <v>6.0954683862856254E-2</v>
          </cell>
          <cell r="AN266">
            <v>2.1239199182098902E-2</v>
          </cell>
        </row>
        <row r="268">
          <cell r="I268" t="str">
            <v>Revenue by Geography</v>
          </cell>
        </row>
        <row r="269">
          <cell r="I269" t="str">
            <v>US</v>
          </cell>
          <cell r="M269">
            <v>219.51399999999998</v>
          </cell>
          <cell r="N269">
            <v>260.55099999999999</v>
          </cell>
          <cell r="O269">
            <v>248.46700000000004</v>
          </cell>
          <cell r="P269">
            <v>211.87099999999998</v>
          </cell>
          <cell r="Q269">
            <v>237.61100000000002</v>
          </cell>
          <cell r="R269">
            <v>263.16199999999992</v>
          </cell>
          <cell r="S269">
            <v>285.09199999999998</v>
          </cell>
          <cell r="T269">
            <v>232.453</v>
          </cell>
          <cell r="U269">
            <v>298.98</v>
          </cell>
          <cell r="V269">
            <v>349.476</v>
          </cell>
          <cell r="W269">
            <v>337.90900000000005</v>
          </cell>
          <cell r="X269">
            <v>278.64099999999996</v>
          </cell>
          <cell r="Y269">
            <v>347.45799999999997</v>
          </cell>
          <cell r="Z269">
            <v>406.14099999999996</v>
          </cell>
          <cell r="AA269">
            <v>413.76</v>
          </cell>
          <cell r="AB269">
            <v>318.85300000000007</v>
          </cell>
          <cell r="AC269">
            <v>368.59399999999988</v>
          </cell>
          <cell r="AD269">
            <v>444.83900000000006</v>
          </cell>
          <cell r="AE269">
            <v>470.75699999999995</v>
          </cell>
          <cell r="AF269">
            <v>356.41600000000005</v>
          </cell>
          <cell r="AG269">
            <v>420.22</v>
          </cell>
          <cell r="AH269">
            <v>489.81600000000014</v>
          </cell>
          <cell r="AI269">
            <v>499.80400000000009</v>
          </cell>
          <cell r="AJ269">
            <v>385.14147250000002</v>
          </cell>
          <cell r="AK269">
            <v>456.32213184</v>
          </cell>
          <cell r="AL269">
            <v>535.87710611600005</v>
          </cell>
          <cell r="AM269">
            <v>550.41795260000004</v>
          </cell>
          <cell r="AN269">
            <v>416.31536740000007</v>
          </cell>
        </row>
        <row r="270">
          <cell r="I270" t="str">
            <v>y/y Growth - %</v>
          </cell>
          <cell r="M270" t="str">
            <v>NA</v>
          </cell>
          <cell r="N270" t="str">
            <v>NA</v>
          </cell>
          <cell r="O270" t="str">
            <v>NA</v>
          </cell>
          <cell r="P270" t="str">
            <v>NA</v>
          </cell>
          <cell r="Q270">
            <v>8.244121103893165E-2</v>
          </cell>
          <cell r="R270">
            <v>1.0021070730873882E-2</v>
          </cell>
          <cell r="S270">
            <v>0.14740388059581333</v>
          </cell>
          <cell r="T270">
            <v>9.7144016878194961E-2</v>
          </cell>
          <cell r="U270">
            <v>0.25827507985741405</v>
          </cell>
          <cell r="V270">
            <v>0.32798808338589946</v>
          </cell>
          <cell r="W270">
            <v>0.18526300282014252</v>
          </cell>
          <cell r="X270">
            <v>0.19869823147044752</v>
          </cell>
          <cell r="Y270">
            <v>0.16214462505853211</v>
          </cell>
          <cell r="Z270">
            <v>0.16214275086128938</v>
          </cell>
          <cell r="AA270">
            <v>0.22447167728589634</v>
          </cell>
          <cell r="AB270">
            <v>0.14431472755265773</v>
          </cell>
          <cell r="AC270">
            <v>6.0830373743013366E-2</v>
          </cell>
          <cell r="AD270">
            <v>9.5282180326537125E-2</v>
          </cell>
          <cell r="AE270">
            <v>0.13775377030162406</v>
          </cell>
          <cell r="AF270">
            <v>0.11780663816868575</v>
          </cell>
          <cell r="AG270">
            <v>0.1400619651974806</v>
          </cell>
          <cell r="AH270">
            <v>0.10110849093717067</v>
          </cell>
          <cell r="AI270">
            <v>6.1702746852410284E-2</v>
          </cell>
          <cell r="AJ270">
            <v>8.0595350657658438E-2</v>
          </cell>
          <cell r="AK270">
            <v>8.5912454999761856E-2</v>
          </cell>
          <cell r="AL270">
            <v>9.4037569446485891E-2</v>
          </cell>
          <cell r="AM270">
            <v>0.10126760210002317</v>
          </cell>
          <cell r="AN270">
            <v>8.0941412768784637E-2</v>
          </cell>
        </row>
        <row r="271">
          <cell r="I271" t="str">
            <v>% of total revenue</v>
          </cell>
          <cell r="M271">
            <v>0.9074051109071819</v>
          </cell>
          <cell r="N271">
            <v>0.84690444692199918</v>
          </cell>
          <cell r="O271">
            <v>0.79264164967923256</v>
          </cell>
          <cell r="P271">
            <v>0.81466599505519643</v>
          </cell>
          <cell r="Q271">
            <v>0.83223063209473536</v>
          </cell>
          <cell r="R271">
            <v>0.74431641409427474</v>
          </cell>
          <cell r="S271">
            <v>0.68385097339358869</v>
          </cell>
          <cell r="T271">
            <v>0.69419416878451146</v>
          </cell>
          <cell r="U271">
            <v>0.74155464060717302</v>
          </cell>
          <cell r="V271">
            <v>0.67994614534530795</v>
          </cell>
          <cell r="W271">
            <v>0.60168017250435801</v>
          </cell>
          <cell r="X271">
            <v>0.68623858181809216</v>
          </cell>
          <cell r="Y271">
            <v>0.75197918875985259</v>
          </cell>
          <cell r="Z271">
            <v>0.67270733642406255</v>
          </cell>
          <cell r="AA271">
            <v>0.56628253907426163</v>
          </cell>
          <cell r="AB271">
            <v>0.58855788523552255</v>
          </cell>
          <cell r="AC271">
            <v>0.63072858379791708</v>
          </cell>
          <cell r="AD271">
            <v>0.57964085744925653</v>
          </cell>
          <cell r="AE271">
            <v>0.46993133065204434</v>
          </cell>
          <cell r="AF271">
            <v>0.48736250813601784</v>
          </cell>
          <cell r="AG271">
            <v>0.51922601690307912</v>
          </cell>
          <cell r="AH271">
            <v>0.44419052593777553</v>
          </cell>
          <cell r="AI271">
            <v>0.34402713648916167</v>
          </cell>
          <cell r="AJ271">
            <v>0.39870120778542584</v>
          </cell>
          <cell r="AK271">
            <v>0.45459837150576365</v>
          </cell>
          <cell r="AL271">
            <v>0.39002435321866219</v>
          </cell>
          <cell r="AM271">
            <v>0.30188533759196751</v>
          </cell>
          <cell r="AN271">
            <v>0.34768402887334565</v>
          </cell>
        </row>
        <row r="272">
          <cell r="I272" t="str">
            <v>International</v>
          </cell>
          <cell r="M272">
            <v>22.4</v>
          </cell>
          <cell r="N272">
            <v>47.1</v>
          </cell>
          <cell r="O272">
            <v>65</v>
          </cell>
          <cell r="P272">
            <v>48.2</v>
          </cell>
          <cell r="Q272">
            <v>47.9</v>
          </cell>
          <cell r="R272">
            <v>90.4</v>
          </cell>
          <cell r="S272">
            <v>131.80000000000001</v>
          </cell>
          <cell r="T272">
            <v>102.4</v>
          </cell>
          <cell r="U272">
            <v>104.2</v>
          </cell>
          <cell r="V272">
            <v>164.5</v>
          </cell>
          <cell r="W272">
            <v>223.7</v>
          </cell>
          <cell r="X272">
            <v>127.4</v>
          </cell>
          <cell r="Y272">
            <v>114.6</v>
          </cell>
          <cell r="Z272">
            <v>197.6</v>
          </cell>
          <cell r="AA272">
            <v>316.89999999999998</v>
          </cell>
          <cell r="AB272">
            <v>222.9</v>
          </cell>
          <cell r="AC272">
            <v>215.8</v>
          </cell>
          <cell r="AD272">
            <v>322.60000000000002</v>
          </cell>
          <cell r="AE272">
            <v>531</v>
          </cell>
          <cell r="AF272">
            <v>374.9</v>
          </cell>
          <cell r="AG272">
            <v>389.1</v>
          </cell>
          <cell r="AH272">
            <v>612.9</v>
          </cell>
          <cell r="AI272">
            <v>953</v>
          </cell>
          <cell r="AJ272">
            <v>580.84876023407435</v>
          </cell>
          <cell r="AK272">
            <v>547.46969946050967</v>
          </cell>
          <cell r="AL272">
            <v>838.08096007574693</v>
          </cell>
          <cell r="AM272">
            <v>1272.8503021303861</v>
          </cell>
          <cell r="AN272">
            <v>781.08035062895635</v>
          </cell>
        </row>
        <row r="273">
          <cell r="I273" t="str">
            <v>y/y Growth - %</v>
          </cell>
          <cell r="M273" t="str">
            <v>NA</v>
          </cell>
          <cell r="N273" t="str">
            <v>NA</v>
          </cell>
          <cell r="O273" t="str">
            <v>NA</v>
          </cell>
          <cell r="P273" t="str">
            <v>NA</v>
          </cell>
          <cell r="Q273">
            <v>1.1383928571428572</v>
          </cell>
          <cell r="R273">
            <v>0.91932059447983017</v>
          </cell>
          <cell r="S273">
            <v>1.0276923076923077</v>
          </cell>
          <cell r="T273">
            <v>1.1244813278008299</v>
          </cell>
          <cell r="U273">
            <v>1.1753653444676408</v>
          </cell>
          <cell r="V273">
            <v>0.81969026548672552</v>
          </cell>
          <cell r="W273">
            <v>0.69726858877086473</v>
          </cell>
          <cell r="X273">
            <v>0.244140625</v>
          </cell>
          <cell r="Y273">
            <v>9.9808061420345373E-2</v>
          </cell>
          <cell r="Z273">
            <v>0.20121580547112461</v>
          </cell>
          <cell r="AA273">
            <v>0.41662941439427792</v>
          </cell>
          <cell r="AB273">
            <v>0.74960753532182101</v>
          </cell>
          <cell r="AC273">
            <v>0.88307155322862152</v>
          </cell>
          <cell r="AD273">
            <v>0.63259109311740902</v>
          </cell>
          <cell r="AE273">
            <v>0.67560744714420973</v>
          </cell>
          <cell r="AF273">
            <v>0.68192014356213537</v>
          </cell>
          <cell r="AG273">
            <v>0.80305838739573687</v>
          </cell>
          <cell r="AH273">
            <v>0.89987600743955332</v>
          </cell>
          <cell r="AI273">
            <v>0.79472693032015074</v>
          </cell>
          <cell r="AJ273">
            <v>0.5493431854736579</v>
          </cell>
          <cell r="AK273">
            <v>0.40701541881395431</v>
          </cell>
          <cell r="AL273">
            <v>0.36740244750488982</v>
          </cell>
          <cell r="AM273">
            <v>0.33562466120712076</v>
          </cell>
          <cell r="AN273">
            <v>0.34472242019452937</v>
          </cell>
        </row>
        <row r="274">
          <cell r="I274" t="str">
            <v>(+/-) FX y/y Growth - %</v>
          </cell>
          <cell r="M274" t="str">
            <v>NA</v>
          </cell>
          <cell r="N274" t="str">
            <v>NA</v>
          </cell>
          <cell r="O274" t="str">
            <v>NA</v>
          </cell>
          <cell r="P274" t="str">
            <v>NA</v>
          </cell>
          <cell r="Q274" t="str">
            <v>NA</v>
          </cell>
          <cell r="R274" t="str">
            <v>NA</v>
          </cell>
          <cell r="S274" t="str">
            <v>NA</v>
          </cell>
          <cell r="T274" t="str">
            <v>NA</v>
          </cell>
          <cell r="U274" t="str">
            <v>NA</v>
          </cell>
          <cell r="V274" t="str">
            <v>NA</v>
          </cell>
          <cell r="W274">
            <v>-6.7268588770864723E-2</v>
          </cell>
          <cell r="X274">
            <v>0.195859375</v>
          </cell>
          <cell r="Y274">
            <v>0.20019193857965462</v>
          </cell>
          <cell r="Z274">
            <v>0.1787841945288754</v>
          </cell>
          <cell r="AA274">
            <v>8.3370585605722081E-2</v>
          </cell>
          <cell r="AB274">
            <v>-0.119607535321821</v>
          </cell>
          <cell r="AC274">
            <v>-9.3071553228621484E-2</v>
          </cell>
          <cell r="AD274">
            <v>4.7408906882591029E-2</v>
          </cell>
          <cell r="AE274">
            <v>0.12439255285579032</v>
          </cell>
          <cell r="AF274">
            <v>6.8079856437864628E-2</v>
          </cell>
          <cell r="AG274">
            <v>-1.3058387395736837E-2</v>
          </cell>
          <cell r="AH274">
            <v>-0.18987600743955335</v>
          </cell>
          <cell r="AI274">
            <v>-0.11472693032015069</v>
          </cell>
          <cell r="AJ274">
            <v>-1.2417144762863358E-4</v>
          </cell>
          <cell r="AK274">
            <v>3.3507377749523511E-2</v>
          </cell>
          <cell r="AL274">
            <v>7.4083004420289852E-2</v>
          </cell>
          <cell r="AM274">
            <v>6.0954683862856254E-2</v>
          </cell>
          <cell r="AN274">
            <v>2.1239199182098902E-2</v>
          </cell>
        </row>
        <row r="275">
          <cell r="I275" t="str">
            <v>y/y Growth - % (excl F/X)</v>
          </cell>
          <cell r="M275" t="str">
            <v>NA</v>
          </cell>
          <cell r="N275" t="str">
            <v>NA</v>
          </cell>
          <cell r="O275" t="str">
            <v>NA</v>
          </cell>
          <cell r="P275" t="str">
            <v>NA</v>
          </cell>
          <cell r="Q275" t="str">
            <v>NA</v>
          </cell>
          <cell r="R275" t="str">
            <v>NA</v>
          </cell>
          <cell r="S275" t="str">
            <v>NA</v>
          </cell>
          <cell r="T275" t="str">
            <v>NA</v>
          </cell>
          <cell r="U275" t="str">
            <v>NA</v>
          </cell>
          <cell r="V275" t="str">
            <v>NA</v>
          </cell>
          <cell r="W275">
            <v>0.63</v>
          </cell>
          <cell r="X275">
            <v>0.44</v>
          </cell>
          <cell r="Y275">
            <v>0.3</v>
          </cell>
          <cell r="Z275">
            <v>0.38</v>
          </cell>
          <cell r="AA275">
            <v>0.5</v>
          </cell>
          <cell r="AB275">
            <v>0.63</v>
          </cell>
          <cell r="AC275">
            <v>0.79</v>
          </cell>
          <cell r="AD275">
            <v>0.68</v>
          </cell>
          <cell r="AE275">
            <v>0.8</v>
          </cell>
          <cell r="AF275">
            <v>0.75</v>
          </cell>
          <cell r="AG275">
            <v>0.79</v>
          </cell>
          <cell r="AH275">
            <v>0.71</v>
          </cell>
          <cell r="AI275">
            <v>0.68</v>
          </cell>
          <cell r="AJ275">
            <v>0.54921901402602924</v>
          </cell>
          <cell r="AK275">
            <v>0.44052279656347781</v>
          </cell>
          <cell r="AL275">
            <v>0.44148545192517968</v>
          </cell>
          <cell r="AM275">
            <v>0.396579345069977</v>
          </cell>
          <cell r="AN275">
            <v>0.36596161937662824</v>
          </cell>
        </row>
        <row r="276">
          <cell r="I276" t="str">
            <v>% of total revenue</v>
          </cell>
          <cell r="M276">
            <v>9.2594889092818114E-2</v>
          </cell>
          <cell r="N276">
            <v>0.15309555307800071</v>
          </cell>
          <cell r="O276">
            <v>0.20735835032076738</v>
          </cell>
          <cell r="P276">
            <v>0.18533400494480357</v>
          </cell>
          <cell r="Q276">
            <v>0.16776936790526459</v>
          </cell>
          <cell r="R276">
            <v>0.25568358590572521</v>
          </cell>
          <cell r="S276">
            <v>0.31614902660641131</v>
          </cell>
          <cell r="T276">
            <v>0.3058058312154886</v>
          </cell>
          <cell r="U276">
            <v>0.25844535939282703</v>
          </cell>
          <cell r="V276">
            <v>0.32005385465469205</v>
          </cell>
          <cell r="W276">
            <v>0.39831982749564193</v>
          </cell>
          <cell r="X276">
            <v>0.31376141818190778</v>
          </cell>
          <cell r="Y276">
            <v>0.24802081124014733</v>
          </cell>
          <cell r="Z276">
            <v>0.32729266357593734</v>
          </cell>
          <cell r="AA276">
            <v>0.43371746092573837</v>
          </cell>
          <cell r="AB276">
            <v>0.41144211476447751</v>
          </cell>
          <cell r="AC276">
            <v>0.36927141620208292</v>
          </cell>
          <cell r="AD276">
            <v>0.42035914255074341</v>
          </cell>
          <cell r="AE276">
            <v>0.53006866934795571</v>
          </cell>
          <cell r="AF276">
            <v>0.51263749186398211</v>
          </cell>
          <cell r="AG276">
            <v>0.48077398309692088</v>
          </cell>
          <cell r="AH276">
            <v>0.55580947406222447</v>
          </cell>
          <cell r="AI276">
            <v>0.65597286351083828</v>
          </cell>
          <cell r="AJ276">
            <v>0.60129879221457427</v>
          </cell>
          <cell r="AK276">
            <v>0.54540162849423623</v>
          </cell>
          <cell r="AL276">
            <v>0.60997564678133775</v>
          </cell>
          <cell r="AM276">
            <v>0.69811466240803244</v>
          </cell>
          <cell r="AN276">
            <v>0.65231597112665451</v>
          </cell>
        </row>
        <row r="278">
          <cell r="I278" t="str">
            <v>Gross Profit by Geography</v>
          </cell>
        </row>
        <row r="279">
          <cell r="I279" t="str">
            <v>US</v>
          </cell>
          <cell r="M279">
            <v>49.830999999999989</v>
          </cell>
          <cell r="N279">
            <v>58.703999999999979</v>
          </cell>
          <cell r="O279">
            <v>58.547000000000054</v>
          </cell>
          <cell r="P279">
            <v>51.316999999999979</v>
          </cell>
          <cell r="Q279">
            <v>55.939000000000021</v>
          </cell>
          <cell r="R279">
            <v>64.49299999999991</v>
          </cell>
          <cell r="S279">
            <v>70.135999999999996</v>
          </cell>
          <cell r="T279">
            <v>57.75200000000001</v>
          </cell>
          <cell r="U279">
            <v>76.90300000000002</v>
          </cell>
          <cell r="V279">
            <v>89.225000000000023</v>
          </cell>
          <cell r="W279">
            <v>92.378000000000043</v>
          </cell>
          <cell r="X279">
            <v>77.664999999999964</v>
          </cell>
          <cell r="Y279">
            <v>93.729999999999961</v>
          </cell>
          <cell r="Z279">
            <v>107.63799999999998</v>
          </cell>
          <cell r="AA279">
            <v>117.10599999999999</v>
          </cell>
          <cell r="AB279">
            <v>90.289000000000073</v>
          </cell>
          <cell r="AC279">
            <v>103.31599999999986</v>
          </cell>
          <cell r="AD279">
            <v>122.65500000000003</v>
          </cell>
          <cell r="AE279">
            <v>135.18799999999993</v>
          </cell>
          <cell r="AF279">
            <v>103.51300000000006</v>
          </cell>
          <cell r="AG279">
            <v>116.70800000000003</v>
          </cell>
          <cell r="AH279">
            <v>136.32700000000017</v>
          </cell>
          <cell r="AI279">
            <v>147.14800000000008</v>
          </cell>
          <cell r="AJ279">
            <v>110.2623025</v>
          </cell>
          <cell r="AK279">
            <v>123.55319798399999</v>
          </cell>
          <cell r="AL279">
            <v>145.49411885200001</v>
          </cell>
          <cell r="AM279">
            <v>160.45144845000002</v>
          </cell>
          <cell r="AN279">
            <v>114.657646</v>
          </cell>
        </row>
        <row r="280">
          <cell r="I280" t="str">
            <v>y/y Growth - %</v>
          </cell>
          <cell r="M280" t="str">
            <v>NA</v>
          </cell>
          <cell r="N280" t="str">
            <v>NA</v>
          </cell>
          <cell r="O280" t="str">
            <v>NA</v>
          </cell>
          <cell r="P280" t="str">
            <v>NA</v>
          </cell>
          <cell r="Q280">
            <v>0.12257430113784662</v>
          </cell>
          <cell r="R280">
            <v>9.8613382393021531E-2</v>
          </cell>
          <cell r="S280">
            <v>0.19794353254649999</v>
          </cell>
          <cell r="T280">
            <v>0.12539704191593493</v>
          </cell>
          <cell r="U280">
            <v>0.37476536942026129</v>
          </cell>
          <cell r="V280">
            <v>0.38348347882716172</v>
          </cell>
          <cell r="W280">
            <v>0.31712672521957419</v>
          </cell>
          <cell r="X280">
            <v>0.34480191162210749</v>
          </cell>
          <cell r="Y280">
            <v>0.21880810891642644</v>
          </cell>
          <cell r="Z280">
            <v>0.20636592883160487</v>
          </cell>
          <cell r="AA280">
            <v>0.26768278161466941</v>
          </cell>
          <cell r="AB280">
            <v>0.16254426060645222</v>
          </cell>
          <cell r="AC280">
            <v>0.10227248479675555</v>
          </cell>
          <cell r="AD280">
            <v>0.13951392630855319</v>
          </cell>
          <cell r="AE280">
            <v>0.15440711833723242</v>
          </cell>
          <cell r="AF280">
            <v>0.14646302428867286</v>
          </cell>
          <cell r="AG280">
            <v>0.12962174300205365</v>
          </cell>
          <cell r="AH280">
            <v>0.11146712323183028</v>
          </cell>
          <cell r="AI280">
            <v>8.8469390774330137E-2</v>
          </cell>
          <cell r="AJ280">
            <v>6.5202462492633284E-2</v>
          </cell>
          <cell r="AK280">
            <v>5.8652345888884794E-2</v>
          </cell>
          <cell r="AL280">
            <v>6.7243604363037557E-2</v>
          </cell>
          <cell r="AM280">
            <v>9.0408625669393672E-2</v>
          </cell>
          <cell r="AN280">
            <v>3.9862613063063934E-2</v>
          </cell>
        </row>
        <row r="281">
          <cell r="I281" t="str">
            <v>% of total gross profit</v>
          </cell>
          <cell r="M281">
            <v>0.68988384488654442</v>
          </cell>
          <cell r="N281">
            <v>0.55483724622887587</v>
          </cell>
          <cell r="O281">
            <v>0.47388443264506669</v>
          </cell>
          <cell r="P281">
            <v>0.51566064089552521</v>
          </cell>
          <cell r="Q281">
            <v>0.53870896291374171</v>
          </cell>
          <cell r="R281">
            <v>0.41637130147908508</v>
          </cell>
          <cell r="S281">
            <v>0.34731796212661431</v>
          </cell>
          <cell r="T281">
            <v>0.36060742294819925</v>
          </cell>
          <cell r="U281">
            <v>0.42463680888776012</v>
          </cell>
          <cell r="V281">
            <v>0.35166026209478773</v>
          </cell>
          <cell r="W281">
            <v>0.29226330209631818</v>
          </cell>
          <cell r="X281">
            <v>0.3787335722819592</v>
          </cell>
          <cell r="Y281">
            <v>0.44991119857917711</v>
          </cell>
          <cell r="Z281">
            <v>0.35263630347466551</v>
          </cell>
          <cell r="AA281">
            <v>0.26982576277747311</v>
          </cell>
          <cell r="AB281">
            <v>0.28828918001590115</v>
          </cell>
          <cell r="AC281">
            <v>0.32375687837651473</v>
          </cell>
          <cell r="AD281">
            <v>0.27547135910882536</v>
          </cell>
          <cell r="AE281">
            <v>0.20292770209010058</v>
          </cell>
          <cell r="AF281">
            <v>0.21636744820897438</v>
          </cell>
          <cell r="AG281">
            <v>0.23073577325783703</v>
          </cell>
          <cell r="AH281">
            <v>0.18195687021423437</v>
          </cell>
          <cell r="AI281">
            <v>0.13375291324439992</v>
          </cell>
          <cell r="AJ281">
            <v>0.15954353568556132</v>
          </cell>
          <cell r="AK281">
            <v>0.18412664970827949</v>
          </cell>
          <cell r="AL281">
            <v>0.14792375485012463</v>
          </cell>
          <cell r="AM281">
            <v>0.11194533766879758</v>
          </cell>
          <cell r="AN281">
            <v>0.128003552859771</v>
          </cell>
        </row>
        <row r="282">
          <cell r="I282" t="str">
            <v>International</v>
          </cell>
          <cell r="M282">
            <v>22.4</v>
          </cell>
          <cell r="N282">
            <v>47.1</v>
          </cell>
          <cell r="O282">
            <v>65</v>
          </cell>
          <cell r="P282">
            <v>48.2</v>
          </cell>
          <cell r="Q282">
            <v>47.9</v>
          </cell>
          <cell r="R282">
            <v>90.4</v>
          </cell>
          <cell r="S282">
            <v>131.80000000000001</v>
          </cell>
          <cell r="T282">
            <v>102.4</v>
          </cell>
          <cell r="U282">
            <v>104.2</v>
          </cell>
          <cell r="V282">
            <v>164.5</v>
          </cell>
          <cell r="W282">
            <v>223.7</v>
          </cell>
          <cell r="X282">
            <v>127.4</v>
          </cell>
          <cell r="Y282">
            <v>114.6</v>
          </cell>
          <cell r="Z282">
            <v>197.6</v>
          </cell>
          <cell r="AA282">
            <v>316.89999999999998</v>
          </cell>
          <cell r="AB282">
            <v>222.9</v>
          </cell>
          <cell r="AC282">
            <v>215.8</v>
          </cell>
          <cell r="AD282">
            <v>322.60000000000002</v>
          </cell>
          <cell r="AE282">
            <v>531</v>
          </cell>
          <cell r="AF282">
            <v>374.9</v>
          </cell>
          <cell r="AG282">
            <v>389.1</v>
          </cell>
          <cell r="AH282">
            <v>612.9</v>
          </cell>
          <cell r="AI282">
            <v>953</v>
          </cell>
          <cell r="AJ282">
            <v>580.84876023407435</v>
          </cell>
          <cell r="AK282">
            <v>547.46969946050967</v>
          </cell>
          <cell r="AL282">
            <v>838.08096007574693</v>
          </cell>
          <cell r="AM282">
            <v>1272.8503021303861</v>
          </cell>
          <cell r="AN282">
            <v>781.08035062895635</v>
          </cell>
        </row>
        <row r="283">
          <cell r="I283" t="str">
            <v>y/y Growth - %</v>
          </cell>
          <cell r="M283" t="str">
            <v>NA</v>
          </cell>
          <cell r="N283" t="str">
            <v>NA</v>
          </cell>
          <cell r="O283" t="str">
            <v>NA</v>
          </cell>
          <cell r="P283" t="str">
            <v>NA</v>
          </cell>
          <cell r="Q283">
            <v>1.1383928571428572</v>
          </cell>
          <cell r="R283">
            <v>0.91932059447983017</v>
          </cell>
          <cell r="S283">
            <v>1.0276923076923077</v>
          </cell>
          <cell r="T283">
            <v>1.1244813278008299</v>
          </cell>
          <cell r="U283">
            <v>1.1753653444676408</v>
          </cell>
          <cell r="V283">
            <v>0.81969026548672552</v>
          </cell>
          <cell r="W283">
            <v>0.69726858877086473</v>
          </cell>
          <cell r="X283">
            <v>0.244140625</v>
          </cell>
          <cell r="Y283">
            <v>9.9808061420345373E-2</v>
          </cell>
          <cell r="Z283">
            <v>0.20121580547112461</v>
          </cell>
          <cell r="AA283">
            <v>0.41662941439427792</v>
          </cell>
          <cell r="AB283">
            <v>0.74960753532182101</v>
          </cell>
          <cell r="AC283">
            <v>0.88307155322862152</v>
          </cell>
          <cell r="AD283">
            <v>0.63259109311740902</v>
          </cell>
          <cell r="AE283">
            <v>0.67560744714420973</v>
          </cell>
          <cell r="AF283">
            <v>0.68192014356213537</v>
          </cell>
          <cell r="AG283">
            <v>0.80305838739573687</v>
          </cell>
          <cell r="AH283">
            <v>0.89987600743955332</v>
          </cell>
          <cell r="AI283">
            <v>0.79472693032015074</v>
          </cell>
          <cell r="AJ283">
            <v>0.5493431854736579</v>
          </cell>
          <cell r="AK283">
            <v>0.40701541881395431</v>
          </cell>
          <cell r="AL283">
            <v>0.36740244750488982</v>
          </cell>
          <cell r="AM283">
            <v>0.33562466120712076</v>
          </cell>
          <cell r="AN283">
            <v>0.34472242019452937</v>
          </cell>
        </row>
        <row r="284">
          <cell r="I284" t="str">
            <v>(+/-) FX y/y Growth - %</v>
          </cell>
          <cell r="Q284" t="str">
            <v>NA</v>
          </cell>
          <cell r="R284" t="str">
            <v>NA</v>
          </cell>
          <cell r="S284" t="str">
            <v>NA</v>
          </cell>
          <cell r="T284" t="str">
            <v>NA</v>
          </cell>
          <cell r="U284" t="str">
            <v>NA</v>
          </cell>
          <cell r="V284" t="str">
            <v>NA</v>
          </cell>
          <cell r="W284">
            <v>-6.7268588770864723E-2</v>
          </cell>
          <cell r="X284">
            <v>0.195859375</v>
          </cell>
          <cell r="Y284">
            <v>0.20019193857965462</v>
          </cell>
          <cell r="Z284">
            <v>0.1787841945288754</v>
          </cell>
          <cell r="AA284">
            <v>8.3370585605722081E-2</v>
          </cell>
          <cell r="AB284">
            <v>-0.119607535321821</v>
          </cell>
          <cell r="AC284">
            <v>-9.3071553228621484E-2</v>
          </cell>
          <cell r="AD284">
            <v>4.7408906882591029E-2</v>
          </cell>
          <cell r="AE284">
            <v>0.12439255285579032</v>
          </cell>
          <cell r="AF284">
            <v>6.8079856437864628E-2</v>
          </cell>
          <cell r="AG284">
            <v>-1.3058387395736837E-2</v>
          </cell>
          <cell r="AH284">
            <v>-0.18987600743955335</v>
          </cell>
          <cell r="AI284">
            <v>-0.11472693032015069</v>
          </cell>
          <cell r="AJ284">
            <v>-1.2417144762863358E-4</v>
          </cell>
          <cell r="AK284">
            <v>3.3507377749523511E-2</v>
          </cell>
          <cell r="AL284">
            <v>7.4083004420289852E-2</v>
          </cell>
          <cell r="AM284">
            <v>6.0954683862856254E-2</v>
          </cell>
          <cell r="AN284">
            <v>2.1239199182098902E-2</v>
          </cell>
        </row>
        <row r="285">
          <cell r="I285" t="str">
            <v>y/y Growth - % (excl F/X)</v>
          </cell>
          <cell r="Q285" t="str">
            <v>NA</v>
          </cell>
          <cell r="R285" t="str">
            <v>NA</v>
          </cell>
          <cell r="S285" t="str">
            <v>NA</v>
          </cell>
          <cell r="T285" t="str">
            <v>NA</v>
          </cell>
          <cell r="U285" t="str">
            <v>NA</v>
          </cell>
          <cell r="V285" t="str">
            <v>NA</v>
          </cell>
          <cell r="W285">
            <v>0.63</v>
          </cell>
          <cell r="X285">
            <v>0.44</v>
          </cell>
          <cell r="Y285">
            <v>0.3</v>
          </cell>
          <cell r="Z285">
            <v>0.38</v>
          </cell>
          <cell r="AA285">
            <v>0.5</v>
          </cell>
          <cell r="AB285">
            <v>0.63</v>
          </cell>
          <cell r="AC285">
            <v>0.79</v>
          </cell>
          <cell r="AD285">
            <v>0.68</v>
          </cell>
          <cell r="AE285">
            <v>0.8</v>
          </cell>
          <cell r="AF285">
            <v>0.75</v>
          </cell>
          <cell r="AG285">
            <v>0.79</v>
          </cell>
          <cell r="AH285">
            <v>0.71</v>
          </cell>
          <cell r="AI285">
            <v>0.68</v>
          </cell>
          <cell r="AJ285">
            <v>0.54921901402602924</v>
          </cell>
          <cell r="AK285">
            <v>0.44052279656347781</v>
          </cell>
          <cell r="AL285">
            <v>0.44148545192517968</v>
          </cell>
          <cell r="AM285">
            <v>0.396579345069977</v>
          </cell>
          <cell r="AN285">
            <v>0.36596161937662824</v>
          </cell>
        </row>
        <row r="286">
          <cell r="I286" t="str">
            <v>% of total gross profit</v>
          </cell>
          <cell r="M286">
            <v>0.31011615511345547</v>
          </cell>
          <cell r="N286">
            <v>0.44516275377112402</v>
          </cell>
          <cell r="O286">
            <v>0.52611556735493381</v>
          </cell>
          <cell r="P286">
            <v>0.48433935910447468</v>
          </cell>
          <cell r="Q286">
            <v>0.46129103708625857</v>
          </cell>
          <cell r="R286">
            <v>0.58362869852091459</v>
          </cell>
          <cell r="S286">
            <v>0.65268203787338552</v>
          </cell>
          <cell r="T286">
            <v>0.63939257705180075</v>
          </cell>
          <cell r="U286">
            <v>0.57536319111223999</v>
          </cell>
          <cell r="V286">
            <v>0.64833973790521227</v>
          </cell>
          <cell r="W286">
            <v>0.70773669790368199</v>
          </cell>
          <cell r="X286">
            <v>0.62126642771804064</v>
          </cell>
          <cell r="Y286">
            <v>0.55008880142082273</v>
          </cell>
          <cell r="Z286">
            <v>0.64736369652533421</v>
          </cell>
          <cell r="AA286">
            <v>0.73017423722252672</v>
          </cell>
          <cell r="AB286">
            <v>0.71171081998409902</v>
          </cell>
          <cell r="AC286">
            <v>0.6762431216234851</v>
          </cell>
          <cell r="AD286">
            <v>0.72452864089117486</v>
          </cell>
          <cell r="AE286">
            <v>0.79707229790989931</v>
          </cell>
          <cell r="AF286">
            <v>0.78363255179102564</v>
          </cell>
          <cell r="AG286">
            <v>0.7692642267421631</v>
          </cell>
          <cell r="AH286">
            <v>0.81804312978576588</v>
          </cell>
          <cell r="AI286">
            <v>0.86624708675560025</v>
          </cell>
          <cell r="AJ286">
            <v>0.84045646431443866</v>
          </cell>
          <cell r="AK286">
            <v>0.81587335029172048</v>
          </cell>
          <cell r="AL286">
            <v>0.85207624514987546</v>
          </cell>
          <cell r="AM286">
            <v>0.88805466233120245</v>
          </cell>
          <cell r="AN286">
            <v>0.87199644714022895</v>
          </cell>
        </row>
        <row r="288">
          <cell r="I288" t="str">
            <v>Market Share Forecast - Gross Bookings</v>
          </cell>
        </row>
        <row r="289">
          <cell r="I289" t="str">
            <v>Booking.com Europe</v>
          </cell>
          <cell r="M289">
            <v>267.26400000000007</v>
          </cell>
          <cell r="N289">
            <v>350.74300000000011</v>
          </cell>
          <cell r="O289">
            <v>392.76600000000008</v>
          </cell>
          <cell r="P289">
            <v>313.15600000000006</v>
          </cell>
          <cell r="Q289">
            <v>504.00400000000002</v>
          </cell>
          <cell r="R289">
            <v>670.29899999999998</v>
          </cell>
          <cell r="S289">
            <v>772.15299999999979</v>
          </cell>
          <cell r="T289">
            <v>649.81000000000006</v>
          </cell>
          <cell r="U289">
            <v>972.23150000000021</v>
          </cell>
          <cell r="V289">
            <v>1168.3035</v>
          </cell>
          <cell r="W289">
            <v>1173.1324999999999</v>
          </cell>
          <cell r="X289">
            <v>711.15499999999997</v>
          </cell>
          <cell r="Y289">
            <v>962.86</v>
          </cell>
          <cell r="Z289">
            <v>1262.009125</v>
          </cell>
          <cell r="AA289">
            <v>1538.44625</v>
          </cell>
          <cell r="AB289">
            <v>1228.8415</v>
          </cell>
          <cell r="AC289">
            <v>1656.6200000000001</v>
          </cell>
          <cell r="AD289">
            <v>1843.9102500000001</v>
          </cell>
          <cell r="AE289">
            <v>2305.939625</v>
          </cell>
          <cell r="AF289">
            <v>1857.9887500000002</v>
          </cell>
          <cell r="AG289">
            <v>2708.0260000000003</v>
          </cell>
          <cell r="AH289">
            <v>3431.0739750000002</v>
          </cell>
          <cell r="AI289">
            <v>3748.7228999999998</v>
          </cell>
          <cell r="AJ289">
            <v>2679.5012112589302</v>
          </cell>
          <cell r="AK289">
            <v>3449.3490420691924</v>
          </cell>
          <cell r="AL289">
            <v>4320.3888031699053</v>
          </cell>
          <cell r="AM289">
            <v>4811.7956430876802</v>
          </cell>
          <cell r="AN289">
            <v>3367.4356604679911</v>
          </cell>
        </row>
        <row r="290">
          <cell r="I290" t="str">
            <v>Europe Hotel Market</v>
          </cell>
          <cell r="M290">
            <v>24252.939077679963</v>
          </cell>
          <cell r="N290">
            <v>29764.970686243592</v>
          </cell>
          <cell r="O290">
            <v>30867.377007956322</v>
          </cell>
          <cell r="P290">
            <v>25355.345399392689</v>
          </cell>
          <cell r="Q290">
            <v>24854.436153598326</v>
          </cell>
          <cell r="R290">
            <v>30503.17164305249</v>
          </cell>
          <cell r="S290">
            <v>31632.918740943325</v>
          </cell>
          <cell r="T290">
            <v>25984.183251489158</v>
          </cell>
          <cell r="U290">
            <v>25002.336453129821</v>
          </cell>
          <cell r="V290">
            <v>30684.685647022961</v>
          </cell>
          <cell r="W290">
            <v>31821.155485801592</v>
          </cell>
          <cell r="X290">
            <v>26138.806291908448</v>
          </cell>
          <cell r="Y290">
            <v>22304.692703686338</v>
          </cell>
          <cell r="Z290">
            <v>27373.941045433232</v>
          </cell>
          <cell r="AA290">
            <v>28387.790713782611</v>
          </cell>
          <cell r="AB290">
            <v>23318.542372035718</v>
          </cell>
          <cell r="AC290">
            <v>22740.693818227413</v>
          </cell>
          <cell r="AD290">
            <v>27909.033322370007</v>
          </cell>
          <cell r="AE290">
            <v>28942.701223198528</v>
          </cell>
          <cell r="AF290">
            <v>23774.361719055931</v>
          </cell>
          <cell r="AG290">
            <v>23650.321570956512</v>
          </cell>
          <cell r="AH290">
            <v>29025.394655264812</v>
          </cell>
          <cell r="AI290">
            <v>30100.409272126471</v>
          </cell>
          <cell r="AJ290">
            <v>24725.336187818171</v>
          </cell>
          <cell r="AK290">
            <v>24832.837649504334</v>
          </cell>
          <cell r="AL290">
            <v>30476.66438802805</v>
          </cell>
          <cell r="AM290">
            <v>31605.429735732792</v>
          </cell>
          <cell r="AN290">
            <v>25961.602997209076</v>
          </cell>
        </row>
        <row r="291">
          <cell r="I291" t="str">
            <v>y/y Growth - %</v>
          </cell>
          <cell r="M291" t="str">
            <v>NA</v>
          </cell>
          <cell r="N291" t="str">
            <v>NA</v>
          </cell>
          <cell r="O291" t="str">
            <v>NA</v>
          </cell>
          <cell r="P291" t="str">
            <v>NA</v>
          </cell>
          <cell r="Q291">
            <v>2.480099727261198E-2</v>
          </cell>
          <cell r="R291">
            <v>2.4800997272611758E-2</v>
          </cell>
          <cell r="S291">
            <v>2.4800997272611758E-2</v>
          </cell>
          <cell r="T291">
            <v>2.4800997272611758E-2</v>
          </cell>
          <cell r="U291">
            <v>5.9506600197036796E-3</v>
          </cell>
          <cell r="V291">
            <v>5.9506600197036796E-3</v>
          </cell>
          <cell r="W291">
            <v>5.9506600197036796E-3</v>
          </cell>
          <cell r="X291">
            <v>5.9506600197036796E-3</v>
          </cell>
          <cell r="Y291">
            <v>-0.10789566625105507</v>
          </cell>
          <cell r="Z291">
            <v>-0.10789566625105507</v>
          </cell>
          <cell r="AA291">
            <v>-0.10789566625105507</v>
          </cell>
          <cell r="AB291">
            <v>-0.10789566625105496</v>
          </cell>
          <cell r="AC291">
            <v>1.954750600392785E-2</v>
          </cell>
          <cell r="AD291">
            <v>1.954750600392785E-2</v>
          </cell>
          <cell r="AE291">
            <v>1.9547506003928072E-2</v>
          </cell>
          <cell r="AF291">
            <v>1.954750600392785E-2</v>
          </cell>
          <cell r="AG291">
            <v>4.0000000000000036E-2</v>
          </cell>
          <cell r="AH291">
            <v>4.0000000000000258E-2</v>
          </cell>
          <cell r="AI291">
            <v>4.0000000000000036E-2</v>
          </cell>
          <cell r="AJ291">
            <v>4.0000000000000036E-2</v>
          </cell>
          <cell r="AK291">
            <v>4.9999999999999822E-2</v>
          </cell>
          <cell r="AL291">
            <v>4.9999999999999822E-2</v>
          </cell>
          <cell r="AM291">
            <v>4.9999999999999822E-2</v>
          </cell>
          <cell r="AN291">
            <v>4.9999999999999822E-2</v>
          </cell>
        </row>
        <row r="292">
          <cell r="I292" t="str">
            <v>Europe Online Hotel Market</v>
          </cell>
          <cell r="M292">
            <v>2606.473565875659</v>
          </cell>
          <cell r="N292">
            <v>3198.8539217564908</v>
          </cell>
          <cell r="O292">
            <v>3317.3299929326572</v>
          </cell>
          <cell r="P292">
            <v>2724.9496370518254</v>
          </cell>
          <cell r="Q292">
            <v>3262.2839713351136</v>
          </cell>
          <cell r="R292">
            <v>4003.7121466385488</v>
          </cell>
          <cell r="S292">
            <v>4151.9977816992359</v>
          </cell>
          <cell r="T292">
            <v>3410.5696063958007</v>
          </cell>
          <cell r="U292">
            <v>4015.1391185635116</v>
          </cell>
          <cell r="V292">
            <v>4927.670736418856</v>
          </cell>
          <cell r="W292">
            <v>5110.1770599899246</v>
          </cell>
          <cell r="X292">
            <v>4197.6454421345807</v>
          </cell>
          <cell r="Y292">
            <v>4243.6591451970762</v>
          </cell>
          <cell r="Z292">
            <v>5208.1271327418663</v>
          </cell>
          <cell r="AA292">
            <v>5401.0207302508252</v>
          </cell>
          <cell r="AB292">
            <v>4436.5527427060342</v>
          </cell>
          <cell r="AC292">
            <v>4934.6412165259526</v>
          </cell>
          <cell r="AD292">
            <v>6056.1505839182155</v>
          </cell>
          <cell r="AE292">
            <v>6280.4524573966673</v>
          </cell>
          <cell r="AF292">
            <v>5158.9430900044053</v>
          </cell>
          <cell r="AG292">
            <v>5724.1838111701045</v>
          </cell>
          <cell r="AH292">
            <v>7025.1346773451296</v>
          </cell>
          <cell r="AI292">
            <v>7285.3248505801339</v>
          </cell>
          <cell r="AJ292">
            <v>5984.3739844051097</v>
          </cell>
          <cell r="AK292">
            <v>6525.5695447339203</v>
          </cell>
          <cell r="AL292">
            <v>8008.6535321734482</v>
          </cell>
          <cell r="AM292">
            <v>8305.2703296613545</v>
          </cell>
          <cell r="AN292">
            <v>6822.1863422218257</v>
          </cell>
        </row>
        <row r="293">
          <cell r="I293" t="str">
            <v>y/y Growth - %</v>
          </cell>
          <cell r="M293" t="str">
            <v>NA</v>
          </cell>
          <cell r="N293" t="str">
            <v>NA</v>
          </cell>
          <cell r="O293" t="str">
            <v>NA</v>
          </cell>
          <cell r="P293" t="str">
            <v>NA</v>
          </cell>
          <cell r="Q293">
            <v>0.25160830865327855</v>
          </cell>
          <cell r="R293">
            <v>0.25160830865327877</v>
          </cell>
          <cell r="S293">
            <v>0.25160830865327877</v>
          </cell>
          <cell r="T293">
            <v>0.25160830865327855</v>
          </cell>
          <cell r="U293">
            <v>0.23077547934010378</v>
          </cell>
          <cell r="V293">
            <v>0.23077547934010378</v>
          </cell>
          <cell r="W293">
            <v>0.23077547934010378</v>
          </cell>
          <cell r="X293">
            <v>0.23077547934010378</v>
          </cell>
          <cell r="Y293">
            <v>5.6914597448698645E-2</v>
          </cell>
          <cell r="Z293">
            <v>5.6914597448698423E-2</v>
          </cell>
          <cell r="AA293">
            <v>5.6914597448698645E-2</v>
          </cell>
          <cell r="AB293">
            <v>5.6914597448698423E-2</v>
          </cell>
          <cell r="AC293">
            <v>0.16282694902839268</v>
          </cell>
          <cell r="AD293">
            <v>0.16282694902839268</v>
          </cell>
          <cell r="AE293">
            <v>0.16282694902839245</v>
          </cell>
          <cell r="AF293">
            <v>0.16282694902839268</v>
          </cell>
          <cell r="AG293">
            <v>0.15999999999999992</v>
          </cell>
          <cell r="AH293">
            <v>0.15999999999999992</v>
          </cell>
          <cell r="AI293">
            <v>0.15999999999999992</v>
          </cell>
          <cell r="AJ293">
            <v>0.15999999999999992</v>
          </cell>
          <cell r="AK293">
            <v>0.14000000000000012</v>
          </cell>
          <cell r="AL293">
            <v>0.14000000000000012</v>
          </cell>
          <cell r="AM293">
            <v>0.14000000000000035</v>
          </cell>
          <cell r="AN293">
            <v>0.14000000000000012</v>
          </cell>
        </row>
        <row r="294">
          <cell r="I294" t="str">
            <v>Seasonality</v>
          </cell>
          <cell r="M294">
            <v>0.22</v>
          </cell>
          <cell r="N294">
            <v>0.27</v>
          </cell>
          <cell r="O294">
            <v>0.28000000000000003</v>
          </cell>
          <cell r="P294">
            <v>0.23</v>
          </cell>
          <cell r="Q294">
            <v>0.22</v>
          </cell>
          <cell r="R294">
            <v>0.27</v>
          </cell>
          <cell r="S294">
            <v>0.28000000000000003</v>
          </cell>
          <cell r="T294">
            <v>0.23</v>
          </cell>
          <cell r="U294">
            <v>0.22</v>
          </cell>
          <cell r="V294">
            <v>0.27</v>
          </cell>
          <cell r="W294">
            <v>0.28000000000000003</v>
          </cell>
          <cell r="X294">
            <v>0.23</v>
          </cell>
          <cell r="Y294">
            <v>0.22</v>
          </cell>
          <cell r="Z294">
            <v>0.27</v>
          </cell>
          <cell r="AA294">
            <v>0.28000000000000003</v>
          </cell>
          <cell r="AB294">
            <v>0.23</v>
          </cell>
          <cell r="AC294">
            <v>0.22</v>
          </cell>
          <cell r="AD294">
            <v>0.27</v>
          </cell>
          <cell r="AE294">
            <v>0.28000000000000003</v>
          </cell>
          <cell r="AF294">
            <v>0.23</v>
          </cell>
          <cell r="AG294">
            <v>0.22</v>
          </cell>
          <cell r="AH294">
            <v>0.27</v>
          </cell>
          <cell r="AI294">
            <v>0.28000000000000003</v>
          </cell>
          <cell r="AJ294">
            <v>0.23</v>
          </cell>
          <cell r="AK294">
            <v>0.22</v>
          </cell>
          <cell r="AL294">
            <v>0.27</v>
          </cell>
          <cell r="AM294">
            <v>0.28000000000000003</v>
          </cell>
          <cell r="AN294">
            <v>0.23</v>
          </cell>
        </row>
        <row r="295">
          <cell r="I295" t="str">
            <v>Booking.com Europe Hotel Market Share</v>
          </cell>
          <cell r="M295">
            <v>1.1019860279365636E-2</v>
          </cell>
          <cell r="N295">
            <v>1.1783750896220508E-2</v>
          </cell>
          <cell r="O295">
            <v>1.2724307604716831E-2</v>
          </cell>
          <cell r="P295">
            <v>1.2350689571261009E-2</v>
          </cell>
          <cell r="Q295">
            <v>2.0278231092642686E-2</v>
          </cell>
          <cell r="R295">
            <v>2.1974731278564263E-2</v>
          </cell>
          <cell r="S295">
            <v>2.4409793048928541E-2</v>
          </cell>
          <cell r="T295">
            <v>2.5007905528943625E-2</v>
          </cell>
          <cell r="U295">
            <v>3.8885625822313703E-2</v>
          </cell>
          <cell r="V295">
            <v>3.8074481630329143E-2</v>
          </cell>
          <cell r="W295">
            <v>3.686643310370815E-2</v>
          </cell>
          <cell r="X295">
            <v>2.72068659929641E-2</v>
          </cell>
          <cell r="Y295">
            <v>4.3168494307068678E-2</v>
          </cell>
          <cell r="Z295">
            <v>4.6102573352715677E-2</v>
          </cell>
          <cell r="AA295">
            <v>5.4193940821645761E-2</v>
          </cell>
          <cell r="AB295">
            <v>5.2698040915012893E-2</v>
          </cell>
          <cell r="AC295">
            <v>7.2848261061945474E-2</v>
          </cell>
          <cell r="AD295">
            <v>6.6068581763526923E-2</v>
          </cell>
          <cell r="AE295">
            <v>7.9672578147326256E-2</v>
          </cell>
          <cell r="AF295">
            <v>7.8150941419838887E-2</v>
          </cell>
          <cell r="AG295">
            <v>0.11450271371047904</v>
          </cell>
          <cell r="AH295">
            <v>0.11820938236158143</v>
          </cell>
          <cell r="AI295">
            <v>0.12454059564802614</v>
          </cell>
          <cell r="AJ295">
            <v>0.10837066848777907</v>
          </cell>
          <cell r="AK295">
            <v>0.1389027339828818</v>
          </cell>
          <cell r="AL295">
            <v>0.14176055319449773</v>
          </cell>
          <cell r="AM295">
            <v>0.15224585406119351</v>
          </cell>
          <cell r="AN295">
            <v>0.12970831041634823</v>
          </cell>
        </row>
        <row r="296">
          <cell r="I296" t="str">
            <v>Booking.com Europe Online Hotel Market Share</v>
          </cell>
          <cell r="M296">
            <v>0.1025385423044608</v>
          </cell>
          <cell r="N296">
            <v>0.10964645731850335</v>
          </cell>
          <cell r="O296">
            <v>0.11839823015399763</v>
          </cell>
          <cell r="P296">
            <v>0.1149217569902721</v>
          </cell>
          <cell r="Q296">
            <v>0.15449421461422708</v>
          </cell>
          <cell r="R296">
            <v>0.16741937867905216</v>
          </cell>
          <cell r="S296">
            <v>0.18597143847316566</v>
          </cell>
          <cell r="T296">
            <v>0.19052829145648253</v>
          </cell>
          <cell r="U296">
            <v>0.24214142307174491</v>
          </cell>
          <cell r="V296">
            <v>0.23709041502416919</v>
          </cell>
          <cell r="W296">
            <v>0.229567877243438</v>
          </cell>
          <cell r="X296">
            <v>0.16941759607937837</v>
          </cell>
          <cell r="Y296">
            <v>0.22689381193344751</v>
          </cell>
          <cell r="Z296">
            <v>0.24231534538896785</v>
          </cell>
          <cell r="AA296">
            <v>0.28484361139057396</v>
          </cell>
          <cell r="AB296">
            <v>0.27698115434788667</v>
          </cell>
          <cell r="AC296">
            <v>0.33571235016074397</v>
          </cell>
          <cell r="AD296">
            <v>0.30446902276446119</v>
          </cell>
          <cell r="AE296">
            <v>0.36716138536869736</v>
          </cell>
          <cell r="AF296">
            <v>0.360149107595295</v>
          </cell>
          <cell r="AG296">
            <v>0.47308508764438878</v>
          </cell>
          <cell r="AH296">
            <v>0.48839974357568305</v>
          </cell>
          <cell r="AI296">
            <v>0.51455809821596177</v>
          </cell>
          <cell r="AJ296">
            <v>0.44774962564865373</v>
          </cell>
          <cell r="AK296">
            <v>0.52858972974286789</v>
          </cell>
          <cell r="AL296">
            <v>0.53946506560852636</v>
          </cell>
          <cell r="AM296">
            <v>0.57936652897412433</v>
          </cell>
          <cell r="AN296">
            <v>0.49360065696641414</v>
          </cell>
        </row>
        <row r="298">
          <cell r="I298" t="str">
            <v>Priceline Asia Pacific</v>
          </cell>
          <cell r="M298">
            <v>3.55</v>
          </cell>
          <cell r="N298">
            <v>3.85</v>
          </cell>
          <cell r="O298">
            <v>3.65</v>
          </cell>
          <cell r="P298">
            <v>3.98</v>
          </cell>
          <cell r="Q298">
            <v>8.875</v>
          </cell>
          <cell r="R298">
            <v>9.625</v>
          </cell>
          <cell r="S298">
            <v>9.125</v>
          </cell>
          <cell r="T298">
            <v>23.35</v>
          </cell>
          <cell r="U298">
            <v>45.012500000000003</v>
          </cell>
          <cell r="V298">
            <v>46.337499999999999</v>
          </cell>
          <cell r="W298">
            <v>53.387499999999996</v>
          </cell>
          <cell r="X298">
            <v>60.384999999999998</v>
          </cell>
          <cell r="Y298">
            <v>72.02000000000001</v>
          </cell>
          <cell r="Z298">
            <v>83.870874999999998</v>
          </cell>
          <cell r="AA298">
            <v>112.11375000000001</v>
          </cell>
          <cell r="AB298">
            <v>150.96249999999998</v>
          </cell>
          <cell r="AC298">
            <v>158.44400000000002</v>
          </cell>
          <cell r="AD298">
            <v>167.74175</v>
          </cell>
          <cell r="AE298">
            <v>280.28437500000001</v>
          </cell>
          <cell r="AF298">
            <v>317.02125000000001</v>
          </cell>
          <cell r="AG298">
            <v>364.42120000000006</v>
          </cell>
          <cell r="AH298">
            <v>385.80602499999998</v>
          </cell>
          <cell r="AI298">
            <v>647.16750000000002</v>
          </cell>
          <cell r="AJ298">
            <v>609.07775106993529</v>
          </cell>
          <cell r="AK298">
            <v>616.07046238478688</v>
          </cell>
          <cell r="AL298">
            <v>662.5963308953344</v>
          </cell>
          <cell r="AM298">
            <v>1095.5112566161622</v>
          </cell>
          <cell r="AN298">
            <v>1006.7599503493011</v>
          </cell>
        </row>
        <row r="299">
          <cell r="I299" t="str">
            <v>Asia Hotel Market</v>
          </cell>
          <cell r="M299" t="str">
            <v>NA</v>
          </cell>
          <cell r="N299" t="str">
            <v>NA</v>
          </cell>
          <cell r="O299" t="str">
            <v>NA</v>
          </cell>
          <cell r="P299" t="str">
            <v>NA</v>
          </cell>
          <cell r="Q299" t="str">
            <v>NA</v>
          </cell>
          <cell r="R299" t="str">
            <v>NA</v>
          </cell>
          <cell r="S299" t="str">
            <v>NA</v>
          </cell>
          <cell r="T299" t="str">
            <v>NA</v>
          </cell>
          <cell r="U299">
            <v>16785.000496344401</v>
          </cell>
          <cell r="V299">
            <v>20599.773336422673</v>
          </cell>
          <cell r="W299">
            <v>21362.727904438329</v>
          </cell>
          <cell r="X299">
            <v>17547.955064360056</v>
          </cell>
          <cell r="Y299">
            <v>15879.845068389021</v>
          </cell>
          <cell r="Z299">
            <v>19488.900765750164</v>
          </cell>
          <cell r="AA299">
            <v>20210.711905222393</v>
          </cell>
          <cell r="AB299">
            <v>16601.656207861251</v>
          </cell>
          <cell r="AC299">
            <v>18509.007643891378</v>
          </cell>
          <cell r="AD299">
            <v>22715.60029023033</v>
          </cell>
          <cell r="AE299">
            <v>23556.918819498122</v>
          </cell>
          <cell r="AF299">
            <v>19350.32617315917</v>
          </cell>
          <cell r="AG299">
            <v>20730.088561158347</v>
          </cell>
          <cell r="AH299">
            <v>25441.472325057974</v>
          </cell>
          <cell r="AI299">
            <v>26383.7490778379</v>
          </cell>
          <cell r="AJ299">
            <v>21672.365313938273</v>
          </cell>
          <cell r="AK299">
            <v>23010.398302885766</v>
          </cell>
          <cell r="AL299">
            <v>28240.034280814354</v>
          </cell>
          <cell r="AM299">
            <v>29285.961476400069</v>
          </cell>
          <cell r="AN299">
            <v>24056.325498471484</v>
          </cell>
        </row>
        <row r="300">
          <cell r="I300" t="str">
            <v>y/y Growth - %</v>
          </cell>
          <cell r="M300" t="str">
            <v>NA</v>
          </cell>
          <cell r="N300" t="str">
            <v>NA</v>
          </cell>
          <cell r="O300" t="str">
            <v>NA</v>
          </cell>
          <cell r="P300" t="str">
            <v>NA</v>
          </cell>
          <cell r="Q300" t="str">
            <v>NA</v>
          </cell>
          <cell r="R300" t="str">
            <v>NA</v>
          </cell>
          <cell r="S300" t="str">
            <v>NA</v>
          </cell>
          <cell r="T300" t="str">
            <v>NA</v>
          </cell>
          <cell r="U300" t="str">
            <v>NA</v>
          </cell>
          <cell r="V300" t="str">
            <v>NA</v>
          </cell>
          <cell r="W300" t="str">
            <v>NA</v>
          </cell>
          <cell r="X300" t="str">
            <v>NA</v>
          </cell>
          <cell r="Y300">
            <v>-5.3926446302608899E-2</v>
          </cell>
          <cell r="Z300">
            <v>-5.3926446302608788E-2</v>
          </cell>
          <cell r="AA300">
            <v>-5.3926446302608788E-2</v>
          </cell>
          <cell r="AB300">
            <v>-5.3926446302608788E-2</v>
          </cell>
          <cell r="AC300">
            <v>0.16556600925131582</v>
          </cell>
          <cell r="AD300">
            <v>0.16556600925131582</v>
          </cell>
          <cell r="AE300">
            <v>0.16556600925131582</v>
          </cell>
          <cell r="AF300">
            <v>0.16556600925131559</v>
          </cell>
          <cell r="AG300">
            <v>0.12000000000000011</v>
          </cell>
          <cell r="AH300">
            <v>0.12000000000000011</v>
          </cell>
          <cell r="AI300">
            <v>0.12000000000000011</v>
          </cell>
          <cell r="AJ300">
            <v>0.12000000000000011</v>
          </cell>
          <cell r="AK300">
            <v>0.1100000000000001</v>
          </cell>
          <cell r="AL300">
            <v>0.1100000000000001</v>
          </cell>
          <cell r="AM300">
            <v>0.1100000000000001</v>
          </cell>
          <cell r="AN300">
            <v>0.1100000000000001</v>
          </cell>
        </row>
        <row r="301">
          <cell r="I301" t="str">
            <v>Asia Online Hotel Market</v>
          </cell>
          <cell r="M301" t="str">
            <v>NA</v>
          </cell>
          <cell r="N301" t="str">
            <v>NA</v>
          </cell>
          <cell r="O301" t="str">
            <v>NA</v>
          </cell>
          <cell r="P301" t="str">
            <v>NA</v>
          </cell>
          <cell r="Q301" t="str">
            <v>NA</v>
          </cell>
          <cell r="R301" t="str">
            <v>NA</v>
          </cell>
          <cell r="S301" t="str">
            <v>NA</v>
          </cell>
          <cell r="T301" t="str">
            <v>NA</v>
          </cell>
          <cell r="U301">
            <v>2049.6031960961727</v>
          </cell>
          <cell r="V301">
            <v>2515.4221042998483</v>
          </cell>
          <cell r="W301">
            <v>2608.5858859405839</v>
          </cell>
          <cell r="X301">
            <v>2142.7669777369078</v>
          </cell>
          <cell r="Y301">
            <v>2431.7848389763217</v>
          </cell>
          <cell r="Z301">
            <v>2984.4632114709402</v>
          </cell>
          <cell r="AA301">
            <v>3094.9988859698642</v>
          </cell>
          <cell r="AB301">
            <v>2542.3205134752452</v>
          </cell>
          <cell r="AC301">
            <v>3236.7655171355882</v>
          </cell>
          <cell r="AD301">
            <v>3972.3940437573133</v>
          </cell>
          <cell r="AE301">
            <v>4119.5197490816581</v>
          </cell>
          <cell r="AF301">
            <v>3383.8912224599335</v>
          </cell>
          <cell r="AG301">
            <v>4143.0598619335542</v>
          </cell>
          <cell r="AH301">
            <v>5084.6643760093621</v>
          </cell>
          <cell r="AI301">
            <v>5272.9852788245234</v>
          </cell>
          <cell r="AJ301">
            <v>4331.3807647487156</v>
          </cell>
          <cell r="AK301">
            <v>5054.5330315589354</v>
          </cell>
          <cell r="AL301">
            <v>6203.2905387314204</v>
          </cell>
          <cell r="AM301">
            <v>6433.0420401659176</v>
          </cell>
          <cell r="AN301">
            <v>5284.2845329934325</v>
          </cell>
        </row>
        <row r="302">
          <cell r="I302" t="str">
            <v>y/y Growth - %</v>
          </cell>
          <cell r="M302" t="str">
            <v>NA</v>
          </cell>
          <cell r="N302" t="str">
            <v>NA</v>
          </cell>
          <cell r="O302" t="str">
            <v>NA</v>
          </cell>
          <cell r="P302" t="str">
            <v>NA</v>
          </cell>
          <cell r="Q302" t="str">
            <v>NA</v>
          </cell>
          <cell r="R302" t="str">
            <v>NA</v>
          </cell>
          <cell r="S302" t="str">
            <v>NA</v>
          </cell>
          <cell r="T302" t="str">
            <v>NA</v>
          </cell>
          <cell r="U302" t="str">
            <v>NA</v>
          </cell>
          <cell r="V302" t="str">
            <v>NA</v>
          </cell>
          <cell r="W302" t="str">
            <v>NA</v>
          </cell>
          <cell r="X302" t="str">
            <v>NA</v>
          </cell>
          <cell r="Y302">
            <v>0.18646616262507809</v>
          </cell>
          <cell r="Z302">
            <v>0.18646616262507809</v>
          </cell>
          <cell r="AA302">
            <v>0.18646616262507809</v>
          </cell>
          <cell r="AB302">
            <v>0.18646616262507809</v>
          </cell>
          <cell r="AC302">
            <v>0.33102463065693311</v>
          </cell>
          <cell r="AD302">
            <v>0.33102463065693333</v>
          </cell>
          <cell r="AE302">
            <v>0.33102463065693311</v>
          </cell>
          <cell r="AF302">
            <v>0.33102463065693333</v>
          </cell>
          <cell r="AG302">
            <v>0.28000000000000047</v>
          </cell>
          <cell r="AH302">
            <v>0.28000000000000025</v>
          </cell>
          <cell r="AI302">
            <v>0.28000000000000025</v>
          </cell>
          <cell r="AJ302">
            <v>0.28000000000000025</v>
          </cell>
          <cell r="AK302">
            <v>0.21999999999999975</v>
          </cell>
          <cell r="AL302">
            <v>0.21999999999999975</v>
          </cell>
          <cell r="AM302">
            <v>0.21999999999999975</v>
          </cell>
          <cell r="AN302">
            <v>0.21999999999999997</v>
          </cell>
          <cell r="AQ302" t="str">
            <v>NA</v>
          </cell>
          <cell r="AR302" t="str">
            <v>NA</v>
          </cell>
          <cell r="AS302" t="str">
            <v>NA</v>
          </cell>
          <cell r="AT302" t="str">
            <v>NA</v>
          </cell>
          <cell r="AU302" t="str">
            <v>NA</v>
          </cell>
          <cell r="AV302" t="str">
            <v>NA</v>
          </cell>
          <cell r="AW302" t="str">
            <v>NA</v>
          </cell>
          <cell r="AX302" t="str">
            <v>NA</v>
          </cell>
          <cell r="AY302" t="str">
            <v>NA</v>
          </cell>
          <cell r="AZ302" t="str">
            <v>NA</v>
          </cell>
          <cell r="BA302" t="str">
            <v>NA</v>
          </cell>
          <cell r="BB302" t="str">
            <v>NA</v>
          </cell>
          <cell r="BC302" t="str">
            <v>NA</v>
          </cell>
          <cell r="BD302" t="str">
            <v>NA</v>
          </cell>
          <cell r="BE302" t="str">
            <v>NA</v>
          </cell>
          <cell r="BF302" t="str">
            <v>NA</v>
          </cell>
          <cell r="BG302" t="str">
            <v>NA</v>
          </cell>
          <cell r="BH302" t="str">
            <v>NA</v>
          </cell>
          <cell r="BI302" t="str">
            <v>NA</v>
          </cell>
          <cell r="BJ302" t="str">
            <v>NA</v>
          </cell>
          <cell r="BK302" t="str">
            <v>NA</v>
          </cell>
          <cell r="BL302" t="str">
            <v>NA</v>
          </cell>
          <cell r="BM302" t="str">
            <v>NA</v>
          </cell>
          <cell r="BN302" t="str">
            <v>NA</v>
          </cell>
          <cell r="BO302" t="str">
            <v>NA</v>
          </cell>
          <cell r="BP302" t="str">
            <v>NA</v>
          </cell>
          <cell r="BQ302" t="str">
            <v>NA</v>
          </cell>
          <cell r="BR302" t="str">
            <v>NA</v>
          </cell>
        </row>
        <row r="303">
          <cell r="I303" t="str">
            <v>Seasonality</v>
          </cell>
          <cell r="M303">
            <v>0.22</v>
          </cell>
          <cell r="N303">
            <v>0.27</v>
          </cell>
          <cell r="O303">
            <v>0.28000000000000003</v>
          </cell>
          <cell r="P303">
            <v>0.23</v>
          </cell>
          <cell r="Q303">
            <v>0.22</v>
          </cell>
          <cell r="R303">
            <v>0.27</v>
          </cell>
          <cell r="S303">
            <v>0.28000000000000003</v>
          </cell>
          <cell r="T303">
            <v>0.23</v>
          </cell>
          <cell r="U303">
            <v>0.22</v>
          </cell>
          <cell r="V303">
            <v>0.27</v>
          </cell>
          <cell r="W303">
            <v>0.28000000000000003</v>
          </cell>
          <cell r="X303">
            <v>0.23</v>
          </cell>
          <cell r="Y303">
            <v>0.22</v>
          </cell>
          <cell r="Z303">
            <v>0.27</v>
          </cell>
          <cell r="AA303">
            <v>0.28000000000000003</v>
          </cell>
          <cell r="AB303">
            <v>0.23</v>
          </cell>
          <cell r="AC303">
            <v>0.22</v>
          </cell>
          <cell r="AD303">
            <v>0.27</v>
          </cell>
          <cell r="AE303">
            <v>0.28000000000000003</v>
          </cell>
          <cell r="AF303">
            <v>0.23</v>
          </cell>
          <cell r="AG303">
            <v>0.22</v>
          </cell>
          <cell r="AH303">
            <v>0.27</v>
          </cell>
          <cell r="AI303">
            <v>0.28000000000000003</v>
          </cell>
          <cell r="AJ303">
            <v>0.23</v>
          </cell>
          <cell r="AK303">
            <v>0.22</v>
          </cell>
          <cell r="AL303">
            <v>0.27</v>
          </cell>
          <cell r="AM303">
            <v>0.28000000000000003</v>
          </cell>
          <cell r="AN303">
            <v>0.23</v>
          </cell>
        </row>
        <row r="304">
          <cell r="I304" t="str">
            <v>Asia Hotel Market Share</v>
          </cell>
          <cell r="M304" t="str">
            <v>NA</v>
          </cell>
          <cell r="N304" t="str">
            <v>NA</v>
          </cell>
          <cell r="O304" t="str">
            <v>NA</v>
          </cell>
          <cell r="P304" t="str">
            <v>NA</v>
          </cell>
          <cell r="Q304" t="str">
            <v>NA</v>
          </cell>
          <cell r="R304" t="str">
            <v>NA</v>
          </cell>
          <cell r="S304" t="str">
            <v>NA</v>
          </cell>
          <cell r="T304" t="str">
            <v>NA</v>
          </cell>
          <cell r="U304">
            <v>2.6817097806939747E-3</v>
          </cell>
          <cell r="V304">
            <v>2.249417954423323E-3</v>
          </cell>
          <cell r="W304">
            <v>2.4990956323002263E-3</v>
          </cell>
          <cell r="X304">
            <v>3.4411417044623105E-3</v>
          </cell>
          <cell r="Y304">
            <v>4.5353087319073134E-3</v>
          </cell>
          <cell r="Z304">
            <v>4.3035200398472374E-3</v>
          </cell>
          <cell r="AA304">
            <v>5.5472439825848055E-3</v>
          </cell>
          <cell r="AB304">
            <v>9.093219261372E-3</v>
          </cell>
          <cell r="AC304">
            <v>8.5603724979978653E-3</v>
          </cell>
          <cell r="AD304">
            <v>7.3844295487160618E-3</v>
          </cell>
          <cell r="AE304">
            <v>1.189817637644563E-2</v>
          </cell>
          <cell r="AF304">
            <v>1.638325096761108E-2</v>
          </cell>
          <cell r="AG304">
            <v>1.7579336379817043E-2</v>
          </cell>
          <cell r="AH304">
            <v>1.516445353754191E-2</v>
          </cell>
          <cell r="AI304">
            <v>2.4529019666261708E-2</v>
          </cell>
          <cell r="AJ304">
            <v>2.8103889088571962E-2</v>
          </cell>
          <cell r="AK304">
            <v>2.6773567944172641E-2</v>
          </cell>
          <cell r="AL304">
            <v>2.3463014396745526E-2</v>
          </cell>
          <cell r="AM304">
            <v>3.7407385702496875E-2</v>
          </cell>
          <cell r="AN304">
            <v>4.1850113410432099E-2</v>
          </cell>
        </row>
        <row r="305">
          <cell r="I305" t="str">
            <v>Asia Online Hotel Market Share</v>
          </cell>
          <cell r="M305" t="str">
            <v>NA</v>
          </cell>
          <cell r="N305" t="str">
            <v>NA</v>
          </cell>
          <cell r="O305" t="str">
            <v>NA</v>
          </cell>
          <cell r="P305" t="str">
            <v>NA</v>
          </cell>
          <cell r="Q305" t="str">
            <v>NA</v>
          </cell>
          <cell r="R305" t="str">
            <v>NA</v>
          </cell>
          <cell r="S305" t="str">
            <v>NA</v>
          </cell>
          <cell r="T305" t="str">
            <v>NA</v>
          </cell>
          <cell r="U305">
            <v>2.1961568017523671E-2</v>
          </cell>
          <cell r="V305">
            <v>1.8421361536416068E-2</v>
          </cell>
          <cell r="W305">
            <v>2.0466069485287404E-2</v>
          </cell>
          <cell r="X305">
            <v>2.8180852433975747E-2</v>
          </cell>
          <cell r="Y305">
            <v>2.9616107003248435E-2</v>
          </cell>
          <cell r="Z305">
            <v>2.8102499195713958E-2</v>
          </cell>
          <cell r="AA305">
            <v>3.6224164896546479E-2</v>
          </cell>
          <cell r="AB305">
            <v>5.937980644055009E-2</v>
          </cell>
          <cell r="AC305">
            <v>4.8951337117622534E-2</v>
          </cell>
          <cell r="AD305">
            <v>4.2226865752054255E-2</v>
          </cell>
          <cell r="AE305">
            <v>6.8038119021636506E-2</v>
          </cell>
          <cell r="AF305">
            <v>9.3685413968342665E-2</v>
          </cell>
          <cell r="AG305">
            <v>8.7959433883227967E-2</v>
          </cell>
          <cell r="AH305">
            <v>7.5876399398222466E-2</v>
          </cell>
          <cell r="AI305">
            <v>0.12273265821524716</v>
          </cell>
          <cell r="AJ305">
            <v>0.1406197663403233</v>
          </cell>
          <cell r="AK305">
            <v>0.12188474356349718</v>
          </cell>
          <cell r="AL305">
            <v>0.1068136865036852</v>
          </cell>
          <cell r="AM305">
            <v>0.17029443454218549</v>
          </cell>
          <cell r="AN305">
            <v>0.19051963308625877</v>
          </cell>
        </row>
        <row r="307">
          <cell r="I307" t="str">
            <v xml:space="preserve">Booking.com </v>
          </cell>
        </row>
        <row r="308">
          <cell r="I308" t="str">
            <v>Number of Hotels (#)</v>
          </cell>
          <cell r="M308">
            <v>22000</v>
          </cell>
          <cell r="N308">
            <v>24000</v>
          </cell>
          <cell r="O308">
            <v>25000</v>
          </cell>
          <cell r="P308">
            <v>25000</v>
          </cell>
          <cell r="Q308">
            <v>32000</v>
          </cell>
          <cell r="R308">
            <v>35000</v>
          </cell>
          <cell r="S308">
            <v>38000</v>
          </cell>
          <cell r="T308">
            <v>41000</v>
          </cell>
          <cell r="U308">
            <v>45000</v>
          </cell>
          <cell r="V308">
            <v>52000</v>
          </cell>
          <cell r="W308">
            <v>57000</v>
          </cell>
          <cell r="X308">
            <v>60000</v>
          </cell>
          <cell r="Y308">
            <v>66000</v>
          </cell>
          <cell r="Z308">
            <v>71000</v>
          </cell>
          <cell r="AA308">
            <v>73000</v>
          </cell>
          <cell r="AB308">
            <v>78000</v>
          </cell>
          <cell r="AC308">
            <v>86000</v>
          </cell>
          <cell r="AD308">
            <v>96000</v>
          </cell>
          <cell r="AE308">
            <v>105000</v>
          </cell>
          <cell r="AF308">
            <v>120000</v>
          </cell>
          <cell r="AG308">
            <v>135000</v>
          </cell>
          <cell r="AH308">
            <v>155000</v>
          </cell>
          <cell r="AI308">
            <v>170000</v>
          </cell>
        </row>
        <row r="309">
          <cell r="I309" t="str">
            <v>y/y Growth - %</v>
          </cell>
          <cell r="Q309">
            <v>0.45454545454545459</v>
          </cell>
          <cell r="R309">
            <v>0.45833333333333326</v>
          </cell>
          <cell r="S309">
            <v>0.52</v>
          </cell>
          <cell r="T309">
            <v>0.6399999999999999</v>
          </cell>
          <cell r="U309">
            <v>0.40625</v>
          </cell>
          <cell r="V309">
            <v>0.48571428571428577</v>
          </cell>
          <cell r="W309">
            <v>0.5</v>
          </cell>
          <cell r="X309">
            <v>0.46341463414634143</v>
          </cell>
          <cell r="Y309">
            <v>0.46666666666666656</v>
          </cell>
          <cell r="Z309">
            <v>0.36538461538461542</v>
          </cell>
          <cell r="AA309">
            <v>0.2807017543859649</v>
          </cell>
          <cell r="AB309">
            <v>0.30000000000000004</v>
          </cell>
          <cell r="AC309">
            <v>0.30303030303030298</v>
          </cell>
          <cell r="AD309">
            <v>0.352112676056338</v>
          </cell>
          <cell r="AE309">
            <v>0.43835616438356162</v>
          </cell>
          <cell r="AF309">
            <v>0.53846153846153855</v>
          </cell>
          <cell r="AG309">
            <v>0.56976744186046502</v>
          </cell>
          <cell r="AH309">
            <v>0.61458333333333326</v>
          </cell>
          <cell r="AI309">
            <v>0.61904761904761907</v>
          </cell>
        </row>
        <row r="311">
          <cell r="I311" t="str">
            <v>Operating Scenarios</v>
          </cell>
        </row>
        <row r="312">
          <cell r="I312" t="str">
            <v>Offline Advertising as % of Gross Profit</v>
          </cell>
        </row>
        <row r="313">
          <cell r="I313" t="str">
            <v>Base Case</v>
          </cell>
          <cell r="M313">
            <v>0.13066411928396396</v>
          </cell>
          <cell r="N313">
            <v>8.3749196627726757E-2</v>
          </cell>
          <cell r="O313">
            <v>5.3947080868009749E-2</v>
          </cell>
          <cell r="P313">
            <v>6.9023382939598255E-2</v>
          </cell>
          <cell r="Q313">
            <v>0.10914974142663163</v>
          </cell>
          <cell r="R313">
            <v>5.9918782643502304E-2</v>
          </cell>
          <cell r="S313">
            <v>4.166171460264638E-2</v>
          </cell>
          <cell r="T313">
            <v>4.330261251810779E-2</v>
          </cell>
          <cell r="U313">
            <v>6.6431809522757762E-2</v>
          </cell>
          <cell r="V313">
            <v>3.9128978224455609E-2</v>
          </cell>
          <cell r="W313">
            <v>2.6237194616518706E-2</v>
          </cell>
          <cell r="X313">
            <v>3.7939190012922737E-2</v>
          </cell>
          <cell r="Y313">
            <v>5.1677626842029478E-2</v>
          </cell>
          <cell r="Z313">
            <v>3.6211087741369025E-2</v>
          </cell>
          <cell r="AA313">
            <v>1.9525075690197829E-2</v>
          </cell>
          <cell r="AB313">
            <v>1.9084322884903363E-2</v>
          </cell>
          <cell r="AC313">
            <v>3.693954549442837E-2</v>
          </cell>
          <cell r="AD313">
            <v>2.273528652120695E-2</v>
          </cell>
          <cell r="AE313">
            <v>1.1667877536070898E-2</v>
          </cell>
          <cell r="AF313">
            <v>1.2604172545478489E-2</v>
          </cell>
          <cell r="AG313">
            <v>2.2961281751178314E-2</v>
          </cell>
          <cell r="AH313">
            <v>1.3100168573743338E-2</v>
          </cell>
          <cell r="AI313">
            <v>7.3035627933696204E-3</v>
          </cell>
          <cell r="AJ313">
            <v>0.01</v>
          </cell>
          <cell r="AK313">
            <v>2.1999999999999999E-2</v>
          </cell>
          <cell r="AL313">
            <v>1.2E-2</v>
          </cell>
          <cell r="AM313">
            <v>7.0000000000000001E-3</v>
          </cell>
          <cell r="AN313">
            <v>0.01</v>
          </cell>
        </row>
        <row r="314">
          <cell r="I314" t="str">
            <v>Bull Case</v>
          </cell>
          <cell r="M314">
            <v>0.13066411928396396</v>
          </cell>
          <cell r="N314">
            <v>8.3749196627726757E-2</v>
          </cell>
          <cell r="O314">
            <v>5.3947080868009749E-2</v>
          </cell>
          <cell r="P314">
            <v>6.9023382939598255E-2</v>
          </cell>
          <cell r="Q314">
            <v>0.10914974142663163</v>
          </cell>
          <cell r="R314">
            <v>5.9918782643502304E-2</v>
          </cell>
          <cell r="S314">
            <v>4.166171460264638E-2</v>
          </cell>
          <cell r="T314">
            <v>4.330261251810779E-2</v>
          </cell>
          <cell r="U314">
            <v>6.6431809522757762E-2</v>
          </cell>
          <cell r="V314">
            <v>3.9128978224455609E-2</v>
          </cell>
          <cell r="W314">
            <v>2.6237194616518706E-2</v>
          </cell>
          <cell r="X314">
            <v>3.7939190012922737E-2</v>
          </cell>
          <cell r="Y314">
            <v>5.1677626842029478E-2</v>
          </cell>
          <cell r="Z314">
            <v>3.6211087741369025E-2</v>
          </cell>
          <cell r="AA314">
            <v>1.9525075690197829E-2</v>
          </cell>
          <cell r="AB314">
            <v>1.9084322884903363E-2</v>
          </cell>
          <cell r="AC314">
            <v>3.693954549442837E-2</v>
          </cell>
          <cell r="AD314">
            <v>2.273528652120695E-2</v>
          </cell>
          <cell r="AE314">
            <v>1.1667877536070898E-2</v>
          </cell>
          <cell r="AF314">
            <v>1.2604172545478489E-2</v>
          </cell>
          <cell r="AG314">
            <v>2.2961281751178314E-2</v>
          </cell>
          <cell r="AH314">
            <v>1.3100168573743338E-2</v>
          </cell>
          <cell r="AI314">
            <v>7.3035627933696204E-3</v>
          </cell>
          <cell r="AJ314">
            <v>7.4999999999999997E-3</v>
          </cell>
          <cell r="AK314">
            <v>1.95E-2</v>
          </cell>
          <cell r="AL314">
            <v>9.4999999999999998E-3</v>
          </cell>
          <cell r="AM314">
            <v>4.5000000000000005E-3</v>
          </cell>
          <cell r="AN314">
            <v>7.4999999999999997E-3</v>
          </cell>
        </row>
        <row r="315">
          <cell r="I315" t="str">
            <v>Bull vs. Base Case - bps</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-25</v>
          </cell>
          <cell r="AK315">
            <v>-25</v>
          </cell>
          <cell r="AL315">
            <v>-25</v>
          </cell>
          <cell r="AM315">
            <v>-25</v>
          </cell>
          <cell r="AN315">
            <v>-25</v>
          </cell>
        </row>
        <row r="316">
          <cell r="I316" t="str">
            <v>Bear Case</v>
          </cell>
          <cell r="M316">
            <v>0.13066411928396396</v>
          </cell>
          <cell r="N316">
            <v>8.3749196627726757E-2</v>
          </cell>
          <cell r="O316">
            <v>5.3947080868009749E-2</v>
          </cell>
          <cell r="P316">
            <v>6.9023382939598255E-2</v>
          </cell>
          <cell r="Q316">
            <v>0.10914974142663163</v>
          </cell>
          <cell r="R316">
            <v>5.9918782643502304E-2</v>
          </cell>
          <cell r="S316">
            <v>4.166171460264638E-2</v>
          </cell>
          <cell r="T316">
            <v>4.330261251810779E-2</v>
          </cell>
          <cell r="U316">
            <v>6.6431809522757762E-2</v>
          </cell>
          <cell r="V316">
            <v>3.9128978224455609E-2</v>
          </cell>
          <cell r="W316">
            <v>2.6237194616518706E-2</v>
          </cell>
          <cell r="X316">
            <v>3.7939190012922737E-2</v>
          </cell>
          <cell r="Y316">
            <v>5.1677626842029478E-2</v>
          </cell>
          <cell r="Z316">
            <v>3.6211087741369025E-2</v>
          </cell>
          <cell r="AA316">
            <v>1.9525075690197829E-2</v>
          </cell>
          <cell r="AB316">
            <v>1.9084322884903363E-2</v>
          </cell>
          <cell r="AC316">
            <v>3.693954549442837E-2</v>
          </cell>
          <cell r="AD316">
            <v>2.273528652120695E-2</v>
          </cell>
          <cell r="AE316">
            <v>1.1667877536070898E-2</v>
          </cell>
          <cell r="AF316">
            <v>1.2604172545478489E-2</v>
          </cell>
          <cell r="AG316">
            <v>2.2961281751178314E-2</v>
          </cell>
          <cell r="AH316">
            <v>1.3100168573743338E-2</v>
          </cell>
          <cell r="AI316">
            <v>7.3035627933696204E-3</v>
          </cell>
          <cell r="AJ316">
            <v>1.2500000000000001E-2</v>
          </cell>
          <cell r="AK316">
            <v>2.4499999999999997E-2</v>
          </cell>
          <cell r="AL316">
            <v>1.4500000000000001E-2</v>
          </cell>
          <cell r="AM316">
            <v>9.4999999999999998E-3</v>
          </cell>
          <cell r="AN316">
            <v>1.2500000000000001E-2</v>
          </cell>
        </row>
        <row r="317">
          <cell r="I317" t="str">
            <v>Bear vs. Base Case - bps</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25</v>
          </cell>
          <cell r="AK317">
            <v>25</v>
          </cell>
          <cell r="AL317">
            <v>25</v>
          </cell>
          <cell r="AM317">
            <v>25</v>
          </cell>
          <cell r="AN317">
            <v>25</v>
          </cell>
        </row>
        <row r="319">
          <cell r="I319" t="str">
            <v>Online Advertising as % of Gross Profit</v>
          </cell>
        </row>
        <row r="320">
          <cell r="I320" t="str">
            <v>Base Case</v>
          </cell>
          <cell r="M320">
            <v>0.30265398513103797</v>
          </cell>
          <cell r="N320">
            <v>0.28820271445313977</v>
          </cell>
          <cell r="O320">
            <v>0.27973160011979248</v>
          </cell>
          <cell r="P320">
            <v>0.27038596420712041</v>
          </cell>
          <cell r="Q320">
            <v>0.30746636620152357</v>
          </cell>
          <cell r="R320">
            <v>0.28064534872460351</v>
          </cell>
          <cell r="S320">
            <v>0.26663893510815306</v>
          </cell>
          <cell r="T320">
            <v>0.27120485538738193</v>
          </cell>
          <cell r="U320">
            <v>0.31915539775707741</v>
          </cell>
          <cell r="V320">
            <v>0.28716129667947576</v>
          </cell>
          <cell r="W320">
            <v>0.26667784534197259</v>
          </cell>
          <cell r="X320">
            <v>0.27192353643966549</v>
          </cell>
          <cell r="Y320">
            <v>0.32696683146930355</v>
          </cell>
          <cell r="Z320">
            <v>0.29520243220044678</v>
          </cell>
          <cell r="AA320">
            <v>0.26521061920802935</v>
          </cell>
          <cell r="AB320">
            <v>0.29392475470083557</v>
          </cell>
          <cell r="AC320">
            <v>0.35444477870116203</v>
          </cell>
          <cell r="AD320">
            <v>0.29762271058157691</v>
          </cell>
          <cell r="AE320">
            <v>0.25927666064234123</v>
          </cell>
          <cell r="AF320">
            <v>0.27964541097336404</v>
          </cell>
          <cell r="AG320">
            <v>0.36596495112770067</v>
          </cell>
          <cell r="AH320">
            <v>0.31536770564862188</v>
          </cell>
          <cell r="AI320">
            <v>0.25444394754160349</v>
          </cell>
          <cell r="AJ320">
            <v>0.27500000000000002</v>
          </cell>
          <cell r="AK320">
            <v>0.36499999999999999</v>
          </cell>
          <cell r="AL320">
            <v>0.316</v>
          </cell>
          <cell r="AM320">
            <v>0.255</v>
          </cell>
          <cell r="AN320">
            <v>0.27700000000000002</v>
          </cell>
        </row>
        <row r="321">
          <cell r="I321" t="str">
            <v>Bull Case</v>
          </cell>
          <cell r="M321">
            <v>0.30265398513103797</v>
          </cell>
          <cell r="N321">
            <v>0.28820271445313977</v>
          </cell>
          <cell r="O321">
            <v>0.27973160011979248</v>
          </cell>
          <cell r="P321">
            <v>0.27038596420712041</v>
          </cell>
          <cell r="Q321">
            <v>0.30746636620152357</v>
          </cell>
          <cell r="R321">
            <v>0.28064534872460351</v>
          </cell>
          <cell r="S321">
            <v>0.26663893510815306</v>
          </cell>
          <cell r="T321">
            <v>0.27120485538738193</v>
          </cell>
          <cell r="U321">
            <v>0.31915539775707741</v>
          </cell>
          <cell r="V321">
            <v>0.28716129667947576</v>
          </cell>
          <cell r="W321">
            <v>0.26667784534197259</v>
          </cell>
          <cell r="X321">
            <v>0.27192353643966549</v>
          </cell>
          <cell r="Y321">
            <v>0.32696683146930355</v>
          </cell>
          <cell r="Z321">
            <v>0.29520243220044678</v>
          </cell>
          <cell r="AA321">
            <v>0.26521061920802935</v>
          </cell>
          <cell r="AB321">
            <v>0.29392475470083557</v>
          </cell>
          <cell r="AC321">
            <v>0.35444477870116203</v>
          </cell>
          <cell r="AD321">
            <v>0.29762271058157691</v>
          </cell>
          <cell r="AE321">
            <v>0.25927666064234123</v>
          </cell>
          <cell r="AF321">
            <v>0.27964541097336404</v>
          </cell>
          <cell r="AG321">
            <v>0.36596495112770067</v>
          </cell>
          <cell r="AH321">
            <v>0.31536770564862188</v>
          </cell>
          <cell r="AI321">
            <v>0.25444394754160349</v>
          </cell>
          <cell r="AJ321">
            <v>0.26500000000000001</v>
          </cell>
          <cell r="AK321">
            <v>0.35499999999999998</v>
          </cell>
          <cell r="AL321">
            <v>0.30599999999999999</v>
          </cell>
          <cell r="AM321">
            <v>0.245</v>
          </cell>
          <cell r="AN321">
            <v>0.26700000000000002</v>
          </cell>
        </row>
        <row r="322">
          <cell r="I322" t="str">
            <v>Bull vs. Base Case - bps</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-100</v>
          </cell>
          <cell r="AK322">
            <v>-100</v>
          </cell>
          <cell r="AL322">
            <v>-100</v>
          </cell>
          <cell r="AM322">
            <v>-100</v>
          </cell>
          <cell r="AN322">
            <v>-100</v>
          </cell>
        </row>
        <row r="323">
          <cell r="I323" t="str">
            <v>Bear Case</v>
          </cell>
          <cell r="M323">
            <v>0.30265398513103797</v>
          </cell>
          <cell r="N323">
            <v>0.28820271445313977</v>
          </cell>
          <cell r="O323">
            <v>0.27973160011979248</v>
          </cell>
          <cell r="P323">
            <v>0.27038596420712041</v>
          </cell>
          <cell r="Q323">
            <v>0.30746636620152357</v>
          </cell>
          <cell r="R323">
            <v>0.28064534872460351</v>
          </cell>
          <cell r="S323">
            <v>0.26663893510815306</v>
          </cell>
          <cell r="T323">
            <v>0.27120485538738193</v>
          </cell>
          <cell r="U323">
            <v>0.31915539775707741</v>
          </cell>
          <cell r="V323">
            <v>0.28716129667947576</v>
          </cell>
          <cell r="W323">
            <v>0.26667784534197259</v>
          </cell>
          <cell r="X323">
            <v>0.27192353643966549</v>
          </cell>
          <cell r="Y323">
            <v>0.32696683146930355</v>
          </cell>
          <cell r="Z323">
            <v>0.29520243220044678</v>
          </cell>
          <cell r="AA323">
            <v>0.26521061920802935</v>
          </cell>
          <cell r="AB323">
            <v>0.29392475470083557</v>
          </cell>
          <cell r="AC323">
            <v>0.35444477870116203</v>
          </cell>
          <cell r="AD323">
            <v>0.29762271058157691</v>
          </cell>
          <cell r="AE323">
            <v>0.25927666064234123</v>
          </cell>
          <cell r="AF323">
            <v>0.27964541097336404</v>
          </cell>
          <cell r="AG323">
            <v>0.36596495112770067</v>
          </cell>
          <cell r="AH323">
            <v>0.31536770564862188</v>
          </cell>
          <cell r="AI323">
            <v>0.25444394754160349</v>
          </cell>
          <cell r="AJ323">
            <v>0.29000000000000004</v>
          </cell>
          <cell r="AK323">
            <v>0.38</v>
          </cell>
          <cell r="AL323">
            <v>0.33100000000000002</v>
          </cell>
          <cell r="AM323">
            <v>0.27</v>
          </cell>
          <cell r="AN323">
            <v>0.29200000000000004</v>
          </cell>
        </row>
        <row r="324">
          <cell r="I324" t="str">
            <v>Bear vs. Base Case - bps</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150</v>
          </cell>
          <cell r="AK324">
            <v>150</v>
          </cell>
          <cell r="AL324">
            <v>150</v>
          </cell>
          <cell r="AM324">
            <v>150</v>
          </cell>
          <cell r="AN324">
            <v>150</v>
          </cell>
        </row>
        <row r="326">
          <cell r="I326" t="str">
            <v>Selling &amp; Marketing as % of Gross Profit</v>
          </cell>
        </row>
        <row r="327">
          <cell r="I327" t="str">
            <v>Base Case</v>
          </cell>
          <cell r="M327">
            <v>0.13265772313826477</v>
          </cell>
          <cell r="N327">
            <v>0.10120600355374089</v>
          </cell>
          <cell r="O327">
            <v>9.0686135640687351E-2</v>
          </cell>
          <cell r="P327">
            <v>0.10675562969140952</v>
          </cell>
          <cell r="Q327">
            <v>0.10988164369841776</v>
          </cell>
          <cell r="R327">
            <v>7.4406202991742706E-2</v>
          </cell>
          <cell r="S327">
            <v>6.4837374217573879E-2</v>
          </cell>
          <cell r="T327">
            <v>6.9502722413706974E-2</v>
          </cell>
          <cell r="U327">
            <v>9.018624760495407E-2</v>
          </cell>
          <cell r="V327">
            <v>7.8549610799093506E-2</v>
          </cell>
          <cell r="W327">
            <v>6.7869323394858239E-2</v>
          </cell>
          <cell r="X327">
            <v>9.8666276546460888E-2</v>
          </cell>
          <cell r="Y327">
            <v>8.8412614601833639E-2</v>
          </cell>
          <cell r="Z327">
            <v>6.7786448607316238E-2</v>
          </cell>
          <cell r="AA327">
            <v>5.6388621355465122E-2</v>
          </cell>
          <cell r="AB327">
            <v>5.6371711650153741E-2</v>
          </cell>
          <cell r="AC327">
            <v>7.5561864651098681E-2</v>
          </cell>
          <cell r="AD327">
            <v>6.398580588651448E-2</v>
          </cell>
          <cell r="AE327">
            <v>4.9625631203203902E-2</v>
          </cell>
          <cell r="AF327">
            <v>6.4047172631178498E-2</v>
          </cell>
          <cell r="AG327">
            <v>6.8757315028627461E-2</v>
          </cell>
          <cell r="AH327">
            <v>5.4763109177859315E-2</v>
          </cell>
          <cell r="AI327">
            <v>4.2834236848133166E-2</v>
          </cell>
          <cell r="AJ327">
            <v>6.3E-2</v>
          </cell>
          <cell r="AK327">
            <v>6.9000000000000006E-2</v>
          </cell>
          <cell r="AL327">
            <v>5.6000000000000001E-2</v>
          </cell>
          <cell r="AM327">
            <v>4.2999999999999997E-2</v>
          </cell>
          <cell r="AN327">
            <v>6.0999999999999999E-2</v>
          </cell>
        </row>
        <row r="328">
          <cell r="I328" t="str">
            <v>Bull Case</v>
          </cell>
          <cell r="M328">
            <v>0.13265772313826477</v>
          </cell>
          <cell r="N328">
            <v>0.10120600355374089</v>
          </cell>
          <cell r="O328">
            <v>9.0686135640687351E-2</v>
          </cell>
          <cell r="P328">
            <v>0.10675562969140952</v>
          </cell>
          <cell r="Q328">
            <v>0.10988164369841776</v>
          </cell>
          <cell r="R328">
            <v>7.4406202991742706E-2</v>
          </cell>
          <cell r="S328">
            <v>6.4837374217573879E-2</v>
          </cell>
          <cell r="T328">
            <v>6.9502722413706974E-2</v>
          </cell>
          <cell r="U328">
            <v>9.018624760495407E-2</v>
          </cell>
          <cell r="V328">
            <v>7.8549610799093506E-2</v>
          </cell>
          <cell r="W328">
            <v>6.7869323394858239E-2</v>
          </cell>
          <cell r="X328">
            <v>9.8666276546460888E-2</v>
          </cell>
          <cell r="Y328">
            <v>8.8412614601833639E-2</v>
          </cell>
          <cell r="Z328">
            <v>6.7786448607316238E-2</v>
          </cell>
          <cell r="AA328">
            <v>5.6388621355465122E-2</v>
          </cell>
          <cell r="AB328">
            <v>5.6371711650153741E-2</v>
          </cell>
          <cell r="AC328">
            <v>7.5561864651098681E-2</v>
          </cell>
          <cell r="AD328">
            <v>6.398580588651448E-2</v>
          </cell>
          <cell r="AE328">
            <v>4.9625631203203902E-2</v>
          </cell>
          <cell r="AF328">
            <v>6.4047172631178498E-2</v>
          </cell>
          <cell r="AG328">
            <v>6.8757315028627461E-2</v>
          </cell>
          <cell r="AH328">
            <v>5.4763109177859315E-2</v>
          </cell>
          <cell r="AI328">
            <v>4.2834236848133166E-2</v>
          </cell>
          <cell r="AJ328">
            <v>6.0499999999999998E-2</v>
          </cell>
          <cell r="AK328">
            <v>6.6500000000000004E-2</v>
          </cell>
          <cell r="AL328">
            <v>5.3499999999999999E-2</v>
          </cell>
          <cell r="AM328">
            <v>4.0499999999999994E-2</v>
          </cell>
          <cell r="AN328">
            <v>5.8499999999999996E-2</v>
          </cell>
        </row>
        <row r="329">
          <cell r="I329" t="str">
            <v>Bull vs. Base Case - bps</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-25</v>
          </cell>
          <cell r="AK329">
            <v>-25</v>
          </cell>
          <cell r="AL329">
            <v>-25</v>
          </cell>
          <cell r="AM329">
            <v>-25</v>
          </cell>
          <cell r="AN329">
            <v>-25</v>
          </cell>
        </row>
        <row r="330">
          <cell r="I330" t="str">
            <v>Bear Case</v>
          </cell>
          <cell r="M330">
            <v>0.13265772313826477</v>
          </cell>
          <cell r="N330">
            <v>0.10120600355374089</v>
          </cell>
          <cell r="O330">
            <v>9.0686135640687351E-2</v>
          </cell>
          <cell r="P330">
            <v>0.10675562969140952</v>
          </cell>
          <cell r="Q330">
            <v>0.10988164369841776</v>
          </cell>
          <cell r="R330">
            <v>7.4406202991742706E-2</v>
          </cell>
          <cell r="S330">
            <v>6.4837374217573879E-2</v>
          </cell>
          <cell r="T330">
            <v>6.9502722413706974E-2</v>
          </cell>
          <cell r="U330">
            <v>9.018624760495407E-2</v>
          </cell>
          <cell r="V330">
            <v>7.8549610799093506E-2</v>
          </cell>
          <cell r="W330">
            <v>6.7869323394858239E-2</v>
          </cell>
          <cell r="X330">
            <v>9.8666276546460888E-2</v>
          </cell>
          <cell r="Y330">
            <v>8.8412614601833639E-2</v>
          </cell>
          <cell r="Z330">
            <v>6.7786448607316238E-2</v>
          </cell>
          <cell r="AA330">
            <v>5.6388621355465122E-2</v>
          </cell>
          <cell r="AB330">
            <v>5.6371711650153741E-2</v>
          </cell>
          <cell r="AC330">
            <v>7.5561864651098681E-2</v>
          </cell>
          <cell r="AD330">
            <v>6.398580588651448E-2</v>
          </cell>
          <cell r="AE330">
            <v>4.9625631203203902E-2</v>
          </cell>
          <cell r="AF330">
            <v>6.4047172631178498E-2</v>
          </cell>
          <cell r="AG330">
            <v>6.8757315028627461E-2</v>
          </cell>
          <cell r="AH330">
            <v>5.4763109177859315E-2</v>
          </cell>
          <cell r="AI330">
            <v>4.2834236848133166E-2</v>
          </cell>
          <cell r="AJ330">
            <v>6.5500000000000003E-2</v>
          </cell>
          <cell r="AK330">
            <v>7.1500000000000008E-2</v>
          </cell>
          <cell r="AL330">
            <v>5.8500000000000003E-2</v>
          </cell>
          <cell r="AM330">
            <v>4.5499999999999999E-2</v>
          </cell>
          <cell r="AN330">
            <v>6.3500000000000001E-2</v>
          </cell>
        </row>
        <row r="331">
          <cell r="I331" t="str">
            <v>Bear vs. Base Case - bps</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25</v>
          </cell>
          <cell r="AK331">
            <v>25</v>
          </cell>
          <cell r="AL331">
            <v>25</v>
          </cell>
          <cell r="AM331">
            <v>25</v>
          </cell>
          <cell r="AN331">
            <v>25</v>
          </cell>
        </row>
        <row r="333">
          <cell r="I333" t="str">
            <v>Personnel (ex-SBC) as % of Gross Profit</v>
          </cell>
        </row>
        <row r="334">
          <cell r="I334" t="str">
            <v>Base Case</v>
          </cell>
          <cell r="M334">
            <v>0.18602815965444203</v>
          </cell>
          <cell r="N334">
            <v>0.14214963517447357</v>
          </cell>
          <cell r="O334">
            <v>0.14662436157899422</v>
          </cell>
          <cell r="P334">
            <v>0.17987881467487968</v>
          </cell>
          <cell r="Q334">
            <v>0.17646548984485599</v>
          </cell>
          <cell r="R334">
            <v>0.12892125531818741</v>
          </cell>
          <cell r="S334">
            <v>0.11416983598763962</v>
          </cell>
          <cell r="T334">
            <v>0.15854313402267844</v>
          </cell>
          <cell r="U334">
            <v>0.1487772151758944</v>
          </cell>
          <cell r="V334">
            <v>0.12047295300029559</v>
          </cell>
          <cell r="W334">
            <v>0.11137757135896836</v>
          </cell>
          <cell r="X334">
            <v>0.14896740058030378</v>
          </cell>
          <cell r="Y334">
            <v>0.13880382086113377</v>
          </cell>
          <cell r="Z334">
            <v>0.11007803746584631</v>
          </cell>
          <cell r="AA334">
            <v>9.2369690741602659E-2</v>
          </cell>
          <cell r="AB334">
            <v>0.11774040595295492</v>
          </cell>
          <cell r="AC334">
            <v>0.11866531292696077</v>
          </cell>
          <cell r="AD334">
            <v>0.10642216258099292</v>
          </cell>
          <cell r="AE334">
            <v>9.1312062060559487E-2</v>
          </cell>
          <cell r="AF334">
            <v>0.1166084533656067</v>
          </cell>
          <cell r="AG334">
            <v>0.12104988454116977</v>
          </cell>
          <cell r="AH334">
            <v>9.6970611043115121E-2</v>
          </cell>
          <cell r="AI334">
            <v>7.3776437352065363E-2</v>
          </cell>
          <cell r="AJ334">
            <v>0.11700000000000001</v>
          </cell>
          <cell r="AK334">
            <v>0.121</v>
          </cell>
          <cell r="AL334">
            <v>9.9000000000000005E-2</v>
          </cell>
          <cell r="AM334">
            <v>7.6999999999999999E-2</v>
          </cell>
          <cell r="AN334">
            <v>0.11899999999999999</v>
          </cell>
        </row>
        <row r="335">
          <cell r="I335" t="str">
            <v>Bull Case</v>
          </cell>
          <cell r="M335">
            <v>0.18602815965444203</v>
          </cell>
          <cell r="N335">
            <v>0.14214963517447357</v>
          </cell>
          <cell r="O335">
            <v>0.14662436157899422</v>
          </cell>
          <cell r="P335">
            <v>0.17987881467487968</v>
          </cell>
          <cell r="Q335">
            <v>0.17646548984485599</v>
          </cell>
          <cell r="R335">
            <v>0.12892125531818741</v>
          </cell>
          <cell r="S335">
            <v>0.11416983598763962</v>
          </cell>
          <cell r="T335">
            <v>0.15854313402267844</v>
          </cell>
          <cell r="U335">
            <v>0.1487772151758944</v>
          </cell>
          <cell r="V335">
            <v>0.12047295300029559</v>
          </cell>
          <cell r="W335">
            <v>0.11137757135896836</v>
          </cell>
          <cell r="X335">
            <v>0.14896740058030378</v>
          </cell>
          <cell r="Y335">
            <v>0.13880382086113377</v>
          </cell>
          <cell r="Z335">
            <v>0.11007803746584631</v>
          </cell>
          <cell r="AA335">
            <v>9.2369690741602659E-2</v>
          </cell>
          <cell r="AB335">
            <v>0.11774040595295492</v>
          </cell>
          <cell r="AC335">
            <v>0.11866531292696077</v>
          </cell>
          <cell r="AD335">
            <v>0.10642216258099292</v>
          </cell>
          <cell r="AE335">
            <v>9.1312062060559487E-2</v>
          </cell>
          <cell r="AF335">
            <v>0.1166084533656067</v>
          </cell>
          <cell r="AG335">
            <v>0.12104988454116977</v>
          </cell>
          <cell r="AH335">
            <v>9.6970611043115121E-2</v>
          </cell>
          <cell r="AI335">
            <v>7.3776437352065363E-2</v>
          </cell>
          <cell r="AJ335">
            <v>0.112</v>
          </cell>
          <cell r="AK335">
            <v>0.11599999999999999</v>
          </cell>
          <cell r="AL335">
            <v>9.4E-2</v>
          </cell>
          <cell r="AM335">
            <v>7.1999999999999995E-2</v>
          </cell>
          <cell r="AN335">
            <v>0.11399999999999999</v>
          </cell>
        </row>
        <row r="336">
          <cell r="I336" t="str">
            <v>Bull vs. Base Case - bps</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-50</v>
          </cell>
          <cell r="AK336">
            <v>-50</v>
          </cell>
          <cell r="AL336">
            <v>-50</v>
          </cell>
          <cell r="AM336">
            <v>-50</v>
          </cell>
          <cell r="AN336">
            <v>-50</v>
          </cell>
        </row>
        <row r="337">
          <cell r="I337" t="str">
            <v>Bear Case</v>
          </cell>
          <cell r="M337">
            <v>0.18602815965444203</v>
          </cell>
          <cell r="N337">
            <v>0.14214963517447357</v>
          </cell>
          <cell r="O337">
            <v>0.14662436157899422</v>
          </cell>
          <cell r="P337">
            <v>0.17987881467487968</v>
          </cell>
          <cell r="Q337">
            <v>0.17646548984485599</v>
          </cell>
          <cell r="R337">
            <v>0.12892125531818741</v>
          </cell>
          <cell r="S337">
            <v>0.11416983598763962</v>
          </cell>
          <cell r="T337">
            <v>0.15854313402267844</v>
          </cell>
          <cell r="U337">
            <v>0.1487772151758944</v>
          </cell>
          <cell r="V337">
            <v>0.12047295300029559</v>
          </cell>
          <cell r="W337">
            <v>0.11137757135896836</v>
          </cell>
          <cell r="X337">
            <v>0.14896740058030378</v>
          </cell>
          <cell r="Y337">
            <v>0.13880382086113377</v>
          </cell>
          <cell r="Z337">
            <v>0.11007803746584631</v>
          </cell>
          <cell r="AA337">
            <v>9.2369690741602659E-2</v>
          </cell>
          <cell r="AB337">
            <v>0.11774040595295492</v>
          </cell>
          <cell r="AC337">
            <v>0.11866531292696077</v>
          </cell>
          <cell r="AD337">
            <v>0.10642216258099292</v>
          </cell>
          <cell r="AE337">
            <v>9.1312062060559487E-2</v>
          </cell>
          <cell r="AF337">
            <v>0.1166084533656067</v>
          </cell>
          <cell r="AG337">
            <v>0.12104988454116977</v>
          </cell>
          <cell r="AH337">
            <v>9.6970611043115121E-2</v>
          </cell>
          <cell r="AI337">
            <v>7.3776437352065363E-2</v>
          </cell>
          <cell r="AJ337">
            <v>0.12200000000000001</v>
          </cell>
          <cell r="AK337">
            <v>0.126</v>
          </cell>
          <cell r="AL337">
            <v>0.10400000000000001</v>
          </cell>
          <cell r="AM337">
            <v>8.2000000000000003E-2</v>
          </cell>
          <cell r="AN337">
            <v>0.124</v>
          </cell>
        </row>
        <row r="338">
          <cell r="I338" t="str">
            <v>Bear vs. Base Case - bps</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50</v>
          </cell>
          <cell r="AK338">
            <v>50</v>
          </cell>
          <cell r="AL338">
            <v>50</v>
          </cell>
          <cell r="AM338">
            <v>50</v>
          </cell>
          <cell r="AN338">
            <v>50</v>
          </cell>
        </row>
        <row r="340">
          <cell r="I340" t="str">
            <v>General &amp; Administrative as % of Gross Profit</v>
          </cell>
        </row>
        <row r="341">
          <cell r="I341" t="str">
            <v>Base Case</v>
          </cell>
          <cell r="M341">
            <v>7.9425731334191702E-2</v>
          </cell>
          <cell r="N341">
            <v>6.8579637820876352E-2</v>
          </cell>
          <cell r="O341">
            <v>5.3769010983674231E-2</v>
          </cell>
          <cell r="P341">
            <v>8.9934383070229204E-2</v>
          </cell>
          <cell r="Q341">
            <v>8.6845982723254292E-2</v>
          </cell>
          <cell r="R341">
            <v>6.0661230656001243E-2</v>
          </cell>
          <cell r="S341">
            <v>4.5138063544885504E-2</v>
          </cell>
          <cell r="T341">
            <v>5.5840701333732944E-2</v>
          </cell>
          <cell r="U341">
            <v>6.5095553359138164E-2</v>
          </cell>
          <cell r="V341">
            <v>5.6001576510000976E-2</v>
          </cell>
          <cell r="W341">
            <v>4.2786907029277586E-2</v>
          </cell>
          <cell r="X341">
            <v>7.6780533001731155E-2</v>
          </cell>
          <cell r="Y341">
            <v>7.098353573657179E-2</v>
          </cell>
          <cell r="Z341">
            <v>4.8250873089195963E-2</v>
          </cell>
          <cell r="AA341">
            <v>4.4623807044142247E-2</v>
          </cell>
          <cell r="AB341">
            <v>6.2815105255931716E-2</v>
          </cell>
          <cell r="AC341">
            <v>5.6509231752716896E-2</v>
          </cell>
          <cell r="AD341">
            <v>5.0447496378479756E-2</v>
          </cell>
          <cell r="AE341">
            <v>2.3611953382528656E-2</v>
          </cell>
          <cell r="AF341">
            <v>5.2174585556830598E-2</v>
          </cell>
          <cell r="AG341">
            <v>5.1163682662195932E-2</v>
          </cell>
          <cell r="AH341">
            <v>3.968890603248415E-2</v>
          </cell>
          <cell r="AI341">
            <v>2.8829757450815709E-2</v>
          </cell>
          <cell r="AJ341">
            <v>5.0999999999999997E-2</v>
          </cell>
          <cell r="AK341">
            <v>5.1999999999999998E-2</v>
          </cell>
          <cell r="AL341">
            <v>0.04</v>
          </cell>
          <cell r="AM341">
            <v>0.03</v>
          </cell>
          <cell r="AN341">
            <v>5.0999999999999997E-2</v>
          </cell>
        </row>
        <row r="342">
          <cell r="I342" t="str">
            <v>Bull Case</v>
          </cell>
          <cell r="M342">
            <v>7.9425731334191702E-2</v>
          </cell>
          <cell r="N342">
            <v>6.8579637820876352E-2</v>
          </cell>
          <cell r="O342">
            <v>5.3769010983674231E-2</v>
          </cell>
          <cell r="P342">
            <v>8.9934383070229204E-2</v>
          </cell>
          <cell r="Q342">
            <v>8.6845982723254292E-2</v>
          </cell>
          <cell r="R342">
            <v>6.0661230656001243E-2</v>
          </cell>
          <cell r="S342">
            <v>4.5138063544885504E-2</v>
          </cell>
          <cell r="T342">
            <v>5.5840701333732944E-2</v>
          </cell>
          <cell r="U342">
            <v>6.5095553359138164E-2</v>
          </cell>
          <cell r="V342">
            <v>5.6001576510000976E-2</v>
          </cell>
          <cell r="W342">
            <v>4.2786907029277586E-2</v>
          </cell>
          <cell r="X342">
            <v>7.6780533001731155E-2</v>
          </cell>
          <cell r="Y342">
            <v>7.098353573657179E-2</v>
          </cell>
          <cell r="Z342">
            <v>4.8250873089195963E-2</v>
          </cell>
          <cell r="AA342">
            <v>4.4623807044142247E-2</v>
          </cell>
          <cell r="AB342">
            <v>6.2815105255931716E-2</v>
          </cell>
          <cell r="AC342">
            <v>5.6509231752716896E-2</v>
          </cell>
          <cell r="AD342">
            <v>5.0447496378479756E-2</v>
          </cell>
          <cell r="AE342">
            <v>2.3611953382528656E-2</v>
          </cell>
          <cell r="AF342">
            <v>5.2174585556830598E-2</v>
          </cell>
          <cell r="AG342">
            <v>5.1163682662195932E-2</v>
          </cell>
          <cell r="AH342">
            <v>3.968890603248415E-2</v>
          </cell>
          <cell r="AI342">
            <v>2.8829757450815709E-2</v>
          </cell>
          <cell r="AJ342">
            <v>4.8499999999999995E-2</v>
          </cell>
          <cell r="AK342">
            <v>4.9499999999999995E-2</v>
          </cell>
          <cell r="AL342">
            <v>3.7499999999999999E-2</v>
          </cell>
          <cell r="AM342">
            <v>2.75E-2</v>
          </cell>
          <cell r="AN342">
            <v>4.8499999999999995E-2</v>
          </cell>
        </row>
        <row r="343">
          <cell r="I343" t="str">
            <v>Bull vs. Base Case - bps</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-25</v>
          </cell>
          <cell r="AK343">
            <v>-25</v>
          </cell>
          <cell r="AL343">
            <v>-25</v>
          </cell>
          <cell r="AM343">
            <v>-25</v>
          </cell>
          <cell r="AN343">
            <v>-25</v>
          </cell>
        </row>
        <row r="344">
          <cell r="I344" t="str">
            <v>Bear Case</v>
          </cell>
          <cell r="M344">
            <v>7.9425731334191702E-2</v>
          </cell>
          <cell r="N344">
            <v>6.8579637820876352E-2</v>
          </cell>
          <cell r="O344">
            <v>5.3769010983674231E-2</v>
          </cell>
          <cell r="P344">
            <v>8.9934383070229204E-2</v>
          </cell>
          <cell r="Q344">
            <v>8.6845982723254292E-2</v>
          </cell>
          <cell r="R344">
            <v>6.0661230656001243E-2</v>
          </cell>
          <cell r="S344">
            <v>4.5138063544885504E-2</v>
          </cell>
          <cell r="T344">
            <v>5.5840701333732944E-2</v>
          </cell>
          <cell r="U344">
            <v>6.5095553359138164E-2</v>
          </cell>
          <cell r="V344">
            <v>5.6001576510000976E-2</v>
          </cell>
          <cell r="W344">
            <v>4.2786907029277586E-2</v>
          </cell>
          <cell r="X344">
            <v>7.6780533001731155E-2</v>
          </cell>
          <cell r="Y344">
            <v>7.098353573657179E-2</v>
          </cell>
          <cell r="Z344">
            <v>4.8250873089195963E-2</v>
          </cell>
          <cell r="AA344">
            <v>4.4623807044142247E-2</v>
          </cell>
          <cell r="AB344">
            <v>6.2815105255931716E-2</v>
          </cell>
          <cell r="AC344">
            <v>5.6509231752716896E-2</v>
          </cell>
          <cell r="AD344">
            <v>5.0447496378479756E-2</v>
          </cell>
          <cell r="AE344">
            <v>2.3611953382528656E-2</v>
          </cell>
          <cell r="AF344">
            <v>5.2174585556830598E-2</v>
          </cell>
          <cell r="AG344">
            <v>5.1163682662195932E-2</v>
          </cell>
          <cell r="AH344">
            <v>3.968890603248415E-2</v>
          </cell>
          <cell r="AI344">
            <v>2.8829757450815709E-2</v>
          </cell>
          <cell r="AJ344">
            <v>5.3499999999999999E-2</v>
          </cell>
          <cell r="AK344">
            <v>5.45E-2</v>
          </cell>
          <cell r="AL344">
            <v>4.2500000000000003E-2</v>
          </cell>
          <cell r="AM344">
            <v>3.2500000000000001E-2</v>
          </cell>
          <cell r="AN344">
            <v>5.3499999999999999E-2</v>
          </cell>
        </row>
        <row r="345">
          <cell r="I345" t="str">
            <v>Bear vs. Base Case - bps</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25</v>
          </cell>
          <cell r="AK345">
            <v>25</v>
          </cell>
          <cell r="AL345">
            <v>25</v>
          </cell>
          <cell r="AM345">
            <v>25</v>
          </cell>
          <cell r="AN345">
            <v>25</v>
          </cell>
        </row>
        <row r="347">
          <cell r="I347" t="str">
            <v>Information Technology as % of Gross Profit</v>
          </cell>
        </row>
        <row r="348">
          <cell r="I348" t="str">
            <v>Base Case</v>
          </cell>
          <cell r="M348">
            <v>3.1939195082443826E-2</v>
          </cell>
          <cell r="N348">
            <v>2.2040754602850553E-2</v>
          </cell>
          <cell r="O348">
            <v>2.0648012497268248E-2</v>
          </cell>
          <cell r="P348">
            <v>2.5714199583990679E-2</v>
          </cell>
          <cell r="Q348">
            <v>2.8033783068018764E-2</v>
          </cell>
          <cell r="R348">
            <v>2.0349531612145162E-2</v>
          </cell>
          <cell r="S348">
            <v>1.6554750019808252E-2</v>
          </cell>
          <cell r="T348">
            <v>2.7305309955542232E-2</v>
          </cell>
          <cell r="U348">
            <v>2.2909614970486408E-2</v>
          </cell>
          <cell r="V348">
            <v>2.0242388412651493E-2</v>
          </cell>
          <cell r="W348">
            <v>1.3926942083915997E-2</v>
          </cell>
          <cell r="X348">
            <v>2.0817789481383953E-2</v>
          </cell>
          <cell r="Y348">
            <v>2.1729947679162868E-2</v>
          </cell>
          <cell r="Z348">
            <v>1.5387992320746431E-2</v>
          </cell>
          <cell r="AA348">
            <v>1.1006760275203567E-2</v>
          </cell>
          <cell r="AB348">
            <v>1.6402236349297068E-2</v>
          </cell>
          <cell r="AC348">
            <v>1.4439890196668298E-2</v>
          </cell>
          <cell r="AD348">
            <v>1.099370023918878E-2</v>
          </cell>
          <cell r="AE348">
            <v>8.0262628567311332E-3</v>
          </cell>
          <cell r="AF348">
            <v>1.2850821361459659E-2</v>
          </cell>
          <cell r="AG348">
            <v>1.3186821877075887E-2</v>
          </cell>
          <cell r="AH348">
            <v>1.0996667231693466E-2</v>
          </cell>
          <cell r="AI348">
            <v>7.7698636910670206E-3</v>
          </cell>
          <cell r="AJ348">
            <v>1.2999999999999999E-2</v>
          </cell>
          <cell r="AK348">
            <v>1.2999999999999999E-2</v>
          </cell>
          <cell r="AL348">
            <v>1.0999999999999999E-2</v>
          </cell>
          <cell r="AM348">
            <v>8.0000000000000002E-3</v>
          </cell>
          <cell r="AN348">
            <v>1.2999999999999999E-2</v>
          </cell>
        </row>
        <row r="349">
          <cell r="I349" t="str">
            <v>Bull Case</v>
          </cell>
          <cell r="M349">
            <v>3.1939195082443826E-2</v>
          </cell>
          <cell r="N349">
            <v>2.2040754602850553E-2</v>
          </cell>
          <cell r="O349">
            <v>2.0648012497268248E-2</v>
          </cell>
          <cell r="P349">
            <v>2.5714199583990679E-2</v>
          </cell>
          <cell r="Q349">
            <v>2.8033783068018764E-2</v>
          </cell>
          <cell r="R349">
            <v>2.0349531612145162E-2</v>
          </cell>
          <cell r="S349">
            <v>1.6554750019808252E-2</v>
          </cell>
          <cell r="T349">
            <v>2.7305309955542232E-2</v>
          </cell>
          <cell r="U349">
            <v>2.2909614970486408E-2</v>
          </cell>
          <cell r="V349">
            <v>2.0242388412651493E-2</v>
          </cell>
          <cell r="W349">
            <v>1.3926942083915997E-2</v>
          </cell>
          <cell r="X349">
            <v>2.0817789481383953E-2</v>
          </cell>
          <cell r="Y349">
            <v>2.1729947679162868E-2</v>
          </cell>
          <cell r="Z349">
            <v>1.5387992320746431E-2</v>
          </cell>
          <cell r="AA349">
            <v>1.1006760275203567E-2</v>
          </cell>
          <cell r="AB349">
            <v>1.6402236349297068E-2</v>
          </cell>
          <cell r="AC349">
            <v>1.4439890196668298E-2</v>
          </cell>
          <cell r="AD349">
            <v>1.099370023918878E-2</v>
          </cell>
          <cell r="AE349">
            <v>8.0262628567311332E-3</v>
          </cell>
          <cell r="AF349">
            <v>1.2850821361459659E-2</v>
          </cell>
          <cell r="AG349">
            <v>1.3186821877075887E-2</v>
          </cell>
          <cell r="AH349">
            <v>1.0996667231693466E-2</v>
          </cell>
          <cell r="AI349">
            <v>7.7698636910670206E-3</v>
          </cell>
          <cell r="AJ349">
            <v>1.0499999999999999E-2</v>
          </cell>
          <cell r="AK349">
            <v>1.0499999999999999E-2</v>
          </cell>
          <cell r="AL349">
            <v>8.4999999999999989E-3</v>
          </cell>
          <cell r="AM349">
            <v>5.4999999999999997E-3</v>
          </cell>
          <cell r="AN349">
            <v>1.0499999999999999E-2</v>
          </cell>
        </row>
        <row r="350">
          <cell r="I350" t="str">
            <v>Bull vs. Base Case - bps</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-25</v>
          </cell>
          <cell r="AK350">
            <v>-25</v>
          </cell>
          <cell r="AL350">
            <v>-25</v>
          </cell>
          <cell r="AM350">
            <v>-25</v>
          </cell>
          <cell r="AN350">
            <v>-25</v>
          </cell>
        </row>
        <row r="351">
          <cell r="I351" t="str">
            <v>Bear Case</v>
          </cell>
          <cell r="M351">
            <v>3.1939195082443826E-2</v>
          </cell>
          <cell r="N351">
            <v>2.2040754602850553E-2</v>
          </cell>
          <cell r="O351">
            <v>2.0648012497268248E-2</v>
          </cell>
          <cell r="P351">
            <v>2.5714199583990679E-2</v>
          </cell>
          <cell r="Q351">
            <v>2.8033783068018764E-2</v>
          </cell>
          <cell r="R351">
            <v>2.0349531612145162E-2</v>
          </cell>
          <cell r="S351">
            <v>1.6554750019808252E-2</v>
          </cell>
          <cell r="T351">
            <v>2.7305309955542232E-2</v>
          </cell>
          <cell r="U351">
            <v>2.2909614970486408E-2</v>
          </cell>
          <cell r="V351">
            <v>2.0242388412651493E-2</v>
          </cell>
          <cell r="W351">
            <v>1.3926942083915997E-2</v>
          </cell>
          <cell r="X351">
            <v>2.0817789481383953E-2</v>
          </cell>
          <cell r="Y351">
            <v>2.1729947679162868E-2</v>
          </cell>
          <cell r="Z351">
            <v>1.5387992320746431E-2</v>
          </cell>
          <cell r="AA351">
            <v>1.1006760275203567E-2</v>
          </cell>
          <cell r="AB351">
            <v>1.6402236349297068E-2</v>
          </cell>
          <cell r="AC351">
            <v>1.4439890196668298E-2</v>
          </cell>
          <cell r="AD351">
            <v>1.099370023918878E-2</v>
          </cell>
          <cell r="AE351">
            <v>8.0262628567311332E-3</v>
          </cell>
          <cell r="AF351">
            <v>1.2850821361459659E-2</v>
          </cell>
          <cell r="AG351">
            <v>1.3186821877075887E-2</v>
          </cell>
          <cell r="AH351">
            <v>1.0996667231693466E-2</v>
          </cell>
          <cell r="AI351">
            <v>7.7698636910670206E-3</v>
          </cell>
          <cell r="AJ351">
            <v>1.55E-2</v>
          </cell>
          <cell r="AK351">
            <v>1.55E-2</v>
          </cell>
          <cell r="AL351">
            <v>1.35E-2</v>
          </cell>
          <cell r="AM351">
            <v>1.0500000000000001E-2</v>
          </cell>
          <cell r="AN351">
            <v>1.55E-2</v>
          </cell>
        </row>
        <row r="352">
          <cell r="I352" t="str">
            <v>Bear vs. Base Case - bps</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25</v>
          </cell>
          <cell r="AK352">
            <v>25</v>
          </cell>
          <cell r="AL352">
            <v>25</v>
          </cell>
          <cell r="AM352">
            <v>25</v>
          </cell>
          <cell r="AN352">
            <v>25</v>
          </cell>
        </row>
        <row r="354">
          <cell r="I354" t="str">
            <v>Stock-Based Compensation as % of Gross Profit</v>
          </cell>
        </row>
        <row r="355">
          <cell r="I355" t="str">
            <v>Base Case</v>
          </cell>
          <cell r="M355">
            <v>4.1768769641843534E-2</v>
          </cell>
          <cell r="N355">
            <v>3.513099693773393E-2</v>
          </cell>
          <cell r="O355">
            <v>2.86773454636697E-2</v>
          </cell>
          <cell r="P355">
            <v>4.6735733593255425E-2</v>
          </cell>
          <cell r="Q355">
            <v>3.0489507795722227E-2</v>
          </cell>
          <cell r="R355">
            <v>2.2376737489750994E-2</v>
          </cell>
          <cell r="S355">
            <v>2.0437168211710637E-2</v>
          </cell>
          <cell r="T355">
            <v>3.4304910335181571E-2</v>
          </cell>
          <cell r="U355">
            <v>5.4880371943037937E-2</v>
          </cell>
          <cell r="V355">
            <v>3.5774953197359342E-2</v>
          </cell>
          <cell r="W355">
            <v>3.1811767981321071E-2</v>
          </cell>
          <cell r="X355">
            <v>5.5840830956038333E-2</v>
          </cell>
          <cell r="Y355">
            <v>5.0847213555416888E-2</v>
          </cell>
          <cell r="Z355">
            <v>3.6902351607598E-2</v>
          </cell>
          <cell r="AA355">
            <v>2.5045736694884399E-2</v>
          </cell>
          <cell r="AB355">
            <v>2.5364875522448104E-2</v>
          </cell>
          <cell r="AC355">
            <v>3.7318717958359983E-2</v>
          </cell>
          <cell r="AD355">
            <v>3.4732905862932484E-2</v>
          </cell>
          <cell r="AE355">
            <v>3.1786822938870106E-2</v>
          </cell>
          <cell r="AF355">
            <v>4.1073298593474673E-2</v>
          </cell>
          <cell r="AG355">
            <v>2.7664647455160854E-2</v>
          </cell>
          <cell r="AH355">
            <v>1.7502038767956841E-2</v>
          </cell>
          <cell r="AI355">
            <v>1.2087464595672583E-2</v>
          </cell>
          <cell r="AJ355">
            <v>0.03</v>
          </cell>
          <cell r="AK355">
            <v>2.8000000000000001E-2</v>
          </cell>
          <cell r="AL355">
            <v>1.9502038767956843E-2</v>
          </cell>
          <cell r="AM355">
            <v>1.4999999999999999E-2</v>
          </cell>
          <cell r="AN355">
            <v>0.03</v>
          </cell>
        </row>
        <row r="356">
          <cell r="I356" t="str">
            <v>Bull Case</v>
          </cell>
          <cell r="M356">
            <v>4.1768769641843534E-2</v>
          </cell>
          <cell r="N356">
            <v>3.513099693773393E-2</v>
          </cell>
          <cell r="O356">
            <v>2.86773454636697E-2</v>
          </cell>
          <cell r="P356">
            <v>4.6735733593255425E-2</v>
          </cell>
          <cell r="Q356">
            <v>3.0489507795722227E-2</v>
          </cell>
          <cell r="R356">
            <v>2.2376737489750994E-2</v>
          </cell>
          <cell r="S356">
            <v>2.0437168211710637E-2</v>
          </cell>
          <cell r="T356">
            <v>3.4304910335181571E-2</v>
          </cell>
          <cell r="U356">
            <v>5.4880371943037937E-2</v>
          </cell>
          <cell r="V356">
            <v>3.5774953197359342E-2</v>
          </cell>
          <cell r="W356">
            <v>3.1811767981321071E-2</v>
          </cell>
          <cell r="X356">
            <v>5.5840830956038333E-2</v>
          </cell>
          <cell r="Y356">
            <v>5.0847213555416888E-2</v>
          </cell>
          <cell r="Z356">
            <v>3.6902351607598E-2</v>
          </cell>
          <cell r="AA356">
            <v>2.5045736694884399E-2</v>
          </cell>
          <cell r="AB356">
            <v>2.5364875522448104E-2</v>
          </cell>
          <cell r="AC356">
            <v>3.7318717958359983E-2</v>
          </cell>
          <cell r="AD356">
            <v>3.4732905862932484E-2</v>
          </cell>
          <cell r="AE356">
            <v>3.1786822938870106E-2</v>
          </cell>
          <cell r="AF356">
            <v>4.1073298593474673E-2</v>
          </cell>
          <cell r="AG356">
            <v>2.7664647455160854E-2</v>
          </cell>
          <cell r="AH356">
            <v>1.7502038767956841E-2</v>
          </cell>
          <cell r="AI356">
            <v>1.2087464595672583E-2</v>
          </cell>
          <cell r="AJ356">
            <v>2.75E-2</v>
          </cell>
          <cell r="AK356">
            <v>2.5500000000000002E-2</v>
          </cell>
          <cell r="AL356">
            <v>1.7002038767956845E-2</v>
          </cell>
          <cell r="AM356">
            <v>1.2499999999999999E-2</v>
          </cell>
          <cell r="AN356">
            <v>2.75E-2</v>
          </cell>
        </row>
        <row r="357">
          <cell r="I357" t="str">
            <v>Bull vs. Base Case - bps</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-25</v>
          </cell>
          <cell r="AK357">
            <v>-25</v>
          </cell>
          <cell r="AL357">
            <v>-25</v>
          </cell>
          <cell r="AM357">
            <v>-25</v>
          </cell>
          <cell r="AN357">
            <v>-25</v>
          </cell>
        </row>
        <row r="358">
          <cell r="I358" t="str">
            <v>Bear Case</v>
          </cell>
          <cell r="M358">
            <v>4.1768769641843534E-2</v>
          </cell>
          <cell r="N358">
            <v>3.513099693773393E-2</v>
          </cell>
          <cell r="O358">
            <v>2.86773454636697E-2</v>
          </cell>
          <cell r="P358">
            <v>4.6735733593255425E-2</v>
          </cell>
          <cell r="Q358">
            <v>3.0489507795722227E-2</v>
          </cell>
          <cell r="R358">
            <v>2.2376737489750994E-2</v>
          </cell>
          <cell r="S358">
            <v>2.0437168211710637E-2</v>
          </cell>
          <cell r="T358">
            <v>3.4304910335181571E-2</v>
          </cell>
          <cell r="U358">
            <v>5.4880371943037937E-2</v>
          </cell>
          <cell r="V358">
            <v>3.5774953197359342E-2</v>
          </cell>
          <cell r="W358">
            <v>3.1811767981321071E-2</v>
          </cell>
          <cell r="X358">
            <v>5.5840830956038333E-2</v>
          </cell>
          <cell r="Y358">
            <v>5.0847213555416888E-2</v>
          </cell>
          <cell r="Z358">
            <v>3.6902351607598E-2</v>
          </cell>
          <cell r="AA358">
            <v>2.5045736694884399E-2</v>
          </cell>
          <cell r="AB358">
            <v>2.5364875522448104E-2</v>
          </cell>
          <cell r="AC358">
            <v>3.7318717958359983E-2</v>
          </cell>
          <cell r="AD358">
            <v>3.4732905862932484E-2</v>
          </cell>
          <cell r="AE358">
            <v>3.1786822938870106E-2</v>
          </cell>
          <cell r="AF358">
            <v>4.1073298593474673E-2</v>
          </cell>
          <cell r="AG358">
            <v>2.7664647455160854E-2</v>
          </cell>
          <cell r="AH358">
            <v>1.7502038767956841E-2</v>
          </cell>
          <cell r="AI358">
            <v>1.2087464595672583E-2</v>
          </cell>
          <cell r="AJ358">
            <v>3.2500000000000001E-2</v>
          </cell>
          <cell r="AK358">
            <v>3.0499999999999999E-2</v>
          </cell>
          <cell r="AL358">
            <v>2.2002038767956842E-2</v>
          </cell>
          <cell r="AM358">
            <v>1.7499999999999998E-2</v>
          </cell>
          <cell r="AN358">
            <v>3.2500000000000001E-2</v>
          </cell>
        </row>
        <row r="359">
          <cell r="I359" t="str">
            <v>Bear vs. Base Case - bps</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25</v>
          </cell>
          <cell r="AK359">
            <v>25</v>
          </cell>
          <cell r="AL359">
            <v>25</v>
          </cell>
          <cell r="AM359">
            <v>25</v>
          </cell>
          <cell r="AN359">
            <v>25</v>
          </cell>
        </row>
        <row r="361">
          <cell r="I361" t="str">
            <v>Model Drivers</v>
          </cell>
        </row>
        <row r="362">
          <cell r="I362" t="str">
            <v>Gross Bookings Model Drivers:</v>
          </cell>
        </row>
        <row r="363">
          <cell r="I363" t="str">
            <v>US</v>
          </cell>
        </row>
        <row r="364">
          <cell r="I364" t="str">
            <v>Agency (Priceline.com) - Y/Y Growth</v>
          </cell>
          <cell r="AJ364">
            <v>0.18</v>
          </cell>
          <cell r="AK364">
            <v>0.15</v>
          </cell>
          <cell r="AL364">
            <v>0.17</v>
          </cell>
          <cell r="AM364">
            <v>0.17</v>
          </cell>
          <cell r="AN364">
            <v>0.16</v>
          </cell>
        </row>
        <row r="365">
          <cell r="I365" t="str">
            <v>Merchant (NYOP &amp; Priceline.com) - Y/Y growth</v>
          </cell>
          <cell r="AJ365">
            <v>0.08</v>
          </cell>
          <cell r="AK365">
            <v>0.08</v>
          </cell>
          <cell r="AL365">
            <v>0.09</v>
          </cell>
          <cell r="AM365">
            <v>0.09</v>
          </cell>
          <cell r="AN365">
            <v>0.08</v>
          </cell>
        </row>
        <row r="366">
          <cell r="I366" t="str">
            <v>Europe</v>
          </cell>
        </row>
        <row r="367">
          <cell r="I367" t="str">
            <v>Agency (Booking.com &amp; Other) - Y/Y growth</v>
          </cell>
          <cell r="AJ367">
            <v>0.44215147226210577</v>
          </cell>
          <cell r="AK367">
            <v>0.27375034141813703</v>
          </cell>
          <cell r="AL367">
            <v>0.25919430319770514</v>
          </cell>
          <cell r="AM367">
            <v>0.28358264172784808</v>
          </cell>
          <cell r="AN367">
            <v>0.2567397418289814</v>
          </cell>
        </row>
        <row r="368">
          <cell r="I368" t="str">
            <v>Merchant (TravelJigsaw) - Y/Y growth</v>
          </cell>
          <cell r="AJ368">
            <v>0.69215147226210572</v>
          </cell>
          <cell r="AK368">
            <v>0.55375034141813706</v>
          </cell>
          <cell r="AL368">
            <v>0.55919430319770513</v>
          </cell>
          <cell r="AM368">
            <v>0.57358264172784812</v>
          </cell>
          <cell r="AN368">
            <v>0.56673974182898135</v>
          </cell>
        </row>
        <row r="369">
          <cell r="I369" t="str">
            <v>Asia</v>
          </cell>
        </row>
        <row r="370">
          <cell r="I370" t="str">
            <v>Agency (Booking.com) - Y/Y growth</v>
          </cell>
          <cell r="AJ370">
            <v>1.0454551581950273</v>
          </cell>
          <cell r="AK370">
            <v>0.74519655383601913</v>
          </cell>
          <cell r="AL370">
            <v>0.76965937972413578</v>
          </cell>
          <cell r="AM370">
            <v>0.75191701779857967</v>
          </cell>
          <cell r="AN370">
            <v>0.71257667341143149</v>
          </cell>
        </row>
        <row r="371">
          <cell r="I371" t="str">
            <v>Merchant (Agoda) - Y/Y growth</v>
          </cell>
          <cell r="AJ371">
            <v>0.84545515819502737</v>
          </cell>
          <cell r="AK371">
            <v>0.64519655383601915</v>
          </cell>
          <cell r="AL371">
            <v>0.66965937972413581</v>
          </cell>
          <cell r="AM371">
            <v>0.65191701779857969</v>
          </cell>
          <cell r="AN371">
            <v>0.61257667341143152</v>
          </cell>
        </row>
        <row r="372">
          <cell r="I372" t="str">
            <v>Latin America</v>
          </cell>
        </row>
        <row r="373">
          <cell r="I373" t="str">
            <v>Agency (Booking.com) - Y/Y growth</v>
          </cell>
          <cell r="AJ373">
            <v>0.92866065574799694</v>
          </cell>
          <cell r="AK373">
            <v>0.66217508968191952</v>
          </cell>
          <cell r="AL373">
            <v>0.6926001226320716</v>
          </cell>
          <cell r="AM373">
            <v>0.70097497037321943</v>
          </cell>
          <cell r="AN373">
            <v>0.69756709862743027</v>
          </cell>
        </row>
        <row r="375">
          <cell r="I375" t="str">
            <v>US</v>
          </cell>
        </row>
        <row r="376">
          <cell r="I376" t="str">
            <v xml:space="preserve">Agency (Priceline.com) </v>
          </cell>
          <cell r="M376">
            <v>207.69199999999989</v>
          </cell>
          <cell r="N376">
            <v>252.69099999999986</v>
          </cell>
          <cell r="O376">
            <v>201.9899999999999</v>
          </cell>
          <cell r="P376">
            <v>171.93399999999994</v>
          </cell>
          <cell r="Q376">
            <v>190.84899999999999</v>
          </cell>
          <cell r="R376">
            <v>232.13600000000002</v>
          </cell>
          <cell r="S376">
            <v>254.14100000000002</v>
          </cell>
          <cell r="T376">
            <v>246.33799999999991</v>
          </cell>
          <cell r="U376">
            <v>357.07499999999987</v>
          </cell>
          <cell r="V376">
            <v>443.2940000000001</v>
          </cell>
          <cell r="W376">
            <v>385.09300000000013</v>
          </cell>
          <cell r="X376">
            <v>353.52399999999983</v>
          </cell>
          <cell r="Y376">
            <v>417.31599999999986</v>
          </cell>
          <cell r="Z376">
            <v>453.41999999999996</v>
          </cell>
          <cell r="AA376">
            <v>474.61099999999999</v>
          </cell>
          <cell r="AB376">
            <v>427.04500000000019</v>
          </cell>
          <cell r="AC376">
            <v>485.1570000000001</v>
          </cell>
          <cell r="AD376">
            <v>558.46900000000005</v>
          </cell>
          <cell r="AE376">
            <v>538.9</v>
          </cell>
          <cell r="AF376">
            <v>445.875</v>
          </cell>
          <cell r="AG376">
            <v>539.86160000000007</v>
          </cell>
          <cell r="AH376">
            <v>608.48919999999998</v>
          </cell>
          <cell r="AI376">
            <v>660.58500000000004</v>
          </cell>
          <cell r="AJ376">
            <v>526.13249999999994</v>
          </cell>
          <cell r="AK376">
            <v>620.84084000000007</v>
          </cell>
          <cell r="AL376">
            <v>711.93236399999989</v>
          </cell>
          <cell r="AM376">
            <v>772.88445000000002</v>
          </cell>
          <cell r="AN376">
            <v>610.31369999999993</v>
          </cell>
        </row>
        <row r="377">
          <cell r="I377" t="str">
            <v xml:space="preserve">Merchant (NYOP &amp; Priceline.com) </v>
          </cell>
          <cell r="M377">
            <v>266.315</v>
          </cell>
          <cell r="N377">
            <v>318.06599999999997</v>
          </cell>
          <cell r="O377">
            <v>302.762</v>
          </cell>
          <cell r="P377">
            <v>251.34</v>
          </cell>
          <cell r="Q377">
            <v>287.96300000000002</v>
          </cell>
          <cell r="R377">
            <v>315.65100000000001</v>
          </cell>
          <cell r="S377">
            <v>348.06400000000002</v>
          </cell>
          <cell r="T377">
            <v>279.233</v>
          </cell>
          <cell r="U377">
            <v>363.89299999999997</v>
          </cell>
          <cell r="V377">
            <v>428.99</v>
          </cell>
          <cell r="W377">
            <v>414.334</v>
          </cell>
          <cell r="X377">
            <v>335.589</v>
          </cell>
          <cell r="Y377">
            <v>434.26799999999997</v>
          </cell>
          <cell r="Z377">
            <v>510.75799999999992</v>
          </cell>
          <cell r="AA377">
            <v>524.23500000000001</v>
          </cell>
          <cell r="AB377">
            <v>404.40899999999999</v>
          </cell>
          <cell r="AC377">
            <v>504.53799999999995</v>
          </cell>
          <cell r="AD377">
            <v>595.71100000000001</v>
          </cell>
          <cell r="AE377">
            <v>582.1</v>
          </cell>
          <cell r="AF377">
            <v>456.125</v>
          </cell>
          <cell r="AG377">
            <v>589.13839999999993</v>
          </cell>
          <cell r="AH377">
            <v>699.51080000000002</v>
          </cell>
          <cell r="AI377">
            <v>607.41499999999996</v>
          </cell>
          <cell r="AJ377">
            <v>492.61500000000001</v>
          </cell>
          <cell r="AK377">
            <v>636.26947199999995</v>
          </cell>
          <cell r="AL377">
            <v>762.46677200000011</v>
          </cell>
          <cell r="AM377">
            <v>662.08235000000002</v>
          </cell>
          <cell r="AN377">
            <v>532.02420000000006</v>
          </cell>
        </row>
        <row r="378">
          <cell r="I378" t="str">
            <v>Europe</v>
          </cell>
        </row>
        <row r="379">
          <cell r="I379" t="str">
            <v xml:space="preserve">Agency (Booking.com &amp; Other) </v>
          </cell>
          <cell r="M379">
            <v>267.26400000000007</v>
          </cell>
          <cell r="N379">
            <v>350.74300000000011</v>
          </cell>
          <cell r="O379">
            <v>392.76600000000008</v>
          </cell>
          <cell r="P379">
            <v>313.15600000000006</v>
          </cell>
          <cell r="Q379">
            <v>504.00400000000002</v>
          </cell>
          <cell r="R379">
            <v>670.29899999999998</v>
          </cell>
          <cell r="S379">
            <v>772.15299999999979</v>
          </cell>
          <cell r="T379">
            <v>649.81000000000006</v>
          </cell>
          <cell r="U379">
            <v>972.23150000000021</v>
          </cell>
          <cell r="V379">
            <v>1168.3035</v>
          </cell>
          <cell r="W379">
            <v>1173.1324999999999</v>
          </cell>
          <cell r="X379">
            <v>711.15499999999997</v>
          </cell>
          <cell r="Y379">
            <v>962.86</v>
          </cell>
          <cell r="Z379">
            <v>1262.009125</v>
          </cell>
          <cell r="AA379">
            <v>1538.44625</v>
          </cell>
          <cell r="AB379">
            <v>1228.8415</v>
          </cell>
          <cell r="AC379">
            <v>1656.6200000000001</v>
          </cell>
          <cell r="AD379">
            <v>1843.9102500000001</v>
          </cell>
          <cell r="AE379">
            <v>2305.939625</v>
          </cell>
          <cell r="AF379">
            <v>1857.9887500000002</v>
          </cell>
          <cell r="AG379">
            <v>2708.0260000000003</v>
          </cell>
          <cell r="AH379">
            <v>3431.0739750000002</v>
          </cell>
          <cell r="AI379">
            <v>3748.7228999999998</v>
          </cell>
          <cell r="AJ379">
            <v>2679.5012112589302</v>
          </cell>
          <cell r="AK379">
            <v>3449.3490420691924</v>
          </cell>
          <cell r="AL379">
            <v>4320.3888031699053</v>
          </cell>
          <cell r="AM379">
            <v>4811.7956430876802</v>
          </cell>
          <cell r="AN379">
            <v>3367.4356604679911</v>
          </cell>
        </row>
        <row r="380">
          <cell r="I380" t="str">
            <v xml:space="preserve">Merchant (TravelJigsaw) </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43.9</v>
          </cell>
          <cell r="AE380">
            <v>85.8</v>
          </cell>
          <cell r="AF380">
            <v>55</v>
          </cell>
          <cell r="AG380">
            <v>95.7</v>
          </cell>
          <cell r="AH380">
            <v>154</v>
          </cell>
          <cell r="AI380">
            <v>145.85999999999999</v>
          </cell>
          <cell r="AJ380">
            <v>93.068330974415815</v>
          </cell>
          <cell r="AK380">
            <v>148.69390767371573</v>
          </cell>
          <cell r="AL380">
            <v>240.11592269244659</v>
          </cell>
          <cell r="AM380">
            <v>229.52276412242392</v>
          </cell>
          <cell r="AN380">
            <v>145.81385284331043</v>
          </cell>
        </row>
        <row r="381">
          <cell r="I381" t="str">
            <v>Asia</v>
          </cell>
        </row>
        <row r="382">
          <cell r="I382" t="str">
            <v xml:space="preserve">Agency (Booking.com) </v>
          </cell>
          <cell r="M382">
            <v>3.55</v>
          </cell>
          <cell r="N382">
            <v>3.85</v>
          </cell>
          <cell r="O382">
            <v>3.65</v>
          </cell>
          <cell r="P382">
            <v>3.98</v>
          </cell>
          <cell r="Q382">
            <v>8.875</v>
          </cell>
          <cell r="R382">
            <v>9.625</v>
          </cell>
          <cell r="S382">
            <v>9.125</v>
          </cell>
          <cell r="T382">
            <v>9.9499999999999993</v>
          </cell>
          <cell r="U382">
            <v>20.412499999999998</v>
          </cell>
          <cell r="V382">
            <v>22.137499999999999</v>
          </cell>
          <cell r="W382">
            <v>20.987499999999997</v>
          </cell>
          <cell r="X382">
            <v>22.884999999999998</v>
          </cell>
          <cell r="Y382">
            <v>32.659999999999997</v>
          </cell>
          <cell r="Z382">
            <v>40.068874999999998</v>
          </cell>
          <cell r="AA382">
            <v>44.073749999999997</v>
          </cell>
          <cell r="AB382">
            <v>57.212499999999991</v>
          </cell>
          <cell r="AC382">
            <v>71.852000000000004</v>
          </cell>
          <cell r="AD382">
            <v>80.137749999999997</v>
          </cell>
          <cell r="AE382">
            <v>110.18437499999999</v>
          </cell>
          <cell r="AF382">
            <v>120.14624999999998</v>
          </cell>
          <cell r="AG382">
            <v>165.25960000000001</v>
          </cell>
          <cell r="AH382">
            <v>184.31682499999997</v>
          </cell>
          <cell r="AI382">
            <v>264.44249999999994</v>
          </cell>
          <cell r="AJ382">
            <v>245.75376680028927</v>
          </cell>
          <cell r="AK382">
            <v>288.41048440831901</v>
          </cell>
          <cell r="AL382">
            <v>326.177998202222</v>
          </cell>
          <cell r="AM382">
            <v>463.28131597920077</v>
          </cell>
          <cell r="AN382">
            <v>420.87216842516807</v>
          </cell>
        </row>
        <row r="383">
          <cell r="I383" t="str">
            <v xml:space="preserve">Merchant (Agoda) </v>
          </cell>
          <cell r="M383">
            <v>0</v>
          </cell>
          <cell r="N383">
            <v>0</v>
          </cell>
          <cell r="O383">
            <v>0</v>
          </cell>
          <cell r="P383">
            <v>0</v>
          </cell>
          <cell r="Q383">
            <v>0</v>
          </cell>
          <cell r="R383">
            <v>0</v>
          </cell>
          <cell r="S383">
            <v>0</v>
          </cell>
          <cell r="T383">
            <v>13.4</v>
          </cell>
          <cell r="U383">
            <v>24.6</v>
          </cell>
          <cell r="V383">
            <v>24.2</v>
          </cell>
          <cell r="W383">
            <v>32.4</v>
          </cell>
          <cell r="X383">
            <v>37.5</v>
          </cell>
          <cell r="Y383">
            <v>39.360000000000007</v>
          </cell>
          <cell r="Z383">
            <v>43.802</v>
          </cell>
          <cell r="AA383">
            <v>68.040000000000006</v>
          </cell>
          <cell r="AB383">
            <v>93.75</v>
          </cell>
          <cell r="AC383">
            <v>86.592000000000027</v>
          </cell>
          <cell r="AD383">
            <v>87.603999999999999</v>
          </cell>
          <cell r="AE383">
            <v>170.10000000000002</v>
          </cell>
          <cell r="AF383">
            <v>196.875</v>
          </cell>
          <cell r="AG383">
            <v>199.16160000000005</v>
          </cell>
          <cell r="AH383">
            <v>201.48919999999998</v>
          </cell>
          <cell r="AI383">
            <v>382.72500000000002</v>
          </cell>
          <cell r="AJ383">
            <v>363.32398426964602</v>
          </cell>
          <cell r="AK383">
            <v>327.65997797646781</v>
          </cell>
          <cell r="AL383">
            <v>336.41833269311235</v>
          </cell>
          <cell r="AM383">
            <v>632.22994063696137</v>
          </cell>
          <cell r="AN383">
            <v>585.88778192413304</v>
          </cell>
        </row>
        <row r="384">
          <cell r="I384" t="str">
            <v>Latin America</v>
          </cell>
        </row>
        <row r="385">
          <cell r="I385" t="str">
            <v xml:space="preserve">Agency (Booking.com) </v>
          </cell>
          <cell r="M385">
            <v>2</v>
          </cell>
          <cell r="N385">
            <v>2</v>
          </cell>
          <cell r="O385">
            <v>2</v>
          </cell>
          <cell r="P385">
            <v>2</v>
          </cell>
          <cell r="Q385">
            <v>6.8</v>
          </cell>
          <cell r="R385">
            <v>7.2</v>
          </cell>
          <cell r="S385">
            <v>7.2</v>
          </cell>
          <cell r="T385">
            <v>6.6</v>
          </cell>
          <cell r="U385">
            <v>20.399999999999999</v>
          </cell>
          <cell r="V385">
            <v>23.040000000000003</v>
          </cell>
          <cell r="W385">
            <v>24.48</v>
          </cell>
          <cell r="X385">
            <v>20.46</v>
          </cell>
          <cell r="Y385">
            <v>57.11999999999999</v>
          </cell>
          <cell r="Z385">
            <v>69.12</v>
          </cell>
          <cell r="AA385">
            <v>73.44</v>
          </cell>
          <cell r="AB385">
            <v>53.196000000000005</v>
          </cell>
          <cell r="AC385">
            <v>159.93599999999995</v>
          </cell>
          <cell r="AD385">
            <v>200.44800000000001</v>
          </cell>
          <cell r="AE385">
            <v>212.976</v>
          </cell>
          <cell r="AF385">
            <v>132.99</v>
          </cell>
          <cell r="AG385">
            <v>367.85279999999983</v>
          </cell>
          <cell r="AH385">
            <v>501.12</v>
          </cell>
          <cell r="AI385">
            <v>447.24960000000004</v>
          </cell>
          <cell r="AJ385">
            <v>256.49258060792613</v>
          </cell>
          <cell r="AK385">
            <v>611.43576082974494</v>
          </cell>
          <cell r="AL385">
            <v>848.19577345338382</v>
          </cell>
          <cell r="AM385">
            <v>760.76037510943434</v>
          </cell>
          <cell r="AN385">
            <v>435.41336588205945</v>
          </cell>
        </row>
        <row r="387">
          <cell r="I387" t="str">
            <v>Revenue Model Drivers:</v>
          </cell>
        </row>
        <row r="388">
          <cell r="I388" t="str">
            <v>US</v>
          </cell>
        </row>
        <row r="389">
          <cell r="I389" t="str">
            <v>Agency (Priceline.com) - % of gross bookings</v>
          </cell>
          <cell r="AI389">
            <v>2.917850844327393E-2</v>
          </cell>
          <cell r="AJ389">
            <v>3.3000000000000002E-2</v>
          </cell>
          <cell r="AK389">
            <v>2.8000000000000001E-2</v>
          </cell>
          <cell r="AL389">
            <v>3.2000000000000001E-2</v>
          </cell>
          <cell r="AM389">
            <v>2.9000000000000001E-2</v>
          </cell>
          <cell r="AN389">
            <v>0.03</v>
          </cell>
        </row>
        <row r="390">
          <cell r="I390" t="str">
            <v>Merchant (NYOP &amp; Priceline.com) - % of gross bookings</v>
          </cell>
          <cell r="AI390">
            <v>0.78621060559913736</v>
          </cell>
          <cell r="AJ390">
            <v>0.74</v>
          </cell>
          <cell r="AK390">
            <v>0.68500000000000005</v>
          </cell>
          <cell r="AL390">
            <v>0.66900000000000004</v>
          </cell>
          <cell r="AM390">
            <v>0.79300000000000004</v>
          </cell>
          <cell r="AN390">
            <v>0.74199999999999999</v>
          </cell>
        </row>
        <row r="391">
          <cell r="I391" t="str">
            <v>Other - Y/Y growth</v>
          </cell>
          <cell r="AI391">
            <v>-9.1936469150885824E-2</v>
          </cell>
          <cell r="AJ391">
            <v>0</v>
          </cell>
          <cell r="AK391">
            <v>0</v>
          </cell>
          <cell r="AL391">
            <v>0</v>
          </cell>
          <cell r="AM391">
            <v>0</v>
          </cell>
          <cell r="AN391">
            <v>0</v>
          </cell>
        </row>
        <row r="392">
          <cell r="I392" t="str">
            <v>Europe</v>
          </cell>
        </row>
        <row r="393">
          <cell r="I393" t="str">
            <v>Agency (Booking.com &amp; Other) -  % of gross bookings</v>
          </cell>
          <cell r="AI393">
            <v>0.20034010772041858</v>
          </cell>
          <cell r="AJ393">
            <v>0.158</v>
          </cell>
          <cell r="AK393">
            <v>9.5000000000000001E-2</v>
          </cell>
          <cell r="AL393">
            <v>0.13</v>
          </cell>
          <cell r="AM393">
            <v>0.19500000000000001</v>
          </cell>
          <cell r="AN393">
            <v>0.155</v>
          </cell>
        </row>
        <row r="394">
          <cell r="I394" t="str">
            <v>Merchant (TravelJigsaw) - % of gross bookings</v>
          </cell>
          <cell r="AI394">
            <v>0.18099999999999999</v>
          </cell>
          <cell r="AJ394">
            <v>0.18</v>
          </cell>
          <cell r="AK394">
            <v>0.18</v>
          </cell>
          <cell r="AL394">
            <v>0.17799999999999999</v>
          </cell>
          <cell r="AM394">
            <v>0.17799999999999999</v>
          </cell>
          <cell r="AN394">
            <v>0.18</v>
          </cell>
        </row>
        <row r="395">
          <cell r="I395" t="str">
            <v>Asia</v>
          </cell>
        </row>
        <row r="396">
          <cell r="I396" t="str">
            <v>Agency (Booking.com) - % of gross bookings</v>
          </cell>
          <cell r="AI396">
            <v>0.15</v>
          </cell>
          <cell r="AJ396">
            <v>0.15</v>
          </cell>
          <cell r="AK396">
            <v>0.15</v>
          </cell>
          <cell r="AL396">
            <v>0.14799999999999999</v>
          </cell>
          <cell r="AM396">
            <v>0.14799999999999999</v>
          </cell>
          <cell r="AN396">
            <v>0.15</v>
          </cell>
        </row>
        <row r="397">
          <cell r="I397" t="str">
            <v>Merchant (Agoda) - % of gross bookings</v>
          </cell>
          <cell r="AI397">
            <v>0.18099999999999999</v>
          </cell>
          <cell r="AJ397">
            <v>0.18</v>
          </cell>
          <cell r="AK397">
            <v>0.17899999999999999</v>
          </cell>
          <cell r="AL397">
            <v>0.17799999999999999</v>
          </cell>
          <cell r="AM397">
            <v>0.17799999999999999</v>
          </cell>
          <cell r="AN397">
            <v>0.17899999999999999</v>
          </cell>
        </row>
        <row r="398">
          <cell r="I398" t="str">
            <v>Latin America</v>
          </cell>
        </row>
        <row r="399">
          <cell r="I399" t="str">
            <v>Agency (Booking.com) - % of gross bookings</v>
          </cell>
          <cell r="AI399">
            <v>0.14899999999999999</v>
          </cell>
          <cell r="AJ399">
            <v>0.15</v>
          </cell>
          <cell r="AK399">
            <v>0.14899999999999999</v>
          </cell>
          <cell r="AL399">
            <v>0.14799999999999999</v>
          </cell>
          <cell r="AM399">
            <v>0.14799999999999999</v>
          </cell>
          <cell r="AN399">
            <v>0.14899999999999999</v>
          </cell>
        </row>
        <row r="401">
          <cell r="I401" t="str">
            <v>US</v>
          </cell>
        </row>
        <row r="402">
          <cell r="I402" t="str">
            <v xml:space="preserve">Agency (Priceline.com) </v>
          </cell>
          <cell r="M402">
            <v>7.9809999999999937</v>
          </cell>
          <cell r="N402">
            <v>8.7919999999999874</v>
          </cell>
          <cell r="O402">
            <v>8.3260000000000485</v>
          </cell>
          <cell r="P402">
            <v>6.1009999999999796</v>
          </cell>
          <cell r="Q402">
            <v>6.6110000000000371</v>
          </cell>
          <cell r="R402">
            <v>7.9439999999999413</v>
          </cell>
          <cell r="S402">
            <v>7.8229999999999542</v>
          </cell>
          <cell r="T402">
            <v>5.7799999999999976</v>
          </cell>
          <cell r="U402">
            <v>10.160000000000023</v>
          </cell>
          <cell r="V402">
            <v>13.104999999999976</v>
          </cell>
          <cell r="W402">
            <v>14.770000000000049</v>
          </cell>
          <cell r="X402">
            <v>12.32299999999999</v>
          </cell>
          <cell r="Y402">
            <v>12.709799999999952</v>
          </cell>
          <cell r="Z402">
            <v>14.769359999999974</v>
          </cell>
          <cell r="AA402">
            <v>18.535199999999989</v>
          </cell>
          <cell r="AB402">
            <v>14.471000000000084</v>
          </cell>
          <cell r="AC402">
            <v>13.028559999999914</v>
          </cell>
          <cell r="AD402">
            <v>18.582720000000034</v>
          </cell>
          <cell r="AE402">
            <v>19.071999999999946</v>
          </cell>
          <cell r="AF402">
            <v>16.275500000000051</v>
          </cell>
          <cell r="AG402">
            <v>15.397088000000048</v>
          </cell>
          <cell r="AH402">
            <v>19.913566800000122</v>
          </cell>
          <cell r="AI402">
            <v>19.274885000000111</v>
          </cell>
          <cell r="AJ402">
            <v>17.362372499999999</v>
          </cell>
          <cell r="AK402">
            <v>17.383543520000003</v>
          </cell>
          <cell r="AL402">
            <v>22.781835647999998</v>
          </cell>
          <cell r="AM402">
            <v>22.41364905</v>
          </cell>
          <cell r="AN402">
            <v>18.309410999999997</v>
          </cell>
        </row>
        <row r="403">
          <cell r="I403" t="str">
            <v xml:space="preserve">Merchant (NYOP &amp; Priceline.com) </v>
          </cell>
          <cell r="M403">
            <v>210.43799999999999</v>
          </cell>
          <cell r="N403">
            <v>250.524</v>
          </cell>
          <cell r="O403">
            <v>238.55799999999999</v>
          </cell>
          <cell r="P403">
            <v>204.649</v>
          </cell>
          <cell r="Q403">
            <v>230.13299999999998</v>
          </cell>
          <cell r="R403">
            <v>252.59099999999998</v>
          </cell>
          <cell r="S403">
            <v>274.81600000000003</v>
          </cell>
          <cell r="T403">
            <v>224.28100000000001</v>
          </cell>
          <cell r="U403">
            <v>284.73099999999999</v>
          </cell>
          <cell r="V403">
            <v>331.87400000000002</v>
          </cell>
          <cell r="W403">
            <v>318.125</v>
          </cell>
          <cell r="X403">
            <v>262.06599999999997</v>
          </cell>
          <cell r="Y403">
            <v>329.94920000000002</v>
          </cell>
          <cell r="Z403">
            <v>384.93763999999999</v>
          </cell>
          <cell r="AA403">
            <v>388.0668</v>
          </cell>
          <cell r="AB403">
            <v>300.53199999999998</v>
          </cell>
          <cell r="AC403">
            <v>352.67843999999997</v>
          </cell>
          <cell r="AD403">
            <v>422.99828000000002</v>
          </cell>
          <cell r="AE403">
            <v>448.411</v>
          </cell>
          <cell r="AF403">
            <v>336.8965</v>
          </cell>
          <cell r="AG403">
            <v>401.72891199999998</v>
          </cell>
          <cell r="AH403">
            <v>466.89743320000002</v>
          </cell>
          <cell r="AI403">
            <v>477.55611499999998</v>
          </cell>
          <cell r="AJ403">
            <v>364.5351</v>
          </cell>
          <cell r="AK403">
            <v>435.84458832000001</v>
          </cell>
          <cell r="AL403">
            <v>510.09027046800009</v>
          </cell>
          <cell r="AM403">
            <v>525.03130355000008</v>
          </cell>
          <cell r="AN403">
            <v>394.76195640000003</v>
          </cell>
        </row>
        <row r="404">
          <cell r="I404" t="str">
            <v>Other</v>
          </cell>
          <cell r="M404">
            <v>1.095</v>
          </cell>
          <cell r="N404">
            <v>1.2350000000000001</v>
          </cell>
          <cell r="O404">
            <v>1.583</v>
          </cell>
          <cell r="P404">
            <v>1.121</v>
          </cell>
          <cell r="Q404">
            <v>0.86699999999999999</v>
          </cell>
          <cell r="R404">
            <v>2.6269999999999998</v>
          </cell>
          <cell r="S404">
            <v>2.4529999999999998</v>
          </cell>
          <cell r="T404">
            <v>2.3919999999999999</v>
          </cell>
          <cell r="U404">
            <v>4.0890000000000004</v>
          </cell>
          <cell r="V404">
            <v>4.4969999999999999</v>
          </cell>
          <cell r="W404">
            <v>5.0140000000000002</v>
          </cell>
          <cell r="X404">
            <v>4.2519999999999998</v>
          </cell>
          <cell r="Y404">
            <v>4.7990000000000004</v>
          </cell>
          <cell r="Z404">
            <v>6.4340000000000002</v>
          </cell>
          <cell r="AA404">
            <v>7.1580000000000004</v>
          </cell>
          <cell r="AB404">
            <v>3.85</v>
          </cell>
          <cell r="AC404">
            <v>2.887</v>
          </cell>
          <cell r="AD404">
            <v>3.258</v>
          </cell>
          <cell r="AE404">
            <v>3.274</v>
          </cell>
          <cell r="AF404">
            <v>3.2440000000000002</v>
          </cell>
          <cell r="AG404">
            <v>3.0939999999999999</v>
          </cell>
          <cell r="AH404">
            <v>3.0049999999999999</v>
          </cell>
          <cell r="AI404">
            <v>2.9729999999999999</v>
          </cell>
          <cell r="AJ404">
            <v>3.2440000000000002</v>
          </cell>
          <cell r="AK404">
            <v>3.0939999999999999</v>
          </cell>
          <cell r="AL404">
            <v>3.0049999999999999</v>
          </cell>
          <cell r="AM404">
            <v>2.9729999999999999</v>
          </cell>
          <cell r="AN404">
            <v>3.2440000000000002</v>
          </cell>
        </row>
        <row r="405">
          <cell r="I405" t="str">
            <v>Europe</v>
          </cell>
        </row>
        <row r="406">
          <cell r="I406" t="str">
            <v xml:space="preserve">Agency (Booking.com &amp; Other) </v>
          </cell>
          <cell r="M406">
            <v>21.567499999999999</v>
          </cell>
          <cell r="N406">
            <v>46.222500000000004</v>
          </cell>
          <cell r="O406">
            <v>64.152500000000003</v>
          </cell>
          <cell r="P406">
            <v>47.303000000000004</v>
          </cell>
          <cell r="Q406">
            <v>45.548749999999998</v>
          </cell>
          <cell r="R406">
            <v>87.876250000000013</v>
          </cell>
          <cell r="S406">
            <v>129.35124999999999</v>
          </cell>
          <cell r="T406">
            <v>97.505499999999998</v>
          </cell>
          <cell r="U406">
            <v>93.650125000000003</v>
          </cell>
          <cell r="V406">
            <v>153.36737500000001</v>
          </cell>
          <cell r="W406">
            <v>211.047875</v>
          </cell>
          <cell r="X406">
            <v>114.14825</v>
          </cell>
          <cell r="Y406">
            <v>94.048199999999994</v>
          </cell>
          <cell r="Z406">
            <v>173.33730875000001</v>
          </cell>
          <cell r="AA406">
            <v>287.02573749999993</v>
          </cell>
          <cell r="AB406">
            <v>189.46372500000001</v>
          </cell>
          <cell r="AC406">
            <v>165.44524000000001</v>
          </cell>
          <cell r="AD406">
            <v>256.84141750000003</v>
          </cell>
          <cell r="AE406">
            <v>436.46394375000006</v>
          </cell>
          <cell r="AF406">
            <v>291.5920625</v>
          </cell>
          <cell r="AG406">
            <v>256.05805200000003</v>
          </cell>
          <cell r="AH406">
            <v>446.4519094499999</v>
          </cell>
          <cell r="AI406">
            <v>751.01954959999989</v>
          </cell>
          <cell r="AJ406">
            <v>423.36119137891097</v>
          </cell>
          <cell r="AK406">
            <v>327.68815899657329</v>
          </cell>
          <cell r="AL406">
            <v>561.6505444120877</v>
          </cell>
          <cell r="AM406">
            <v>938.30015040209764</v>
          </cell>
          <cell r="AN406">
            <v>521.95252737253861</v>
          </cell>
        </row>
        <row r="407">
          <cell r="I407" t="str">
            <v xml:space="preserve">Merchant (TravelJigsaw) </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7.9019999999999992</v>
          </cell>
          <cell r="AE407">
            <v>15.443999999999999</v>
          </cell>
          <cell r="AF407">
            <v>9.9</v>
          </cell>
          <cell r="AG407">
            <v>17.225999999999999</v>
          </cell>
          <cell r="AH407">
            <v>27.565999999999999</v>
          </cell>
          <cell r="AI407">
            <v>26.400659999999995</v>
          </cell>
          <cell r="AJ407">
            <v>16.752299575394847</v>
          </cell>
          <cell r="AK407">
            <v>26.76490338126883</v>
          </cell>
          <cell r="AL407">
            <v>42.740634239255492</v>
          </cell>
          <cell r="AM407">
            <v>40.855052013791457</v>
          </cell>
          <cell r="AN407">
            <v>26.246493511795876</v>
          </cell>
        </row>
        <row r="408">
          <cell r="I408" t="str">
            <v>Asia</v>
          </cell>
        </row>
        <row r="409">
          <cell r="I409" t="str">
            <v xml:space="preserve">Agency (Booking.com) </v>
          </cell>
          <cell r="M409">
            <v>0.53249999999999997</v>
          </cell>
          <cell r="N409">
            <v>0.57750000000000001</v>
          </cell>
          <cell r="O409">
            <v>0.54749999999999999</v>
          </cell>
          <cell r="P409">
            <v>0.59699999999999998</v>
          </cell>
          <cell r="Q409">
            <v>1.33125</v>
          </cell>
          <cell r="R409">
            <v>1.4437499999999999</v>
          </cell>
          <cell r="S409">
            <v>1.3687499999999999</v>
          </cell>
          <cell r="T409">
            <v>1.4924999999999999</v>
          </cell>
          <cell r="U409">
            <v>3.0618749999999997</v>
          </cell>
          <cell r="V409">
            <v>3.3206249999999997</v>
          </cell>
          <cell r="W409">
            <v>3.1481249999999994</v>
          </cell>
          <cell r="X409">
            <v>3.4327499999999995</v>
          </cell>
          <cell r="Y409">
            <v>4.8989999999999991</v>
          </cell>
          <cell r="Z409">
            <v>6.0103312499999992</v>
          </cell>
          <cell r="AA409">
            <v>6.6110624999999992</v>
          </cell>
          <cell r="AB409">
            <v>8.5818749999999984</v>
          </cell>
          <cell r="AC409">
            <v>10.777800000000001</v>
          </cell>
          <cell r="AD409">
            <v>12.020662499999998</v>
          </cell>
          <cell r="AE409">
            <v>16.527656249999996</v>
          </cell>
          <cell r="AF409">
            <v>18.021937499999996</v>
          </cell>
          <cell r="AG409">
            <v>24.78894</v>
          </cell>
          <cell r="AH409">
            <v>27.647523749999994</v>
          </cell>
          <cell r="AI409">
            <v>39.666374999999988</v>
          </cell>
          <cell r="AJ409">
            <v>36.863065020043386</v>
          </cell>
          <cell r="AK409">
            <v>43.261572661247847</v>
          </cell>
          <cell r="AL409">
            <v>48.274343733928852</v>
          </cell>
          <cell r="AM409">
            <v>68.565634764921711</v>
          </cell>
          <cell r="AN409">
            <v>63.130825263775208</v>
          </cell>
        </row>
        <row r="410">
          <cell r="I410" t="str">
            <v xml:space="preserve">Merchant (Agoda) </v>
          </cell>
          <cell r="M410">
            <v>0</v>
          </cell>
          <cell r="N410">
            <v>0</v>
          </cell>
          <cell r="O410">
            <v>0</v>
          </cell>
          <cell r="P410">
            <v>0</v>
          </cell>
          <cell r="Q410">
            <v>0</v>
          </cell>
          <cell r="R410">
            <v>0</v>
          </cell>
          <cell r="S410">
            <v>0</v>
          </cell>
          <cell r="T410">
            <v>2.4119999999999999</v>
          </cell>
          <cell r="U410">
            <v>4.4279999999999999</v>
          </cell>
          <cell r="V410">
            <v>4.3559999999999999</v>
          </cell>
          <cell r="W410">
            <v>5.8319999999999999</v>
          </cell>
          <cell r="X410">
            <v>6.75</v>
          </cell>
          <cell r="Y410">
            <v>7.0848000000000013</v>
          </cell>
          <cell r="Z410">
            <v>7.88436</v>
          </cell>
          <cell r="AA410">
            <v>12.247200000000001</v>
          </cell>
          <cell r="AB410">
            <v>16.875</v>
          </cell>
          <cell r="AC410">
            <v>15.586560000000004</v>
          </cell>
          <cell r="AD410">
            <v>15.76872</v>
          </cell>
          <cell r="AE410">
            <v>30.618000000000002</v>
          </cell>
          <cell r="AF410">
            <v>35.4375</v>
          </cell>
          <cell r="AG410">
            <v>35.849088000000009</v>
          </cell>
          <cell r="AH410">
            <v>36.066566799999997</v>
          </cell>
          <cell r="AI410">
            <v>69.273224999999996</v>
          </cell>
          <cell r="AJ410">
            <v>65.398317168536281</v>
          </cell>
          <cell r="AK410">
            <v>58.651136057787738</v>
          </cell>
          <cell r="AL410">
            <v>59.882463219373996</v>
          </cell>
          <cell r="AM410">
            <v>112.53692943337911</v>
          </cell>
          <cell r="AN410">
            <v>104.87391296441982</v>
          </cell>
        </row>
        <row r="411">
          <cell r="I411" t="str">
            <v>Latin America</v>
          </cell>
        </row>
        <row r="412">
          <cell r="I412" t="str">
            <v xml:space="preserve">Agency (Booking.com) </v>
          </cell>
          <cell r="M412">
            <v>0.3</v>
          </cell>
          <cell r="N412">
            <v>0.3</v>
          </cell>
          <cell r="O412">
            <v>0.3</v>
          </cell>
          <cell r="P412">
            <v>0.3</v>
          </cell>
          <cell r="Q412">
            <v>1.02</v>
          </cell>
          <cell r="R412">
            <v>1.08</v>
          </cell>
          <cell r="S412">
            <v>1.08</v>
          </cell>
          <cell r="T412">
            <v>0.98999999999999988</v>
          </cell>
          <cell r="U412">
            <v>3.0599999999999996</v>
          </cell>
          <cell r="V412">
            <v>3.4560000000000004</v>
          </cell>
          <cell r="W412">
            <v>3.6719999999999997</v>
          </cell>
          <cell r="X412">
            <v>3.069</v>
          </cell>
          <cell r="Y412">
            <v>8.5679999999999978</v>
          </cell>
          <cell r="Z412">
            <v>10.368</v>
          </cell>
          <cell r="AA412">
            <v>11.016</v>
          </cell>
          <cell r="AB412">
            <v>7.9794</v>
          </cell>
          <cell r="AC412">
            <v>23.99039999999999</v>
          </cell>
          <cell r="AD412">
            <v>30.0672</v>
          </cell>
          <cell r="AE412">
            <v>31.946399999999997</v>
          </cell>
          <cell r="AF412">
            <v>19.948499999999999</v>
          </cell>
          <cell r="AG412">
            <v>55.177919999999972</v>
          </cell>
          <cell r="AH412">
            <v>75.167999999999992</v>
          </cell>
          <cell r="AI412">
            <v>66.640190400000009</v>
          </cell>
          <cell r="AJ412">
            <v>38.473887091188921</v>
          </cell>
          <cell r="AK412">
            <v>91.103928363631994</v>
          </cell>
          <cell r="AL412">
            <v>125.5329744711008</v>
          </cell>
          <cell r="AM412">
            <v>112.59253551619628</v>
          </cell>
          <cell r="AN412">
            <v>64.876591516426856</v>
          </cell>
        </row>
        <row r="414">
          <cell r="I414" t="str">
            <v>Gross Profit Model Drivers:</v>
          </cell>
        </row>
        <row r="415">
          <cell r="I415" t="str">
            <v>US</v>
          </cell>
        </row>
        <row r="416">
          <cell r="I416" t="str">
            <v xml:space="preserve">Merchant (NYOP &amp; Priceline.com) </v>
          </cell>
          <cell r="AI416">
            <v>0.2056256677889087</v>
          </cell>
          <cell r="AJ416">
            <v>0.182</v>
          </cell>
          <cell r="AK416">
            <v>0.16200000000000001</v>
          </cell>
          <cell r="AL416">
            <v>0.157</v>
          </cell>
          <cell r="AM416">
            <v>0.20399999999999999</v>
          </cell>
          <cell r="AN416">
            <v>0.17499999999999999</v>
          </cell>
        </row>
        <row r="418">
          <cell r="I418" t="str">
            <v>US</v>
          </cell>
        </row>
        <row r="419">
          <cell r="I419" t="str">
            <v>Merchant (NYOP &amp; Priceline.com) - Y/Y growth</v>
          </cell>
          <cell r="M419">
            <v>40.754999999999995</v>
          </cell>
          <cell r="N419">
            <v>48.676999999999992</v>
          </cell>
          <cell r="O419">
            <v>48.638000000000005</v>
          </cell>
          <cell r="P419">
            <v>44.094999999999999</v>
          </cell>
          <cell r="Q419">
            <v>48.460999999999984</v>
          </cell>
          <cell r="R419">
            <v>53.921999999999969</v>
          </cell>
          <cell r="S419">
            <v>59.860000000000042</v>
          </cell>
          <cell r="T419">
            <v>49.580000000000013</v>
          </cell>
          <cell r="U419">
            <v>62.653999999999996</v>
          </cell>
          <cell r="V419">
            <v>71.623000000000047</v>
          </cell>
          <cell r="W419">
            <v>72.593999999999994</v>
          </cell>
          <cell r="X419">
            <v>61.089999999999975</v>
          </cell>
          <cell r="Y419">
            <v>76.22120000000001</v>
          </cell>
          <cell r="Z419">
            <v>86.434640000000002</v>
          </cell>
          <cell r="AA419">
            <v>91.412800000000004</v>
          </cell>
          <cell r="AB419">
            <v>71.967999999999989</v>
          </cell>
          <cell r="AC419">
            <v>87.400439999999946</v>
          </cell>
          <cell r="AD419">
            <v>100.81428</v>
          </cell>
          <cell r="AE419">
            <v>112.84199999999998</v>
          </cell>
          <cell r="AF419">
            <v>83.993500000000012</v>
          </cell>
          <cell r="AG419">
            <v>98.216911999999979</v>
          </cell>
          <cell r="AH419">
            <v>113.40843320000005</v>
          </cell>
          <cell r="AI419">
            <v>124.90011499999997</v>
          </cell>
          <cell r="AJ419">
            <v>89.655929999999998</v>
          </cell>
          <cell r="AK419">
            <v>103.075654464</v>
          </cell>
          <cell r="AL419">
            <v>119.70728320400002</v>
          </cell>
          <cell r="AM419">
            <v>135.0647994</v>
          </cell>
          <cell r="AN419">
            <v>93.104235000000003</v>
          </cell>
        </row>
        <row r="422">
          <cell r="I422" t="str">
            <v>Other P&amp;L Model Drivers:</v>
          </cell>
        </row>
        <row r="423">
          <cell r="I423" t="str">
            <v xml:space="preserve">Offline Advertising </v>
          </cell>
          <cell r="AJ423">
            <v>0.01</v>
          </cell>
          <cell r="AK423">
            <v>2.1999999999999999E-2</v>
          </cell>
          <cell r="AL423">
            <v>1.2E-2</v>
          </cell>
          <cell r="AM423">
            <v>7.0000000000000001E-3</v>
          </cell>
          <cell r="AN423">
            <v>0.01</v>
          </cell>
        </row>
        <row r="424">
          <cell r="I424" t="str">
            <v xml:space="preserve">Online Advertising </v>
          </cell>
          <cell r="AJ424">
            <v>0.27500000000000002</v>
          </cell>
          <cell r="AK424">
            <v>0.36499999999999999</v>
          </cell>
          <cell r="AL424">
            <v>0.316</v>
          </cell>
          <cell r="AM424">
            <v>0.255</v>
          </cell>
          <cell r="AN424">
            <v>0.27700000000000002</v>
          </cell>
        </row>
        <row r="425">
          <cell r="I425" t="str">
            <v xml:space="preserve">Selling &amp; Marketing  </v>
          </cell>
          <cell r="AJ425">
            <v>6.3E-2</v>
          </cell>
          <cell r="AK425">
            <v>6.9000000000000006E-2</v>
          </cell>
          <cell r="AL425">
            <v>5.6000000000000001E-2</v>
          </cell>
          <cell r="AM425">
            <v>4.2999999999999997E-2</v>
          </cell>
          <cell r="AN425">
            <v>6.0999999999999999E-2</v>
          </cell>
        </row>
        <row r="426">
          <cell r="I426" t="str">
            <v>Personnel (ex-SBC)</v>
          </cell>
          <cell r="AJ426">
            <v>0.11700000000000001</v>
          </cell>
          <cell r="AK426">
            <v>0.121</v>
          </cell>
          <cell r="AL426">
            <v>9.9000000000000005E-2</v>
          </cell>
          <cell r="AM426">
            <v>7.6999999999999999E-2</v>
          </cell>
          <cell r="AN426">
            <v>0.11899999999999999</v>
          </cell>
        </row>
        <row r="427">
          <cell r="I427" t="str">
            <v xml:space="preserve">General &amp; Administrative </v>
          </cell>
          <cell r="AJ427">
            <v>5.0999999999999997E-2</v>
          </cell>
          <cell r="AK427">
            <v>5.1999999999999998E-2</v>
          </cell>
          <cell r="AL427">
            <v>0.04</v>
          </cell>
          <cell r="AM427">
            <v>0.03</v>
          </cell>
          <cell r="AN427">
            <v>5.0999999999999997E-2</v>
          </cell>
        </row>
        <row r="428">
          <cell r="I428" t="str">
            <v xml:space="preserve">Information Technology </v>
          </cell>
          <cell r="AJ428">
            <v>1.2999999999999999E-2</v>
          </cell>
          <cell r="AK428">
            <v>1.2999999999999999E-2</v>
          </cell>
          <cell r="AL428">
            <v>1.0999999999999999E-2</v>
          </cell>
          <cell r="AM428">
            <v>8.0000000000000002E-3</v>
          </cell>
          <cell r="AN428">
            <v>1.2999999999999999E-2</v>
          </cell>
        </row>
        <row r="429">
          <cell r="I429" t="str">
            <v>Stock-based Compensation</v>
          </cell>
          <cell r="AJ429">
            <v>0.03</v>
          </cell>
          <cell r="AK429">
            <v>2.8000000000000001E-2</v>
          </cell>
          <cell r="AL429">
            <v>1.9502038767956843E-2</v>
          </cell>
          <cell r="AM429">
            <v>1.4999999999999999E-2</v>
          </cell>
          <cell r="AN429">
            <v>0.03</v>
          </cell>
        </row>
        <row r="430">
          <cell r="I430" t="str">
            <v>Interest Rate on Cash &amp; Equivalents</v>
          </cell>
          <cell r="AJ430">
            <v>4.0000000000000001E-3</v>
          </cell>
          <cell r="AK430">
            <v>4.0000000000000001E-3</v>
          </cell>
          <cell r="AL430">
            <v>4.0000000000000001E-3</v>
          </cell>
          <cell r="AM430">
            <v>4.0000000000000001E-3</v>
          </cell>
          <cell r="AN430">
            <v>4.0000000000000001E-3</v>
          </cell>
        </row>
        <row r="432">
          <cell r="I432" t="str">
            <v>Cash Flow Statement Model Drivers:</v>
          </cell>
        </row>
        <row r="433">
          <cell r="I433" t="str">
            <v>Capex as % of Gross Profit</v>
          </cell>
          <cell r="M433">
            <v>2.87272777616259E-2</v>
          </cell>
          <cell r="N433">
            <v>3.9818910438168695E-2</v>
          </cell>
          <cell r="O433">
            <v>2.7034246076391981E-2</v>
          </cell>
          <cell r="P433">
            <v>3.2386426439703776E-2</v>
          </cell>
          <cell r="Q433">
            <v>2.1350359691445414E-2</v>
          </cell>
          <cell r="R433">
            <v>2.1240469227143902E-2</v>
          </cell>
          <cell r="S433">
            <v>2.7261112431661513E-2</v>
          </cell>
          <cell r="T433">
            <v>3.0826964383835351E-2</v>
          </cell>
          <cell r="U433">
            <v>1.5758987979216248E-2</v>
          </cell>
          <cell r="V433">
            <v>1.6446940585279336E-2</v>
          </cell>
          <cell r="W433">
            <v>1.8533399983548367E-2</v>
          </cell>
          <cell r="X433">
            <v>2.6513544485894724E-2</v>
          </cell>
          <cell r="Y433">
            <v>1.4837037392598283E-2</v>
          </cell>
          <cell r="Z433">
            <v>1.6456011374730538E-2</v>
          </cell>
          <cell r="AA433">
            <v>4.11975871301318E-3</v>
          </cell>
          <cell r="AB433">
            <v>1.6616164680113291E-2</v>
          </cell>
          <cell r="AC433">
            <v>1.5138695646724079E-2</v>
          </cell>
          <cell r="AD433">
            <v>1.2132373583676772E-2</v>
          </cell>
          <cell r="AE433">
            <v>6.3615676055407775E-3</v>
          </cell>
          <cell r="AF433">
            <v>1.69769634186362E-2</v>
          </cell>
          <cell r="AG433">
            <v>1.6367870812640368E-2</v>
          </cell>
          <cell r="AH433">
            <v>1.3077478521195849E-2</v>
          </cell>
          <cell r="AI433">
            <v>1.0628569974221649E-2</v>
          </cell>
          <cell r="AJ433">
            <v>1.7999999999999999E-2</v>
          </cell>
          <cell r="AK433">
            <v>1.7999999999999999E-2</v>
          </cell>
          <cell r="AL433">
            <v>1.4999999999999999E-2</v>
          </cell>
          <cell r="AM433">
            <v>1.2999999999999999E-2</v>
          </cell>
          <cell r="AN433">
            <v>0.02</v>
          </cell>
        </row>
      </sheetData>
      <sheetData sheetId="1"/>
      <sheetData sheetId="2"/>
      <sheetData sheetId="3" refreshError="1">
        <row r="1">
          <cell r="B1" t="str">
            <v>ElementName</v>
          </cell>
          <cell r="C1" t="str">
            <v>ScaleOverride</v>
          </cell>
          <cell r="D1" t="str">
            <v>UnitOverride</v>
          </cell>
          <cell r="E1" t="str">
            <v>ReverseSign</v>
          </cell>
          <cell r="F1" t="str">
            <v>IsDrivingAssumption</v>
          </cell>
          <cell r="G1" t="str">
            <v>SegmentID</v>
          </cell>
          <cell r="I1" t="str">
            <v>Select Model Case:</v>
          </cell>
          <cell r="L1">
            <v>649.81451297948274</v>
          </cell>
          <cell r="M1">
            <v>1</v>
          </cell>
          <cell r="N1">
            <v>1</v>
          </cell>
          <cell r="O1">
            <v>1</v>
          </cell>
          <cell r="P1">
            <v>1</v>
          </cell>
          <cell r="Q1">
            <v>1</v>
          </cell>
          <cell r="R1">
            <v>1</v>
          </cell>
          <cell r="S1">
            <v>1</v>
          </cell>
          <cell r="T1">
            <v>1</v>
          </cell>
          <cell r="U1">
            <v>1</v>
          </cell>
          <cell r="V1">
            <v>1</v>
          </cell>
          <cell r="W1">
            <v>1</v>
          </cell>
          <cell r="X1">
            <v>1</v>
          </cell>
          <cell r="Y1">
            <v>1</v>
          </cell>
          <cell r="Z1">
            <v>1</v>
          </cell>
          <cell r="AA1">
            <v>1</v>
          </cell>
          <cell r="AB1">
            <v>1</v>
          </cell>
          <cell r="AC1">
            <v>1</v>
          </cell>
          <cell r="AD1">
            <v>1</v>
          </cell>
          <cell r="AE1">
            <v>1</v>
          </cell>
          <cell r="AF1">
            <v>1</v>
          </cell>
          <cell r="AG1">
            <v>1</v>
          </cell>
          <cell r="AH1">
            <v>1</v>
          </cell>
          <cell r="AI1">
            <v>1</v>
          </cell>
          <cell r="AJ1">
            <v>1</v>
          </cell>
        </row>
        <row r="3">
          <cell r="M3" t="str">
            <v>2006-FY</v>
          </cell>
          <cell r="N3" t="str">
            <v>2007-FY</v>
          </cell>
          <cell r="O3" t="str">
            <v>2008-FY</v>
          </cell>
          <cell r="P3" t="str">
            <v>2009-FY</v>
          </cell>
          <cell r="Q3" t="str">
            <v>2010-FY</v>
          </cell>
          <cell r="R3" t="str">
            <v>2011-FY</v>
          </cell>
          <cell r="S3" t="str">
            <v>2012-FY</v>
          </cell>
          <cell r="T3" t="str">
            <v>2013-FY</v>
          </cell>
          <cell r="U3" t="str">
            <v>2014-FY</v>
          </cell>
          <cell r="V3" t="str">
            <v>2015-FY</v>
          </cell>
          <cell r="W3" t="str">
            <v>2016-FY</v>
          </cell>
          <cell r="X3" t="str">
            <v>2017-FY</v>
          </cell>
          <cell r="Y3" t="str">
            <v>2018-FY</v>
          </cell>
          <cell r="Z3" t="str">
            <v>2019-FY</v>
          </cell>
          <cell r="AA3" t="str">
            <v>2020-FY</v>
          </cell>
          <cell r="AB3" t="str">
            <v>2021-FY</v>
          </cell>
          <cell r="AC3" t="str">
            <v>2022-FY</v>
          </cell>
          <cell r="AD3" t="str">
            <v>2023-FY</v>
          </cell>
          <cell r="AE3" t="str">
            <v>2024-FY</v>
          </cell>
          <cell r="AF3" t="str">
            <v>2025-FY</v>
          </cell>
          <cell r="AG3" t="str">
            <v>2026-FY</v>
          </cell>
          <cell r="AH3" t="str">
            <v>2027-FY</v>
          </cell>
          <cell r="AI3" t="str">
            <v>2028-FY</v>
          </cell>
          <cell r="AJ3" t="str">
            <v>2029-FY</v>
          </cell>
        </row>
        <row r="4">
          <cell r="I4" t="str">
            <v>Period-End Date</v>
          </cell>
          <cell r="M4">
            <v>39082</v>
          </cell>
          <cell r="N4">
            <v>39447</v>
          </cell>
          <cell r="O4">
            <v>39813</v>
          </cell>
          <cell r="P4">
            <v>40178</v>
          </cell>
          <cell r="Q4">
            <v>40543</v>
          </cell>
          <cell r="R4">
            <v>40908</v>
          </cell>
          <cell r="S4">
            <v>41274</v>
          </cell>
          <cell r="T4">
            <v>41639</v>
          </cell>
          <cell r="U4">
            <v>42004</v>
          </cell>
          <cell r="V4">
            <v>42369</v>
          </cell>
          <cell r="W4">
            <v>42735</v>
          </cell>
          <cell r="X4">
            <v>43100</v>
          </cell>
          <cell r="Y4">
            <v>43465</v>
          </cell>
          <cell r="Z4">
            <v>43830</v>
          </cell>
          <cell r="AA4">
            <v>44196</v>
          </cell>
          <cell r="AB4">
            <v>44561</v>
          </cell>
          <cell r="AC4">
            <v>44926</v>
          </cell>
          <cell r="AD4">
            <v>45291</v>
          </cell>
          <cell r="AE4">
            <v>45657</v>
          </cell>
          <cell r="AF4">
            <v>46022</v>
          </cell>
          <cell r="AG4">
            <v>46387</v>
          </cell>
          <cell r="AH4">
            <v>46752</v>
          </cell>
          <cell r="AI4">
            <v>47118</v>
          </cell>
          <cell r="AJ4">
            <v>47483</v>
          </cell>
        </row>
        <row r="5">
          <cell r="I5" t="str">
            <v>Priceline Model</v>
          </cell>
          <cell r="M5" t="str">
            <v>Historical Financials</v>
          </cell>
          <cell r="P5" t="str">
            <v>Historical Financials</v>
          </cell>
          <cell r="R5" t="str">
            <v>Projected Financials</v>
          </cell>
          <cell r="T5" t="str">
            <v>Projected Financials</v>
          </cell>
          <cell r="AB5" t="str">
            <v>Projected Financials</v>
          </cell>
        </row>
        <row r="6">
          <cell r="I6" t="str">
            <v>(USD millions)</v>
          </cell>
          <cell r="M6">
            <v>39082</v>
          </cell>
          <cell r="N6">
            <v>39447</v>
          </cell>
          <cell r="O6">
            <v>39813</v>
          </cell>
          <cell r="P6">
            <v>40178</v>
          </cell>
          <cell r="Q6">
            <v>40543</v>
          </cell>
          <cell r="R6">
            <v>40908</v>
          </cell>
          <cell r="S6">
            <v>41274</v>
          </cell>
          <cell r="T6">
            <v>41639</v>
          </cell>
          <cell r="U6">
            <v>42004</v>
          </cell>
          <cell r="V6">
            <v>42369</v>
          </cell>
          <cell r="W6">
            <v>42735</v>
          </cell>
          <cell r="X6">
            <v>43100</v>
          </cell>
          <cell r="Y6">
            <v>43465</v>
          </cell>
          <cell r="Z6">
            <v>43830</v>
          </cell>
          <cell r="AA6">
            <v>44196</v>
          </cell>
          <cell r="AB6">
            <v>44561</v>
          </cell>
          <cell r="AC6">
            <v>44926</v>
          </cell>
          <cell r="AD6">
            <v>45291</v>
          </cell>
          <cell r="AE6">
            <v>45657</v>
          </cell>
          <cell r="AF6">
            <v>46022</v>
          </cell>
          <cell r="AG6">
            <v>46387</v>
          </cell>
          <cell r="AH6">
            <v>46752</v>
          </cell>
          <cell r="AI6">
            <v>47118</v>
          </cell>
          <cell r="AJ6">
            <v>47483</v>
          </cell>
        </row>
        <row r="8">
          <cell r="I8" t="str">
            <v>Gross Bookings Build-Up</v>
          </cell>
        </row>
        <row r="9">
          <cell r="I9" t="str">
            <v xml:space="preserve">Merchant </v>
          </cell>
          <cell r="M9">
            <v>1138.4829999999999</v>
          </cell>
          <cell r="N9">
            <v>1244.3110000000001</v>
          </cell>
          <cell r="O9">
            <v>1661.5059999999999</v>
          </cell>
          <cell r="P9">
            <v>2118.6219999999998</v>
          </cell>
          <cell r="Q9">
            <v>2864.3450000000003</v>
          </cell>
          <cell r="R9">
            <v>4024.0073152440618</v>
          </cell>
          <cell r="S9">
            <v>5239.185274562572</v>
          </cell>
          <cell r="T9">
            <v>6265.7585506479372</v>
          </cell>
          <cell r="U9">
            <v>7107.6233834520281</v>
          </cell>
          <cell r="V9">
            <v>7651.1895083203344</v>
          </cell>
          <cell r="W9">
            <v>8151.5731125413895</v>
          </cell>
          <cell r="X9">
            <v>8589.7045349926429</v>
          </cell>
          <cell r="Y9">
            <v>8984.8305235696625</v>
          </cell>
          <cell r="Z9">
            <v>9398.3384420486291</v>
          </cell>
          <cell r="AA9">
            <v>9831.0924121435619</v>
          </cell>
          <cell r="AB9">
            <v>10283.997562662942</v>
          </cell>
          <cell r="AC9">
            <v>10758.001991904781</v>
          </cell>
          <cell r="AD9">
            <v>11254.098824653058</v>
          </cell>
          <cell r="AE9">
            <v>11773.32836836487</v>
          </cell>
          <cell r="AF9">
            <v>12316.780373361438</v>
          </cell>
          <cell r="AG9">
            <v>12885.596402070969</v>
          </cell>
          <cell r="AH9">
            <v>13480.972312617636</v>
          </cell>
          <cell r="AI9">
            <v>14104.16086230936</v>
          </cell>
          <cell r="AJ9">
            <v>14756.474436848102</v>
          </cell>
        </row>
        <row r="10">
          <cell r="I10" t="str">
            <v xml:space="preserve">Agency </v>
          </cell>
          <cell r="M10">
            <v>2181.2660000000001</v>
          </cell>
          <cell r="N10">
            <v>3585.105</v>
          </cell>
          <cell r="O10">
            <v>5738.6110000000008</v>
          </cell>
          <cell r="P10">
            <v>7191.44</v>
          </cell>
          <cell r="Q10">
            <v>10781.53</v>
          </cell>
          <cell r="R10">
            <v>17334.880058667146</v>
          </cell>
          <cell r="S10">
            <v>22819.487745084298</v>
          </cell>
          <cell r="T10">
            <v>28156.50672572702</v>
          </cell>
          <cell r="U10">
            <v>31953.283854999176</v>
          </cell>
          <cell r="V10">
            <v>34937.303148752631</v>
          </cell>
          <cell r="W10">
            <v>37509.573486086643</v>
          </cell>
          <cell r="X10">
            <v>39851.579047012099</v>
          </cell>
          <cell r="Y10">
            <v>41915.662172776829</v>
          </cell>
          <cell r="Z10">
            <v>44019.938333142061</v>
          </cell>
          <cell r="AA10">
            <v>46233.648964412758</v>
          </cell>
          <cell r="AB10">
            <v>48562.719183736364</v>
          </cell>
          <cell r="AC10">
            <v>51013.408895522873</v>
          </cell>
          <cell r="AD10">
            <v>53592.332514903319</v>
          </cell>
          <cell r="AE10">
            <v>56306.47989802892</v>
          </cell>
          <cell r="AF10">
            <v>59163.238555461583</v>
          </cell>
          <cell r="AG10">
            <v>62170.417229849932</v>
          </cell>
          <cell r="AH10">
            <v>65336.270924354736</v>
          </cell>
          <cell r="AI10">
            <v>68669.52747390575</v>
          </cell>
          <cell r="AJ10">
            <v>72179.415757362745</v>
          </cell>
        </row>
        <row r="11">
          <cell r="I11" t="str">
            <v>Total Gross Bookings</v>
          </cell>
          <cell r="M11">
            <v>3319.7489999999998</v>
          </cell>
          <cell r="N11">
            <v>4829.4160000000002</v>
          </cell>
          <cell r="O11">
            <v>7400.1170000000002</v>
          </cell>
          <cell r="P11">
            <v>9310.0619999999999</v>
          </cell>
          <cell r="Q11">
            <v>13645.875</v>
          </cell>
          <cell r="R11">
            <v>21358.88737391121</v>
          </cell>
          <cell r="S11">
            <v>28058.673019646871</v>
          </cell>
          <cell r="T11">
            <v>34422.265276374957</v>
          </cell>
          <cell r="U11">
            <v>39060.907238451204</v>
          </cell>
          <cell r="V11">
            <v>42588.492657072966</v>
          </cell>
          <cell r="W11">
            <v>45661.146598628031</v>
          </cell>
          <cell r="X11">
            <v>48441.28358200474</v>
          </cell>
          <cell r="Y11">
            <v>50900.49269634649</v>
          </cell>
          <cell r="Z11">
            <v>53418.276775190694</v>
          </cell>
          <cell r="AA11">
            <v>56064.741376556318</v>
          </cell>
          <cell r="AB11">
            <v>58846.71674639931</v>
          </cell>
          <cell r="AC11">
            <v>61771.410887427657</v>
          </cell>
          <cell r="AD11">
            <v>64846.43133955638</v>
          </cell>
          <cell r="AE11">
            <v>68079.808266393782</v>
          </cell>
          <cell r="AF11">
            <v>71480.018928823018</v>
          </cell>
          <cell r="AG11">
            <v>75056.013631920898</v>
          </cell>
          <cell r="AH11">
            <v>78817.243236972368</v>
          </cell>
          <cell r="AI11">
            <v>82773.688336215113</v>
          </cell>
          <cell r="AJ11">
            <v>86935.89019421085</v>
          </cell>
        </row>
        <row r="12">
          <cell r="I12" t="str">
            <v>y/y Growth - %</v>
          </cell>
          <cell r="P12">
            <v>0.25809659495924175</v>
          </cell>
          <cell r="Q12">
            <v>0.46571258064661647</v>
          </cell>
          <cell r="R12">
            <v>0.56522666182353354</v>
          </cell>
          <cell r="S12">
            <v>0.31367671585361268</v>
          </cell>
          <cell r="T12">
            <v>0.22679590913911918</v>
          </cell>
          <cell r="U12">
            <v>0.13475702208535023</v>
          </cell>
          <cell r="V12">
            <v>9.0309869074142624E-2</v>
          </cell>
          <cell r="W12">
            <v>7.214751567510036E-2</v>
          </cell>
          <cell r="X12">
            <v>6.0886271819118987E-2</v>
          </cell>
          <cell r="Y12">
            <v>5.0766803282134898E-2</v>
          </cell>
          <cell r="Z12">
            <v>4.9464827263350442E-2</v>
          </cell>
          <cell r="AA12">
            <v>4.9542305763684569E-2</v>
          </cell>
          <cell r="AB12">
            <v>4.9620765235640407E-2</v>
          </cell>
          <cell r="AC12">
            <v>4.9700209335932E-2</v>
          </cell>
          <cell r="AD12">
            <v>4.9780641367130896E-2</v>
          </cell>
          <cell r="AE12">
            <v>4.9862064265439932E-2</v>
          </cell>
          <cell r="AF12">
            <v>4.994448058849299E-2</v>
          </cell>
          <cell r="AG12">
            <v>5.0027892503200277E-2</v>
          </cell>
          <cell r="AH12">
            <v>5.0112301773669543E-2</v>
          </cell>
          <cell r="AI12">
            <v>5.0197709749214114E-2</v>
          </cell>
          <cell r="AJ12">
            <v>5.0284117352478619E-2</v>
          </cell>
        </row>
        <row r="13">
          <cell r="I13" t="str">
            <v>y/y Growth - % (ex F/X)</v>
          </cell>
          <cell r="P13">
            <v>0.31976521236083144</v>
          </cell>
          <cell r="Q13">
            <v>0.49657080693984645</v>
          </cell>
          <cell r="R13">
            <v>0.50685968886425092</v>
          </cell>
          <cell r="S13">
            <v>0.35259051150999099</v>
          </cell>
          <cell r="T13">
            <v>0.22679590913911896</v>
          </cell>
          <cell r="U13">
            <v>0.13475702208535045</v>
          </cell>
          <cell r="V13">
            <v>9.0309869074142624E-2</v>
          </cell>
          <cell r="W13">
            <v>7.214751567510036E-2</v>
          </cell>
          <cell r="X13">
            <v>6.0886271819118987E-2</v>
          </cell>
          <cell r="Y13">
            <v>5.0766803282134898E-2</v>
          </cell>
          <cell r="Z13">
            <v>4.9464827263349997E-2</v>
          </cell>
          <cell r="AA13">
            <v>4.9542305763684569E-2</v>
          </cell>
          <cell r="AB13">
            <v>4.9620765235640629E-2</v>
          </cell>
          <cell r="AC13">
            <v>4.9700209335931556E-2</v>
          </cell>
          <cell r="AD13">
            <v>4.9780641367131118E-2</v>
          </cell>
          <cell r="AE13">
            <v>4.9862064265440376E-2</v>
          </cell>
          <cell r="AF13">
            <v>4.9944480588492768E-2</v>
          </cell>
          <cell r="AG13">
            <v>5.0027892503200277E-2</v>
          </cell>
          <cell r="AH13">
            <v>5.0112301773669543E-2</v>
          </cell>
          <cell r="AI13">
            <v>5.0197709749213892E-2</v>
          </cell>
          <cell r="AJ13">
            <v>5.0284117352478841E-2</v>
          </cell>
        </row>
        <row r="16">
          <cell r="I16" t="str">
            <v>Revenue Build-Up</v>
          </cell>
        </row>
        <row r="17">
          <cell r="I17" t="str">
            <v xml:space="preserve">Merchant </v>
          </cell>
          <cell r="M17">
            <v>904.16899999999998</v>
          </cell>
          <cell r="N17">
            <v>984.23299999999995</v>
          </cell>
          <cell r="O17">
            <v>1218.162</v>
          </cell>
          <cell r="P17">
            <v>1447.577</v>
          </cell>
          <cell r="Q17">
            <v>1691.6409999999998</v>
          </cell>
          <cell r="R17">
            <v>2005.249716743931</v>
          </cell>
          <cell r="S17">
            <v>2338.2796435590726</v>
          </cell>
          <cell r="T17">
            <v>2624.8222810267835</v>
          </cell>
          <cell r="U17">
            <v>2876.2152234370596</v>
          </cell>
          <cell r="V17">
            <v>3052.4160729374566</v>
          </cell>
          <cell r="W17">
            <v>3225.6560991252113</v>
          </cell>
          <cell r="X17">
            <v>3374.2943302313997</v>
          </cell>
          <cell r="Y17">
            <v>3518.2852196966851</v>
          </cell>
          <cell r="Z17">
            <v>3668.4867005533838</v>
          </cell>
          <cell r="AA17">
            <v>3825.1697442477921</v>
          </cell>
          <cell r="AB17">
            <v>3988.6172884735906</v>
          </cell>
          <cell r="AC17">
            <v>4159.1247721912159</v>
          </cell>
          <cell r="AD17">
            <v>4337.0006948664795</v>
          </cell>
          <cell r="AE17">
            <v>4522.567201038134</v>
          </cell>
          <cell r="AF17">
            <v>4716.1606913755049</v>
          </cell>
          <cell r="AG17">
            <v>4918.1324614411633</v>
          </cell>
          <cell r="AH17">
            <v>5128.8493694299796</v>
          </cell>
          <cell r="AI17">
            <v>5348.6945342149065</v>
          </cell>
          <cell r="AJ17">
            <v>5578.0680650916174</v>
          </cell>
        </row>
        <row r="18">
          <cell r="I18" t="str">
            <v xml:space="preserve">Agency </v>
          </cell>
          <cell r="M18">
            <v>213.89999999999998</v>
          </cell>
          <cell r="N18">
            <v>398.24599999999998</v>
          </cell>
          <cell r="O18">
            <v>648.79199999999992</v>
          </cell>
          <cell r="P18">
            <v>868.39400000000001</v>
          </cell>
          <cell r="Q18">
            <v>1380.6020000000001</v>
          </cell>
          <cell r="R18">
            <v>2313.2645159901435</v>
          </cell>
          <cell r="S18">
            <v>3047.8182266925269</v>
          </cell>
          <cell r="T18">
            <v>3740.7909697282435</v>
          </cell>
          <cell r="U18">
            <v>4255.4236797480644</v>
          </cell>
          <cell r="V18">
            <v>4665.7668524836854</v>
          </cell>
          <cell r="W18">
            <v>5020.7396567132728</v>
          </cell>
          <cell r="X18">
            <v>5341.5137806028461</v>
          </cell>
          <cell r="Y18">
            <v>5621.1424006841071</v>
          </cell>
          <cell r="Z18">
            <v>5905.7141562904808</v>
          </cell>
          <cell r="AA18">
            <v>6205.2292372340498</v>
          </cell>
          <cell r="AB18">
            <v>6520.5051752187137</v>
          </cell>
          <cell r="AC18">
            <v>6852.4061736387193</v>
          </cell>
          <cell r="AD18">
            <v>7201.8458832193392</v>
          </cell>
          <cell r="AE18">
            <v>7569.7903488576794</v>
          </cell>
          <cell r="AF18">
            <v>7957.261138549371</v>
          </cell>
          <cell r="AG18">
            <v>8365.3386659960179</v>
          </cell>
          <cell r="AH18">
            <v>8795.1657192442635</v>
          </cell>
          <cell r="AI18">
            <v>9247.9512085137376</v>
          </cell>
          <cell r="AJ18">
            <v>9724.9741472308851</v>
          </cell>
        </row>
        <row r="19">
          <cell r="I19" t="str">
            <v>Other</v>
          </cell>
          <cell r="M19">
            <v>5.0340000000000007</v>
          </cell>
          <cell r="N19">
            <v>8.3389999999999986</v>
          </cell>
          <cell r="O19">
            <v>17.852</v>
          </cell>
          <cell r="P19">
            <v>22.241000000000003</v>
          </cell>
          <cell r="Q19">
            <v>12.663</v>
          </cell>
          <cell r="R19">
            <v>12.315999999999999</v>
          </cell>
          <cell r="S19">
            <v>12.315999999999999</v>
          </cell>
          <cell r="T19">
            <v>12.315999999999999</v>
          </cell>
          <cell r="U19">
            <v>12.315999999999999</v>
          </cell>
          <cell r="V19">
            <v>12.315999999999999</v>
          </cell>
          <cell r="W19">
            <v>12.315999999999999</v>
          </cell>
          <cell r="X19">
            <v>12.315999999999999</v>
          </cell>
          <cell r="Y19">
            <v>12.315999999999999</v>
          </cell>
          <cell r="Z19">
            <v>12.315999999999999</v>
          </cell>
          <cell r="AA19">
            <v>12.315999999999999</v>
          </cell>
          <cell r="AB19">
            <v>12.315999999999999</v>
          </cell>
          <cell r="AC19">
            <v>12.315999999999999</v>
          </cell>
          <cell r="AD19">
            <v>12.315999999999999</v>
          </cell>
          <cell r="AE19">
            <v>12.315999999999999</v>
          </cell>
          <cell r="AF19">
            <v>12.315999999999999</v>
          </cell>
          <cell r="AG19">
            <v>12.315999999999999</v>
          </cell>
          <cell r="AH19">
            <v>12.315999999999999</v>
          </cell>
          <cell r="AI19">
            <v>12.315999999999999</v>
          </cell>
          <cell r="AJ19">
            <v>12.315999999999999</v>
          </cell>
        </row>
        <row r="20">
          <cell r="I20" t="str">
            <v>Total Revenue</v>
          </cell>
          <cell r="M20">
            <v>1123.1030000000001</v>
          </cell>
          <cell r="N20">
            <v>1390.8179999999998</v>
          </cell>
          <cell r="O20">
            <v>1884.806</v>
          </cell>
          <cell r="P20">
            <v>2338.212</v>
          </cell>
          <cell r="Q20">
            <v>3084.9059999999999</v>
          </cell>
          <cell r="R20">
            <v>4330.8302327340743</v>
          </cell>
          <cell r="S20">
            <v>5398.4138702515993</v>
          </cell>
          <cell r="T20">
            <v>6377.9292507550263</v>
          </cell>
          <cell r="U20">
            <v>7143.9549031851238</v>
          </cell>
          <cell r="V20">
            <v>7730.4989254211423</v>
          </cell>
          <cell r="W20">
            <v>8258.7117558384853</v>
          </cell>
          <cell r="X20">
            <v>8728.1241108342456</v>
          </cell>
          <cell r="Y20">
            <v>9151.7436203807938</v>
          </cell>
          <cell r="Z20">
            <v>9586.5168568438658</v>
          </cell>
          <cell r="AA20">
            <v>10042.714981481842</v>
          </cell>
          <cell r="AB20">
            <v>10521.438463692304</v>
          </cell>
          <cell r="AC20">
            <v>11023.846945829935</v>
          </cell>
          <cell r="AD20">
            <v>11551.162578085819</v>
          </cell>
          <cell r="AE20">
            <v>12104.673549895813</v>
          </cell>
          <cell r="AF20">
            <v>12685.737829924876</v>
          </cell>
          <cell r="AG20">
            <v>13295.787127437181</v>
          </cell>
          <cell r="AH20">
            <v>13936.331088674244</v>
          </cell>
          <cell r="AI20">
            <v>14608.961742728645</v>
          </cell>
          <cell r="AJ20">
            <v>15315.358212322504</v>
          </cell>
        </row>
        <row r="21">
          <cell r="I21" t="str">
            <v>y/y Growth - %</v>
          </cell>
          <cell r="N21">
            <v>0.23837083508814394</v>
          </cell>
          <cell r="O21">
            <v>0.35517803192078357</v>
          </cell>
          <cell r="P21">
            <v>0.240558444741793</v>
          </cell>
          <cell r="Q21">
            <v>0.31934401157807768</v>
          </cell>
          <cell r="R21">
            <v>0.40387753556642392</v>
          </cell>
          <cell r="S21">
            <v>0.24650784725947439</v>
          </cell>
          <cell r="T21">
            <v>0.18144503256801525</v>
          </cell>
          <cell r="U21">
            <v>0.12010569925017811</v>
          </cell>
          <cell r="V21">
            <v>8.2103544911027893E-2</v>
          </cell>
          <cell r="W21">
            <v>6.832842686005125E-2</v>
          </cell>
          <cell r="X21">
            <v>5.683844755374956E-2</v>
          </cell>
          <cell r="Y21">
            <v>4.8535000667635719E-2</v>
          </cell>
          <cell r="Z21">
            <v>4.7507147763059976E-2</v>
          </cell>
          <cell r="AA21">
            <v>4.7587474309012778E-2</v>
          </cell>
          <cell r="AB21">
            <v>4.7668731323471603E-2</v>
          </cell>
          <cell r="AC21">
            <v>4.7750931003527342E-2</v>
          </cell>
          <cell r="AD21">
            <v>4.7834085038286567E-2</v>
          </cell>
          <cell r="AE21">
            <v>4.7918204602200198E-2</v>
          </cell>
          <cell r="AF21">
            <v>4.8003300347911004E-2</v>
          </cell>
          <cell r="AG21">
            <v>4.8089382398652125E-2</v>
          </cell>
          <cell r="AH21">
            <v>4.8176460340225935E-2</v>
          </cell>
          <cell r="AI21">
            <v>4.8264543212598765E-2</v>
          </cell>
          <cell r="AJ21">
            <v>4.8353639501140799E-2</v>
          </cell>
        </row>
        <row r="22">
          <cell r="I22" t="str">
            <v>y/y Growth - % (ex F/X)</v>
          </cell>
          <cell r="Q22">
            <v>0.34660415736468719</v>
          </cell>
          <cell r="R22">
            <v>0.36453869897795554</v>
          </cell>
          <cell r="S22">
            <v>0.27576337597985168</v>
          </cell>
          <cell r="T22">
            <v>0.18144503256801547</v>
          </cell>
          <cell r="U22">
            <v>0.12010569925017789</v>
          </cell>
          <cell r="V22">
            <v>8.2103544911028115E-2</v>
          </cell>
          <cell r="W22">
            <v>6.8328426860051028E-2</v>
          </cell>
          <cell r="X22">
            <v>5.6838447553750004E-2</v>
          </cell>
          <cell r="Y22">
            <v>4.8535000667635275E-2</v>
          </cell>
          <cell r="Z22">
            <v>4.7507147763060198E-2</v>
          </cell>
          <cell r="AA22">
            <v>4.7587474309013E-2</v>
          </cell>
          <cell r="AB22">
            <v>4.7668731323471825E-2</v>
          </cell>
          <cell r="AC22">
            <v>4.7750931003527342E-2</v>
          </cell>
          <cell r="AD22">
            <v>4.7834085038286567E-2</v>
          </cell>
          <cell r="AE22">
            <v>4.7918204602200198E-2</v>
          </cell>
          <cell r="AF22">
            <v>4.8003300347911004E-2</v>
          </cell>
          <cell r="AG22">
            <v>4.8089382398651903E-2</v>
          </cell>
          <cell r="AH22">
            <v>4.8176460340225935E-2</v>
          </cell>
          <cell r="AI22">
            <v>4.8264543212598765E-2</v>
          </cell>
          <cell r="AJ22">
            <v>4.8353639501140577E-2</v>
          </cell>
        </row>
        <row r="25">
          <cell r="I25" t="str">
            <v>Cost of Revenue Build-Up</v>
          </cell>
        </row>
        <row r="26">
          <cell r="I26" t="str">
            <v>Merchant</v>
          </cell>
          <cell r="M26">
            <v>722.00399999999991</v>
          </cell>
          <cell r="N26">
            <v>769.99800000000005</v>
          </cell>
          <cell r="O26">
            <v>928.83499999999992</v>
          </cell>
          <cell r="P26">
            <v>1077.4490000000001</v>
          </cell>
          <cell r="Q26">
            <v>1175.934</v>
          </cell>
          <cell r="R26">
            <v>1284.5361699999999</v>
          </cell>
          <cell r="S26">
            <v>1414.7761466700003</v>
          </cell>
          <cell r="T26">
            <v>1526.2410950327505</v>
          </cell>
          <cell r="U26">
            <v>1639.0428065326403</v>
          </cell>
          <cell r="V26">
            <v>1729.1901608919352</v>
          </cell>
          <cell r="W26">
            <v>1815.6496689365322</v>
          </cell>
          <cell r="X26">
            <v>1888.2756556939939</v>
          </cell>
          <cell r="Y26">
            <v>1963.8066819217529</v>
          </cell>
          <cell r="Z26">
            <v>2042.3589491986229</v>
          </cell>
          <cell r="AA26">
            <v>2124.0533071665677</v>
          </cell>
          <cell r="AB26">
            <v>2209.0154394532306</v>
          </cell>
          <cell r="AC26">
            <v>2297.3760570313607</v>
          </cell>
          <cell r="AD26">
            <v>2389.2710993126148</v>
          </cell>
          <cell r="AE26">
            <v>2484.8419432851192</v>
          </cell>
          <cell r="AF26">
            <v>2584.235621016524</v>
          </cell>
          <cell r="AG26">
            <v>2687.6050458571854</v>
          </cell>
          <cell r="AH26">
            <v>2795.1092476914728</v>
          </cell>
          <cell r="AI26">
            <v>2906.9136175991312</v>
          </cell>
          <cell r="AJ26">
            <v>3023.1901623030967</v>
          </cell>
        </row>
        <row r="27">
          <cell r="I27" t="str">
            <v>Agency</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row>
        <row r="28">
          <cell r="I28" t="str">
            <v>Other</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row>
        <row r="29">
          <cell r="I29" t="str">
            <v>Total Cost of Revenue</v>
          </cell>
          <cell r="M29">
            <v>722.00399999999991</v>
          </cell>
          <cell r="N29">
            <v>769.99800000000005</v>
          </cell>
          <cell r="O29">
            <v>928.83499999999992</v>
          </cell>
          <cell r="P29">
            <v>1077.4490000000001</v>
          </cell>
          <cell r="Q29">
            <v>1175.934</v>
          </cell>
          <cell r="R29">
            <v>1284.5361699999999</v>
          </cell>
          <cell r="S29">
            <v>1414.7761466700003</v>
          </cell>
          <cell r="T29">
            <v>1526.2410950327505</v>
          </cell>
          <cell r="U29">
            <v>1639.0428065326403</v>
          </cell>
          <cell r="V29">
            <v>1729.1901608919352</v>
          </cell>
          <cell r="W29">
            <v>1815.6496689365322</v>
          </cell>
          <cell r="X29">
            <v>1888.2756556939939</v>
          </cell>
          <cell r="Y29">
            <v>1963.8066819217529</v>
          </cell>
          <cell r="Z29">
            <v>2042.3589491986229</v>
          </cell>
          <cell r="AA29">
            <v>2124.0533071665677</v>
          </cell>
          <cell r="AB29">
            <v>2209.0154394532306</v>
          </cell>
          <cell r="AC29">
            <v>2297.3760570313607</v>
          </cell>
          <cell r="AD29">
            <v>2389.2710993126148</v>
          </cell>
          <cell r="AE29">
            <v>2484.8419432851192</v>
          </cell>
          <cell r="AF29">
            <v>2584.235621016524</v>
          </cell>
          <cell r="AG29">
            <v>2687.6050458571854</v>
          </cell>
          <cell r="AH29">
            <v>2795.1092476914728</v>
          </cell>
          <cell r="AI29">
            <v>2906.9136175991312</v>
          </cell>
          <cell r="AJ29">
            <v>3023.1901623030967</v>
          </cell>
        </row>
        <row r="31">
          <cell r="I31" t="str">
            <v>Gross Profit Build-Up</v>
          </cell>
        </row>
        <row r="32">
          <cell r="I32" t="str">
            <v xml:space="preserve">Merchant </v>
          </cell>
          <cell r="M32">
            <v>182.16499999999999</v>
          </cell>
          <cell r="N32">
            <v>214.23500000000001</v>
          </cell>
          <cell r="O32">
            <v>289.327</v>
          </cell>
          <cell r="P32">
            <v>370.12800000000004</v>
          </cell>
          <cell r="Q32">
            <v>515.70699999999988</v>
          </cell>
          <cell r="R32">
            <v>720.71354674393103</v>
          </cell>
          <cell r="S32">
            <v>923.50349688907238</v>
          </cell>
          <cell r="T32">
            <v>1098.5811859940329</v>
          </cell>
          <cell r="U32">
            <v>1237.1724169044194</v>
          </cell>
          <cell r="V32">
            <v>1323.2259120455215</v>
          </cell>
          <cell r="W32">
            <v>1410.0064301886791</v>
          </cell>
          <cell r="X32">
            <v>1486.0186745374058</v>
          </cell>
          <cell r="Y32">
            <v>1554.4785377749322</v>
          </cell>
          <cell r="Z32">
            <v>1626.1277513547609</v>
          </cell>
          <cell r="AA32">
            <v>1701.1164370812244</v>
          </cell>
          <cell r="AB32">
            <v>1779.6018490203601</v>
          </cell>
          <cell r="AC32">
            <v>1861.7487151598555</v>
          </cell>
          <cell r="AD32">
            <v>1947.7295955538646</v>
          </cell>
          <cell r="AE32">
            <v>2037.7252577530148</v>
          </cell>
          <cell r="AF32">
            <v>2131.925070358981</v>
          </cell>
          <cell r="AG32">
            <v>2230.5274155839779</v>
          </cell>
          <cell r="AH32">
            <v>2333.7401217385068</v>
          </cell>
          <cell r="AI32">
            <v>2441.7809166157754</v>
          </cell>
          <cell r="AJ32">
            <v>2554.8779027885207</v>
          </cell>
        </row>
        <row r="33">
          <cell r="I33" t="str">
            <v xml:space="preserve">Agency </v>
          </cell>
          <cell r="M33">
            <v>213.89999999999998</v>
          </cell>
          <cell r="N33">
            <v>398.24599999999998</v>
          </cell>
          <cell r="O33">
            <v>648.79199999999992</v>
          </cell>
          <cell r="P33">
            <v>868.39400000000001</v>
          </cell>
          <cell r="Q33">
            <v>1380.6020000000001</v>
          </cell>
          <cell r="R33">
            <v>2313.2645159901435</v>
          </cell>
          <cell r="S33">
            <v>3047.8182266925269</v>
          </cell>
          <cell r="T33">
            <v>3740.7909697282435</v>
          </cell>
          <cell r="U33">
            <v>4255.4236797480644</v>
          </cell>
          <cell r="V33">
            <v>4665.7668524836854</v>
          </cell>
          <cell r="W33">
            <v>5020.7396567132728</v>
          </cell>
          <cell r="X33">
            <v>5341.5137806028461</v>
          </cell>
          <cell r="Y33">
            <v>5621.1424006841071</v>
          </cell>
          <cell r="Z33">
            <v>5905.7141562904808</v>
          </cell>
          <cell r="AA33">
            <v>6205.2292372340498</v>
          </cell>
          <cell r="AB33">
            <v>6520.5051752187137</v>
          </cell>
          <cell r="AC33">
            <v>6852.4061736387193</v>
          </cell>
          <cell r="AD33">
            <v>7201.8458832193392</v>
          </cell>
          <cell r="AE33">
            <v>7569.7903488576794</v>
          </cell>
          <cell r="AF33">
            <v>7957.261138549371</v>
          </cell>
          <cell r="AG33">
            <v>8365.3386659960179</v>
          </cell>
          <cell r="AH33">
            <v>8795.1657192442635</v>
          </cell>
          <cell r="AI33">
            <v>9247.9512085137376</v>
          </cell>
          <cell r="AJ33">
            <v>9724.9741472308851</v>
          </cell>
        </row>
        <row r="34">
          <cell r="I34" t="str">
            <v>Other</v>
          </cell>
          <cell r="M34">
            <v>5.0340000000000007</v>
          </cell>
          <cell r="N34">
            <v>8.3389999999999986</v>
          </cell>
          <cell r="O34">
            <v>17.852</v>
          </cell>
          <cell r="P34">
            <v>22.241000000000003</v>
          </cell>
          <cell r="Q34">
            <v>12.663</v>
          </cell>
          <cell r="R34">
            <v>12.315999999999999</v>
          </cell>
          <cell r="S34">
            <v>12.315999999999999</v>
          </cell>
          <cell r="T34">
            <v>12.315999999999999</v>
          </cell>
          <cell r="U34">
            <v>12.315999999999999</v>
          </cell>
          <cell r="V34">
            <v>12.315999999999999</v>
          </cell>
          <cell r="W34">
            <v>12.315999999999999</v>
          </cell>
          <cell r="X34">
            <v>12.315999999999999</v>
          </cell>
          <cell r="Y34">
            <v>12.315999999999999</v>
          </cell>
          <cell r="Z34">
            <v>12.315999999999999</v>
          </cell>
          <cell r="AA34">
            <v>12.315999999999999</v>
          </cell>
          <cell r="AB34">
            <v>12.315999999999999</v>
          </cell>
          <cell r="AC34">
            <v>12.315999999999999</v>
          </cell>
          <cell r="AD34">
            <v>12.315999999999999</v>
          </cell>
          <cell r="AE34">
            <v>12.315999999999999</v>
          </cell>
          <cell r="AF34">
            <v>12.315999999999999</v>
          </cell>
          <cell r="AG34">
            <v>12.315999999999999</v>
          </cell>
          <cell r="AH34">
            <v>12.315999999999999</v>
          </cell>
          <cell r="AI34">
            <v>12.315999999999999</v>
          </cell>
          <cell r="AJ34">
            <v>12.315999999999999</v>
          </cell>
        </row>
        <row r="35">
          <cell r="I35" t="str">
            <v>Total Gross Profit</v>
          </cell>
          <cell r="M35">
            <v>401.09899999999993</v>
          </cell>
          <cell r="N35">
            <v>620.81999999999994</v>
          </cell>
          <cell r="O35">
            <v>955.97099999999989</v>
          </cell>
          <cell r="P35">
            <v>1260.7629999999999</v>
          </cell>
          <cell r="Q35">
            <v>1908.972</v>
          </cell>
          <cell r="R35">
            <v>3046.2940627340745</v>
          </cell>
          <cell r="S35">
            <v>3983.6377235815989</v>
          </cell>
          <cell r="T35">
            <v>4851.688155722276</v>
          </cell>
          <cell r="U35">
            <v>5504.9120966524833</v>
          </cell>
          <cell r="V35">
            <v>6001.3087645292062</v>
          </cell>
          <cell r="W35">
            <v>6443.0620869019522</v>
          </cell>
          <cell r="X35">
            <v>6839.8484551402516</v>
          </cell>
          <cell r="Y35">
            <v>7187.9369384590391</v>
          </cell>
          <cell r="Z35">
            <v>7544.1579076452417</v>
          </cell>
          <cell r="AA35">
            <v>7918.6616743152745</v>
          </cell>
          <cell r="AB35">
            <v>8312.4230242390749</v>
          </cell>
          <cell r="AC35">
            <v>8726.4708887985762</v>
          </cell>
          <cell r="AD35">
            <v>9161.8914787732047</v>
          </cell>
          <cell r="AE35">
            <v>9619.8316066106945</v>
          </cell>
          <cell r="AF35">
            <v>10101.502208908352</v>
          </cell>
          <cell r="AG35">
            <v>10608.182081579997</v>
          </cell>
          <cell r="AH35">
            <v>11141.221840982771</v>
          </cell>
          <cell r="AI35">
            <v>11702.048125129513</v>
          </cell>
          <cell r="AJ35">
            <v>12292.168050019407</v>
          </cell>
        </row>
        <row r="36">
          <cell r="I36" t="str">
            <v>y/y Growth - %</v>
          </cell>
          <cell r="N36">
            <v>0.54779742657049768</v>
          </cell>
          <cell r="O36">
            <v>0.53985213105247887</v>
          </cell>
          <cell r="P36">
            <v>0.31882975529592428</v>
          </cell>
          <cell r="Q36">
            <v>0.51414024681879167</v>
          </cell>
          <cell r="R36">
            <v>0.59577723650953218</v>
          </cell>
          <cell r="S36">
            <v>0.30769966442643781</v>
          </cell>
          <cell r="T36">
            <v>0.21790395923860073</v>
          </cell>
          <cell r="U36">
            <v>0.13463848457773797</v>
          </cell>
          <cell r="V36">
            <v>9.0173404981085836E-2</v>
          </cell>
          <cell r="W36">
            <v>7.3609497478905439E-2</v>
          </cell>
          <cell r="X36">
            <v>6.1583508413635135E-2</v>
          </cell>
          <cell r="Y36">
            <v>5.0891256670634766E-2</v>
          </cell>
          <cell r="Z36">
            <v>4.9558165609417504E-2</v>
          </cell>
          <cell r="AA36">
            <v>4.9641559900345023E-2</v>
          </cell>
          <cell r="AB36">
            <v>4.9725744844105746E-2</v>
          </cell>
          <cell r="AC36">
            <v>4.9810730680107884E-2</v>
          </cell>
          <cell r="AD36">
            <v>4.9896526960691689E-2</v>
          </cell>
          <cell r="AE36">
            <v>4.9983142552874726E-2</v>
          </cell>
          <cell r="AF36">
            <v>5.0070585639633958E-2</v>
          </cell>
          <cell r="AG36">
            <v>5.0158863720765279E-2</v>
          </cell>
          <cell r="AH36">
            <v>5.0247983613360248E-2</v>
          </cell>
          <cell r="AI36">
            <v>5.0337951451945084E-2</v>
          </cell>
          <cell r="AJ36">
            <v>5.0428772688316359E-2</v>
          </cell>
        </row>
        <row r="37">
          <cell r="I37" t="str">
            <v>y/y Growth - % (ex F/X)</v>
          </cell>
          <cell r="Q37">
            <v>0.5646969335235883</v>
          </cell>
          <cell r="R37">
            <v>0.53220552722056125</v>
          </cell>
          <cell r="S37">
            <v>0.34929142334649299</v>
          </cell>
          <cell r="T37">
            <v>0.21790395923860095</v>
          </cell>
          <cell r="U37">
            <v>0.13463848457773775</v>
          </cell>
          <cell r="V37">
            <v>9.0173404981086058E-2</v>
          </cell>
          <cell r="W37">
            <v>7.3609497478905217E-2</v>
          </cell>
          <cell r="X37">
            <v>6.1583508413635579E-2</v>
          </cell>
          <cell r="Y37">
            <v>5.0891256670634544E-2</v>
          </cell>
          <cell r="Z37">
            <v>4.9558165609417504E-2</v>
          </cell>
          <cell r="AA37">
            <v>4.9641559900345023E-2</v>
          </cell>
          <cell r="AB37">
            <v>4.9725744844105968E-2</v>
          </cell>
          <cell r="AC37">
            <v>4.9810730680107662E-2</v>
          </cell>
          <cell r="AD37">
            <v>4.9896526960691689E-2</v>
          </cell>
          <cell r="AE37">
            <v>4.9983142552874948E-2</v>
          </cell>
          <cell r="AF37">
            <v>5.0070585639633958E-2</v>
          </cell>
          <cell r="AG37">
            <v>5.0158863720765279E-2</v>
          </cell>
          <cell r="AH37">
            <v>5.0247983613360248E-2</v>
          </cell>
          <cell r="AI37">
            <v>5.0337951451945306E-2</v>
          </cell>
          <cell r="AJ37">
            <v>5.0428772688315915E-2</v>
          </cell>
        </row>
        <row r="40">
          <cell r="I40" t="str">
            <v>Gross Bookings Scenarios</v>
          </cell>
        </row>
        <row r="41">
          <cell r="I41" t="str">
            <v>Gross bookings by brand</v>
          </cell>
        </row>
        <row r="42">
          <cell r="I42" t="str">
            <v>US</v>
          </cell>
        </row>
        <row r="43">
          <cell r="I43" t="str">
            <v>Agency (Priceline.com)</v>
          </cell>
          <cell r="M43">
            <v>834.30699999999956</v>
          </cell>
          <cell r="N43">
            <v>923.46399999999994</v>
          </cell>
          <cell r="O43">
            <v>1538.9859999999999</v>
          </cell>
          <cell r="P43">
            <v>1772.3919999999998</v>
          </cell>
          <cell r="Q43">
            <v>2028.4010000000003</v>
          </cell>
          <cell r="R43">
            <v>2335.0682999999999</v>
          </cell>
          <cell r="S43">
            <v>2715.9713540000002</v>
          </cell>
          <cell r="T43">
            <v>3041.8879164800005</v>
          </cell>
          <cell r="U43">
            <v>3285.2389497984009</v>
          </cell>
          <cell r="V43">
            <v>3449.5008972883211</v>
          </cell>
          <cell r="W43">
            <v>3604.7284376662951</v>
          </cell>
          <cell r="X43">
            <v>3766.9412173612782</v>
          </cell>
          <cell r="Y43">
            <v>3936.4535721425354</v>
          </cell>
          <cell r="Z43">
            <v>4113.5939828889495</v>
          </cell>
          <cell r="AA43">
            <v>4298.7057121189519</v>
          </cell>
          <cell r="AB43">
            <v>4492.1474691643043</v>
          </cell>
          <cell r="AC43">
            <v>4694.2941052766973</v>
          </cell>
          <cell r="AD43">
            <v>4905.537340014148</v>
          </cell>
          <cell r="AE43">
            <v>5126.286520314784</v>
          </cell>
          <cell r="AF43">
            <v>5356.9694137289489</v>
          </cell>
          <cell r="AG43">
            <v>5598.0330373467514</v>
          </cell>
          <cell r="AH43">
            <v>5849.9445240273544</v>
          </cell>
          <cell r="AI43">
            <v>6113.1920276085848</v>
          </cell>
          <cell r="AJ43">
            <v>6388.285668850971</v>
          </cell>
        </row>
        <row r="44">
          <cell r="I44" t="str">
            <v>Base y/y Growth - %</v>
          </cell>
          <cell r="M44" t="str">
            <v>NA</v>
          </cell>
          <cell r="N44">
            <v>0.10686354063911785</v>
          </cell>
          <cell r="O44">
            <v>0.66653599923765294</v>
          </cell>
          <cell r="P44">
            <v>0.15166219835658024</v>
          </cell>
          <cell r="Q44">
            <v>0.14444265151275815</v>
          </cell>
          <cell r="R44">
            <v>0.15118672294087787</v>
          </cell>
          <cell r="S44">
            <v>0.16312287482126342</v>
          </cell>
          <cell r="T44">
            <v>0.12</v>
          </cell>
          <cell r="U44">
            <v>0.08</v>
          </cell>
          <cell r="V44">
            <v>0.05</v>
          </cell>
          <cell r="W44">
            <v>4.4999999999999998E-2</v>
          </cell>
          <cell r="X44">
            <v>4.4999999999999998E-2</v>
          </cell>
          <cell r="Y44">
            <v>4.4999999999999998E-2</v>
          </cell>
          <cell r="Z44">
            <v>4.4999999999999998E-2</v>
          </cell>
          <cell r="AA44">
            <v>4.4999999999999998E-2</v>
          </cell>
          <cell r="AB44">
            <v>4.4999999999999998E-2</v>
          </cell>
          <cell r="AC44">
            <v>4.4999999999999998E-2</v>
          </cell>
          <cell r="AD44">
            <v>4.4999999999999998E-2</v>
          </cell>
          <cell r="AE44">
            <v>4.4999999999999998E-2</v>
          </cell>
          <cell r="AF44">
            <v>4.4999999999999998E-2</v>
          </cell>
          <cell r="AG44">
            <v>4.4999999999999998E-2</v>
          </cell>
          <cell r="AH44">
            <v>4.4999999999999998E-2</v>
          </cell>
          <cell r="AI44">
            <v>4.4999999999999998E-2</v>
          </cell>
          <cell r="AJ44">
            <v>4.4999999999999998E-2</v>
          </cell>
        </row>
        <row r="45">
          <cell r="I45" t="str">
            <v>Bull y/y Growth - %</v>
          </cell>
          <cell r="M45" t="str">
            <v>NA</v>
          </cell>
          <cell r="N45">
            <v>0.10686354063911785</v>
          </cell>
          <cell r="O45">
            <v>0.66653599923765294</v>
          </cell>
          <cell r="P45">
            <v>0.15166219835658024</v>
          </cell>
          <cell r="Q45">
            <v>0.14444265151275815</v>
          </cell>
          <cell r="R45">
            <v>0.15558304299790815</v>
          </cell>
          <cell r="S45">
            <v>0.18312287482126322</v>
          </cell>
          <cell r="T45">
            <v>0.13</v>
          </cell>
          <cell r="U45">
            <v>0.09</v>
          </cell>
          <cell r="V45">
            <v>6.0000000000000005E-2</v>
          </cell>
          <cell r="W45">
            <v>5.5E-2</v>
          </cell>
          <cell r="X45">
            <v>5.5E-2</v>
          </cell>
          <cell r="Y45">
            <v>5.5E-2</v>
          </cell>
          <cell r="Z45">
            <v>5.5E-2</v>
          </cell>
          <cell r="AA45">
            <v>5.5E-2</v>
          </cell>
          <cell r="AB45">
            <v>5.5E-2</v>
          </cell>
          <cell r="AC45">
            <v>5.5E-2</v>
          </cell>
          <cell r="AD45">
            <v>5.5E-2</v>
          </cell>
          <cell r="AE45">
            <v>5.5E-2</v>
          </cell>
          <cell r="AF45">
            <v>5.5E-2</v>
          </cell>
          <cell r="AG45">
            <v>5.5E-2</v>
          </cell>
          <cell r="AH45">
            <v>5.5E-2</v>
          </cell>
          <cell r="AI45">
            <v>5.5E-2</v>
          </cell>
          <cell r="AJ45">
            <v>5.5E-2</v>
          </cell>
        </row>
        <row r="46">
          <cell r="I46" t="str">
            <v>Bear y/y Growth - %</v>
          </cell>
          <cell r="M46" t="str">
            <v>NA</v>
          </cell>
          <cell r="N46">
            <v>0.10686354063911785</v>
          </cell>
          <cell r="O46">
            <v>0.66653599923765294</v>
          </cell>
          <cell r="P46">
            <v>0.15166219835658024</v>
          </cell>
          <cell r="Q46">
            <v>0.14444265151275815</v>
          </cell>
          <cell r="R46">
            <v>0.1379977627697877</v>
          </cell>
          <cell r="S46">
            <v>8.4342049866378721E-2</v>
          </cell>
          <cell r="T46">
            <v>0.04</v>
          </cell>
          <cell r="U46">
            <v>0.03</v>
          </cell>
          <cell r="V46">
            <v>3.0000000000000002E-2</v>
          </cell>
          <cell r="W46">
            <v>2.4999999999999998E-2</v>
          </cell>
          <cell r="X46">
            <v>2.4999999999999998E-2</v>
          </cell>
          <cell r="Y46">
            <v>2.4999999999999998E-2</v>
          </cell>
          <cell r="Z46">
            <v>2.4999999999999998E-2</v>
          </cell>
          <cell r="AA46">
            <v>2.4999999999999998E-2</v>
          </cell>
          <cell r="AB46">
            <v>2.4999999999999998E-2</v>
          </cell>
          <cell r="AC46">
            <v>2.4999999999999998E-2</v>
          </cell>
          <cell r="AD46">
            <v>2.4999999999999998E-2</v>
          </cell>
          <cell r="AE46">
            <v>2.4999999999999998E-2</v>
          </cell>
          <cell r="AF46">
            <v>2.4999999999999998E-2</v>
          </cell>
          <cell r="AG46">
            <v>2.4999999999999998E-2</v>
          </cell>
          <cell r="AH46">
            <v>2.4999999999999998E-2</v>
          </cell>
          <cell r="AI46">
            <v>2.4999999999999998E-2</v>
          </cell>
          <cell r="AJ46">
            <v>2.4999999999999998E-2</v>
          </cell>
        </row>
        <row r="47">
          <cell r="I47" t="str">
            <v>Merchant (NYOP &amp; Priceline.com)</v>
          </cell>
          <cell r="M47">
            <v>1138.4829999999999</v>
          </cell>
          <cell r="N47">
            <v>1230.9110000000001</v>
          </cell>
          <cell r="O47">
            <v>1542.806</v>
          </cell>
          <cell r="P47">
            <v>1873.67</v>
          </cell>
          <cell r="Q47">
            <v>2138.4740000000002</v>
          </cell>
          <cell r="R47">
            <v>2388.6791999999996</v>
          </cell>
          <cell r="S47">
            <v>2592.8427940000001</v>
          </cell>
          <cell r="T47">
            <v>2787.3060035500002</v>
          </cell>
          <cell r="U47">
            <v>2982.4174237985003</v>
          </cell>
          <cell r="V47">
            <v>3146.4503821074177</v>
          </cell>
          <cell r="W47">
            <v>3303.7729012127888</v>
          </cell>
          <cell r="X47">
            <v>3435.9238172613004</v>
          </cell>
          <cell r="Y47">
            <v>3573.3607699517524</v>
          </cell>
          <cell r="Z47">
            <v>3716.2952007498225</v>
          </cell>
          <cell r="AA47">
            <v>3864.9470087798154</v>
          </cell>
          <cell r="AB47">
            <v>4019.5448891310079</v>
          </cell>
          <cell r="AC47">
            <v>4180.3266846962488</v>
          </cell>
          <cell r="AD47">
            <v>4347.5397520840988</v>
          </cell>
          <cell r="AE47">
            <v>4521.4413421674626</v>
          </cell>
          <cell r="AF47">
            <v>4702.2989958541611</v>
          </cell>
          <cell r="AG47">
            <v>4890.3909556883282</v>
          </cell>
          <cell r="AH47">
            <v>5086.0065939158612</v>
          </cell>
          <cell r="AI47">
            <v>5289.4468576724958</v>
          </cell>
          <cell r="AJ47">
            <v>5501.0247319793962</v>
          </cell>
        </row>
        <row r="48">
          <cell r="I48" t="str">
            <v>Base y/y Growth - %</v>
          </cell>
          <cell r="M48" t="str">
            <v>NA</v>
          </cell>
          <cell r="N48">
            <v>8.1185226305531266E-2</v>
          </cell>
          <cell r="O48">
            <v>0.25338550065764287</v>
          </cell>
          <cell r="P48">
            <v>0.21445599770807222</v>
          </cell>
          <cell r="Q48">
            <v>0.14132904940571178</v>
          </cell>
          <cell r="R48">
            <v>0.11700174984591794</v>
          </cell>
          <cell r="S48">
            <v>8.5471332441794834E-2</v>
          </cell>
          <cell r="T48">
            <v>7.4999999999999997E-2</v>
          </cell>
          <cell r="U48">
            <v>7.0000000000000007E-2</v>
          </cell>
          <cell r="V48">
            <v>5.5E-2</v>
          </cell>
          <cell r="W48">
            <v>0.05</v>
          </cell>
          <cell r="X48">
            <v>0.04</v>
          </cell>
          <cell r="Y48">
            <v>0.04</v>
          </cell>
          <cell r="Z48">
            <v>0.04</v>
          </cell>
          <cell r="AA48">
            <v>0.04</v>
          </cell>
          <cell r="AB48">
            <v>0.04</v>
          </cell>
          <cell r="AC48">
            <v>0.04</v>
          </cell>
          <cell r="AD48">
            <v>0.04</v>
          </cell>
          <cell r="AE48">
            <v>0.04</v>
          </cell>
          <cell r="AF48">
            <v>0.04</v>
          </cell>
          <cell r="AG48">
            <v>0.04</v>
          </cell>
          <cell r="AH48">
            <v>0.04</v>
          </cell>
          <cell r="AI48">
            <v>0.04</v>
          </cell>
          <cell r="AJ48">
            <v>0.04</v>
          </cell>
        </row>
        <row r="49">
          <cell r="I49" t="str">
            <v>Bull y/y Growth - %</v>
          </cell>
          <cell r="M49" t="str">
            <v>NA</v>
          </cell>
          <cell r="N49">
            <v>8.1185226305531266E-2</v>
          </cell>
          <cell r="O49">
            <v>0.25338550065764287</v>
          </cell>
          <cell r="P49">
            <v>0.21445599770807222</v>
          </cell>
          <cell r="Q49">
            <v>0.14132904940571178</v>
          </cell>
          <cell r="R49">
            <v>0.12126764225330766</v>
          </cell>
          <cell r="S49">
            <v>0.10547133244179507</v>
          </cell>
          <cell r="T49">
            <v>8.4999999999999992E-2</v>
          </cell>
          <cell r="U49">
            <v>0.08</v>
          </cell>
          <cell r="V49">
            <v>6.5000000000000002E-2</v>
          </cell>
          <cell r="W49">
            <v>6.0000000000000005E-2</v>
          </cell>
          <cell r="X49">
            <v>5.5E-2</v>
          </cell>
          <cell r="Y49">
            <v>5.5E-2</v>
          </cell>
          <cell r="Z49">
            <v>5.5E-2</v>
          </cell>
          <cell r="AA49">
            <v>5.5E-2</v>
          </cell>
          <cell r="AB49">
            <v>0.05</v>
          </cell>
          <cell r="AC49">
            <v>0.05</v>
          </cell>
          <cell r="AD49">
            <v>0.05</v>
          </cell>
          <cell r="AE49">
            <v>0.05</v>
          </cell>
          <cell r="AF49">
            <v>0.05</v>
          </cell>
          <cell r="AG49">
            <v>0.05</v>
          </cell>
          <cell r="AH49">
            <v>0.05</v>
          </cell>
          <cell r="AI49">
            <v>0.05</v>
          </cell>
          <cell r="AJ49">
            <v>0.05</v>
          </cell>
        </row>
        <row r="50">
          <cell r="I50" t="str">
            <v>Bear y/y Growth - %</v>
          </cell>
          <cell r="M50" t="str">
            <v>NA</v>
          </cell>
          <cell r="N50">
            <v>8.1185226305531266E-2</v>
          </cell>
          <cell r="O50">
            <v>0.25338550065764287</v>
          </cell>
          <cell r="P50">
            <v>0.21445599770807222</v>
          </cell>
          <cell r="Q50">
            <v>0.14132904940571178</v>
          </cell>
          <cell r="R50">
            <v>0.12126764225330766</v>
          </cell>
          <cell r="S50">
            <v>8.7533622765250785E-2</v>
          </cell>
          <cell r="T50">
            <v>0.04</v>
          </cell>
          <cell r="U50">
            <v>0.03</v>
          </cell>
          <cell r="V50">
            <v>2.5000000000000001E-2</v>
          </cell>
          <cell r="W50">
            <v>0.03</v>
          </cell>
          <cell r="X50">
            <v>1.0000000000000002E-2</v>
          </cell>
          <cell r="Y50">
            <v>1.0000000000000002E-2</v>
          </cell>
          <cell r="Z50">
            <v>1.0000000000000002E-2</v>
          </cell>
          <cell r="AA50">
            <v>1.0000000000000002E-2</v>
          </cell>
          <cell r="AB50">
            <v>1.0000000000000002E-2</v>
          </cell>
          <cell r="AC50">
            <v>1.0000000000000002E-2</v>
          </cell>
          <cell r="AD50">
            <v>1.0000000000000002E-2</v>
          </cell>
          <cell r="AE50">
            <v>1.0000000000000002E-2</v>
          </cell>
          <cell r="AF50">
            <v>1.0000000000000002E-2</v>
          </cell>
          <cell r="AG50">
            <v>1.0000000000000002E-2</v>
          </cell>
          <cell r="AH50">
            <v>1.0000000000000002E-2</v>
          </cell>
          <cell r="AI50">
            <v>1.0000000000000002E-2</v>
          </cell>
          <cell r="AJ50">
            <v>1.0000000000000002E-2</v>
          </cell>
        </row>
        <row r="51">
          <cell r="I51" t="str">
            <v>Total US</v>
          </cell>
          <cell r="M51">
            <v>1972.7899999999995</v>
          </cell>
          <cell r="N51">
            <v>2154.375</v>
          </cell>
          <cell r="O51">
            <v>3081.7919999999999</v>
          </cell>
          <cell r="P51">
            <v>3646.0619999999999</v>
          </cell>
          <cell r="Q51">
            <v>4166.875</v>
          </cell>
          <cell r="R51">
            <v>4723.7474999999995</v>
          </cell>
          <cell r="S51">
            <v>5308.8141480000004</v>
          </cell>
          <cell r="T51">
            <v>5829.1939200300003</v>
          </cell>
          <cell r="U51">
            <v>6267.6563735969012</v>
          </cell>
          <cell r="V51">
            <v>6595.9512793957383</v>
          </cell>
          <cell r="W51">
            <v>6908.501338879084</v>
          </cell>
          <cell r="X51">
            <v>7202.8650346225786</v>
          </cell>
          <cell r="Y51">
            <v>7509.8143420942879</v>
          </cell>
          <cell r="Z51">
            <v>7829.889183638772</v>
          </cell>
          <cell r="AA51">
            <v>8163.6527208987673</v>
          </cell>
          <cell r="AB51">
            <v>8511.6923582953132</v>
          </cell>
          <cell r="AC51">
            <v>8874.6207899729452</v>
          </cell>
          <cell r="AD51">
            <v>9253.0770920982468</v>
          </cell>
          <cell r="AE51">
            <v>9647.7278624822466</v>
          </cell>
          <cell r="AF51">
            <v>10059.26840958311</v>
          </cell>
          <cell r="AG51">
            <v>10488.42399303508</v>
          </cell>
          <cell r="AH51">
            <v>10935.951117943216</v>
          </cell>
          <cell r="AI51">
            <v>11402.638885281081</v>
          </cell>
          <cell r="AJ51">
            <v>11889.310400830367</v>
          </cell>
        </row>
        <row r="52">
          <cell r="I52" t="str">
            <v>y/y Growth - %</v>
          </cell>
          <cell r="M52" t="str">
            <v>NA</v>
          </cell>
          <cell r="N52">
            <v>9.2044769083379663E-2</v>
          </cell>
          <cell r="O52">
            <v>0.43048076588337691</v>
          </cell>
          <cell r="P52">
            <v>0.18309801569995643</v>
          </cell>
          <cell r="Q52">
            <v>0.14284260662599824</v>
          </cell>
          <cell r="R52">
            <v>0.13364271786410664</v>
          </cell>
          <cell r="S52">
            <v>0.12385646099839187</v>
          </cell>
          <cell r="T52">
            <v>9.8021847727715938E-2</v>
          </cell>
          <cell r="U52">
            <v>7.5218368025170124E-2</v>
          </cell>
          <cell r="V52">
            <v>5.237921261634737E-2</v>
          </cell>
          <cell r="W52">
            <v>4.7385137676756672E-2</v>
          </cell>
          <cell r="X52">
            <v>4.2608907678268748E-2</v>
          </cell>
          <cell r="Y52">
            <v>4.26148908797086E-2</v>
          </cell>
          <cell r="Z52">
            <v>4.2620872762511475E-2</v>
          </cell>
          <cell r="AA52">
            <v>4.2626853258335151E-2</v>
          </cell>
          <cell r="AB52">
            <v>4.2632832298901135E-2</v>
          </cell>
          <cell r="AC52">
            <v>4.2638809815997325E-2</v>
          </cell>
          <cell r="AD52">
            <v>4.2644785741482449E-2</v>
          </cell>
          <cell r="AE52">
            <v>4.265076000728607E-2</v>
          </cell>
          <cell r="AF52">
            <v>4.2656732545416132E-2</v>
          </cell>
          <cell r="AG52">
            <v>4.2662703287957626E-2</v>
          </cell>
          <cell r="AH52">
            <v>4.2668672167078592E-2</v>
          </cell>
          <cell r="AI52">
            <v>4.2674639115032775E-2</v>
          </cell>
          <cell r="AJ52">
            <v>4.2680604064160743E-2</v>
          </cell>
        </row>
        <row r="54">
          <cell r="I54" t="str">
            <v>Europe</v>
          </cell>
        </row>
        <row r="55">
          <cell r="I55" t="str">
            <v>Agency (Booking.com &amp; Other)</v>
          </cell>
          <cell r="M55">
            <v>1323.9290000000003</v>
          </cell>
          <cell r="N55">
            <v>2596.2659999999996</v>
          </cell>
          <cell r="O55">
            <v>4024.8225000000002</v>
          </cell>
          <cell r="P55">
            <v>4992.1568750000006</v>
          </cell>
          <cell r="Q55">
            <v>7664.4586250000011</v>
          </cell>
          <cell r="R55">
            <v>12567.324086258932</v>
          </cell>
          <cell r="S55">
            <v>15948.969148794769</v>
          </cell>
          <cell r="T55">
            <v>19298.252670041671</v>
          </cell>
          <cell r="U55">
            <v>21614.042990446673</v>
          </cell>
          <cell r="V55">
            <v>23451.236644634639</v>
          </cell>
          <cell r="W55">
            <v>25092.823209759066</v>
          </cell>
          <cell r="X55">
            <v>26598.392602344611</v>
          </cell>
          <cell r="Y55">
            <v>27861.816250955984</v>
          </cell>
          <cell r="Z55">
            <v>29115.597982249001</v>
          </cell>
          <cell r="AA55">
            <v>30425.799891450202</v>
          </cell>
          <cell r="AB55">
            <v>31794.960886565459</v>
          </cell>
          <cell r="AC55">
            <v>33225.734126460906</v>
          </cell>
          <cell r="AD55">
            <v>34720.892162151642</v>
          </cell>
          <cell r="AE55">
            <v>36283.332309448466</v>
          </cell>
          <cell r="AF55">
            <v>37916.082263373646</v>
          </cell>
          <cell r="AG55">
            <v>39622.30596522546</v>
          </cell>
          <cell r="AH55">
            <v>41405.309733660601</v>
          </cell>
          <cell r="AI55">
            <v>43268.548671675322</v>
          </cell>
          <cell r="AJ55">
            <v>45215.633361900705</v>
          </cell>
        </row>
        <row r="56">
          <cell r="I56" t="str">
            <v>Base y/y Growth - %</v>
          </cell>
          <cell r="M56" t="str">
            <v>NA</v>
          </cell>
          <cell r="N56">
            <v>0.96103114290872016</v>
          </cell>
          <cell r="O56">
            <v>0.55023502984671091</v>
          </cell>
          <cell r="P56">
            <v>0.24034212067737148</v>
          </cell>
          <cell r="Q56">
            <v>0.53530003501742929</v>
          </cell>
          <cell r="R56">
            <v>0.63968842434176887</v>
          </cell>
          <cell r="S56">
            <v>0.2690823471508399</v>
          </cell>
          <cell r="T56">
            <v>0.21</v>
          </cell>
          <cell r="U56">
            <v>0.12</v>
          </cell>
          <cell r="V56">
            <v>8.5000000000000006E-2</v>
          </cell>
          <cell r="W56">
            <v>7.0000000000000007E-2</v>
          </cell>
          <cell r="X56">
            <v>0.06</v>
          </cell>
          <cell r="Y56">
            <v>4.7500000000000001E-2</v>
          </cell>
          <cell r="Z56">
            <v>4.4999999999999998E-2</v>
          </cell>
          <cell r="AA56">
            <v>4.4999999999999998E-2</v>
          </cell>
          <cell r="AB56">
            <v>4.4999999999999998E-2</v>
          </cell>
          <cell r="AC56">
            <v>4.4999999999999998E-2</v>
          </cell>
          <cell r="AD56">
            <v>4.4999999999999998E-2</v>
          </cell>
          <cell r="AE56">
            <v>4.4999999999999998E-2</v>
          </cell>
          <cell r="AF56">
            <v>4.4999999999999998E-2</v>
          </cell>
          <cell r="AG56">
            <v>4.4999999999999998E-2</v>
          </cell>
          <cell r="AH56">
            <v>4.4999999999999998E-2</v>
          </cell>
          <cell r="AI56">
            <v>4.4999999999999998E-2</v>
          </cell>
          <cell r="AJ56">
            <v>4.4999999999999998E-2</v>
          </cell>
        </row>
        <row r="57">
          <cell r="I57" t="str">
            <v>(+/-) FX y/y Growth - %</v>
          </cell>
          <cell r="M57" t="str">
            <v>NA</v>
          </cell>
          <cell r="N57">
            <v>-9.0575564185765581E-2</v>
          </cell>
          <cell r="O57">
            <v>-5.8672391623203229E-2</v>
          </cell>
          <cell r="P57">
            <v>6.2524109754471285E-2</v>
          </cell>
          <cell r="Q57">
            <v>4.4309026369021662E-2</v>
          </cell>
          <cell r="R57">
            <v>-4.775857161340416E-2</v>
          </cell>
          <cell r="S57">
            <v>6.2248681346400075E-2</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row>
        <row r="58">
          <cell r="I58" t="str">
            <v>Organic y/y Growth - %</v>
          </cell>
          <cell r="M58" t="str">
            <v>NA</v>
          </cell>
          <cell r="N58">
            <v>0.87045557872295454</v>
          </cell>
          <cell r="O58">
            <v>0.49156263822350765</v>
          </cell>
          <cell r="P58">
            <v>0.3028662304318428</v>
          </cell>
          <cell r="Q58">
            <v>0.57960906138645096</v>
          </cell>
          <cell r="R58">
            <v>0.59192985272836474</v>
          </cell>
          <cell r="S58">
            <v>0.33133102849723994</v>
          </cell>
          <cell r="T58">
            <v>0.21</v>
          </cell>
          <cell r="U58">
            <v>0.12</v>
          </cell>
          <cell r="V58">
            <v>8.5000000000000006E-2</v>
          </cell>
          <cell r="W58">
            <v>7.0000000000000007E-2</v>
          </cell>
          <cell r="X58">
            <v>0.06</v>
          </cell>
          <cell r="Y58">
            <v>4.7500000000000001E-2</v>
          </cell>
          <cell r="Z58">
            <v>4.4999999999999998E-2</v>
          </cell>
          <cell r="AA58">
            <v>4.4999999999999998E-2</v>
          </cell>
          <cell r="AB58">
            <v>4.4999999999999998E-2</v>
          </cell>
          <cell r="AC58">
            <v>4.4999999999999998E-2</v>
          </cell>
          <cell r="AD58">
            <v>4.4999999999999998E-2</v>
          </cell>
          <cell r="AE58">
            <v>4.4999999999999998E-2</v>
          </cell>
          <cell r="AF58">
            <v>4.4999999999999998E-2</v>
          </cell>
          <cell r="AG58">
            <v>4.4999999999999998E-2</v>
          </cell>
          <cell r="AH58">
            <v>4.4999999999999998E-2</v>
          </cell>
          <cell r="AI58">
            <v>4.4999999999999998E-2</v>
          </cell>
          <cell r="AJ58">
            <v>4.4999999999999998E-2</v>
          </cell>
        </row>
        <row r="59">
          <cell r="I59" t="str">
            <v>Bull y/y Growth - %</v>
          </cell>
          <cell r="M59" t="str">
            <v>NA</v>
          </cell>
          <cell r="N59">
            <v>0.96103114290872016</v>
          </cell>
          <cell r="O59">
            <v>0.55023502984671091</v>
          </cell>
          <cell r="P59">
            <v>0.24034212067737148</v>
          </cell>
          <cell r="Q59">
            <v>0.53530003501742929</v>
          </cell>
          <cell r="R59">
            <v>0.64696090961792208</v>
          </cell>
          <cell r="S59">
            <v>0.29908234715083992</v>
          </cell>
          <cell r="T59">
            <v>0.26</v>
          </cell>
          <cell r="U59">
            <v>0.16999999999999998</v>
          </cell>
          <cell r="V59">
            <v>0.13500000000000001</v>
          </cell>
          <cell r="W59">
            <v>0.12000000000000001</v>
          </cell>
          <cell r="X59">
            <v>0.11</v>
          </cell>
          <cell r="Y59">
            <v>9.7500000000000003E-2</v>
          </cell>
          <cell r="Z59">
            <v>9.5000000000000001E-2</v>
          </cell>
          <cell r="AA59">
            <v>9.5000000000000001E-2</v>
          </cell>
          <cell r="AB59">
            <v>9.5000000000000001E-2</v>
          </cell>
          <cell r="AC59">
            <v>9.5000000000000001E-2</v>
          </cell>
          <cell r="AD59">
            <v>9.5000000000000001E-2</v>
          </cell>
          <cell r="AE59">
            <v>9.5000000000000001E-2</v>
          </cell>
          <cell r="AF59">
            <v>9.5000000000000001E-2</v>
          </cell>
          <cell r="AG59">
            <v>9.5000000000000001E-2</v>
          </cell>
          <cell r="AH59">
            <v>9.5000000000000001E-2</v>
          </cell>
          <cell r="AI59">
            <v>9.5000000000000001E-2</v>
          </cell>
          <cell r="AJ59">
            <v>9.5000000000000001E-2</v>
          </cell>
        </row>
        <row r="60">
          <cell r="I60" t="str">
            <v>Bear y/y Growth - %</v>
          </cell>
          <cell r="M60" t="str">
            <v>NA</v>
          </cell>
          <cell r="N60">
            <v>0.96103114290872016</v>
          </cell>
          <cell r="O60">
            <v>0.55023502984671091</v>
          </cell>
          <cell r="P60">
            <v>0.24034212067737148</v>
          </cell>
          <cell r="Q60">
            <v>0.53530003501742929</v>
          </cell>
          <cell r="R60">
            <v>0.62756761554817975</v>
          </cell>
          <cell r="S60">
            <v>0.21908234715083985</v>
          </cell>
          <cell r="T60">
            <v>0.15999999999999998</v>
          </cell>
          <cell r="U60">
            <v>6.9999999999999993E-2</v>
          </cell>
          <cell r="V60">
            <v>3.5000000000000003E-2</v>
          </cell>
          <cell r="W60">
            <v>0.01</v>
          </cell>
          <cell r="X60">
            <v>0.01</v>
          </cell>
          <cell r="Y60">
            <v>0.01</v>
          </cell>
          <cell r="Z60">
            <v>0.01</v>
          </cell>
          <cell r="AA60">
            <v>0.01</v>
          </cell>
          <cell r="AB60">
            <v>0.01</v>
          </cell>
          <cell r="AC60">
            <v>0.01</v>
          </cell>
          <cell r="AD60">
            <v>0.01</v>
          </cell>
          <cell r="AE60">
            <v>0.01</v>
          </cell>
          <cell r="AF60">
            <v>0.01</v>
          </cell>
          <cell r="AG60">
            <v>0.01</v>
          </cell>
          <cell r="AH60">
            <v>0.01</v>
          </cell>
          <cell r="AI60">
            <v>0.01</v>
          </cell>
          <cell r="AJ60">
            <v>0.01</v>
          </cell>
        </row>
        <row r="61">
          <cell r="I61" t="str">
            <v>Merchant (TravelJigsaw)</v>
          </cell>
          <cell r="M61">
            <v>0</v>
          </cell>
          <cell r="N61">
            <v>0</v>
          </cell>
          <cell r="O61">
            <v>0</v>
          </cell>
          <cell r="P61">
            <v>0</v>
          </cell>
          <cell r="Q61">
            <v>184.7</v>
          </cell>
          <cell r="R61">
            <v>488.62833097441575</v>
          </cell>
          <cell r="S61">
            <v>764.14644733189664</v>
          </cell>
          <cell r="T61">
            <v>1031.5977038980604</v>
          </cell>
          <cell r="U61">
            <v>1237.9172446776724</v>
          </cell>
          <cell r="V61">
            <v>1386.4673140389932</v>
          </cell>
          <cell r="W61">
            <v>1511.2493723025027</v>
          </cell>
          <cell r="X61">
            <v>1617.0368283636781</v>
          </cell>
          <cell r="Y61">
            <v>1697.8886697818621</v>
          </cell>
          <cell r="Z61">
            <v>1782.7831032709553</v>
          </cell>
          <cell r="AA61">
            <v>1871.9222584345032</v>
          </cell>
          <cell r="AB61">
            <v>1965.5183713562285</v>
          </cell>
          <cell r="AC61">
            <v>2063.7942899240402</v>
          </cell>
          <cell r="AD61">
            <v>2166.9840044202424</v>
          </cell>
          <cell r="AE61">
            <v>2275.3332046412547</v>
          </cell>
          <cell r="AF61">
            <v>2389.0998648733175</v>
          </cell>
          <cell r="AG61">
            <v>2508.5548581169837</v>
          </cell>
          <cell r="AH61">
            <v>2633.982601022833</v>
          </cell>
          <cell r="AI61">
            <v>2765.6817310739748</v>
          </cell>
          <cell r="AJ61">
            <v>2903.9658176276735</v>
          </cell>
        </row>
        <row r="62">
          <cell r="I62" t="str">
            <v>Base y/y Growth - %</v>
          </cell>
          <cell r="M62" t="str">
            <v>NA</v>
          </cell>
          <cell r="N62" t="str">
            <v>NA</v>
          </cell>
          <cell r="O62" t="str">
            <v>NA</v>
          </cell>
          <cell r="P62" t="str">
            <v>NA</v>
          </cell>
          <cell r="Q62" t="str">
            <v>NA</v>
          </cell>
          <cell r="R62" t="str">
            <v>NM</v>
          </cell>
          <cell r="S62">
            <v>0.56386029808801008</v>
          </cell>
          <cell r="T62">
            <v>0.35</v>
          </cell>
          <cell r="U62">
            <v>0.2</v>
          </cell>
          <cell r="V62">
            <v>0.12</v>
          </cell>
          <cell r="W62">
            <v>0.09</v>
          </cell>
          <cell r="X62">
            <v>7.0000000000000007E-2</v>
          </cell>
          <cell r="Y62">
            <v>0.05</v>
          </cell>
          <cell r="Z62">
            <v>0.05</v>
          </cell>
          <cell r="AA62">
            <v>0.05</v>
          </cell>
          <cell r="AB62">
            <v>0.05</v>
          </cell>
          <cell r="AC62">
            <v>0.05</v>
          </cell>
          <cell r="AD62">
            <v>0.05</v>
          </cell>
          <cell r="AE62">
            <v>0.05</v>
          </cell>
          <cell r="AF62">
            <v>0.05</v>
          </cell>
          <cell r="AG62">
            <v>0.05</v>
          </cell>
          <cell r="AH62">
            <v>0.05</v>
          </cell>
          <cell r="AI62">
            <v>0.05</v>
          </cell>
          <cell r="AJ62">
            <v>0.05</v>
          </cell>
        </row>
        <row r="63">
          <cell r="I63" t="str">
            <v>(+/-) FX y/y Growth - %</v>
          </cell>
          <cell r="M63" t="str">
            <v>NA</v>
          </cell>
          <cell r="N63" t="str">
            <v>NA</v>
          </cell>
          <cell r="O63" t="str">
            <v>NA</v>
          </cell>
          <cell r="P63" t="str">
            <v>NA</v>
          </cell>
          <cell r="Q63" t="str">
            <v>NA</v>
          </cell>
          <cell r="R63" t="str">
            <v>NA</v>
          </cell>
          <cell r="S63">
            <v>6.2248681346400075E-2</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row>
        <row r="64">
          <cell r="I64" t="str">
            <v>Organic y/y Growth - %</v>
          </cell>
          <cell r="M64" t="str">
            <v>NA</v>
          </cell>
          <cell r="N64" t="str">
            <v>NA</v>
          </cell>
          <cell r="O64" t="str">
            <v>NA</v>
          </cell>
          <cell r="P64" t="str">
            <v>NA</v>
          </cell>
          <cell r="Q64" t="str">
            <v>NA</v>
          </cell>
          <cell r="R64" t="str">
            <v>NA</v>
          </cell>
          <cell r="S64">
            <v>0.62610897943441013</v>
          </cell>
          <cell r="T64">
            <v>0.35</v>
          </cell>
          <cell r="U64">
            <v>0.2</v>
          </cell>
          <cell r="V64">
            <v>0.12</v>
          </cell>
          <cell r="W64">
            <v>0.09</v>
          </cell>
          <cell r="X64">
            <v>7.0000000000000007E-2</v>
          </cell>
          <cell r="Y64">
            <v>0.05</v>
          </cell>
          <cell r="Z64">
            <v>0.05</v>
          </cell>
          <cell r="AA64">
            <v>0.05</v>
          </cell>
          <cell r="AB64">
            <v>0.05</v>
          </cell>
          <cell r="AC64">
            <v>0.05</v>
          </cell>
          <cell r="AD64">
            <v>0.05</v>
          </cell>
          <cell r="AE64">
            <v>0.05</v>
          </cell>
          <cell r="AF64">
            <v>0.05</v>
          </cell>
          <cell r="AG64">
            <v>0.05</v>
          </cell>
          <cell r="AH64">
            <v>0.05</v>
          </cell>
          <cell r="AI64">
            <v>0.05</v>
          </cell>
          <cell r="AJ64">
            <v>0.05</v>
          </cell>
        </row>
        <row r="65">
          <cell r="I65" t="str">
            <v>Bull y/y Growth - %</v>
          </cell>
          <cell r="M65" t="str">
            <v>NA</v>
          </cell>
          <cell r="N65" t="str">
            <v>NA</v>
          </cell>
          <cell r="O65" t="str">
            <v>NA</v>
          </cell>
          <cell r="P65" t="str">
            <v>NA</v>
          </cell>
          <cell r="Q65" t="str">
            <v>NA</v>
          </cell>
          <cell r="R65" t="str">
            <v>NM</v>
          </cell>
          <cell r="S65">
            <v>0.65068385324711175</v>
          </cell>
          <cell r="T65">
            <v>0.39999999999999997</v>
          </cell>
          <cell r="U65">
            <v>0.25</v>
          </cell>
          <cell r="V65">
            <v>0.16999999999999998</v>
          </cell>
          <cell r="W65">
            <v>0.14000000000000001</v>
          </cell>
          <cell r="X65">
            <v>0.12000000000000001</v>
          </cell>
          <cell r="Y65">
            <v>0.1</v>
          </cell>
          <cell r="Z65">
            <v>0.1</v>
          </cell>
          <cell r="AA65">
            <v>0.1</v>
          </cell>
          <cell r="AB65">
            <v>0.1</v>
          </cell>
          <cell r="AC65">
            <v>0.1</v>
          </cell>
          <cell r="AD65">
            <v>0.1</v>
          </cell>
          <cell r="AE65">
            <v>0.1</v>
          </cell>
          <cell r="AF65">
            <v>0.1</v>
          </cell>
          <cell r="AG65">
            <v>0.1</v>
          </cell>
          <cell r="AH65">
            <v>0.1</v>
          </cell>
          <cell r="AI65">
            <v>0.1</v>
          </cell>
          <cell r="AJ65">
            <v>0.1</v>
          </cell>
        </row>
        <row r="66">
          <cell r="I66" t="str">
            <v>Bear y/y Growth - %</v>
          </cell>
          <cell r="M66" t="str">
            <v>NA</v>
          </cell>
          <cell r="N66" t="str">
            <v>NA</v>
          </cell>
          <cell r="O66" t="str">
            <v>NA</v>
          </cell>
          <cell r="P66" t="str">
            <v>NA</v>
          </cell>
          <cell r="Q66" t="str">
            <v>NA</v>
          </cell>
          <cell r="R66" t="str">
            <v>NM</v>
          </cell>
          <cell r="S66">
            <v>0.28068385324711165</v>
          </cell>
          <cell r="T66">
            <v>0.19999999999999998</v>
          </cell>
          <cell r="U66">
            <v>0.15000000000000002</v>
          </cell>
          <cell r="V66">
            <v>6.9999999999999993E-2</v>
          </cell>
          <cell r="W66">
            <v>3.9999999999999994E-2</v>
          </cell>
          <cell r="X66">
            <v>0.01</v>
          </cell>
          <cell r="Y66">
            <v>0.01</v>
          </cell>
          <cell r="Z66">
            <v>0.01</v>
          </cell>
          <cell r="AA66">
            <v>0.01</v>
          </cell>
          <cell r="AB66">
            <v>0.01</v>
          </cell>
          <cell r="AC66">
            <v>0.01</v>
          </cell>
          <cell r="AD66">
            <v>0.01</v>
          </cell>
          <cell r="AE66">
            <v>0.01</v>
          </cell>
          <cell r="AF66">
            <v>0.01</v>
          </cell>
          <cell r="AG66">
            <v>0.01</v>
          </cell>
          <cell r="AH66">
            <v>0.01</v>
          </cell>
          <cell r="AI66">
            <v>0.01</v>
          </cell>
          <cell r="AJ66">
            <v>0.01</v>
          </cell>
        </row>
        <row r="67">
          <cell r="I67" t="str">
            <v>Total Europe</v>
          </cell>
          <cell r="M67">
            <v>1323.9290000000003</v>
          </cell>
          <cell r="N67">
            <v>2596.2659999999996</v>
          </cell>
          <cell r="O67">
            <v>4024.8225000000002</v>
          </cell>
          <cell r="P67">
            <v>4992.1568750000006</v>
          </cell>
          <cell r="Q67">
            <v>7849.1586250000009</v>
          </cell>
          <cell r="R67">
            <v>13055.952417233348</v>
          </cell>
          <cell r="S67">
            <v>16713.115596126667</v>
          </cell>
          <cell r="T67">
            <v>20329.850373939731</v>
          </cell>
          <cell r="U67">
            <v>22851.960235124345</v>
          </cell>
          <cell r="V67">
            <v>24837.703958673632</v>
          </cell>
          <cell r="W67">
            <v>26604.07258206157</v>
          </cell>
          <cell r="X67">
            <v>28215.429430708289</v>
          </cell>
          <cell r="Y67">
            <v>29559.704920737848</v>
          </cell>
          <cell r="Z67">
            <v>30898.381085519955</v>
          </cell>
          <cell r="AA67">
            <v>32297.722149884707</v>
          </cell>
          <cell r="AB67">
            <v>33760.479257921688</v>
          </cell>
          <cell r="AC67">
            <v>35289.528416384943</v>
          </cell>
          <cell r="AD67">
            <v>36887.876166571885</v>
          </cell>
          <cell r="AE67">
            <v>38558.66551408972</v>
          </cell>
          <cell r="AF67">
            <v>40305.182128246961</v>
          </cell>
          <cell r="AG67">
            <v>42130.860823342446</v>
          </cell>
          <cell r="AH67">
            <v>44039.292334683436</v>
          </cell>
          <cell r="AI67">
            <v>46034.230402749294</v>
          </cell>
          <cell r="AJ67">
            <v>48119.599179528377</v>
          </cell>
        </row>
        <row r="68">
          <cell r="I68" t="str">
            <v>y/y Growth - %</v>
          </cell>
          <cell r="M68" t="str">
            <v>NA</v>
          </cell>
          <cell r="N68">
            <v>0.96103114290872016</v>
          </cell>
          <cell r="O68">
            <v>0.55023502984671091</v>
          </cell>
          <cell r="P68">
            <v>0.24034212067737148</v>
          </cell>
          <cell r="Q68">
            <v>0.57229807106171915</v>
          </cell>
          <cell r="R68">
            <v>0.66335693301565124</v>
          </cell>
          <cell r="S68">
            <v>0.28011462220603733</v>
          </cell>
          <cell r="T68">
            <v>0.21640099100680299</v>
          </cell>
          <cell r="U68">
            <v>0.12405944041858952</v>
          </cell>
          <cell r="V68">
            <v>8.6895990677295254E-2</v>
          </cell>
          <cell r="W68">
            <v>7.1116421482715131E-2</v>
          </cell>
          <cell r="X68">
            <v>6.0568051890416807E-2</v>
          </cell>
          <cell r="Y68">
            <v>4.7643275936339879E-2</v>
          </cell>
          <cell r="Z68">
            <v>4.5287196484933512E-2</v>
          </cell>
          <cell r="AA68">
            <v>4.5288491344956938E-2</v>
          </cell>
          <cell r="AB68">
            <v>4.5289791684030689E-2</v>
          </cell>
          <cell r="AC68">
            <v>4.5291097522096813E-2</v>
          </cell>
          <cell r="AD68">
            <v>4.5292408879140211E-2</v>
          </cell>
          <cell r="AE68">
            <v>4.5293725775188864E-2</v>
          </cell>
          <cell r="AF68">
            <v>4.529504823031405E-2</v>
          </cell>
          <cell r="AG68">
            <v>4.5296376264629234E-2</v>
          </cell>
          <cell r="AH68">
            <v>4.5297709898289851E-2</v>
          </cell>
          <cell r="AI68">
            <v>4.5299049151494408E-2</v>
          </cell>
          <cell r="AJ68">
            <v>4.5300394044483383E-2</v>
          </cell>
        </row>
        <row r="70">
          <cell r="I70" t="str">
            <v>Asia</v>
          </cell>
        </row>
        <row r="71">
          <cell r="I71" t="str">
            <v>Agency (Booking.com)</v>
          </cell>
          <cell r="M71">
            <v>15.030000000000001</v>
          </cell>
          <cell r="N71">
            <v>37.575000000000003</v>
          </cell>
          <cell r="O71">
            <v>86.422499999999985</v>
          </cell>
          <cell r="P71">
            <v>174.01512499999995</v>
          </cell>
          <cell r="Q71">
            <v>382.32037500000001</v>
          </cell>
          <cell r="R71">
            <v>859.77269180028907</v>
          </cell>
          <cell r="S71">
            <v>1498.7419670149097</v>
          </cell>
          <cell r="T71">
            <v>2098.2387538208736</v>
          </cell>
          <cell r="U71">
            <v>2517.8865045850484</v>
          </cell>
          <cell r="V71">
            <v>2820.0328851352547</v>
          </cell>
          <cell r="W71">
            <v>3073.8358447974279</v>
          </cell>
          <cell r="X71">
            <v>3289.0043539332478</v>
          </cell>
          <cell r="Y71">
            <v>3486.3446151692428</v>
          </cell>
          <cell r="Z71">
            <v>3695.5252920793978</v>
          </cell>
          <cell r="AA71">
            <v>3917.2568096041618</v>
          </cell>
          <cell r="AB71">
            <v>4152.2922181804115</v>
          </cell>
          <cell r="AC71">
            <v>4401.4297512712365</v>
          </cell>
          <cell r="AD71">
            <v>4665.5155363475105</v>
          </cell>
          <cell r="AE71">
            <v>4945.446468528361</v>
          </cell>
          <cell r="AF71">
            <v>5242.1732566400633</v>
          </cell>
          <cell r="AG71">
            <v>5556.7036520384672</v>
          </cell>
          <cell r="AH71">
            <v>5890.1058711607757</v>
          </cell>
          <cell r="AI71">
            <v>6243.5122234304226</v>
          </cell>
          <cell r="AJ71">
            <v>6618.1229568362487</v>
          </cell>
        </row>
        <row r="72">
          <cell r="I72" t="str">
            <v>Base y/y Growth - %</v>
          </cell>
          <cell r="M72" t="str">
            <v>NA</v>
          </cell>
          <cell r="N72">
            <v>1.5</v>
          </cell>
          <cell r="O72">
            <v>1.2999999999999994</v>
          </cell>
          <cell r="P72">
            <v>1.013539587491683</v>
          </cell>
          <cell r="Q72">
            <v>1.197052555058074</v>
          </cell>
          <cell r="R72">
            <v>1.2488278104463801</v>
          </cell>
          <cell r="S72">
            <v>0.74318396165464939</v>
          </cell>
          <cell r="T72">
            <v>0.4</v>
          </cell>
          <cell r="U72">
            <v>0.2</v>
          </cell>
          <cell r="V72">
            <v>0.12</v>
          </cell>
          <cell r="W72">
            <v>0.09</v>
          </cell>
          <cell r="X72">
            <v>7.0000000000000007E-2</v>
          </cell>
          <cell r="Y72">
            <v>0.06</v>
          </cell>
          <cell r="Z72">
            <v>0.06</v>
          </cell>
          <cell r="AA72">
            <v>0.06</v>
          </cell>
          <cell r="AB72">
            <v>0.06</v>
          </cell>
          <cell r="AC72">
            <v>0.06</v>
          </cell>
          <cell r="AD72">
            <v>0.06</v>
          </cell>
          <cell r="AE72">
            <v>0.06</v>
          </cell>
          <cell r="AF72">
            <v>0.06</v>
          </cell>
          <cell r="AG72">
            <v>0.06</v>
          </cell>
          <cell r="AH72">
            <v>0.06</v>
          </cell>
          <cell r="AI72">
            <v>0.06</v>
          </cell>
          <cell r="AJ72">
            <v>0.06</v>
          </cell>
        </row>
        <row r="73">
          <cell r="I73" t="str">
            <v>(+/-) FX y/y Growth - %</v>
          </cell>
          <cell r="M73" t="str">
            <v>NA</v>
          </cell>
          <cell r="N73">
            <v>-4.9835767202717984E-2</v>
          </cell>
          <cell r="O73">
            <v>-8.4064635022904621E-2</v>
          </cell>
          <cell r="P73">
            <v>-1.6504690511064662E-2</v>
          </cell>
          <cell r="Q73">
            <v>-7.8481315201383614E-2</v>
          </cell>
          <cell r="R73">
            <v>-9.2016226869604395E-2</v>
          </cell>
          <cell r="S73">
            <v>-1.8661565396885939E-2</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row>
        <row r="74">
          <cell r="I74" t="str">
            <v>Organic y/y Growth - %</v>
          </cell>
          <cell r="M74" t="str">
            <v>NA</v>
          </cell>
          <cell r="N74">
            <v>1.4501642327972819</v>
          </cell>
          <cell r="O74">
            <v>1.2159353649770948</v>
          </cell>
          <cell r="P74">
            <v>0.99703489698061842</v>
          </cell>
          <cell r="Q74">
            <v>1.1185712398566903</v>
          </cell>
          <cell r="R74">
            <v>1.1568115835767758</v>
          </cell>
          <cell r="S74">
            <v>0.72452239625776349</v>
          </cell>
          <cell r="T74">
            <v>0.4</v>
          </cell>
          <cell r="U74">
            <v>0.2</v>
          </cell>
          <cell r="V74">
            <v>0.12</v>
          </cell>
          <cell r="W74">
            <v>0.09</v>
          </cell>
          <cell r="X74">
            <v>7.0000000000000007E-2</v>
          </cell>
          <cell r="Y74">
            <v>0.06</v>
          </cell>
          <cell r="Z74">
            <v>0.06</v>
          </cell>
          <cell r="AA74">
            <v>0.06</v>
          </cell>
          <cell r="AB74">
            <v>0.06</v>
          </cell>
          <cell r="AC74">
            <v>0.06</v>
          </cell>
          <cell r="AD74">
            <v>0.06</v>
          </cell>
          <cell r="AE74">
            <v>0.06</v>
          </cell>
          <cell r="AF74">
            <v>0.06</v>
          </cell>
          <cell r="AG74">
            <v>0.06</v>
          </cell>
          <cell r="AH74">
            <v>0.06</v>
          </cell>
          <cell r="AI74">
            <v>0.06</v>
          </cell>
          <cell r="AJ74">
            <v>0.06</v>
          </cell>
        </row>
        <row r="75">
          <cell r="I75" t="str">
            <v>Bull y/y Growth - %</v>
          </cell>
          <cell r="M75" t="str">
            <v>NA</v>
          </cell>
          <cell r="N75">
            <v>1.5</v>
          </cell>
          <cell r="O75">
            <v>1.2999999999999994</v>
          </cell>
          <cell r="P75">
            <v>1.013539587491683</v>
          </cell>
          <cell r="Q75">
            <v>1.197052555058074</v>
          </cell>
          <cell r="R75">
            <v>1.2802533524411013</v>
          </cell>
          <cell r="S75">
            <v>0.84318396165464948</v>
          </cell>
          <cell r="T75">
            <v>0.45</v>
          </cell>
          <cell r="U75">
            <v>0.25</v>
          </cell>
          <cell r="V75">
            <v>0.16999999999999998</v>
          </cell>
          <cell r="W75">
            <v>0.14000000000000001</v>
          </cell>
          <cell r="X75">
            <v>0.12000000000000001</v>
          </cell>
          <cell r="Y75">
            <v>0.11</v>
          </cell>
          <cell r="Z75">
            <v>0.11</v>
          </cell>
          <cell r="AA75">
            <v>0.11</v>
          </cell>
          <cell r="AB75">
            <v>0.11</v>
          </cell>
          <cell r="AC75">
            <v>0.11</v>
          </cell>
          <cell r="AD75">
            <v>0.11</v>
          </cell>
          <cell r="AE75">
            <v>0.11</v>
          </cell>
          <cell r="AF75">
            <v>0.11</v>
          </cell>
          <cell r="AG75">
            <v>0.11</v>
          </cell>
          <cell r="AH75">
            <v>0.11</v>
          </cell>
          <cell r="AI75">
            <v>0.11</v>
          </cell>
          <cell r="AJ75">
            <v>0.11</v>
          </cell>
        </row>
        <row r="76">
          <cell r="I76" t="str">
            <v>Bear y/y Growth - %</v>
          </cell>
          <cell r="M76" t="str">
            <v>NA</v>
          </cell>
          <cell r="N76">
            <v>1.5</v>
          </cell>
          <cell r="O76">
            <v>1.2999999999999994</v>
          </cell>
          <cell r="P76">
            <v>1.013539587491683</v>
          </cell>
          <cell r="Q76">
            <v>1.197052555058074</v>
          </cell>
          <cell r="R76">
            <v>1.217402268451659</v>
          </cell>
          <cell r="S76">
            <v>0.64318396165464953</v>
          </cell>
          <cell r="T76">
            <v>0.30000000000000004</v>
          </cell>
          <cell r="U76">
            <v>0.1</v>
          </cell>
          <cell r="V76">
            <v>0.05</v>
          </cell>
          <cell r="W76">
            <v>0.03</v>
          </cell>
          <cell r="X76">
            <v>0.02</v>
          </cell>
          <cell r="Y76">
            <v>0.02</v>
          </cell>
          <cell r="Z76">
            <v>0.02</v>
          </cell>
          <cell r="AA76">
            <v>0.02</v>
          </cell>
          <cell r="AB76">
            <v>0.02</v>
          </cell>
          <cell r="AC76">
            <v>0.02</v>
          </cell>
          <cell r="AD76">
            <v>0.02</v>
          </cell>
          <cell r="AE76">
            <v>0.02</v>
          </cell>
          <cell r="AF76">
            <v>0.02</v>
          </cell>
          <cell r="AG76">
            <v>0.02</v>
          </cell>
          <cell r="AH76">
            <v>0.02</v>
          </cell>
          <cell r="AI76">
            <v>0.02</v>
          </cell>
          <cell r="AJ76">
            <v>0.02</v>
          </cell>
        </row>
        <row r="77">
          <cell r="I77" t="str">
            <v>Merchant (Agoda)</v>
          </cell>
          <cell r="M77">
            <v>0</v>
          </cell>
          <cell r="N77">
            <v>13.4</v>
          </cell>
          <cell r="O77">
            <v>118.69999999999999</v>
          </cell>
          <cell r="P77">
            <v>244.952</v>
          </cell>
          <cell r="Q77">
            <v>541.17100000000005</v>
          </cell>
          <cell r="R77">
            <v>1146.699784269646</v>
          </cell>
          <cell r="S77">
            <v>1882.1960332306744</v>
          </cell>
          <cell r="T77">
            <v>2446.854843199877</v>
          </cell>
          <cell r="U77">
            <v>2887.2887149758549</v>
          </cell>
          <cell r="V77">
            <v>3118.2718121739235</v>
          </cell>
          <cell r="W77">
            <v>3336.5508390260984</v>
          </cell>
          <cell r="X77">
            <v>3536.7438893676645</v>
          </cell>
          <cell r="Y77">
            <v>3713.581083836048</v>
          </cell>
          <cell r="Z77">
            <v>3899.2601380278506</v>
          </cell>
          <cell r="AA77">
            <v>4094.2231449292435</v>
          </cell>
          <cell r="AB77">
            <v>4298.9343021757059</v>
          </cell>
          <cell r="AC77">
            <v>4513.8810172844915</v>
          </cell>
          <cell r="AD77">
            <v>4739.5750681487161</v>
          </cell>
          <cell r="AE77">
            <v>4976.5538215561519</v>
          </cell>
          <cell r="AF77">
            <v>5225.3815126339596</v>
          </cell>
          <cell r="AG77">
            <v>5486.6505882656575</v>
          </cell>
          <cell r="AH77">
            <v>5760.9831176789403</v>
          </cell>
          <cell r="AI77">
            <v>6049.0322735628879</v>
          </cell>
          <cell r="AJ77">
            <v>6351.4838872410328</v>
          </cell>
        </row>
        <row r="78">
          <cell r="I78" t="str">
            <v>Base y/y Growth - %</v>
          </cell>
          <cell r="M78" t="str">
            <v>NA</v>
          </cell>
          <cell r="N78" t="str">
            <v>NA</v>
          </cell>
          <cell r="O78" t="str">
            <v>NM</v>
          </cell>
          <cell r="P78">
            <v>1.0636225779275486</v>
          </cell>
          <cell r="Q78">
            <v>1.2092940657761524</v>
          </cell>
          <cell r="R78">
            <v>1.1189231948305545</v>
          </cell>
          <cell r="S78">
            <v>0.64140262259618308</v>
          </cell>
          <cell r="T78">
            <v>0.3</v>
          </cell>
          <cell r="U78">
            <v>0.18</v>
          </cell>
          <cell r="V78">
            <v>0.08</v>
          </cell>
          <cell r="W78">
            <v>7.0000000000000007E-2</v>
          </cell>
          <cell r="X78">
            <v>0.06</v>
          </cell>
          <cell r="Y78">
            <v>0.05</v>
          </cell>
          <cell r="Z78">
            <v>0.05</v>
          </cell>
          <cell r="AA78">
            <v>0.05</v>
          </cell>
          <cell r="AB78">
            <v>0.05</v>
          </cell>
          <cell r="AC78">
            <v>0.05</v>
          </cell>
          <cell r="AD78">
            <v>0.05</v>
          </cell>
          <cell r="AE78">
            <v>0.05</v>
          </cell>
          <cell r="AF78">
            <v>0.05</v>
          </cell>
          <cell r="AG78">
            <v>0.05</v>
          </cell>
          <cell r="AH78">
            <v>0.05</v>
          </cell>
          <cell r="AI78">
            <v>0.05</v>
          </cell>
          <cell r="AJ78">
            <v>0.05</v>
          </cell>
        </row>
        <row r="79">
          <cell r="I79" t="str">
            <v>(+/-) FX y/y Growth - %</v>
          </cell>
          <cell r="M79" t="str">
            <v>NA</v>
          </cell>
          <cell r="N79" t="str">
            <v>NA</v>
          </cell>
          <cell r="O79" t="str">
            <v>NA</v>
          </cell>
          <cell r="P79">
            <v>-1.6504690511064662E-2</v>
          </cell>
          <cell r="Q79">
            <v>-7.8481315201383614E-2</v>
          </cell>
          <cell r="R79">
            <v>-9.2016226869604395E-2</v>
          </cell>
          <cell r="S79">
            <v>-1.8661565396885939E-2</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row>
        <row r="80">
          <cell r="I80" t="str">
            <v>Organic y/y Growth - %</v>
          </cell>
          <cell r="M80" t="str">
            <v>NA</v>
          </cell>
          <cell r="N80" t="str">
            <v>NA</v>
          </cell>
          <cell r="O80" t="str">
            <v>NA</v>
          </cell>
          <cell r="P80">
            <v>1.0471178874164839</v>
          </cell>
          <cell r="Q80">
            <v>1.1308127505747687</v>
          </cell>
          <cell r="R80">
            <v>1.0269069679609502</v>
          </cell>
          <cell r="S80">
            <v>0.62274105719929718</v>
          </cell>
          <cell r="T80">
            <v>0.3</v>
          </cell>
          <cell r="U80">
            <v>0.18</v>
          </cell>
          <cell r="V80">
            <v>0.08</v>
          </cell>
          <cell r="W80">
            <v>7.0000000000000007E-2</v>
          </cell>
          <cell r="X80">
            <v>0.06</v>
          </cell>
          <cell r="Y80">
            <v>0.05</v>
          </cell>
          <cell r="Z80">
            <v>0.05</v>
          </cell>
          <cell r="AA80">
            <v>0.05</v>
          </cell>
          <cell r="AB80">
            <v>0.05</v>
          </cell>
          <cell r="AC80">
            <v>0.05</v>
          </cell>
          <cell r="AD80">
            <v>0.05</v>
          </cell>
          <cell r="AE80">
            <v>0.05</v>
          </cell>
          <cell r="AF80">
            <v>0.05</v>
          </cell>
          <cell r="AG80">
            <v>0.05</v>
          </cell>
          <cell r="AH80">
            <v>0.05</v>
          </cell>
          <cell r="AI80">
            <v>0.05</v>
          </cell>
          <cell r="AJ80">
            <v>0.05</v>
          </cell>
        </row>
        <row r="81">
          <cell r="I81" t="str">
            <v>Bull y/y Growth - %</v>
          </cell>
          <cell r="M81" t="str">
            <v>NA</v>
          </cell>
          <cell r="N81" t="str">
            <v>NA</v>
          </cell>
          <cell r="O81" t="str">
            <v>NM</v>
          </cell>
          <cell r="P81">
            <v>1.0636225779275486</v>
          </cell>
          <cell r="Q81">
            <v>1.2092940657761524</v>
          </cell>
          <cell r="R81">
            <v>1.1371129167483955</v>
          </cell>
          <cell r="S81">
            <v>0.69140262259618335</v>
          </cell>
          <cell r="T81">
            <v>0.32999999999999996</v>
          </cell>
          <cell r="U81">
            <v>0.21</v>
          </cell>
          <cell r="V81">
            <v>0.11</v>
          </cell>
          <cell r="W81">
            <v>0.1</v>
          </cell>
          <cell r="X81">
            <v>0.09</v>
          </cell>
          <cell r="Y81">
            <v>0.08</v>
          </cell>
          <cell r="Z81">
            <v>0.08</v>
          </cell>
          <cell r="AA81">
            <v>0.08</v>
          </cell>
          <cell r="AB81">
            <v>0.08</v>
          </cell>
          <cell r="AC81">
            <v>0.08</v>
          </cell>
          <cell r="AD81">
            <v>0.08</v>
          </cell>
          <cell r="AE81">
            <v>0.08</v>
          </cell>
          <cell r="AF81">
            <v>0.08</v>
          </cell>
          <cell r="AG81">
            <v>0.08</v>
          </cell>
          <cell r="AH81">
            <v>0.08</v>
          </cell>
          <cell r="AI81">
            <v>0.08</v>
          </cell>
          <cell r="AJ81">
            <v>0.08</v>
          </cell>
        </row>
        <row r="82">
          <cell r="I82" t="str">
            <v>Bear y/y Growth - %</v>
          </cell>
          <cell r="M82" t="str">
            <v>NA</v>
          </cell>
          <cell r="N82" t="str">
            <v>NA</v>
          </cell>
          <cell r="O82" t="str">
            <v>NM</v>
          </cell>
          <cell r="P82">
            <v>1.0636225779275486</v>
          </cell>
          <cell r="Q82">
            <v>1.2092940657761524</v>
          </cell>
          <cell r="R82">
            <v>1.0825437509948719</v>
          </cell>
          <cell r="S82">
            <v>0.54140262259618321</v>
          </cell>
          <cell r="T82">
            <v>0.19999999999999998</v>
          </cell>
          <cell r="U82">
            <v>7.9999999999999988E-2</v>
          </cell>
          <cell r="V82">
            <v>0.05</v>
          </cell>
          <cell r="W82">
            <v>0.03</v>
          </cell>
          <cell r="X82">
            <v>0.02</v>
          </cell>
          <cell r="Y82">
            <v>0.02</v>
          </cell>
          <cell r="Z82">
            <v>0.02</v>
          </cell>
          <cell r="AA82">
            <v>0.02</v>
          </cell>
          <cell r="AB82">
            <v>0.02</v>
          </cell>
          <cell r="AC82">
            <v>0.02</v>
          </cell>
          <cell r="AD82">
            <v>0.02</v>
          </cell>
          <cell r="AE82">
            <v>0.02</v>
          </cell>
          <cell r="AF82">
            <v>0.02</v>
          </cell>
          <cell r="AG82">
            <v>0.02</v>
          </cell>
          <cell r="AH82">
            <v>0.02</v>
          </cell>
          <cell r="AI82">
            <v>0.02</v>
          </cell>
          <cell r="AJ82">
            <v>0.02</v>
          </cell>
        </row>
        <row r="83">
          <cell r="I83" t="str">
            <v>Total Asia Pacific</v>
          </cell>
          <cell r="M83">
            <v>15.030000000000001</v>
          </cell>
          <cell r="N83">
            <v>50.975000000000001</v>
          </cell>
          <cell r="O83">
            <v>205.12249999999997</v>
          </cell>
          <cell r="P83">
            <v>418.96712499999995</v>
          </cell>
          <cell r="Q83">
            <v>923.49137500000006</v>
          </cell>
          <cell r="R83">
            <v>2006.4724760699351</v>
          </cell>
          <cell r="S83">
            <v>3380.9380002455841</v>
          </cell>
          <cell r="T83">
            <v>4545.0935970207502</v>
          </cell>
          <cell r="U83">
            <v>5405.1752195609033</v>
          </cell>
          <cell r="V83">
            <v>5938.3046973091787</v>
          </cell>
          <cell r="W83">
            <v>6410.3866838235263</v>
          </cell>
          <cell r="X83">
            <v>6825.7482433009118</v>
          </cell>
          <cell r="Y83">
            <v>7199.9256990052909</v>
          </cell>
          <cell r="Z83">
            <v>7594.7854301072484</v>
          </cell>
          <cell r="AA83">
            <v>8011.4799545334054</v>
          </cell>
          <cell r="AB83">
            <v>8451.2265203561183</v>
          </cell>
          <cell r="AC83">
            <v>8915.3107685557279</v>
          </cell>
          <cell r="AD83">
            <v>9405.0906044962267</v>
          </cell>
          <cell r="AE83">
            <v>9922.0002900845138</v>
          </cell>
          <cell r="AF83">
            <v>10467.554769274022</v>
          </cell>
          <cell r="AG83">
            <v>11043.354240304125</v>
          </cell>
          <cell r="AH83">
            <v>11651.088988839716</v>
          </cell>
          <cell r="AI83">
            <v>12292.544496993311</v>
          </cell>
          <cell r="AJ83">
            <v>12969.606844077281</v>
          </cell>
        </row>
        <row r="84">
          <cell r="I84" t="str">
            <v>y/y Growth - %</v>
          </cell>
          <cell r="M84" t="str">
            <v>NA</v>
          </cell>
          <cell r="N84">
            <v>2.3915502328675982</v>
          </cell>
          <cell r="O84">
            <v>3.0239823442864147</v>
          </cell>
          <cell r="P84">
            <v>1.042521542005387</v>
          </cell>
          <cell r="Q84">
            <v>1.2042096381667182</v>
          </cell>
          <cell r="R84">
            <v>1.1727029947301184</v>
          </cell>
          <cell r="S84">
            <v>0.685015887617759</v>
          </cell>
          <cell r="T84">
            <v>0.3443291763086469</v>
          </cell>
          <cell r="U84">
            <v>0.18923298369563302</v>
          </cell>
          <cell r="V84">
            <v>9.8633153615246716E-2</v>
          </cell>
          <cell r="W84">
            <v>7.9497770925810229E-2</v>
          </cell>
          <cell r="X84">
            <v>6.4795086468893093E-2</v>
          </cell>
          <cell r="Y84">
            <v>5.4818525730364165E-2</v>
          </cell>
          <cell r="Z84">
            <v>5.4842195268280269E-2</v>
          </cell>
          <cell r="AA84">
            <v>5.4865871888137407E-2</v>
          </cell>
          <cell r="AB84">
            <v>5.4889554529045093E-2</v>
          </cell>
          <cell r="AC84">
            <v>5.4913242129031703E-2</v>
          </cell>
          <cell r="AD84">
            <v>5.4936933625236106E-2</v>
          </cell>
          <cell r="AE84">
            <v>5.4960627954096619E-2</v>
          </cell>
          <cell r="AF84">
            <v>5.4984324051542854E-2</v>
          </cell>
          <cell r="AG84">
            <v>5.5008020853187123E-2</v>
          </cell>
          <cell r="AH84">
            <v>5.5031717294514282E-2</v>
          </cell>
          <cell r="AI84">
            <v>5.5055412311074914E-2</v>
          </cell>
          <cell r="AJ84">
            <v>5.5079104838674953E-2</v>
          </cell>
        </row>
        <row r="86">
          <cell r="I86" t="str">
            <v>Latin America &amp; RoW</v>
          </cell>
        </row>
        <row r="87">
          <cell r="I87" t="str">
            <v>Agency (Booking.com)</v>
          </cell>
          <cell r="M87">
            <v>8</v>
          </cell>
          <cell r="N87">
            <v>27.799999999999997</v>
          </cell>
          <cell r="O87">
            <v>88.38</v>
          </cell>
          <cell r="P87">
            <v>252.876</v>
          </cell>
          <cell r="Q87">
            <v>706.34999999999991</v>
          </cell>
          <cell r="R87">
            <v>1572.714980607926</v>
          </cell>
          <cell r="S87">
            <v>2655.8052752746225</v>
          </cell>
          <cell r="T87">
            <v>3718.1273853844714</v>
          </cell>
          <cell r="U87">
            <v>4536.1154101690554</v>
          </cell>
          <cell r="V87">
            <v>5216.5327216944133</v>
          </cell>
          <cell r="W87">
            <v>5738.1859938638554</v>
          </cell>
          <cell r="X87">
            <v>6197.2408733729644</v>
          </cell>
          <cell r="Y87">
            <v>6631.0477345090721</v>
          </cell>
          <cell r="Z87">
            <v>7095.2210759247073</v>
          </cell>
          <cell r="AA87">
            <v>7591.8865512394368</v>
          </cell>
          <cell r="AB87">
            <v>8123.3186098261976</v>
          </cell>
          <cell r="AC87">
            <v>8691.9509125140321</v>
          </cell>
          <cell r="AD87">
            <v>9300.3874763900149</v>
          </cell>
          <cell r="AE87">
            <v>9951.4145997373162</v>
          </cell>
          <cell r="AF87">
            <v>10648.013621718928</v>
          </cell>
          <cell r="AG87">
            <v>11393.374575239253</v>
          </cell>
          <cell r="AH87">
            <v>12190.910795506003</v>
          </cell>
          <cell r="AI87">
            <v>13044.274551191424</v>
          </cell>
          <cell r="AJ87">
            <v>13957.373769774824</v>
          </cell>
        </row>
        <row r="88">
          <cell r="I88" t="str">
            <v>Base y/y Growth - %</v>
          </cell>
          <cell r="M88" t="str">
            <v>NA</v>
          </cell>
          <cell r="N88">
            <v>2.4749999999999996</v>
          </cell>
          <cell r="O88">
            <v>2.1791366906474821</v>
          </cell>
          <cell r="P88">
            <v>1.861235573659199</v>
          </cell>
          <cell r="Q88">
            <v>1.7932662648887199</v>
          </cell>
          <cell r="R88">
            <v>1.2265378078968303</v>
          </cell>
          <cell r="S88">
            <v>0.68867551210584432</v>
          </cell>
          <cell r="T88">
            <v>0.4</v>
          </cell>
          <cell r="U88">
            <v>0.22</v>
          </cell>
          <cell r="V88">
            <v>0.15</v>
          </cell>
          <cell r="W88">
            <v>0.1</v>
          </cell>
          <cell r="X88">
            <v>0.08</v>
          </cell>
          <cell r="Y88">
            <v>7.0000000000000007E-2</v>
          </cell>
          <cell r="Z88">
            <v>7.0000000000000007E-2</v>
          </cell>
          <cell r="AA88">
            <v>7.0000000000000007E-2</v>
          </cell>
          <cell r="AB88">
            <v>7.0000000000000007E-2</v>
          </cell>
          <cell r="AC88">
            <v>7.0000000000000007E-2</v>
          </cell>
          <cell r="AD88">
            <v>7.0000000000000007E-2</v>
          </cell>
          <cell r="AE88">
            <v>7.0000000000000007E-2</v>
          </cell>
          <cell r="AF88">
            <v>7.0000000000000007E-2</v>
          </cell>
          <cell r="AG88">
            <v>7.0000000000000007E-2</v>
          </cell>
          <cell r="AH88">
            <v>7.0000000000000007E-2</v>
          </cell>
          <cell r="AI88">
            <v>7.0000000000000007E-2</v>
          </cell>
          <cell r="AJ88">
            <v>7.0000000000000007E-2</v>
          </cell>
        </row>
        <row r="89">
          <cell r="I89" t="str">
            <v>(+/-) FX y/y Growth - %</v>
          </cell>
          <cell r="M89" t="str">
            <v>NA</v>
          </cell>
          <cell r="N89">
            <v>-6.0449704343933819E-2</v>
          </cell>
          <cell r="O89">
            <v>-2.874392129249766E-2</v>
          </cell>
          <cell r="P89">
            <v>5.2572811374055152E-2</v>
          </cell>
          <cell r="Q89">
            <v>-7.53447681905004E-2</v>
          </cell>
          <cell r="R89">
            <v>-3.3153251964805897E-2</v>
          </cell>
          <cell r="S89">
            <v>3.7404935937569814E-2</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row>
        <row r="90">
          <cell r="I90" t="str">
            <v>Organic y/y Growth - %</v>
          </cell>
          <cell r="M90" t="str">
            <v>NA</v>
          </cell>
          <cell r="N90">
            <v>2.414550295656066</v>
          </cell>
          <cell r="O90">
            <v>2.1503927693549842</v>
          </cell>
          <cell r="P90">
            <v>1.9138083850332541</v>
          </cell>
          <cell r="Q90">
            <v>1.7179214966982195</v>
          </cell>
          <cell r="R90">
            <v>1.1933845559320244</v>
          </cell>
          <cell r="S90">
            <v>0.7260804480434141</v>
          </cell>
          <cell r="T90">
            <v>0.4</v>
          </cell>
          <cell r="U90">
            <v>0.22</v>
          </cell>
          <cell r="V90">
            <v>0.15</v>
          </cell>
          <cell r="W90">
            <v>0.1</v>
          </cell>
          <cell r="X90">
            <v>0.08</v>
          </cell>
          <cell r="Y90">
            <v>7.0000000000000007E-2</v>
          </cell>
          <cell r="Z90">
            <v>7.0000000000000007E-2</v>
          </cell>
          <cell r="AA90">
            <v>7.0000000000000007E-2</v>
          </cell>
          <cell r="AB90">
            <v>7.0000000000000007E-2</v>
          </cell>
          <cell r="AC90">
            <v>7.0000000000000007E-2</v>
          </cell>
          <cell r="AD90">
            <v>7.0000000000000007E-2</v>
          </cell>
          <cell r="AE90">
            <v>7.0000000000000007E-2</v>
          </cell>
          <cell r="AF90">
            <v>7.0000000000000007E-2</v>
          </cell>
          <cell r="AG90">
            <v>7.0000000000000007E-2</v>
          </cell>
          <cell r="AH90">
            <v>7.0000000000000007E-2</v>
          </cell>
          <cell r="AI90">
            <v>7.0000000000000007E-2</v>
          </cell>
          <cell r="AJ90">
            <v>7.0000000000000007E-2</v>
          </cell>
        </row>
        <row r="91">
          <cell r="I91" t="str">
            <v>Bull y/y Growth - %</v>
          </cell>
          <cell r="M91" t="str">
            <v>NA</v>
          </cell>
          <cell r="N91">
            <v>2.4749999999999996</v>
          </cell>
          <cell r="O91">
            <v>2.1791366906474821</v>
          </cell>
          <cell r="P91">
            <v>1.861235573659199</v>
          </cell>
          <cell r="Q91">
            <v>1.7932662648887199</v>
          </cell>
          <cell r="R91">
            <v>1.2359516961958326</v>
          </cell>
          <cell r="S91">
            <v>0.73867551210584415</v>
          </cell>
          <cell r="T91">
            <v>0.45</v>
          </cell>
          <cell r="U91">
            <v>0.27</v>
          </cell>
          <cell r="V91">
            <v>0.2</v>
          </cell>
          <cell r="W91">
            <v>0.15000000000000002</v>
          </cell>
          <cell r="X91">
            <v>0.13</v>
          </cell>
          <cell r="Y91">
            <v>0.12000000000000001</v>
          </cell>
          <cell r="Z91">
            <v>0.12000000000000001</v>
          </cell>
          <cell r="AA91">
            <v>0.12000000000000001</v>
          </cell>
          <cell r="AB91">
            <v>0.12000000000000001</v>
          </cell>
          <cell r="AC91">
            <v>0.12000000000000001</v>
          </cell>
          <cell r="AD91">
            <v>0.12000000000000001</v>
          </cell>
          <cell r="AE91">
            <v>0.12000000000000001</v>
          </cell>
          <cell r="AF91">
            <v>0.12000000000000001</v>
          </cell>
          <cell r="AG91">
            <v>0.12000000000000001</v>
          </cell>
          <cell r="AH91">
            <v>0.12000000000000001</v>
          </cell>
          <cell r="AI91">
            <v>0.12000000000000001</v>
          </cell>
          <cell r="AJ91">
            <v>0.12000000000000001</v>
          </cell>
        </row>
        <row r="92">
          <cell r="I92" t="str">
            <v>Bear y/y Growth - %</v>
          </cell>
          <cell r="M92" t="str">
            <v>NA</v>
          </cell>
          <cell r="N92">
            <v>2.4749999999999996</v>
          </cell>
          <cell r="O92">
            <v>2.1791366906474821</v>
          </cell>
          <cell r="P92">
            <v>1.861235573659199</v>
          </cell>
          <cell r="Q92">
            <v>1.7932662648887199</v>
          </cell>
          <cell r="R92">
            <v>1.2077100312988267</v>
          </cell>
          <cell r="S92">
            <v>0.58867551210584446</v>
          </cell>
          <cell r="T92">
            <v>0.30000000000000004</v>
          </cell>
          <cell r="U92">
            <v>0.12</v>
          </cell>
          <cell r="V92">
            <v>4.9999999999999989E-2</v>
          </cell>
          <cell r="W92">
            <v>0.04</v>
          </cell>
          <cell r="X92">
            <v>0.04</v>
          </cell>
          <cell r="Y92">
            <v>0.04</v>
          </cell>
          <cell r="Z92">
            <v>0.04</v>
          </cell>
          <cell r="AA92">
            <v>0.04</v>
          </cell>
          <cell r="AB92">
            <v>0.04</v>
          </cell>
          <cell r="AC92">
            <v>0.04</v>
          </cell>
          <cell r="AD92">
            <v>0.04</v>
          </cell>
          <cell r="AE92">
            <v>0.04</v>
          </cell>
          <cell r="AF92">
            <v>0.04</v>
          </cell>
          <cell r="AG92">
            <v>0.04</v>
          </cell>
          <cell r="AH92">
            <v>0.04</v>
          </cell>
          <cell r="AI92">
            <v>0.04</v>
          </cell>
          <cell r="AJ92">
            <v>0.04</v>
          </cell>
        </row>
        <row r="94">
          <cell r="I94" t="str">
            <v>Agency Check</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row>
        <row r="95">
          <cell r="I95" t="str">
            <v>Merchant Check</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row>
        <row r="96">
          <cell r="I96" t="str">
            <v>Geography US Check</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row>
        <row r="97">
          <cell r="I97" t="str">
            <v>Geography International Check</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row>
        <row r="99">
          <cell r="I99" t="str">
            <v>Revenue Scenarios</v>
          </cell>
        </row>
        <row r="100">
          <cell r="I100" t="str">
            <v>Revenue by brand</v>
          </cell>
        </row>
        <row r="101">
          <cell r="I101" t="str">
            <v>US</v>
          </cell>
        </row>
        <row r="102">
          <cell r="I102" t="str">
            <v>Agency (Priceline.com)</v>
          </cell>
          <cell r="M102">
            <v>31.20000000000001</v>
          </cell>
          <cell r="N102">
            <v>28.15799999999993</v>
          </cell>
          <cell r="O102">
            <v>50.358000000000047</v>
          </cell>
          <cell r="P102">
            <v>60.485359999999993</v>
          </cell>
          <cell r="Q102">
            <v>66.958779999999948</v>
          </cell>
          <cell r="R102">
            <v>71.947912300000283</v>
          </cell>
          <cell r="S102">
            <v>80.888439218000002</v>
          </cell>
          <cell r="T102">
            <v>91.25663749440001</v>
          </cell>
          <cell r="U102">
            <v>98.55716849395202</v>
          </cell>
          <cell r="V102">
            <v>100.03552602136132</v>
          </cell>
          <cell r="W102">
            <v>104.53712469232256</v>
          </cell>
          <cell r="X102">
            <v>109.24129530347707</v>
          </cell>
          <cell r="Y102">
            <v>114.15715359213354</v>
          </cell>
          <cell r="Z102">
            <v>119.29422550377954</v>
          </cell>
          <cell r="AA102">
            <v>124.66246565144961</v>
          </cell>
          <cell r="AB102">
            <v>130.27227660576483</v>
          </cell>
          <cell r="AC102">
            <v>136.13452905302424</v>
          </cell>
          <cell r="AD102">
            <v>142.2605828604103</v>
          </cell>
          <cell r="AE102">
            <v>148.66230908912874</v>
          </cell>
          <cell r="AF102">
            <v>155.35211299813952</v>
          </cell>
          <cell r="AG102">
            <v>162.34295808305581</v>
          </cell>
          <cell r="AH102">
            <v>169.64839119679328</v>
          </cell>
          <cell r="AI102">
            <v>177.28256880064896</v>
          </cell>
          <cell r="AJ102">
            <v>185.26028439667817</v>
          </cell>
        </row>
        <row r="103">
          <cell r="I103" t="str">
            <v>y/y Growth - %</v>
          </cell>
          <cell r="M103" t="str">
            <v>NA</v>
          </cell>
          <cell r="N103">
            <v>-9.7500000000002474E-2</v>
          </cell>
          <cell r="O103">
            <v>0.78840826763265048</v>
          </cell>
          <cell r="P103">
            <v>0.20110727193295874</v>
          </cell>
          <cell r="Q103">
            <v>0.10702457586430758</v>
          </cell>
          <cell r="R103">
            <v>7.4510501834118559E-2</v>
          </cell>
          <cell r="S103">
            <v>0.12426388246986964</v>
          </cell>
          <cell r="T103">
            <v>0.12817898795719107</v>
          </cell>
          <cell r="U103">
            <v>8.0000000000000071E-2</v>
          </cell>
          <cell r="V103">
            <v>1.5000000000000124E-2</v>
          </cell>
          <cell r="W103">
            <v>4.4999999999999929E-2</v>
          </cell>
          <cell r="X103">
            <v>4.4999999999999929E-2</v>
          </cell>
          <cell r="Y103">
            <v>4.4999999999999929E-2</v>
          </cell>
          <cell r="Z103">
            <v>4.4999999999999929E-2</v>
          </cell>
          <cell r="AA103">
            <v>4.4999999999999929E-2</v>
          </cell>
          <cell r="AB103">
            <v>4.4999999999999929E-2</v>
          </cell>
          <cell r="AC103">
            <v>4.4999999999999929E-2</v>
          </cell>
          <cell r="AD103">
            <v>4.4999999999999707E-2</v>
          </cell>
          <cell r="AE103">
            <v>4.4999999999999929E-2</v>
          </cell>
          <cell r="AF103">
            <v>4.4999999999999929E-2</v>
          </cell>
          <cell r="AG103">
            <v>4.5000000000000151E-2</v>
          </cell>
          <cell r="AH103">
            <v>4.4999999999999707E-2</v>
          </cell>
          <cell r="AI103">
            <v>4.4999999999999929E-2</v>
          </cell>
          <cell r="AJ103">
            <v>4.5000000000000151E-2</v>
          </cell>
        </row>
        <row r="104">
          <cell r="I104" t="str">
            <v>Revenue margin</v>
          </cell>
          <cell r="M104">
            <v>3.7396306155887495E-2</v>
          </cell>
          <cell r="N104">
            <v>3.0491713808009767E-2</v>
          </cell>
          <cell r="O104">
            <v>3.2721545225232754E-2</v>
          </cell>
          <cell r="P104">
            <v>3.412640093162235E-2</v>
          </cell>
          <cell r="Q104">
            <v>3.3010622653015818E-2</v>
          </cell>
          <cell r="R104">
            <v>3.081190914201537E-2</v>
          </cell>
          <cell r="S104">
            <v>2.9782508235541572E-2</v>
          </cell>
          <cell r="T104">
            <v>0.03</v>
          </cell>
          <cell r="U104">
            <v>0.03</v>
          </cell>
          <cell r="V104">
            <v>2.9000000000000001E-2</v>
          </cell>
          <cell r="W104">
            <v>2.9000000000000001E-2</v>
          </cell>
          <cell r="X104">
            <v>2.9000000000000001E-2</v>
          </cell>
          <cell r="Y104">
            <v>2.9000000000000001E-2</v>
          </cell>
          <cell r="Z104">
            <v>2.9000000000000001E-2</v>
          </cell>
          <cell r="AA104">
            <v>2.9000000000000001E-2</v>
          </cell>
          <cell r="AB104">
            <v>2.9000000000000001E-2</v>
          </cell>
          <cell r="AC104">
            <v>2.9000000000000001E-2</v>
          </cell>
          <cell r="AD104">
            <v>2.9000000000000001E-2</v>
          </cell>
          <cell r="AE104">
            <v>2.9000000000000001E-2</v>
          </cell>
          <cell r="AF104">
            <v>2.9000000000000001E-2</v>
          </cell>
          <cell r="AG104">
            <v>2.9000000000000001E-2</v>
          </cell>
          <cell r="AH104">
            <v>2.9000000000000001E-2</v>
          </cell>
          <cell r="AI104">
            <v>2.9000000000000001E-2</v>
          </cell>
          <cell r="AJ104">
            <v>2.9000000000000001E-2</v>
          </cell>
        </row>
        <row r="105">
          <cell r="I105" t="str">
            <v>Merchant (NYOP &amp; Priceline.com)</v>
          </cell>
          <cell r="M105">
            <v>904.16899999999998</v>
          </cell>
          <cell r="N105">
            <v>981.82099999999991</v>
          </cell>
          <cell r="O105">
            <v>1196.796</v>
          </cell>
          <cell r="P105">
            <v>1403.4856399999999</v>
          </cell>
          <cell r="Q105">
            <v>1560.9842200000001</v>
          </cell>
          <cell r="R105">
            <v>1710.7175602000002</v>
          </cell>
          <cell r="S105">
            <v>1865.7281187380004</v>
          </cell>
          <cell r="T105">
            <v>2005.6577276433504</v>
          </cell>
          <cell r="U105">
            <v>2146.0537685783852</v>
          </cell>
          <cell r="V105">
            <v>2264.0867258501962</v>
          </cell>
          <cell r="W105">
            <v>2377.2910621427063</v>
          </cell>
          <cell r="X105">
            <v>2472.3827046284146</v>
          </cell>
          <cell r="Y105">
            <v>2571.278012813551</v>
          </cell>
          <cell r="Z105">
            <v>2674.1291333260929</v>
          </cell>
          <cell r="AA105">
            <v>2781.0942986591367</v>
          </cell>
          <cell r="AB105">
            <v>2892.3380706055023</v>
          </cell>
          <cell r="AC105">
            <v>3008.0315934297228</v>
          </cell>
          <cell r="AD105">
            <v>3128.3528571669117</v>
          </cell>
          <cell r="AE105">
            <v>3253.486971453588</v>
          </cell>
          <cell r="AF105">
            <v>3383.6264503117313</v>
          </cell>
          <cell r="AG105">
            <v>3518.9715083242013</v>
          </cell>
          <cell r="AH105">
            <v>3659.730368657169</v>
          </cell>
          <cell r="AI105">
            <v>3806.1195834034561</v>
          </cell>
          <cell r="AJ105">
            <v>3958.3643667395945</v>
          </cell>
        </row>
        <row r="106">
          <cell r="I106" t="str">
            <v>y/y Growth - %</v>
          </cell>
          <cell r="M106" t="str">
            <v>NA</v>
          </cell>
          <cell r="N106">
            <v>8.5882174681945367E-2</v>
          </cell>
          <cell r="O106">
            <v>0.21895539003545461</v>
          </cell>
          <cell r="P106">
            <v>0.17270248229439256</v>
          </cell>
          <cell r="Q106">
            <v>0.11221958779713637</v>
          </cell>
          <cell r="R106">
            <v>9.5922391963706222E-2</v>
          </cell>
          <cell r="S106">
            <v>9.0611426540730511E-2</v>
          </cell>
          <cell r="T106">
            <v>7.4999999999999956E-2</v>
          </cell>
          <cell r="U106">
            <v>7.0000000000000062E-2</v>
          </cell>
          <cell r="V106">
            <v>5.4999999999999938E-2</v>
          </cell>
          <cell r="W106">
            <v>5.0000000000000044E-2</v>
          </cell>
          <cell r="X106">
            <v>4.0000000000000036E-2</v>
          </cell>
          <cell r="Y106">
            <v>4.0000000000000036E-2</v>
          </cell>
          <cell r="Z106">
            <v>4.0000000000000036E-2</v>
          </cell>
          <cell r="AA106">
            <v>4.0000000000000036E-2</v>
          </cell>
          <cell r="AB106">
            <v>4.0000000000000036E-2</v>
          </cell>
          <cell r="AC106">
            <v>4.0000000000000036E-2</v>
          </cell>
          <cell r="AD106">
            <v>4.0000000000000036E-2</v>
          </cell>
          <cell r="AE106">
            <v>4.0000000000000036E-2</v>
          </cell>
          <cell r="AF106">
            <v>4.0000000000000036E-2</v>
          </cell>
          <cell r="AG106">
            <v>4.0000000000000258E-2</v>
          </cell>
          <cell r="AH106">
            <v>3.9999999999999813E-2</v>
          </cell>
          <cell r="AI106">
            <v>4.0000000000000036E-2</v>
          </cell>
          <cell r="AJ106">
            <v>4.0000000000000036E-2</v>
          </cell>
        </row>
        <row r="107">
          <cell r="I107" t="str">
            <v>Revenue margin</v>
          </cell>
          <cell r="M107">
            <v>0.79418752849186158</v>
          </cell>
          <cell r="N107">
            <v>0.79763768460920392</v>
          </cell>
          <cell r="O107">
            <v>0.77572682501882939</v>
          </cell>
          <cell r="P107">
            <v>0.74905700576942569</v>
          </cell>
          <cell r="Q107">
            <v>0.72995239596085804</v>
          </cell>
          <cell r="R107">
            <v>0.71617719122768786</v>
          </cell>
          <cell r="S107">
            <v>0.719568545788974</v>
          </cell>
          <cell r="T107">
            <v>0.719568545788974</v>
          </cell>
          <cell r="U107">
            <v>0.719568545788974</v>
          </cell>
          <cell r="V107">
            <v>0.719568545788974</v>
          </cell>
          <cell r="W107">
            <v>0.719568545788974</v>
          </cell>
          <cell r="X107">
            <v>0.719568545788974</v>
          </cell>
          <cell r="Y107">
            <v>0.719568545788974</v>
          </cell>
          <cell r="Z107">
            <v>0.719568545788974</v>
          </cell>
          <cell r="AA107">
            <v>0.719568545788974</v>
          </cell>
          <cell r="AB107">
            <v>0.719568545788974</v>
          </cell>
          <cell r="AC107">
            <v>0.719568545788974</v>
          </cell>
          <cell r="AD107">
            <v>0.719568545788974</v>
          </cell>
          <cell r="AE107">
            <v>0.719568545788974</v>
          </cell>
          <cell r="AF107">
            <v>0.719568545788974</v>
          </cell>
          <cell r="AG107">
            <v>0.719568545788974</v>
          </cell>
          <cell r="AH107">
            <v>0.719568545788974</v>
          </cell>
          <cell r="AI107">
            <v>0.719568545788974</v>
          </cell>
          <cell r="AJ107">
            <v>0.719568545788974</v>
          </cell>
        </row>
        <row r="108">
          <cell r="I108" t="str">
            <v>Other</v>
          </cell>
          <cell r="M108">
            <v>5.0340000000000007</v>
          </cell>
          <cell r="N108">
            <v>8.3389999999999986</v>
          </cell>
          <cell r="O108">
            <v>17.852</v>
          </cell>
          <cell r="P108">
            <v>22.241000000000003</v>
          </cell>
          <cell r="Q108">
            <v>12.663</v>
          </cell>
          <cell r="R108">
            <v>12.315999999999999</v>
          </cell>
          <cell r="S108">
            <v>12.315999999999999</v>
          </cell>
          <cell r="T108">
            <v>12.315999999999999</v>
          </cell>
          <cell r="U108">
            <v>12.315999999999999</v>
          </cell>
          <cell r="V108">
            <v>12.315999999999999</v>
          </cell>
          <cell r="W108">
            <v>12.315999999999999</v>
          </cell>
          <cell r="X108">
            <v>12.315999999999999</v>
          </cell>
          <cell r="Y108">
            <v>12.315999999999999</v>
          </cell>
          <cell r="Z108">
            <v>12.315999999999999</v>
          </cell>
          <cell r="AA108">
            <v>12.315999999999999</v>
          </cell>
          <cell r="AB108">
            <v>12.315999999999999</v>
          </cell>
          <cell r="AC108">
            <v>12.315999999999999</v>
          </cell>
          <cell r="AD108">
            <v>12.315999999999999</v>
          </cell>
          <cell r="AE108">
            <v>12.315999999999999</v>
          </cell>
          <cell r="AF108">
            <v>12.315999999999999</v>
          </cell>
          <cell r="AG108">
            <v>12.315999999999999</v>
          </cell>
          <cell r="AH108">
            <v>12.315999999999999</v>
          </cell>
          <cell r="AI108">
            <v>12.315999999999999</v>
          </cell>
          <cell r="AJ108">
            <v>12.315999999999999</v>
          </cell>
        </row>
        <row r="109">
          <cell r="I109" t="str">
            <v>y/y Growth - %</v>
          </cell>
          <cell r="M109" t="str">
            <v>NA</v>
          </cell>
          <cell r="N109">
            <v>0.65653555820421095</v>
          </cell>
          <cell r="O109">
            <v>1.1407842666986454</v>
          </cell>
          <cell r="P109">
            <v>0.24585480618418121</v>
          </cell>
          <cell r="Q109">
            <v>-0.43064610404208448</v>
          </cell>
          <cell r="R109">
            <v>-2.7402669193714035E-2</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row>
        <row r="110">
          <cell r="I110" t="str">
            <v>Total US</v>
          </cell>
          <cell r="M110">
            <v>940.40300000000002</v>
          </cell>
          <cell r="N110">
            <v>1018.3179999999998</v>
          </cell>
          <cell r="O110">
            <v>1265.0060000000001</v>
          </cell>
          <cell r="P110">
            <v>1486.2119999999998</v>
          </cell>
          <cell r="Q110">
            <v>1640.606</v>
          </cell>
          <cell r="R110">
            <v>1794.9814725000006</v>
          </cell>
          <cell r="S110">
            <v>1958.9325579560004</v>
          </cell>
          <cell r="T110">
            <v>2109.2303651377501</v>
          </cell>
          <cell r="U110">
            <v>2256.9269370723368</v>
          </cell>
          <cell r="V110">
            <v>2376.4382518715574</v>
          </cell>
          <cell r="W110">
            <v>2494.1441868350289</v>
          </cell>
          <cell r="X110">
            <v>2593.9399999318916</v>
          </cell>
          <cell r="Y110">
            <v>2697.7511664056842</v>
          </cell>
          <cell r="Z110">
            <v>2805.7393588298723</v>
          </cell>
          <cell r="AA110">
            <v>2918.0727643105861</v>
          </cell>
          <cell r="AB110">
            <v>3034.9263472112671</v>
          </cell>
          <cell r="AC110">
            <v>3156.4821224827469</v>
          </cell>
          <cell r="AD110">
            <v>3282.929440027322</v>
          </cell>
          <cell r="AE110">
            <v>3414.4652805427168</v>
          </cell>
          <cell r="AF110">
            <v>3551.2945633098707</v>
          </cell>
          <cell r="AG110">
            <v>3693.6304664072568</v>
          </cell>
          <cell r="AH110">
            <v>3841.6947598539623</v>
          </cell>
          <cell r="AI110">
            <v>3995.7181522041046</v>
          </cell>
          <cell r="AJ110">
            <v>4155.9406511362722</v>
          </cell>
        </row>
        <row r="111">
          <cell r="I111" t="str">
            <v>y/y Growth - %</v>
          </cell>
          <cell r="M111" t="str">
            <v>NA</v>
          </cell>
          <cell r="N111">
            <v>8.2852776947755169E-2</v>
          </cell>
          <cell r="O111">
            <v>0.24225045614434815</v>
          </cell>
          <cell r="P111">
            <v>0.17486557376012413</v>
          </cell>
          <cell r="Q111">
            <v>0.10388423724206253</v>
          </cell>
          <cell r="R111">
            <v>9.4096615823665575E-2</v>
          </cell>
          <cell r="S111">
            <v>9.1338594836666065E-2</v>
          </cell>
          <cell r="T111">
            <v>7.6724339779504325E-2</v>
          </cell>
          <cell r="U111">
            <v>7.0023916958421362E-2</v>
          </cell>
          <cell r="V111">
            <v>5.2953116397400635E-2</v>
          </cell>
          <cell r="W111">
            <v>4.9530399062871711E-2</v>
          </cell>
          <cell r="X111">
            <v>4.0012046466126661E-2</v>
          </cell>
          <cell r="Y111">
            <v>4.002065062280491E-2</v>
          </cell>
          <cell r="Z111">
            <v>4.0028967003678417E-2</v>
          </cell>
          <cell r="AA111">
            <v>4.0037006690301524E-2</v>
          </cell>
          <cell r="AB111">
            <v>4.0044780352928688E-2</v>
          </cell>
          <cell r="AC111">
            <v>4.0052298265219832E-2</v>
          </cell>
          <cell r="AD111">
            <v>4.0059570318464965E-2</v>
          </cell>
          <cell r="AE111">
            <v>4.0066606035340291E-2</v>
          </cell>
          <cell r="AF111">
            <v>4.0073414583206901E-2</v>
          </cell>
          <cell r="AG111">
            <v>4.008000478696605E-2</v>
          </cell>
          <cell r="AH111">
            <v>4.0086385141479886E-2</v>
          </cell>
          <cell r="AI111">
            <v>4.0092563823576066E-2</v>
          </cell>
          <cell r="AJ111">
            <v>4.009854870363827E-2</v>
          </cell>
        </row>
        <row r="113">
          <cell r="I113" t="str">
            <v>Europe</v>
          </cell>
        </row>
        <row r="114">
          <cell r="I114" t="str">
            <v>Agency (Booking.com &amp; Other)</v>
          </cell>
          <cell r="M114">
            <v>179.24549999999999</v>
          </cell>
          <cell r="N114">
            <v>360.28174999999999</v>
          </cell>
          <cell r="O114">
            <v>572.21362499999998</v>
          </cell>
          <cell r="P114">
            <v>743.87497125000004</v>
          </cell>
          <cell r="Q114">
            <v>1150.3426637500002</v>
          </cell>
          <cell r="R114">
            <v>1876.8907024289108</v>
          </cell>
          <cell r="S114">
            <v>2349.591381183297</v>
          </cell>
          <cell r="T114">
            <v>2798.2466371560422</v>
          </cell>
          <cell r="U114">
            <v>3134.0362336147673</v>
          </cell>
          <cell r="V114">
            <v>3400.4293134720224</v>
          </cell>
          <cell r="W114">
            <v>3638.4593654150644</v>
          </cell>
          <cell r="X114">
            <v>3856.7669273399683</v>
          </cell>
          <cell r="Y114">
            <v>4039.9633563886173</v>
          </cell>
          <cell r="Z114">
            <v>4221.7617074261052</v>
          </cell>
          <cell r="AA114">
            <v>4411.7409842602792</v>
          </cell>
          <cell r="AB114">
            <v>4610.2693285519908</v>
          </cell>
          <cell r="AC114">
            <v>4817.7314483368309</v>
          </cell>
          <cell r="AD114">
            <v>5034.5293635119879</v>
          </cell>
          <cell r="AE114">
            <v>5261.0831848700273</v>
          </cell>
          <cell r="AF114">
            <v>5497.8319281891781</v>
          </cell>
          <cell r="AG114">
            <v>5745.2343649576915</v>
          </cell>
          <cell r="AH114">
            <v>6003.7699113807867</v>
          </cell>
          <cell r="AI114">
            <v>6273.9395573929214</v>
          </cell>
          <cell r="AJ114">
            <v>6556.2668374756022</v>
          </cell>
        </row>
        <row r="115">
          <cell r="I115" t="str">
            <v>y/y Growth - %</v>
          </cell>
          <cell r="M115" t="str">
            <v>NA</v>
          </cell>
          <cell r="N115">
            <v>1.0099904879062516</v>
          </cell>
          <cell r="O115">
            <v>0.58823927384609398</v>
          </cell>
          <cell r="P115">
            <v>0.29999520939404412</v>
          </cell>
          <cell r="Q115">
            <v>0.54641936912728206</v>
          </cell>
          <cell r="R115">
            <v>0.63159270848082594</v>
          </cell>
          <cell r="S115">
            <v>0.25185306642664784</v>
          </cell>
          <cell r="T115">
            <v>0.19095033271138151</v>
          </cell>
          <cell r="U115">
            <v>0.12000000000000011</v>
          </cell>
          <cell r="V115">
            <v>8.4999999999999964E-2</v>
          </cell>
          <cell r="W115">
            <v>7.0000000000000062E-2</v>
          </cell>
          <cell r="X115">
            <v>6.0000000000000053E-2</v>
          </cell>
          <cell r="Y115">
            <v>4.7500000000000098E-2</v>
          </cell>
          <cell r="Z115">
            <v>4.4999999999999929E-2</v>
          </cell>
          <cell r="AA115">
            <v>4.4999999999999929E-2</v>
          </cell>
          <cell r="AB115">
            <v>4.4999999999999707E-2</v>
          </cell>
          <cell r="AC115">
            <v>4.5000000000000151E-2</v>
          </cell>
          <cell r="AD115">
            <v>4.4999999999999929E-2</v>
          </cell>
          <cell r="AE115">
            <v>4.4999999999999929E-2</v>
          </cell>
          <cell r="AF115">
            <v>4.4999999999999929E-2</v>
          </cell>
          <cell r="AG115">
            <v>4.5000000000000151E-2</v>
          </cell>
          <cell r="AH115">
            <v>4.4999999999999929E-2</v>
          </cell>
          <cell r="AI115">
            <v>4.4999999999999929E-2</v>
          </cell>
          <cell r="AJ115">
            <v>4.4999999999999929E-2</v>
          </cell>
        </row>
        <row r="116">
          <cell r="I116" t="str">
            <v>Base revenue margin</v>
          </cell>
          <cell r="M116">
            <v>0.13538905787243874</v>
          </cell>
          <cell r="N116">
            <v>0.13876919776324922</v>
          </cell>
          <cell r="O116">
            <v>0.14217114543560616</v>
          </cell>
          <cell r="P116">
            <v>0.14900873307391807</v>
          </cell>
          <cell r="Q116">
            <v>0.15008792140880009</v>
          </cell>
          <cell r="R116">
            <v>0.14934688478998456</v>
          </cell>
          <cell r="S116">
            <v>0.14731932573591133</v>
          </cell>
          <cell r="T116">
            <v>0.14499999999999999</v>
          </cell>
          <cell r="U116">
            <v>0.14499999999999999</v>
          </cell>
          <cell r="V116">
            <v>0.14499999999999999</v>
          </cell>
          <cell r="W116">
            <v>0.14499999999999999</v>
          </cell>
          <cell r="X116">
            <v>0.14499999999999999</v>
          </cell>
          <cell r="Y116">
            <v>0.14499999999999999</v>
          </cell>
          <cell r="Z116">
            <v>0.14499999999999999</v>
          </cell>
          <cell r="AA116">
            <v>0.14499999999999999</v>
          </cell>
          <cell r="AB116">
            <v>0.14499999999999999</v>
          </cell>
          <cell r="AC116">
            <v>0.14499999999999999</v>
          </cell>
          <cell r="AD116">
            <v>0.14499999999999999</v>
          </cell>
          <cell r="AE116">
            <v>0.14499999999999999</v>
          </cell>
          <cell r="AF116">
            <v>0.14499999999999999</v>
          </cell>
          <cell r="AG116">
            <v>0.14499999999999999</v>
          </cell>
          <cell r="AH116">
            <v>0.14499999999999999</v>
          </cell>
          <cell r="AI116">
            <v>0.14499999999999999</v>
          </cell>
          <cell r="AJ116">
            <v>0.14499999999999999</v>
          </cell>
        </row>
        <row r="117">
          <cell r="I117" t="str">
            <v>Merchant (TravelJigsaw)</v>
          </cell>
          <cell r="M117">
            <v>0</v>
          </cell>
          <cell r="N117">
            <v>0</v>
          </cell>
          <cell r="O117">
            <v>0</v>
          </cell>
          <cell r="P117">
            <v>0</v>
          </cell>
          <cell r="Q117">
            <v>33.245999999999995</v>
          </cell>
          <cell r="R117">
            <v>87.944959575394833</v>
          </cell>
          <cell r="S117">
            <v>136.60708314611165</v>
          </cell>
          <cell r="T117">
            <v>183.62439129385476</v>
          </cell>
          <cell r="U117">
            <v>219.11135230794801</v>
          </cell>
          <cell r="V117">
            <v>242.63177995682381</v>
          </cell>
          <cell r="W117">
            <v>264.46864015293795</v>
          </cell>
          <cell r="X117">
            <v>282.98144496364364</v>
          </cell>
          <cell r="Y117">
            <v>297.13051721182586</v>
          </cell>
          <cell r="Z117">
            <v>311.98704307241718</v>
          </cell>
          <cell r="AA117">
            <v>327.58639522603806</v>
          </cell>
          <cell r="AB117">
            <v>343.96571498733999</v>
          </cell>
          <cell r="AC117">
            <v>361.16400073670701</v>
          </cell>
          <cell r="AD117">
            <v>379.2222007735424</v>
          </cell>
          <cell r="AE117">
            <v>398.18331081221953</v>
          </cell>
          <cell r="AF117">
            <v>418.09247635283054</v>
          </cell>
          <cell r="AG117">
            <v>438.99710017047215</v>
          </cell>
          <cell r="AH117">
            <v>460.94695517899572</v>
          </cell>
          <cell r="AI117">
            <v>483.99430293794558</v>
          </cell>
          <cell r="AJ117">
            <v>508.19401808484281</v>
          </cell>
        </row>
        <row r="118">
          <cell r="I118" t="str">
            <v>y/y Growth - %</v>
          </cell>
          <cell r="M118" t="str">
            <v>NA</v>
          </cell>
          <cell r="N118" t="str">
            <v>NA</v>
          </cell>
          <cell r="O118" t="str">
            <v>NA</v>
          </cell>
          <cell r="P118" t="str">
            <v>NA</v>
          </cell>
          <cell r="Q118" t="str">
            <v>NA</v>
          </cell>
          <cell r="R118" t="str">
            <v>NM</v>
          </cell>
          <cell r="S118">
            <v>0.55332475909547707</v>
          </cell>
          <cell r="T118">
            <v>0.3441791381890098</v>
          </cell>
          <cell r="U118">
            <v>0.19325842696629203</v>
          </cell>
          <cell r="V118">
            <v>0.10734463276836159</v>
          </cell>
          <cell r="W118">
            <v>9.000000000000008E-2</v>
          </cell>
          <cell r="X118">
            <v>7.0000000000000062E-2</v>
          </cell>
          <cell r="Y118">
            <v>5.0000000000000044E-2</v>
          </cell>
          <cell r="Z118">
            <v>5.0000000000000044E-2</v>
          </cell>
          <cell r="AA118">
            <v>5.0000000000000044E-2</v>
          </cell>
          <cell r="AB118">
            <v>5.0000000000000044E-2</v>
          </cell>
          <cell r="AC118">
            <v>5.0000000000000044E-2</v>
          </cell>
          <cell r="AD118">
            <v>5.0000000000000044E-2</v>
          </cell>
          <cell r="AE118">
            <v>5.0000000000000044E-2</v>
          </cell>
          <cell r="AF118">
            <v>5.0000000000000044E-2</v>
          </cell>
          <cell r="AG118">
            <v>5.0000000000000266E-2</v>
          </cell>
          <cell r="AH118">
            <v>4.9999999999999822E-2</v>
          </cell>
          <cell r="AI118">
            <v>5.0000000000000044E-2</v>
          </cell>
          <cell r="AJ118">
            <v>4.9999999999999822E-2</v>
          </cell>
        </row>
        <row r="119">
          <cell r="I119" t="str">
            <v>Revenue Margin</v>
          </cell>
          <cell r="M119" t="str">
            <v>NA</v>
          </cell>
          <cell r="N119" t="str">
            <v>NA</v>
          </cell>
          <cell r="O119" t="str">
            <v>NA</v>
          </cell>
          <cell r="P119" t="str">
            <v>NA</v>
          </cell>
          <cell r="Q119">
            <v>0.18</v>
          </cell>
          <cell r="R119">
            <v>0.17998334112149458</v>
          </cell>
          <cell r="S119">
            <v>0.17877081497020716</v>
          </cell>
          <cell r="T119">
            <v>0.17799999999999999</v>
          </cell>
          <cell r="U119">
            <v>0.17699999999999999</v>
          </cell>
          <cell r="V119">
            <v>0.17499999999999999</v>
          </cell>
          <cell r="W119">
            <v>0.17499999999999999</v>
          </cell>
          <cell r="X119">
            <v>0.17499999999999999</v>
          </cell>
          <cell r="Y119">
            <v>0.17499999999999999</v>
          </cell>
          <cell r="Z119">
            <v>0.17499999999999999</v>
          </cell>
          <cell r="AA119">
            <v>0.17499999999999999</v>
          </cell>
          <cell r="AB119">
            <v>0.17499999999999999</v>
          </cell>
          <cell r="AC119">
            <v>0.17499999999999999</v>
          </cell>
          <cell r="AD119">
            <v>0.17499999999999999</v>
          </cell>
          <cell r="AE119">
            <v>0.17499999999999999</v>
          </cell>
          <cell r="AF119">
            <v>0.17499999999999999</v>
          </cell>
          <cell r="AG119">
            <v>0.17499999999999999</v>
          </cell>
          <cell r="AH119">
            <v>0.17499999999999999</v>
          </cell>
          <cell r="AI119">
            <v>0.17499999999999999</v>
          </cell>
          <cell r="AJ119">
            <v>0.17499999999999999</v>
          </cell>
        </row>
        <row r="120">
          <cell r="I120" t="str">
            <v>Total Europe</v>
          </cell>
          <cell r="M120">
            <v>179.24549999999999</v>
          </cell>
          <cell r="N120">
            <v>360.28174999999999</v>
          </cell>
          <cell r="O120">
            <v>572.21362499999998</v>
          </cell>
          <cell r="P120">
            <v>743.87497125000004</v>
          </cell>
          <cell r="Q120">
            <v>1183.5886637500003</v>
          </cell>
          <cell r="R120">
            <v>1964.8356620043057</v>
          </cell>
          <cell r="S120">
            <v>2486.1984643294086</v>
          </cell>
          <cell r="T120">
            <v>2981.871028449897</v>
          </cell>
          <cell r="U120">
            <v>3353.1475859227153</v>
          </cell>
          <cell r="V120">
            <v>3643.0610934288461</v>
          </cell>
          <cell r="W120">
            <v>3902.9280055680024</v>
          </cell>
          <cell r="X120">
            <v>4139.7483723036121</v>
          </cell>
          <cell r="Y120">
            <v>4337.0938736004427</v>
          </cell>
          <cell r="Z120">
            <v>4533.748750498522</v>
          </cell>
          <cell r="AA120">
            <v>4739.3273794863171</v>
          </cell>
          <cell r="AB120">
            <v>4954.2350435393309</v>
          </cell>
          <cell r="AC120">
            <v>5178.8954490735377</v>
          </cell>
          <cell r="AD120">
            <v>5413.7515642855305</v>
          </cell>
          <cell r="AE120">
            <v>5659.2664956822464</v>
          </cell>
          <cell r="AF120">
            <v>5915.9244045420091</v>
          </cell>
          <cell r="AG120">
            <v>6184.231465128164</v>
          </cell>
          <cell r="AH120">
            <v>6464.7168665597819</v>
          </cell>
          <cell r="AI120">
            <v>6757.933860330867</v>
          </cell>
          <cell r="AJ120">
            <v>7064.4608555604445</v>
          </cell>
        </row>
        <row r="121">
          <cell r="I121" t="str">
            <v>y/y Growth - %</v>
          </cell>
          <cell r="M121" t="str">
            <v>NA</v>
          </cell>
          <cell r="N121">
            <v>1.0099904879062516</v>
          </cell>
          <cell r="O121">
            <v>0.58823927384609398</v>
          </cell>
          <cell r="P121">
            <v>0.29999520939404412</v>
          </cell>
          <cell r="Q121">
            <v>0.59111236362894393</v>
          </cell>
          <cell r="R121">
            <v>0.66006630697108637</v>
          </cell>
          <cell r="S121">
            <v>0.26534677296790643</v>
          </cell>
          <cell r="T121">
            <v>0.19936966868579575</v>
          </cell>
          <cell r="U121">
            <v>0.12451127293249287</v>
          </cell>
          <cell r="V121">
            <v>8.6460109517175532E-2</v>
          </cell>
          <cell r="W121">
            <v>7.1332021471693041E-2</v>
          </cell>
          <cell r="X121">
            <v>6.067761598414223E-2</v>
          </cell>
          <cell r="Y121">
            <v>4.7670892901883199E-2</v>
          </cell>
          <cell r="Z121">
            <v>4.5342545637552911E-2</v>
          </cell>
          <cell r="AA121">
            <v>4.5344071826915799E-2</v>
          </cell>
          <cell r="AB121">
            <v>4.534560431153567E-2</v>
          </cell>
          <cell r="AC121">
            <v>4.5347143112876687E-2</v>
          </cell>
          <cell r="AD121">
            <v>4.5348688252435432E-2</v>
          </cell>
          <cell r="AE121">
            <v>4.5350239751741794E-2</v>
          </cell>
          <cell r="AF121">
            <v>4.5351797632357638E-2</v>
          </cell>
          <cell r="AG121">
            <v>4.535336191587569E-2</v>
          </cell>
          <cell r="AH121">
            <v>4.5354932623920652E-2</v>
          </cell>
          <cell r="AI121">
            <v>4.5356509778149201E-2</v>
          </cell>
          <cell r="AJ121">
            <v>4.5358093400246657E-2</v>
          </cell>
        </row>
        <row r="123">
          <cell r="I123" t="str">
            <v>Asia</v>
          </cell>
        </row>
        <row r="124">
          <cell r="I124" t="str">
            <v>Agency (Booking.com)</v>
          </cell>
          <cell r="M124">
            <v>2.2544999999999997</v>
          </cell>
          <cell r="N124">
            <v>5.6362499999999995</v>
          </cell>
          <cell r="O124">
            <v>12.963374999999999</v>
          </cell>
          <cell r="P124">
            <v>26.102268749999993</v>
          </cell>
          <cell r="Q124">
            <v>57.348056249999985</v>
          </cell>
          <cell r="R124">
            <v>128.96590377004338</v>
          </cell>
          <cell r="S124">
            <v>223.23237642387363</v>
          </cell>
          <cell r="T124">
            <v>308.44109681166839</v>
          </cell>
          <cell r="U124">
            <v>365.093543164832</v>
          </cell>
          <cell r="V124">
            <v>408.90476834461191</v>
          </cell>
          <cell r="W124">
            <v>445.70619749562701</v>
          </cell>
          <cell r="X124">
            <v>476.90563132032088</v>
          </cell>
          <cell r="Y124">
            <v>505.51996919954018</v>
          </cell>
          <cell r="Z124">
            <v>535.85116735151269</v>
          </cell>
          <cell r="AA124">
            <v>568.00223739260343</v>
          </cell>
          <cell r="AB124">
            <v>602.08237163615968</v>
          </cell>
          <cell r="AC124">
            <v>638.20731393432925</v>
          </cell>
          <cell r="AD124">
            <v>676.49975277038902</v>
          </cell>
          <cell r="AE124">
            <v>717.08973793661232</v>
          </cell>
          <cell r="AF124">
            <v>760.11512221280907</v>
          </cell>
          <cell r="AG124">
            <v>805.7220295455777</v>
          </cell>
          <cell r="AH124">
            <v>854.06535131831242</v>
          </cell>
          <cell r="AI124">
            <v>905.30927239741118</v>
          </cell>
          <cell r="AJ124">
            <v>959.62782874125594</v>
          </cell>
        </row>
        <row r="125">
          <cell r="I125" t="str">
            <v>y/y Growth - %</v>
          </cell>
          <cell r="M125" t="str">
            <v>NA</v>
          </cell>
          <cell r="N125">
            <v>1.5</v>
          </cell>
          <cell r="O125">
            <v>1.3000000000000003</v>
          </cell>
          <cell r="P125">
            <v>1.013539587491683</v>
          </cell>
          <cell r="Q125">
            <v>1.1970525550580731</v>
          </cell>
          <cell r="R125">
            <v>1.2488278104463815</v>
          </cell>
          <cell r="S125">
            <v>0.73094104641731494</v>
          </cell>
          <cell r="T125">
            <v>0.38170413159962258</v>
          </cell>
          <cell r="U125">
            <v>0.18367346938775531</v>
          </cell>
          <cell r="V125">
            <v>0.12000000000000011</v>
          </cell>
          <cell r="W125">
            <v>9.000000000000008E-2</v>
          </cell>
          <cell r="X125">
            <v>7.0000000000000062E-2</v>
          </cell>
          <cell r="Y125">
            <v>6.0000000000000053E-2</v>
          </cell>
          <cell r="Z125">
            <v>6.0000000000000275E-2</v>
          </cell>
          <cell r="AA125">
            <v>6.0000000000000053E-2</v>
          </cell>
          <cell r="AB125">
            <v>6.0000000000000053E-2</v>
          </cell>
          <cell r="AC125">
            <v>6.0000000000000053E-2</v>
          </cell>
          <cell r="AD125">
            <v>6.0000000000000053E-2</v>
          </cell>
          <cell r="AE125">
            <v>5.9999999999999831E-2</v>
          </cell>
          <cell r="AF125">
            <v>6.0000000000000053E-2</v>
          </cell>
          <cell r="AG125">
            <v>6.0000000000000053E-2</v>
          </cell>
          <cell r="AH125">
            <v>6.0000000000000053E-2</v>
          </cell>
          <cell r="AI125">
            <v>6.0000000000000053E-2</v>
          </cell>
          <cell r="AJ125">
            <v>6.0000000000000053E-2</v>
          </cell>
        </row>
        <row r="126">
          <cell r="I126" t="str">
            <v>Revenue Margin</v>
          </cell>
          <cell r="M126">
            <v>0.15</v>
          </cell>
          <cell r="N126">
            <v>0.15</v>
          </cell>
          <cell r="O126">
            <v>0.15</v>
          </cell>
          <cell r="P126" t="str">
            <v>NA</v>
          </cell>
          <cell r="Q126">
            <v>0.14999999999999997</v>
          </cell>
          <cell r="R126">
            <v>0.15000000000000002</v>
          </cell>
          <cell r="S126">
            <v>0.14894650402596812</v>
          </cell>
          <cell r="T126">
            <v>0.14699999999999999</v>
          </cell>
          <cell r="U126">
            <v>0.14499999999999999</v>
          </cell>
          <cell r="V126">
            <v>0.14499999999999999</v>
          </cell>
          <cell r="W126">
            <v>0.14499999999999999</v>
          </cell>
          <cell r="X126">
            <v>0.14499999999999999</v>
          </cell>
          <cell r="Y126">
            <v>0.14499999999999999</v>
          </cell>
          <cell r="Z126">
            <v>0.14499999999999999</v>
          </cell>
          <cell r="AA126">
            <v>0.14499999999999999</v>
          </cell>
          <cell r="AB126">
            <v>0.14499999999999999</v>
          </cell>
          <cell r="AC126">
            <v>0.14499999999999999</v>
          </cell>
          <cell r="AD126">
            <v>0.14499999999999999</v>
          </cell>
          <cell r="AE126">
            <v>0.14499999999999999</v>
          </cell>
          <cell r="AF126">
            <v>0.14499999999999999</v>
          </cell>
          <cell r="AG126">
            <v>0.14499999999999999</v>
          </cell>
          <cell r="AH126">
            <v>0.14499999999999999</v>
          </cell>
          <cell r="AI126">
            <v>0.14499999999999999</v>
          </cell>
          <cell r="AJ126">
            <v>0.14499999999999999</v>
          </cell>
        </row>
        <row r="127">
          <cell r="I127" t="str">
            <v>Merchant (Agoda)</v>
          </cell>
          <cell r="M127">
            <v>0</v>
          </cell>
          <cell r="N127">
            <v>2.4119999999999999</v>
          </cell>
          <cell r="O127">
            <v>21.366</v>
          </cell>
          <cell r="P127">
            <v>44.091360000000002</v>
          </cell>
          <cell r="Q127">
            <v>97.410780000000003</v>
          </cell>
          <cell r="R127">
            <v>206.58719696853626</v>
          </cell>
          <cell r="S127">
            <v>335.94444167496067</v>
          </cell>
          <cell r="T127">
            <v>435.54016208957808</v>
          </cell>
          <cell r="U127">
            <v>511.05010255072631</v>
          </cell>
          <cell r="V127">
            <v>545.6975671304366</v>
          </cell>
          <cell r="W127">
            <v>583.89639682956715</v>
          </cell>
          <cell r="X127">
            <v>618.93018063934119</v>
          </cell>
          <cell r="Y127">
            <v>649.87668967130833</v>
          </cell>
          <cell r="Z127">
            <v>682.37052415487381</v>
          </cell>
          <cell r="AA127">
            <v>716.4890503626176</v>
          </cell>
          <cell r="AB127">
            <v>752.3135028807485</v>
          </cell>
          <cell r="AC127">
            <v>789.92917802478598</v>
          </cell>
          <cell r="AD127">
            <v>829.42563692602528</v>
          </cell>
          <cell r="AE127">
            <v>870.89691877232656</v>
          </cell>
          <cell r="AF127">
            <v>914.44176471094283</v>
          </cell>
          <cell r="AG127">
            <v>960.16385294649001</v>
          </cell>
          <cell r="AH127">
            <v>1008.1720455938145</v>
          </cell>
          <cell r="AI127">
            <v>1058.5806478735053</v>
          </cell>
          <cell r="AJ127">
            <v>1111.5096802671806</v>
          </cell>
        </row>
        <row r="128">
          <cell r="I128" t="str">
            <v>y/y Growth - %</v>
          </cell>
          <cell r="M128" t="str">
            <v>NA</v>
          </cell>
          <cell r="N128" t="str">
            <v>NA</v>
          </cell>
          <cell r="O128">
            <v>7.8582089552238799</v>
          </cell>
          <cell r="P128">
            <v>1.0636225779275486</v>
          </cell>
          <cell r="Q128">
            <v>1.2092940657761519</v>
          </cell>
          <cell r="R128">
            <v>1.120783726077712</v>
          </cell>
          <cell r="S128">
            <v>0.62616293073634099</v>
          </cell>
          <cell r="T128">
            <v>0.29646485567092706</v>
          </cell>
          <cell r="U128">
            <v>0.17337078651685411</v>
          </cell>
          <cell r="V128">
            <v>6.7796610169491567E-2</v>
          </cell>
          <cell r="W128">
            <v>7.0000000000000062E-2</v>
          </cell>
          <cell r="X128">
            <v>6.0000000000000053E-2</v>
          </cell>
          <cell r="Y128">
            <v>5.0000000000000044E-2</v>
          </cell>
          <cell r="Z128">
            <v>5.0000000000000044E-2</v>
          </cell>
          <cell r="AA128">
            <v>5.0000000000000266E-2</v>
          </cell>
          <cell r="AB128">
            <v>5.0000000000000044E-2</v>
          </cell>
          <cell r="AC128">
            <v>5.0000000000000044E-2</v>
          </cell>
          <cell r="AD128">
            <v>5.0000000000000044E-2</v>
          </cell>
          <cell r="AE128">
            <v>5.0000000000000044E-2</v>
          </cell>
          <cell r="AF128">
            <v>5.0000000000000044E-2</v>
          </cell>
          <cell r="AG128">
            <v>5.0000000000000044E-2</v>
          </cell>
          <cell r="AH128">
            <v>5.0000000000000044E-2</v>
          </cell>
          <cell r="AI128">
            <v>5.0000000000000044E-2</v>
          </cell>
          <cell r="AJ128">
            <v>5.0000000000000044E-2</v>
          </cell>
        </row>
        <row r="129">
          <cell r="I129" t="str">
            <v>Revenue Margin</v>
          </cell>
          <cell r="M129" t="str">
            <v>NA</v>
          </cell>
          <cell r="N129" t="str">
            <v>NA</v>
          </cell>
          <cell r="O129" t="str">
            <v>NA</v>
          </cell>
          <cell r="P129" t="str">
            <v>NA</v>
          </cell>
          <cell r="Q129">
            <v>0.18</v>
          </cell>
          <cell r="R129">
            <v>0.18015804991200501</v>
          </cell>
          <cell r="S129">
            <v>0.17848536270599433</v>
          </cell>
          <cell r="T129">
            <v>0.17799999999999999</v>
          </cell>
          <cell r="U129">
            <v>0.17699999999999999</v>
          </cell>
          <cell r="V129">
            <v>0.17499999999999999</v>
          </cell>
          <cell r="W129">
            <v>0.17499999999999999</v>
          </cell>
          <cell r="X129">
            <v>0.17499999999999999</v>
          </cell>
          <cell r="Y129">
            <v>0.17499999999999999</v>
          </cell>
          <cell r="Z129">
            <v>0.17499999999999999</v>
          </cell>
          <cell r="AA129">
            <v>0.17499999999999999</v>
          </cell>
          <cell r="AB129">
            <v>0.17499999999999999</v>
          </cell>
          <cell r="AC129">
            <v>0.17499999999999999</v>
          </cell>
          <cell r="AD129">
            <v>0.17499999999999999</v>
          </cell>
          <cell r="AE129">
            <v>0.17499999999999999</v>
          </cell>
          <cell r="AF129">
            <v>0.17499999999999999</v>
          </cell>
          <cell r="AG129">
            <v>0.17499999999999999</v>
          </cell>
          <cell r="AH129">
            <v>0.17499999999999999</v>
          </cell>
          <cell r="AI129">
            <v>0.17499999999999999</v>
          </cell>
          <cell r="AJ129">
            <v>0.17499999999999999</v>
          </cell>
        </row>
        <row r="130">
          <cell r="I130" t="str">
            <v>Total Asia Pacific</v>
          </cell>
          <cell r="M130">
            <v>2.2544999999999997</v>
          </cell>
          <cell r="N130">
            <v>8.0482499999999995</v>
          </cell>
          <cell r="O130">
            <v>34.329374999999999</v>
          </cell>
          <cell r="P130">
            <v>70.193628749999988</v>
          </cell>
          <cell r="Q130">
            <v>154.75883625</v>
          </cell>
          <cell r="R130">
            <v>335.55310073857964</v>
          </cell>
          <cell r="S130">
            <v>559.17681809883425</v>
          </cell>
          <cell r="T130">
            <v>743.98125890124652</v>
          </cell>
          <cell r="U130">
            <v>876.14364571555825</v>
          </cell>
          <cell r="V130">
            <v>954.60233547504845</v>
          </cell>
          <cell r="W130">
            <v>1029.6025943251941</v>
          </cell>
          <cell r="X130">
            <v>1095.8358119596621</v>
          </cell>
          <cell r="Y130">
            <v>1155.3966588708486</v>
          </cell>
          <cell r="Z130">
            <v>1218.2216915063864</v>
          </cell>
          <cell r="AA130">
            <v>1284.491287755221</v>
          </cell>
          <cell r="AB130">
            <v>1354.3958745169082</v>
          </cell>
          <cell r="AC130">
            <v>1428.1364919591151</v>
          </cell>
          <cell r="AD130">
            <v>1505.9253896964142</v>
          </cell>
          <cell r="AE130">
            <v>1587.9866567089389</v>
          </cell>
          <cell r="AF130">
            <v>1674.5568869237518</v>
          </cell>
          <cell r="AG130">
            <v>1765.8858824920676</v>
          </cell>
          <cell r="AH130">
            <v>1862.2373969121268</v>
          </cell>
          <cell r="AI130">
            <v>1963.8899202709165</v>
          </cell>
          <cell r="AJ130">
            <v>2071.1375090084366</v>
          </cell>
        </row>
        <row r="131">
          <cell r="I131" t="str">
            <v>y/y Growth - %</v>
          </cell>
          <cell r="M131" t="str">
            <v>NA</v>
          </cell>
          <cell r="N131">
            <v>2.5698602794411181</v>
          </cell>
          <cell r="O131">
            <v>3.2654459043891535</v>
          </cell>
          <cell r="P131">
            <v>1.0447103610246322</v>
          </cell>
          <cell r="Q131">
            <v>1.2047419260968186</v>
          </cell>
          <cell r="R131">
            <v>1.1682322565189205</v>
          </cell>
          <cell r="S131">
            <v>0.66643317218061937</v>
          </cell>
          <cell r="T131">
            <v>0.33049374512830432</v>
          </cell>
          <cell r="U131">
            <v>0.17764209142780918</v>
          </cell>
          <cell r="V131">
            <v>8.9550030001543712E-2</v>
          </cell>
          <cell r="W131">
            <v>7.8567017974895847E-2</v>
          </cell>
          <cell r="X131">
            <v>6.4328914864358433E-2</v>
          </cell>
          <cell r="Y131">
            <v>5.4351980708382763E-2</v>
          </cell>
          <cell r="Z131">
            <v>5.437529367354732E-2</v>
          </cell>
          <cell r="AA131">
            <v>5.4398634264088086E-2</v>
          </cell>
          <cell r="AB131">
            <v>5.4422001478774185E-2</v>
          </cell>
          <cell r="AC131">
            <v>5.4445394311695594E-2</v>
          </cell>
          <cell r="AD131">
            <v>5.4468811752431678E-2</v>
          </cell>
          <cell r="AE131">
            <v>5.4492252786220607E-2</v>
          </cell>
          <cell r="AF131">
            <v>5.4515716394133662E-2</v>
          </cell>
          <cell r="AG131">
            <v>5.4539201553249095E-2</v>
          </cell>
          <cell r="AH131">
            <v>5.4562707236826213E-2</v>
          </cell>
          <cell r="AI131">
            <v>5.4586232414484348E-2</v>
          </cell>
          <cell r="AJ131">
            <v>5.4609776052379377E-2</v>
          </cell>
        </row>
        <row r="133">
          <cell r="I133" t="str">
            <v>Latin America &amp; RoW</v>
          </cell>
        </row>
        <row r="134">
          <cell r="I134" t="str">
            <v>Agency (Booking.com)</v>
          </cell>
          <cell r="M134">
            <v>1.2</v>
          </cell>
          <cell r="N134">
            <v>4.17</v>
          </cell>
          <cell r="O134">
            <v>13.256999999999998</v>
          </cell>
          <cell r="P134">
            <v>37.931399999999996</v>
          </cell>
          <cell r="Q134">
            <v>105.95249999999999</v>
          </cell>
          <cell r="R134">
            <v>235.45999749118889</v>
          </cell>
          <cell r="S134">
            <v>394.10602986735591</v>
          </cell>
          <cell r="T134">
            <v>542.84659826613279</v>
          </cell>
          <cell r="U134">
            <v>657.73673447451301</v>
          </cell>
          <cell r="V134">
            <v>756.39724464568985</v>
          </cell>
          <cell r="W134">
            <v>832.03696911025895</v>
          </cell>
          <cell r="X134">
            <v>898.59992663907974</v>
          </cell>
          <cell r="Y134">
            <v>961.50192150381542</v>
          </cell>
          <cell r="Z134">
            <v>1028.8070560090825</v>
          </cell>
          <cell r="AA134">
            <v>1100.8235499297182</v>
          </cell>
          <cell r="AB134">
            <v>1177.8811984247986</v>
          </cell>
          <cell r="AC134">
            <v>1260.3328823145346</v>
          </cell>
          <cell r="AD134">
            <v>1348.556184076552</v>
          </cell>
          <cell r="AE134">
            <v>1442.9551169619108</v>
          </cell>
          <cell r="AF134">
            <v>1543.9619751492446</v>
          </cell>
          <cell r="AG134">
            <v>1652.0393134096917</v>
          </cell>
          <cell r="AH134">
            <v>1767.6820653483703</v>
          </cell>
          <cell r="AI134">
            <v>1891.4198099227563</v>
          </cell>
          <cell r="AJ134">
            <v>2023.8191966173492</v>
          </cell>
        </row>
        <row r="135">
          <cell r="I135" t="str">
            <v>y/y Growth - %</v>
          </cell>
          <cell r="M135" t="str">
            <v>NA</v>
          </cell>
          <cell r="N135">
            <v>2.4750000000000001</v>
          </cell>
          <cell r="O135">
            <v>2.1791366906474816</v>
          </cell>
          <cell r="P135">
            <v>1.861235573659199</v>
          </cell>
          <cell r="Q135">
            <v>1.7932662648887199</v>
          </cell>
          <cell r="R135">
            <v>1.2223165804600074</v>
          </cell>
          <cell r="S135">
            <v>0.67377063648403257</v>
          </cell>
          <cell r="T135">
            <v>0.37741256699076242</v>
          </cell>
          <cell r="U135">
            <v>0.21164383561643851</v>
          </cell>
          <cell r="V135">
            <v>0.14999999999999991</v>
          </cell>
          <cell r="W135">
            <v>0.10000000000000009</v>
          </cell>
          <cell r="X135">
            <v>8.0000000000000071E-2</v>
          </cell>
          <cell r="Y135">
            <v>7.0000000000000062E-2</v>
          </cell>
          <cell r="Z135">
            <v>7.0000000000000062E-2</v>
          </cell>
          <cell r="AA135">
            <v>6.999999999999984E-2</v>
          </cell>
          <cell r="AB135">
            <v>7.0000000000000062E-2</v>
          </cell>
          <cell r="AC135">
            <v>7.0000000000000062E-2</v>
          </cell>
          <cell r="AD135">
            <v>7.0000000000000062E-2</v>
          </cell>
          <cell r="AE135">
            <v>7.0000000000000062E-2</v>
          </cell>
          <cell r="AF135">
            <v>7.0000000000000062E-2</v>
          </cell>
          <cell r="AG135">
            <v>7.0000000000000062E-2</v>
          </cell>
          <cell r="AH135">
            <v>7.0000000000000062E-2</v>
          </cell>
          <cell r="AI135">
            <v>7.0000000000000062E-2</v>
          </cell>
          <cell r="AJ135">
            <v>7.0000000000000062E-2</v>
          </cell>
        </row>
        <row r="136">
          <cell r="I136" t="str">
            <v>Revenue Margin</v>
          </cell>
          <cell r="M136">
            <v>0.15</v>
          </cell>
          <cell r="N136">
            <v>0.15</v>
          </cell>
          <cell r="O136">
            <v>0.15</v>
          </cell>
          <cell r="P136" t="str">
            <v>NA</v>
          </cell>
          <cell r="Q136">
            <v>0.15</v>
          </cell>
          <cell r="R136">
            <v>0.1497156194189572</v>
          </cell>
          <cell r="S136">
            <v>0.14839417390139928</v>
          </cell>
          <cell r="T136">
            <v>0.14599999999999999</v>
          </cell>
          <cell r="U136">
            <v>0.14499999999999999</v>
          </cell>
          <cell r="V136">
            <v>0.14499999999999999</v>
          </cell>
          <cell r="W136">
            <v>0.14499999999999999</v>
          </cell>
          <cell r="X136">
            <v>0.14499999999999999</v>
          </cell>
          <cell r="Y136">
            <v>0.14499999999999999</v>
          </cell>
          <cell r="Z136">
            <v>0.14499999999999999</v>
          </cell>
          <cell r="AA136">
            <v>0.14499999999999999</v>
          </cell>
          <cell r="AB136">
            <v>0.14499999999999999</v>
          </cell>
          <cell r="AC136">
            <v>0.14499999999999999</v>
          </cell>
          <cell r="AD136">
            <v>0.14499999999999999</v>
          </cell>
          <cell r="AE136">
            <v>0.14499999999999999</v>
          </cell>
          <cell r="AF136">
            <v>0.14499999999999999</v>
          </cell>
          <cell r="AG136">
            <v>0.14499999999999999</v>
          </cell>
          <cell r="AH136">
            <v>0.14499999999999999</v>
          </cell>
          <cell r="AI136">
            <v>0.14499999999999999</v>
          </cell>
          <cell r="AJ136">
            <v>0.14499999999999999</v>
          </cell>
        </row>
        <row r="138">
          <cell r="I138" t="str">
            <v>Agency Check</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row>
        <row r="139">
          <cell r="I139" t="str">
            <v>Merchant Check</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row>
        <row r="140">
          <cell r="I140" t="str">
            <v>Geography US Check</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row>
        <row r="141">
          <cell r="I141" t="str">
            <v>Geography International Check</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row>
        <row r="143">
          <cell r="I143" t="str">
            <v>Gross Profit Scenarios</v>
          </cell>
        </row>
        <row r="144">
          <cell r="I144" t="str">
            <v>Gross Profit by brand</v>
          </cell>
        </row>
        <row r="145">
          <cell r="I145" t="str">
            <v>US</v>
          </cell>
        </row>
        <row r="146">
          <cell r="I146" t="str">
            <v>Agency (Priceline.com)</v>
          </cell>
          <cell r="M146">
            <v>31.20000000000001</v>
          </cell>
          <cell r="N146">
            <v>28.15799999999993</v>
          </cell>
          <cell r="O146">
            <v>50.358000000000047</v>
          </cell>
          <cell r="P146">
            <v>60.485359999999993</v>
          </cell>
          <cell r="Q146">
            <v>66.958779999999948</v>
          </cell>
          <cell r="R146">
            <v>71.947912300000283</v>
          </cell>
          <cell r="S146">
            <v>80.888439218000002</v>
          </cell>
          <cell r="T146">
            <v>91.25663749440001</v>
          </cell>
          <cell r="U146">
            <v>98.55716849395202</v>
          </cell>
          <cell r="V146">
            <v>100.03552602136132</v>
          </cell>
          <cell r="W146">
            <v>104.53712469232256</v>
          </cell>
          <cell r="X146">
            <v>109.24129530347707</v>
          </cell>
          <cell r="Y146">
            <v>114.15715359213354</v>
          </cell>
          <cell r="Z146">
            <v>119.29422550377954</v>
          </cell>
          <cell r="AA146">
            <v>124.66246565144961</v>
          </cell>
          <cell r="AB146">
            <v>130.27227660576483</v>
          </cell>
          <cell r="AC146">
            <v>136.13452905302424</v>
          </cell>
          <cell r="AD146">
            <v>142.2605828604103</v>
          </cell>
          <cell r="AE146">
            <v>148.66230908912874</v>
          </cell>
          <cell r="AF146">
            <v>155.35211299813952</v>
          </cell>
          <cell r="AG146">
            <v>162.34295808305581</v>
          </cell>
          <cell r="AH146">
            <v>169.64839119679328</v>
          </cell>
          <cell r="AI146">
            <v>177.28256880064896</v>
          </cell>
          <cell r="AJ146">
            <v>185.26028439667817</v>
          </cell>
        </row>
        <row r="147">
          <cell r="I147" t="str">
            <v>y/y Growth - %</v>
          </cell>
          <cell r="M147" t="str">
            <v>NA</v>
          </cell>
          <cell r="N147">
            <v>-9.7500000000002474E-2</v>
          </cell>
          <cell r="O147">
            <v>0.78840826763265048</v>
          </cell>
          <cell r="P147">
            <v>0.20110727193295874</v>
          </cell>
          <cell r="Q147">
            <v>0.10702457586430758</v>
          </cell>
          <cell r="R147">
            <v>7.4510501834118559E-2</v>
          </cell>
          <cell r="S147">
            <v>0.12426388246986964</v>
          </cell>
          <cell r="T147">
            <v>0.12817898795719107</v>
          </cell>
          <cell r="U147">
            <v>8.0000000000000071E-2</v>
          </cell>
          <cell r="V147">
            <v>1.5000000000000124E-2</v>
          </cell>
          <cell r="W147">
            <v>4.4999999999999929E-2</v>
          </cell>
          <cell r="X147">
            <v>4.4999999999999929E-2</v>
          </cell>
          <cell r="Y147">
            <v>4.4999999999999929E-2</v>
          </cell>
          <cell r="Z147">
            <v>4.4999999999999929E-2</v>
          </cell>
          <cell r="AA147">
            <v>4.4999999999999929E-2</v>
          </cell>
          <cell r="AB147">
            <v>4.4999999999999929E-2</v>
          </cell>
          <cell r="AC147">
            <v>4.4999999999999929E-2</v>
          </cell>
          <cell r="AD147">
            <v>4.4999999999999707E-2</v>
          </cell>
          <cell r="AE147">
            <v>4.4999999999999929E-2</v>
          </cell>
          <cell r="AF147">
            <v>4.4999999999999929E-2</v>
          </cell>
          <cell r="AG147">
            <v>4.5000000000000151E-2</v>
          </cell>
          <cell r="AH147">
            <v>4.4999999999999707E-2</v>
          </cell>
          <cell r="AI147">
            <v>4.4999999999999929E-2</v>
          </cell>
          <cell r="AJ147">
            <v>4.5000000000000151E-2</v>
          </cell>
        </row>
        <row r="148">
          <cell r="I148" t="str">
            <v>Merchant (NYOP &amp; Priceline.com)</v>
          </cell>
          <cell r="M148">
            <v>182.16499999999999</v>
          </cell>
          <cell r="N148">
            <v>211.82300000000001</v>
          </cell>
          <cell r="O148">
            <v>267.96100000000001</v>
          </cell>
          <cell r="P148">
            <v>326.03664000000003</v>
          </cell>
          <cell r="Q148">
            <v>385.05021999999997</v>
          </cell>
          <cell r="R148">
            <v>426.18139020000001</v>
          </cell>
          <cell r="S148">
            <v>450.95197206800003</v>
          </cell>
          <cell r="T148">
            <v>479.4166326106</v>
          </cell>
          <cell r="U148">
            <v>507.01096204574509</v>
          </cell>
          <cell r="V148">
            <v>534.89656495826102</v>
          </cell>
          <cell r="W148">
            <v>561.64139320617414</v>
          </cell>
          <cell r="X148">
            <v>584.10704893442107</v>
          </cell>
          <cell r="Y148">
            <v>607.47133089179795</v>
          </cell>
          <cell r="Z148">
            <v>631.77018412746986</v>
          </cell>
          <cell r="AA148">
            <v>657.04099149256865</v>
          </cell>
          <cell r="AB148">
            <v>683.32263115227136</v>
          </cell>
          <cell r="AC148">
            <v>710.6555363983623</v>
          </cell>
          <cell r="AD148">
            <v>739.08175785429682</v>
          </cell>
          <cell r="AE148">
            <v>768.64502816846868</v>
          </cell>
          <cell r="AF148">
            <v>799.39082929520748</v>
          </cell>
          <cell r="AG148">
            <v>831.36646246701582</v>
          </cell>
          <cell r="AH148">
            <v>864.62112096569649</v>
          </cell>
          <cell r="AI148">
            <v>899.20596580432436</v>
          </cell>
          <cell r="AJ148">
            <v>935.17420443649746</v>
          </cell>
        </row>
        <row r="149">
          <cell r="I149" t="str">
            <v>y/y Growth - %</v>
          </cell>
          <cell r="M149" t="str">
            <v>NA</v>
          </cell>
          <cell r="N149">
            <v>0.16280844289517749</v>
          </cell>
          <cell r="O149">
            <v>0.26502315612563332</v>
          </cell>
          <cell r="P149">
            <v>0.21673168856661973</v>
          </cell>
          <cell r="Q149">
            <v>0.18100290813940401</v>
          </cell>
          <cell r="R149">
            <v>0.10682027450860843</v>
          </cell>
          <cell r="S149">
            <v>5.8122157460642754E-2</v>
          </cell>
          <cell r="T149">
            <v>6.3121268573380851E-2</v>
          </cell>
          <cell r="U149">
            <v>5.7558139534883868E-2</v>
          </cell>
          <cell r="V149">
            <v>5.4999999999999938E-2</v>
          </cell>
          <cell r="W149">
            <v>5.0000000000000044E-2</v>
          </cell>
          <cell r="X149">
            <v>4.0000000000000036E-2</v>
          </cell>
          <cell r="Y149">
            <v>4.0000000000000036E-2</v>
          </cell>
          <cell r="Z149">
            <v>4.0000000000000036E-2</v>
          </cell>
          <cell r="AA149">
            <v>4.0000000000000036E-2</v>
          </cell>
          <cell r="AB149">
            <v>4.0000000000000036E-2</v>
          </cell>
          <cell r="AC149">
            <v>4.0000000000000036E-2</v>
          </cell>
          <cell r="AD149">
            <v>4.0000000000000036E-2</v>
          </cell>
          <cell r="AE149">
            <v>4.0000000000000036E-2</v>
          </cell>
          <cell r="AF149">
            <v>4.0000000000000036E-2</v>
          </cell>
          <cell r="AG149">
            <v>4.0000000000000036E-2</v>
          </cell>
          <cell r="AH149">
            <v>4.0000000000000036E-2</v>
          </cell>
          <cell r="AI149">
            <v>4.0000000000000036E-2</v>
          </cell>
          <cell r="AJ149">
            <v>4.0000000000000036E-2</v>
          </cell>
        </row>
        <row r="150">
          <cell r="I150" t="str">
            <v>Base Gross Profit margin (% of total gross bookings)</v>
          </cell>
          <cell r="M150">
            <v>0.16000678095325094</v>
          </cell>
          <cell r="N150">
            <v>0.1720863653017968</v>
          </cell>
          <cell r="O150">
            <v>0.17368418323496279</v>
          </cell>
          <cell r="P150">
            <v>0.17400963883714848</v>
          </cell>
          <cell r="Q150">
            <v>0.18005840613446783</v>
          </cell>
          <cell r="R150">
            <v>0.17841717305530189</v>
          </cell>
          <cell r="S150">
            <v>0.17392183325249452</v>
          </cell>
          <cell r="T150">
            <v>0.17199999999999999</v>
          </cell>
          <cell r="U150">
            <v>0.17</v>
          </cell>
          <cell r="V150">
            <v>0.17</v>
          </cell>
          <cell r="W150">
            <v>0.17</v>
          </cell>
          <cell r="X150">
            <v>0.17</v>
          </cell>
          <cell r="Y150">
            <v>0.17</v>
          </cell>
          <cell r="Z150">
            <v>0.17</v>
          </cell>
          <cell r="AA150">
            <v>0.17</v>
          </cell>
          <cell r="AB150">
            <v>0.17</v>
          </cell>
          <cell r="AC150">
            <v>0.17</v>
          </cell>
          <cell r="AD150">
            <v>0.17</v>
          </cell>
          <cell r="AE150">
            <v>0.17</v>
          </cell>
          <cell r="AF150">
            <v>0.17</v>
          </cell>
          <cell r="AG150">
            <v>0.17</v>
          </cell>
          <cell r="AH150">
            <v>0.17</v>
          </cell>
          <cell r="AI150">
            <v>0.17</v>
          </cell>
          <cell r="AJ150">
            <v>0.17</v>
          </cell>
        </row>
        <row r="151">
          <cell r="I151" t="str">
            <v>Other</v>
          </cell>
          <cell r="M151">
            <v>5.0340000000000007</v>
          </cell>
          <cell r="N151">
            <v>8.3389999999999986</v>
          </cell>
          <cell r="O151">
            <v>17.852</v>
          </cell>
          <cell r="P151">
            <v>22.241000000000003</v>
          </cell>
          <cell r="Q151">
            <v>12.663</v>
          </cell>
          <cell r="R151">
            <v>12.315999999999999</v>
          </cell>
          <cell r="S151">
            <v>12.315999999999999</v>
          </cell>
          <cell r="T151">
            <v>12.315999999999999</v>
          </cell>
          <cell r="U151">
            <v>12.315999999999999</v>
          </cell>
          <cell r="V151">
            <v>12.315999999999999</v>
          </cell>
          <cell r="W151">
            <v>12.315999999999999</v>
          </cell>
          <cell r="X151">
            <v>12.315999999999999</v>
          </cell>
          <cell r="Y151">
            <v>12.315999999999999</v>
          </cell>
          <cell r="Z151">
            <v>12.315999999999999</v>
          </cell>
          <cell r="AA151">
            <v>12.315999999999999</v>
          </cell>
          <cell r="AB151">
            <v>12.315999999999999</v>
          </cell>
          <cell r="AC151">
            <v>12.315999999999999</v>
          </cell>
          <cell r="AD151">
            <v>12.315999999999999</v>
          </cell>
          <cell r="AE151">
            <v>12.315999999999999</v>
          </cell>
          <cell r="AF151">
            <v>12.315999999999999</v>
          </cell>
          <cell r="AG151">
            <v>12.315999999999999</v>
          </cell>
          <cell r="AH151">
            <v>12.315999999999999</v>
          </cell>
          <cell r="AI151">
            <v>12.315999999999999</v>
          </cell>
          <cell r="AJ151">
            <v>12.315999999999999</v>
          </cell>
        </row>
        <row r="152">
          <cell r="I152" t="str">
            <v>y/y Growth - %</v>
          </cell>
          <cell r="M152" t="str">
            <v>NA</v>
          </cell>
          <cell r="N152">
            <v>0.65653555820421095</v>
          </cell>
          <cell r="O152">
            <v>1.1407842666986454</v>
          </cell>
          <cell r="P152">
            <v>0.24585480618418121</v>
          </cell>
          <cell r="Q152">
            <v>-0.43064610404208448</v>
          </cell>
          <cell r="R152">
            <v>-2.7402669193714035E-2</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row>
        <row r="153">
          <cell r="I153" t="str">
            <v>Total US</v>
          </cell>
          <cell r="M153">
            <v>218.399</v>
          </cell>
          <cell r="N153">
            <v>248.31999999999994</v>
          </cell>
          <cell r="O153">
            <v>336.17100000000005</v>
          </cell>
          <cell r="P153">
            <v>408.76300000000003</v>
          </cell>
          <cell r="Q153">
            <v>464.67199999999991</v>
          </cell>
          <cell r="R153">
            <v>510.44530250000025</v>
          </cell>
          <cell r="S153">
            <v>544.15641128600009</v>
          </cell>
          <cell r="T153">
            <v>582.98927010500006</v>
          </cell>
          <cell r="U153">
            <v>617.88413053969714</v>
          </cell>
          <cell r="V153">
            <v>647.24809097962236</v>
          </cell>
          <cell r="W153">
            <v>678.49451789849672</v>
          </cell>
          <cell r="X153">
            <v>705.66434423789815</v>
          </cell>
          <cell r="Y153">
            <v>733.94448448393155</v>
          </cell>
          <cell r="Z153">
            <v>763.38040963124945</v>
          </cell>
          <cell r="AA153">
            <v>794.01945714401825</v>
          </cell>
          <cell r="AB153">
            <v>825.91090775803627</v>
          </cell>
          <cell r="AC153">
            <v>859.1060654513866</v>
          </cell>
          <cell r="AD153">
            <v>893.65834071470715</v>
          </cell>
          <cell r="AE153">
            <v>929.62333725759743</v>
          </cell>
          <cell r="AF153">
            <v>967.05894229334706</v>
          </cell>
          <cell r="AG153">
            <v>1006.0254205500717</v>
          </cell>
          <cell r="AH153">
            <v>1046.5855121624897</v>
          </cell>
          <cell r="AI153">
            <v>1088.8045346049732</v>
          </cell>
          <cell r="AJ153">
            <v>1132.7504888331757</v>
          </cell>
        </row>
        <row r="154">
          <cell r="I154" t="str">
            <v>y/y Growth - %</v>
          </cell>
          <cell r="M154" t="str">
            <v>NA</v>
          </cell>
          <cell r="N154">
            <v>0.1370015430473579</v>
          </cell>
          <cell r="O154">
            <v>0.35378141108247485</v>
          </cell>
          <cell r="P154">
            <v>0.21593772217115692</v>
          </cell>
          <cell r="Q154">
            <v>0.13677607806968806</v>
          </cell>
          <cell r="R154">
            <v>9.8506693969079961E-2</v>
          </cell>
          <cell r="S154">
            <v>6.6042548772402121E-2</v>
          </cell>
          <cell r="T154">
            <v>7.1363413190752567E-2</v>
          </cell>
          <cell r="U154">
            <v>5.9855064619649401E-2</v>
          </cell>
          <cell r="V154">
            <v>4.7523409306979625E-2</v>
          </cell>
          <cell r="W154">
            <v>4.8275811631336429E-2</v>
          </cell>
          <cell r="X154">
            <v>4.0044282779991613E-2</v>
          </cell>
          <cell r="Y154">
            <v>4.007590928598681E-2</v>
          </cell>
          <cell r="Z154">
            <v>4.0106473676977838E-2</v>
          </cell>
          <cell r="AA154">
            <v>4.0136014922846908E-2</v>
          </cell>
          <cell r="AB154">
            <v>4.016457068788637E-2</v>
          </cell>
          <cell r="AC154">
            <v>4.0192177366272785E-2</v>
          </cell>
          <cell r="AD154">
            <v>4.0218870117237904E-2</v>
          </cell>
          <cell r="AE154">
            <v>4.0244682899873263E-2</v>
          </cell>
          <cell r="AF154">
            <v>4.0269648507518241E-2</v>
          </cell>
          <cell r="AG154">
            <v>4.0293798601682917E-2</v>
          </cell>
          <cell r="AH154">
            <v>4.0317163745465567E-2</v>
          </cell>
          <cell r="AI154">
            <v>4.0339773436428583E-2</v>
          </cell>
          <cell r="AJ154">
            <v>4.0361656138901303E-2</v>
          </cell>
        </row>
        <row r="156">
          <cell r="I156" t="str">
            <v>Europe</v>
          </cell>
        </row>
        <row r="157">
          <cell r="I157" t="str">
            <v>Agency (Booking.com &amp; Other)</v>
          </cell>
          <cell r="M157">
            <v>179.24549999999999</v>
          </cell>
          <cell r="N157">
            <v>360.28174999999999</v>
          </cell>
          <cell r="O157">
            <v>572.21362499999998</v>
          </cell>
          <cell r="P157">
            <v>743.87497125000004</v>
          </cell>
          <cell r="Q157">
            <v>1150.3426637500002</v>
          </cell>
          <cell r="R157">
            <v>1876.8907024289108</v>
          </cell>
          <cell r="S157">
            <v>2349.591381183297</v>
          </cell>
          <cell r="T157">
            <v>2798.2466371560422</v>
          </cell>
          <cell r="U157">
            <v>3134.0362336147673</v>
          </cell>
          <cell r="V157">
            <v>3400.4293134720224</v>
          </cell>
          <cell r="W157">
            <v>3638.4593654150644</v>
          </cell>
          <cell r="X157">
            <v>3856.7669273399683</v>
          </cell>
          <cell r="Y157">
            <v>4039.9633563886173</v>
          </cell>
          <cell r="Z157">
            <v>4221.7617074261052</v>
          </cell>
          <cell r="AA157">
            <v>4411.7409842602792</v>
          </cell>
          <cell r="AB157">
            <v>4610.2693285519908</v>
          </cell>
          <cell r="AC157">
            <v>4817.7314483368309</v>
          </cell>
          <cell r="AD157">
            <v>5034.5293635119879</v>
          </cell>
          <cell r="AE157">
            <v>5261.0831848700273</v>
          </cell>
          <cell r="AF157">
            <v>5497.8319281891781</v>
          </cell>
          <cell r="AG157">
            <v>5745.2343649576915</v>
          </cell>
          <cell r="AH157">
            <v>6003.7699113807867</v>
          </cell>
          <cell r="AI157">
            <v>6273.9395573929214</v>
          </cell>
          <cell r="AJ157">
            <v>6556.2668374756022</v>
          </cell>
        </row>
        <row r="158">
          <cell r="I158" t="str">
            <v>y/y Growth - %</v>
          </cell>
          <cell r="M158" t="str">
            <v>NA</v>
          </cell>
          <cell r="N158">
            <v>1.0099904879062516</v>
          </cell>
          <cell r="O158">
            <v>0.58823927384609398</v>
          </cell>
          <cell r="P158">
            <v>0.29999520939404412</v>
          </cell>
          <cell r="Q158">
            <v>0.54641936912728206</v>
          </cell>
          <cell r="R158">
            <v>0.63159270848082594</v>
          </cell>
          <cell r="S158">
            <v>0.25185306642664784</v>
          </cell>
          <cell r="T158">
            <v>0.19095033271138151</v>
          </cell>
          <cell r="U158">
            <v>0.12000000000000011</v>
          </cell>
          <cell r="V158">
            <v>8.4999999999999964E-2</v>
          </cell>
          <cell r="W158">
            <v>7.0000000000000062E-2</v>
          </cell>
          <cell r="X158">
            <v>6.0000000000000053E-2</v>
          </cell>
          <cell r="Y158">
            <v>4.7500000000000098E-2</v>
          </cell>
          <cell r="Z158">
            <v>4.4999999999999929E-2</v>
          </cell>
          <cell r="AA158">
            <v>4.4999999999999929E-2</v>
          </cell>
          <cell r="AB158">
            <v>4.4999999999999707E-2</v>
          </cell>
          <cell r="AC158">
            <v>4.5000000000000151E-2</v>
          </cell>
          <cell r="AD158">
            <v>4.4999999999999929E-2</v>
          </cell>
          <cell r="AE158">
            <v>4.4999999999999929E-2</v>
          </cell>
          <cell r="AF158">
            <v>4.4999999999999929E-2</v>
          </cell>
          <cell r="AG158">
            <v>4.5000000000000151E-2</v>
          </cell>
          <cell r="AH158">
            <v>4.4999999999999929E-2</v>
          </cell>
          <cell r="AI158">
            <v>4.4999999999999929E-2</v>
          </cell>
          <cell r="AJ158">
            <v>4.4999999999999929E-2</v>
          </cell>
        </row>
        <row r="159">
          <cell r="I159" t="str">
            <v>Merchant (TravelJigsaw)</v>
          </cell>
          <cell r="M159">
            <v>0</v>
          </cell>
          <cell r="N159">
            <v>0</v>
          </cell>
          <cell r="O159">
            <v>0</v>
          </cell>
          <cell r="P159">
            <v>0</v>
          </cell>
          <cell r="Q159">
            <v>33.245999999999995</v>
          </cell>
          <cell r="R159">
            <v>87.944959575394833</v>
          </cell>
          <cell r="S159">
            <v>136.60708314611165</v>
          </cell>
          <cell r="T159">
            <v>183.62439129385476</v>
          </cell>
          <cell r="U159">
            <v>219.11135230794801</v>
          </cell>
          <cell r="V159">
            <v>242.63177995682381</v>
          </cell>
          <cell r="W159">
            <v>264.46864015293795</v>
          </cell>
          <cell r="X159">
            <v>282.98144496364364</v>
          </cell>
          <cell r="Y159">
            <v>297.13051721182586</v>
          </cell>
          <cell r="Z159">
            <v>311.98704307241718</v>
          </cell>
          <cell r="AA159">
            <v>327.58639522603806</v>
          </cell>
          <cell r="AB159">
            <v>343.96571498733999</v>
          </cell>
          <cell r="AC159">
            <v>361.16400073670701</v>
          </cell>
          <cell r="AD159">
            <v>379.2222007735424</v>
          </cell>
          <cell r="AE159">
            <v>398.18331081221953</v>
          </cell>
          <cell r="AF159">
            <v>418.09247635283054</v>
          </cell>
          <cell r="AG159">
            <v>438.99710017047215</v>
          </cell>
          <cell r="AH159">
            <v>460.94695517899572</v>
          </cell>
          <cell r="AI159">
            <v>483.99430293794558</v>
          </cell>
          <cell r="AJ159">
            <v>508.19401808484281</v>
          </cell>
        </row>
        <row r="160">
          <cell r="I160" t="str">
            <v>y/y Growth - %</v>
          </cell>
          <cell r="M160" t="str">
            <v>NA</v>
          </cell>
          <cell r="N160" t="str">
            <v>NA</v>
          </cell>
          <cell r="O160" t="str">
            <v>NA</v>
          </cell>
          <cell r="P160" t="str">
            <v>NA</v>
          </cell>
          <cell r="Q160" t="str">
            <v>NA</v>
          </cell>
          <cell r="R160">
            <v>1.6452794193405174</v>
          </cell>
          <cell r="S160">
            <v>0.55332475909547707</v>
          </cell>
          <cell r="T160">
            <v>0.3441791381890098</v>
          </cell>
          <cell r="U160">
            <v>0.19325842696629203</v>
          </cell>
          <cell r="V160">
            <v>0.10734463276836159</v>
          </cell>
          <cell r="W160">
            <v>9.000000000000008E-2</v>
          </cell>
          <cell r="X160">
            <v>7.0000000000000062E-2</v>
          </cell>
          <cell r="Y160">
            <v>5.0000000000000044E-2</v>
          </cell>
          <cell r="Z160">
            <v>5.0000000000000044E-2</v>
          </cell>
          <cell r="AA160">
            <v>5.0000000000000044E-2</v>
          </cell>
          <cell r="AB160">
            <v>5.0000000000000044E-2</v>
          </cell>
          <cell r="AC160">
            <v>5.0000000000000044E-2</v>
          </cell>
          <cell r="AD160">
            <v>5.0000000000000044E-2</v>
          </cell>
          <cell r="AE160">
            <v>5.0000000000000044E-2</v>
          </cell>
          <cell r="AF160">
            <v>5.0000000000000044E-2</v>
          </cell>
          <cell r="AG160">
            <v>5.0000000000000266E-2</v>
          </cell>
          <cell r="AH160">
            <v>4.9999999999999822E-2</v>
          </cell>
          <cell r="AI160">
            <v>5.0000000000000044E-2</v>
          </cell>
          <cell r="AJ160">
            <v>4.9999999999999822E-2</v>
          </cell>
        </row>
        <row r="161">
          <cell r="I161" t="str">
            <v>Total Europe</v>
          </cell>
          <cell r="M161">
            <v>179.24549999999999</v>
          </cell>
          <cell r="N161">
            <v>360.28174999999999</v>
          </cell>
          <cell r="O161">
            <v>572.21362499999998</v>
          </cell>
          <cell r="P161">
            <v>743.87497125000004</v>
          </cell>
          <cell r="Q161">
            <v>1183.5886637500003</v>
          </cell>
          <cell r="R161">
            <v>1964.8356620043057</v>
          </cell>
          <cell r="S161">
            <v>2486.1984643294086</v>
          </cell>
          <cell r="T161">
            <v>2981.871028449897</v>
          </cell>
          <cell r="U161">
            <v>3353.1475859227153</v>
          </cell>
          <cell r="V161">
            <v>3643.0610934288461</v>
          </cell>
          <cell r="W161">
            <v>3902.9280055680024</v>
          </cell>
          <cell r="X161">
            <v>4139.7483723036121</v>
          </cell>
          <cell r="Y161">
            <v>4337.0938736004427</v>
          </cell>
          <cell r="Z161">
            <v>4533.748750498522</v>
          </cell>
          <cell r="AA161">
            <v>4739.3273794863171</v>
          </cell>
          <cell r="AB161">
            <v>4954.2350435393309</v>
          </cell>
          <cell r="AC161">
            <v>5178.8954490735377</v>
          </cell>
          <cell r="AD161">
            <v>5413.7515642855305</v>
          </cell>
          <cell r="AE161">
            <v>5659.2664956822464</v>
          </cell>
          <cell r="AF161">
            <v>5915.9244045420091</v>
          </cell>
          <cell r="AG161">
            <v>6184.231465128164</v>
          </cell>
          <cell r="AH161">
            <v>6464.7168665597819</v>
          </cell>
          <cell r="AI161">
            <v>6757.933860330867</v>
          </cell>
          <cell r="AJ161">
            <v>7064.4608555604445</v>
          </cell>
        </row>
        <row r="162">
          <cell r="I162" t="str">
            <v>y/y Growth - %</v>
          </cell>
          <cell r="M162" t="str">
            <v>NA</v>
          </cell>
          <cell r="N162">
            <v>1.0099904879062516</v>
          </cell>
          <cell r="O162">
            <v>0.58823927384609398</v>
          </cell>
          <cell r="P162">
            <v>0.29999520939404412</v>
          </cell>
          <cell r="Q162">
            <v>0.59111236362894393</v>
          </cell>
          <cell r="R162">
            <v>0.66006630697108637</v>
          </cell>
          <cell r="S162">
            <v>0.26534677296790643</v>
          </cell>
          <cell r="T162">
            <v>0.19936966868579575</v>
          </cell>
          <cell r="U162">
            <v>0.12451127293249287</v>
          </cell>
          <cell r="V162">
            <v>8.6460109517175532E-2</v>
          </cell>
          <cell r="W162">
            <v>7.1332021471693041E-2</v>
          </cell>
          <cell r="X162">
            <v>6.067761598414223E-2</v>
          </cell>
          <cell r="Y162">
            <v>4.7670892901883199E-2</v>
          </cell>
          <cell r="Z162">
            <v>4.5342545637552911E-2</v>
          </cell>
          <cell r="AA162">
            <v>4.5344071826915799E-2</v>
          </cell>
          <cell r="AB162">
            <v>4.534560431153567E-2</v>
          </cell>
          <cell r="AC162">
            <v>4.5347143112876687E-2</v>
          </cell>
          <cell r="AD162">
            <v>4.5348688252435432E-2</v>
          </cell>
          <cell r="AE162">
            <v>4.5350239751741794E-2</v>
          </cell>
          <cell r="AF162">
            <v>4.5351797632357638E-2</v>
          </cell>
          <cell r="AG162">
            <v>4.535336191587569E-2</v>
          </cell>
          <cell r="AH162">
            <v>4.5354932623920652E-2</v>
          </cell>
          <cell r="AI162">
            <v>4.5356509778149201E-2</v>
          </cell>
          <cell r="AJ162">
            <v>4.5358093400246657E-2</v>
          </cell>
        </row>
        <row r="164">
          <cell r="I164" t="str">
            <v>Asia</v>
          </cell>
        </row>
        <row r="165">
          <cell r="I165" t="str">
            <v>Agency (Booking.com)</v>
          </cell>
          <cell r="M165">
            <v>2.2544999999999997</v>
          </cell>
          <cell r="N165">
            <v>5.6362499999999995</v>
          </cell>
          <cell r="O165">
            <v>12.963374999999999</v>
          </cell>
          <cell r="P165">
            <v>26.102268749999993</v>
          </cell>
          <cell r="Q165">
            <v>57.348056249999985</v>
          </cell>
          <cell r="R165">
            <v>128.96590377004338</v>
          </cell>
          <cell r="S165">
            <v>223.23237642387363</v>
          </cell>
          <cell r="T165">
            <v>308.44109681166839</v>
          </cell>
          <cell r="U165">
            <v>365.093543164832</v>
          </cell>
          <cell r="V165">
            <v>408.90476834461191</v>
          </cell>
          <cell r="W165">
            <v>445.70619749562701</v>
          </cell>
          <cell r="X165">
            <v>476.90563132032088</v>
          </cell>
          <cell r="Y165">
            <v>505.51996919954018</v>
          </cell>
          <cell r="Z165">
            <v>535.85116735151269</v>
          </cell>
          <cell r="AA165">
            <v>568.00223739260343</v>
          </cell>
          <cell r="AB165">
            <v>602.08237163615968</v>
          </cell>
          <cell r="AC165">
            <v>638.20731393432925</v>
          </cell>
          <cell r="AD165">
            <v>676.49975277038902</v>
          </cell>
          <cell r="AE165">
            <v>717.08973793661232</v>
          </cell>
          <cell r="AF165">
            <v>760.11512221280907</v>
          </cell>
          <cell r="AG165">
            <v>805.7220295455777</v>
          </cell>
          <cell r="AH165">
            <v>854.06535131831242</v>
          </cell>
          <cell r="AI165">
            <v>905.30927239741118</v>
          </cell>
          <cell r="AJ165">
            <v>959.62782874125594</v>
          </cell>
        </row>
        <row r="166">
          <cell r="I166" t="str">
            <v>y/y Growth - %</v>
          </cell>
          <cell r="M166" t="str">
            <v>NA</v>
          </cell>
          <cell r="N166">
            <v>1.5</v>
          </cell>
          <cell r="O166">
            <v>1.3000000000000003</v>
          </cell>
          <cell r="P166">
            <v>1.013539587491683</v>
          </cell>
          <cell r="Q166">
            <v>1.1970525550580731</v>
          </cell>
          <cell r="R166">
            <v>1.2488278104463815</v>
          </cell>
          <cell r="S166">
            <v>0.73094104641731494</v>
          </cell>
          <cell r="T166">
            <v>0.38170413159962258</v>
          </cell>
          <cell r="U166">
            <v>0.18367346938775531</v>
          </cell>
          <cell r="V166">
            <v>0.12000000000000011</v>
          </cell>
          <cell r="W166">
            <v>9.000000000000008E-2</v>
          </cell>
          <cell r="X166">
            <v>7.0000000000000062E-2</v>
          </cell>
          <cell r="Y166">
            <v>6.0000000000000053E-2</v>
          </cell>
          <cell r="Z166">
            <v>6.0000000000000275E-2</v>
          </cell>
          <cell r="AA166">
            <v>6.0000000000000053E-2</v>
          </cell>
          <cell r="AB166">
            <v>6.0000000000000053E-2</v>
          </cell>
          <cell r="AC166">
            <v>6.0000000000000053E-2</v>
          </cell>
          <cell r="AD166">
            <v>6.0000000000000053E-2</v>
          </cell>
          <cell r="AE166">
            <v>5.9999999999999831E-2</v>
          </cell>
          <cell r="AF166">
            <v>6.0000000000000053E-2</v>
          </cell>
          <cell r="AG166">
            <v>6.0000000000000053E-2</v>
          </cell>
          <cell r="AH166">
            <v>6.0000000000000053E-2</v>
          </cell>
          <cell r="AI166">
            <v>6.0000000000000053E-2</v>
          </cell>
          <cell r="AJ166">
            <v>6.0000000000000053E-2</v>
          </cell>
        </row>
        <row r="167">
          <cell r="I167" t="str">
            <v>Merchant (Agoda)</v>
          </cell>
          <cell r="M167">
            <v>0</v>
          </cell>
          <cell r="N167">
            <v>2.4119999999999999</v>
          </cell>
          <cell r="O167">
            <v>21.366</v>
          </cell>
          <cell r="P167">
            <v>44.091360000000002</v>
          </cell>
          <cell r="Q167">
            <v>97.410780000000003</v>
          </cell>
          <cell r="R167">
            <v>206.58719696853626</v>
          </cell>
          <cell r="S167">
            <v>335.94444167496067</v>
          </cell>
          <cell r="T167">
            <v>435.54016208957808</v>
          </cell>
          <cell r="U167">
            <v>511.05010255072631</v>
          </cell>
          <cell r="V167">
            <v>545.6975671304366</v>
          </cell>
          <cell r="W167">
            <v>583.89639682956715</v>
          </cell>
          <cell r="X167">
            <v>618.93018063934119</v>
          </cell>
          <cell r="Y167">
            <v>649.87668967130833</v>
          </cell>
          <cell r="Z167">
            <v>682.37052415487381</v>
          </cell>
          <cell r="AA167">
            <v>716.4890503626176</v>
          </cell>
          <cell r="AB167">
            <v>752.3135028807485</v>
          </cell>
          <cell r="AC167">
            <v>789.92917802478598</v>
          </cell>
          <cell r="AD167">
            <v>829.42563692602528</v>
          </cell>
          <cell r="AE167">
            <v>870.89691877232656</v>
          </cell>
          <cell r="AF167">
            <v>914.44176471094283</v>
          </cell>
          <cell r="AG167">
            <v>960.16385294649001</v>
          </cell>
          <cell r="AH167">
            <v>1008.1720455938145</v>
          </cell>
          <cell r="AI167">
            <v>1058.5806478735053</v>
          </cell>
          <cell r="AJ167">
            <v>1111.5096802671806</v>
          </cell>
        </row>
        <row r="168">
          <cell r="I168" t="str">
            <v>y/y Growth - %</v>
          </cell>
          <cell r="M168" t="str">
            <v>NA</v>
          </cell>
          <cell r="N168" t="str">
            <v>NA</v>
          </cell>
          <cell r="O168">
            <v>7.8582089552238799</v>
          </cell>
          <cell r="P168">
            <v>1.0636225779275486</v>
          </cell>
          <cell r="Q168">
            <v>1.2092940657761519</v>
          </cell>
          <cell r="R168">
            <v>1.120783726077712</v>
          </cell>
          <cell r="S168">
            <v>0.62616293073634099</v>
          </cell>
          <cell r="T168">
            <v>0.29646485567092706</v>
          </cell>
          <cell r="U168">
            <v>0.17337078651685411</v>
          </cell>
          <cell r="V168">
            <v>6.7796610169491567E-2</v>
          </cell>
          <cell r="W168">
            <v>7.0000000000000062E-2</v>
          </cell>
          <cell r="X168">
            <v>6.0000000000000053E-2</v>
          </cell>
          <cell r="Y168">
            <v>5.0000000000000044E-2</v>
          </cell>
          <cell r="Z168">
            <v>5.0000000000000044E-2</v>
          </cell>
          <cell r="AA168">
            <v>5.0000000000000266E-2</v>
          </cell>
          <cell r="AB168">
            <v>5.0000000000000044E-2</v>
          </cell>
          <cell r="AC168">
            <v>5.0000000000000044E-2</v>
          </cell>
          <cell r="AD168">
            <v>5.0000000000000044E-2</v>
          </cell>
          <cell r="AE168">
            <v>5.0000000000000044E-2</v>
          </cell>
          <cell r="AF168">
            <v>5.0000000000000044E-2</v>
          </cell>
          <cell r="AG168">
            <v>5.0000000000000044E-2</v>
          </cell>
          <cell r="AH168">
            <v>5.0000000000000044E-2</v>
          </cell>
          <cell r="AI168">
            <v>5.0000000000000044E-2</v>
          </cell>
          <cell r="AJ168">
            <v>5.0000000000000044E-2</v>
          </cell>
        </row>
        <row r="169">
          <cell r="I169" t="str">
            <v>Total Asia Pacific</v>
          </cell>
          <cell r="M169">
            <v>2.2544999999999997</v>
          </cell>
          <cell r="N169">
            <v>8.0482499999999995</v>
          </cell>
          <cell r="O169">
            <v>34.329374999999999</v>
          </cell>
          <cell r="P169">
            <v>70.193628749999988</v>
          </cell>
          <cell r="Q169">
            <v>154.75883625</v>
          </cell>
          <cell r="R169">
            <v>335.55310073857964</v>
          </cell>
          <cell r="S169">
            <v>559.17681809883425</v>
          </cell>
          <cell r="T169">
            <v>743.98125890124652</v>
          </cell>
          <cell r="U169">
            <v>876.14364571555825</v>
          </cell>
          <cell r="V169">
            <v>954.60233547504845</v>
          </cell>
          <cell r="W169">
            <v>1029.6025943251941</v>
          </cell>
          <cell r="X169">
            <v>1095.8358119596621</v>
          </cell>
          <cell r="Y169">
            <v>1155.3966588708486</v>
          </cell>
          <cell r="Z169">
            <v>1218.2216915063864</v>
          </cell>
          <cell r="AA169">
            <v>1284.491287755221</v>
          </cell>
          <cell r="AB169">
            <v>1354.3958745169082</v>
          </cell>
          <cell r="AC169">
            <v>1428.1364919591151</v>
          </cell>
          <cell r="AD169">
            <v>1505.9253896964142</v>
          </cell>
          <cell r="AE169">
            <v>1587.9866567089389</v>
          </cell>
          <cell r="AF169">
            <v>1674.5568869237518</v>
          </cell>
          <cell r="AG169">
            <v>1765.8858824920676</v>
          </cell>
          <cell r="AH169">
            <v>1862.2373969121268</v>
          </cell>
          <cell r="AI169">
            <v>1963.8899202709165</v>
          </cell>
          <cell r="AJ169">
            <v>2071.1375090084366</v>
          </cell>
        </row>
        <row r="170">
          <cell r="I170" t="str">
            <v>y/y Growth - %</v>
          </cell>
          <cell r="M170" t="str">
            <v>NA</v>
          </cell>
          <cell r="N170">
            <v>2.5698602794411181</v>
          </cell>
          <cell r="O170">
            <v>3.2654459043891535</v>
          </cell>
          <cell r="P170">
            <v>1.0447103610246322</v>
          </cell>
          <cell r="Q170">
            <v>1.2047419260968186</v>
          </cell>
          <cell r="R170">
            <v>1.1682322565189205</v>
          </cell>
          <cell r="S170">
            <v>0.66643317218061937</v>
          </cell>
          <cell r="T170">
            <v>0.33049374512830432</v>
          </cell>
          <cell r="U170">
            <v>0.17764209142780918</v>
          </cell>
          <cell r="V170">
            <v>8.9550030001543712E-2</v>
          </cell>
          <cell r="W170">
            <v>7.8567017974895847E-2</v>
          </cell>
          <cell r="X170">
            <v>6.4328914864358433E-2</v>
          </cell>
          <cell r="Y170">
            <v>5.4351980708382763E-2</v>
          </cell>
          <cell r="Z170">
            <v>5.437529367354732E-2</v>
          </cell>
          <cell r="AA170">
            <v>5.4398634264088086E-2</v>
          </cell>
          <cell r="AB170">
            <v>5.4422001478774185E-2</v>
          </cell>
          <cell r="AC170">
            <v>5.4445394311695594E-2</v>
          </cell>
          <cell r="AD170">
            <v>5.4468811752431678E-2</v>
          </cell>
          <cell r="AE170">
            <v>5.4492252786220607E-2</v>
          </cell>
          <cell r="AF170">
            <v>5.4515716394133662E-2</v>
          </cell>
          <cell r="AG170">
            <v>5.4539201553249095E-2</v>
          </cell>
          <cell r="AH170">
            <v>5.4562707236826213E-2</v>
          </cell>
          <cell r="AI170">
            <v>5.4586232414484348E-2</v>
          </cell>
          <cell r="AJ170">
            <v>5.4609776052379377E-2</v>
          </cell>
        </row>
        <row r="172">
          <cell r="I172" t="str">
            <v>Latin America &amp; RoW</v>
          </cell>
        </row>
        <row r="173">
          <cell r="I173" t="str">
            <v>Agency (Booking.com)</v>
          </cell>
          <cell r="M173">
            <v>1.2</v>
          </cell>
          <cell r="N173">
            <v>4.17</v>
          </cell>
          <cell r="O173">
            <v>13.256999999999998</v>
          </cell>
          <cell r="P173">
            <v>37.931399999999996</v>
          </cell>
          <cell r="Q173">
            <v>105.95249999999999</v>
          </cell>
          <cell r="R173">
            <v>235.45999749118889</v>
          </cell>
          <cell r="S173">
            <v>394.10602986735591</v>
          </cell>
          <cell r="T173">
            <v>542.84659826613279</v>
          </cell>
          <cell r="U173">
            <v>657.73673447451301</v>
          </cell>
          <cell r="V173">
            <v>756.39724464568985</v>
          </cell>
          <cell r="W173">
            <v>832.03696911025895</v>
          </cell>
          <cell r="X173">
            <v>898.59992663907974</v>
          </cell>
          <cell r="Y173">
            <v>961.50192150381542</v>
          </cell>
          <cell r="Z173">
            <v>1028.8070560090825</v>
          </cell>
          <cell r="AA173">
            <v>1100.8235499297182</v>
          </cell>
          <cell r="AB173">
            <v>1177.8811984247986</v>
          </cell>
          <cell r="AC173">
            <v>1260.3328823145346</v>
          </cell>
          <cell r="AD173">
            <v>1348.556184076552</v>
          </cell>
          <cell r="AE173">
            <v>1442.9551169619108</v>
          </cell>
          <cell r="AF173">
            <v>1543.9619751492446</v>
          </cell>
          <cell r="AG173">
            <v>1652.0393134096917</v>
          </cell>
          <cell r="AH173">
            <v>1767.6820653483703</v>
          </cell>
          <cell r="AI173">
            <v>1891.4198099227563</v>
          </cell>
          <cell r="AJ173">
            <v>2023.8191966173492</v>
          </cell>
        </row>
        <row r="174">
          <cell r="I174" t="str">
            <v>y/y Growth - %</v>
          </cell>
          <cell r="M174" t="str">
            <v>NA</v>
          </cell>
          <cell r="N174">
            <v>2.4750000000000001</v>
          </cell>
          <cell r="O174">
            <v>2.1791366906474816</v>
          </cell>
          <cell r="P174">
            <v>1.861235573659199</v>
          </cell>
          <cell r="Q174">
            <v>1.7932662648887199</v>
          </cell>
          <cell r="R174">
            <v>1.2223165804600074</v>
          </cell>
          <cell r="S174">
            <v>0.67377063648403257</v>
          </cell>
          <cell r="T174">
            <v>0.37741256699076242</v>
          </cell>
          <cell r="U174">
            <v>0.21164383561643851</v>
          </cell>
          <cell r="V174">
            <v>0.14999999999999991</v>
          </cell>
          <cell r="W174">
            <v>0.10000000000000009</v>
          </cell>
          <cell r="X174">
            <v>8.0000000000000071E-2</v>
          </cell>
          <cell r="Y174">
            <v>7.0000000000000062E-2</v>
          </cell>
          <cell r="Z174">
            <v>7.0000000000000062E-2</v>
          </cell>
          <cell r="AA174">
            <v>6.999999999999984E-2</v>
          </cell>
          <cell r="AB174">
            <v>7.0000000000000062E-2</v>
          </cell>
          <cell r="AC174">
            <v>7.0000000000000062E-2</v>
          </cell>
          <cell r="AD174">
            <v>7.0000000000000062E-2</v>
          </cell>
          <cell r="AE174">
            <v>7.0000000000000062E-2</v>
          </cell>
          <cell r="AF174">
            <v>7.0000000000000062E-2</v>
          </cell>
          <cell r="AG174">
            <v>7.0000000000000062E-2</v>
          </cell>
          <cell r="AH174">
            <v>7.0000000000000062E-2</v>
          </cell>
          <cell r="AI174">
            <v>7.0000000000000062E-2</v>
          </cell>
          <cell r="AJ174">
            <v>7.0000000000000062E-2</v>
          </cell>
        </row>
        <row r="176">
          <cell r="I176" t="str">
            <v>Agency Check</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row>
        <row r="177">
          <cell r="I177" t="str">
            <v>Merchant Check</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row>
        <row r="178">
          <cell r="I178" t="str">
            <v>Geography US Check</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row>
        <row r="179">
          <cell r="I179" t="str">
            <v>Geography International Check</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row>
        <row r="181">
          <cell r="I181" t="str">
            <v>Gross bookings by type</v>
          </cell>
        </row>
        <row r="182">
          <cell r="I182" t="str">
            <v>Air</v>
          </cell>
        </row>
        <row r="183">
          <cell r="I183" t="str">
            <v>Airline Tickets Sold</v>
          </cell>
          <cell r="M183">
            <v>2.8029999999999999</v>
          </cell>
          <cell r="N183">
            <v>2.9350000000000001</v>
          </cell>
          <cell r="O183">
            <v>4.8520000000000003</v>
          </cell>
          <cell r="P183">
            <v>5.9089999999999989</v>
          </cell>
          <cell r="Q183">
            <v>5.9130000000000003</v>
          </cell>
        </row>
        <row r="184">
          <cell r="I184" t="str">
            <v>y/y Growth - %</v>
          </cell>
          <cell r="M184" t="str">
            <v>NA</v>
          </cell>
          <cell r="N184">
            <v>4.7092400998929751E-2</v>
          </cell>
          <cell r="O184">
            <v>0.65315161839863722</v>
          </cell>
          <cell r="P184">
            <v>0.21784830997526772</v>
          </cell>
          <cell r="Q184">
            <v>6.7693349128461477E-4</v>
          </cell>
        </row>
        <row r="185">
          <cell r="I185" t="str">
            <v>Average Domestic Airfare (ARC)</v>
          </cell>
          <cell r="M185">
            <v>319.56535103852724</v>
          </cell>
          <cell r="N185">
            <v>322.44977871279622</v>
          </cell>
          <cell r="O185">
            <v>340.23660215604372</v>
          </cell>
          <cell r="P185">
            <v>299.40969708328117</v>
          </cell>
          <cell r="Q185">
            <v>320.62406847498187</v>
          </cell>
        </row>
        <row r="186">
          <cell r="I186" t="str">
            <v>y/y Growth - %</v>
          </cell>
          <cell r="M186" t="str">
            <v>NA</v>
          </cell>
          <cell r="N186">
            <v>9.0260964303392477E-3</v>
          </cell>
          <cell r="O186">
            <v>5.5161530934372482E-2</v>
          </cell>
          <cell r="P186">
            <v>-0.11999562896539262</v>
          </cell>
          <cell r="Q186">
            <v>7.0853989026948172E-2</v>
          </cell>
        </row>
        <row r="187">
          <cell r="I187" t="str">
            <v>Air Gross Bookings</v>
          </cell>
          <cell r="M187">
            <v>895.74167896099186</v>
          </cell>
          <cell r="N187">
            <v>946.39010052205697</v>
          </cell>
          <cell r="O187">
            <v>1650.8279936611241</v>
          </cell>
          <cell r="P187">
            <v>1769.2119000651082</v>
          </cell>
          <cell r="Q187">
            <v>1895.8501168925677</v>
          </cell>
        </row>
        <row r="188">
          <cell r="I188" t="str">
            <v>y/y Growth - %</v>
          </cell>
          <cell r="M188" t="str">
            <v>NA</v>
          </cell>
          <cell r="N188">
            <v>5.6543557981821646E-2</v>
          </cell>
          <cell r="O188">
            <v>0.74434199253614142</v>
          </cell>
          <cell r="P188">
            <v>7.1711836035345033E-2</v>
          </cell>
          <cell r="Q188">
            <v>7.1578885956396165E-2</v>
          </cell>
        </row>
        <row r="189">
          <cell r="I189" t="str">
            <v>% of total bookings</v>
          </cell>
          <cell r="M189">
            <v>0.26982210973208876</v>
          </cell>
          <cell r="N189">
            <v>0.19596367356261232</v>
          </cell>
          <cell r="O189">
            <v>0.22308133691144669</v>
          </cell>
          <cell r="P189">
            <v>0.19003223609736522</v>
          </cell>
          <cell r="Q189">
            <v>0.13893210342997922</v>
          </cell>
        </row>
        <row r="190">
          <cell r="I190" t="str">
            <v>Air Gross Profit</v>
          </cell>
          <cell r="M190">
            <v>42.045000000000002</v>
          </cell>
          <cell r="N190">
            <v>44.024999999999999</v>
          </cell>
          <cell r="O190">
            <v>72.78</v>
          </cell>
          <cell r="P190">
            <v>74.324999999999989</v>
          </cell>
          <cell r="Q190">
            <v>59.13</v>
          </cell>
        </row>
        <row r="191">
          <cell r="I191" t="str">
            <v>Gross Profit margin (%)</v>
          </cell>
          <cell r="M191">
            <v>4.6938755879674762E-2</v>
          </cell>
          <cell r="N191">
            <v>4.6518872054678612E-2</v>
          </cell>
          <cell r="O191">
            <v>4.4086967436620786E-2</v>
          </cell>
          <cell r="P191">
            <v>4.2010230655392257E-2</v>
          </cell>
          <cell r="Q191">
            <v>3.1189174435855851E-2</v>
          </cell>
        </row>
        <row r="192">
          <cell r="I192" t="str">
            <v>% of total gross profit</v>
          </cell>
          <cell r="M192">
            <v>0.10482449470080955</v>
          </cell>
          <cell r="N192">
            <v>7.0914274668986185E-2</v>
          </cell>
          <cell r="O192">
            <v>7.6132016556987619E-2</v>
          </cell>
          <cell r="P192">
            <v>5.8952396287010322E-2</v>
          </cell>
          <cell r="Q192">
            <v>3.0974786429554757E-2</v>
          </cell>
        </row>
        <row r="193">
          <cell r="I193" t="str">
            <v>GDS fees per segment</v>
          </cell>
          <cell r="M193">
            <v>4</v>
          </cell>
          <cell r="N193">
            <v>4</v>
          </cell>
          <cell r="O193">
            <v>4</v>
          </cell>
          <cell r="P193">
            <v>4</v>
          </cell>
          <cell r="Q193">
            <v>4</v>
          </cell>
        </row>
        <row r="194">
          <cell r="I194" t="str">
            <v>Average segments</v>
          </cell>
          <cell r="M194">
            <v>2.5</v>
          </cell>
          <cell r="N194">
            <v>2.5</v>
          </cell>
          <cell r="O194">
            <v>2.5</v>
          </cell>
          <cell r="P194">
            <v>2.5</v>
          </cell>
          <cell r="Q194">
            <v>2.5</v>
          </cell>
        </row>
        <row r="195">
          <cell r="I195" t="str">
            <v>GDS fees per ticket</v>
          </cell>
          <cell r="M195">
            <v>10</v>
          </cell>
          <cell r="N195">
            <v>10</v>
          </cell>
          <cell r="O195">
            <v>10</v>
          </cell>
          <cell r="P195">
            <v>10</v>
          </cell>
          <cell r="Q195">
            <v>10</v>
          </cell>
        </row>
        <row r="196">
          <cell r="I196" t="str">
            <v>OTA fees per ticket</v>
          </cell>
          <cell r="M196">
            <v>5</v>
          </cell>
          <cell r="N196">
            <v>5</v>
          </cell>
          <cell r="O196">
            <v>0</v>
          </cell>
          <cell r="P196">
            <v>0</v>
          </cell>
          <cell r="Q196">
            <v>0</v>
          </cell>
        </row>
        <row r="198">
          <cell r="I198" t="str">
            <v>Hotel</v>
          </cell>
        </row>
        <row r="199">
          <cell r="I199" t="str">
            <v>Global Hotel Room Nights</v>
          </cell>
          <cell r="M199">
            <v>18.651</v>
          </cell>
          <cell r="N199">
            <v>27.777000000000001</v>
          </cell>
          <cell r="O199">
            <v>40.813999999999993</v>
          </cell>
          <cell r="P199">
            <v>60.912000000000006</v>
          </cell>
          <cell r="Q199">
            <v>92.762000000000015</v>
          </cell>
        </row>
        <row r="200">
          <cell r="I200" t="str">
            <v>y/y Growth - %</v>
          </cell>
          <cell r="M200" t="str">
            <v>NA</v>
          </cell>
          <cell r="N200">
            <v>0.48930352259932453</v>
          </cell>
          <cell r="O200">
            <v>0.46934514166396624</v>
          </cell>
          <cell r="P200">
            <v>0.49242906845690237</v>
          </cell>
          <cell r="Q200">
            <v>0.52288547412660891</v>
          </cell>
        </row>
        <row r="202">
          <cell r="I202" t="str">
            <v>Car</v>
          </cell>
        </row>
        <row r="203">
          <cell r="I203" t="str">
            <v>Rental Car Days</v>
          </cell>
          <cell r="M203">
            <v>7.4539999999999997</v>
          </cell>
          <cell r="N203">
            <v>8.6210000000000004</v>
          </cell>
          <cell r="O203">
            <v>9.984</v>
          </cell>
          <cell r="P203">
            <v>11.225000000000001</v>
          </cell>
          <cell r="Q203">
            <v>16.314999999999998</v>
          </cell>
        </row>
        <row r="204">
          <cell r="I204" t="str">
            <v>y/y Growth - %</v>
          </cell>
          <cell r="M204" t="str">
            <v>NA</v>
          </cell>
          <cell r="N204">
            <v>0.15656023611483771</v>
          </cell>
          <cell r="O204">
            <v>0.15810230831690064</v>
          </cell>
          <cell r="P204">
            <v>0.12429887820512842</v>
          </cell>
          <cell r="Q204">
            <v>0.45345211581291722</v>
          </cell>
        </row>
        <row r="206">
          <cell r="I206" t="str">
            <v>Air Check</v>
          </cell>
          <cell r="M206" t="str">
            <v>YES</v>
          </cell>
          <cell r="N206" t="str">
            <v>YES</v>
          </cell>
          <cell r="O206" t="str">
            <v>YES</v>
          </cell>
          <cell r="P206" t="str">
            <v>YES</v>
          </cell>
          <cell r="Q206" t="str">
            <v>YES</v>
          </cell>
          <cell r="R206" t="str">
            <v>YES</v>
          </cell>
          <cell r="S206" t="str">
            <v>YES</v>
          </cell>
          <cell r="T206" t="str">
            <v>YES</v>
          </cell>
          <cell r="U206" t="str">
            <v>YES</v>
          </cell>
          <cell r="V206" t="str">
            <v>YES</v>
          </cell>
          <cell r="W206" t="str">
            <v>YES</v>
          </cell>
          <cell r="X206" t="str">
            <v>YES</v>
          </cell>
          <cell r="Y206" t="str">
            <v>YES</v>
          </cell>
          <cell r="Z206" t="str">
            <v>YES</v>
          </cell>
          <cell r="AA206" t="str">
            <v>YES</v>
          </cell>
          <cell r="AB206" t="str">
            <v>YES</v>
          </cell>
          <cell r="AC206" t="str">
            <v>YES</v>
          </cell>
          <cell r="AD206" t="str">
            <v>YES</v>
          </cell>
          <cell r="AE206" t="str">
            <v>YES</v>
          </cell>
          <cell r="AF206" t="str">
            <v>YES</v>
          </cell>
          <cell r="AG206" t="str">
            <v>YES</v>
          </cell>
          <cell r="AH206" t="str">
            <v>YES</v>
          </cell>
          <cell r="AI206" t="str">
            <v>YES</v>
          </cell>
          <cell r="AJ206" t="str">
            <v>YES</v>
          </cell>
        </row>
        <row r="207">
          <cell r="I207" t="str">
            <v>Air Check</v>
          </cell>
          <cell r="M207" t="str">
            <v>YES</v>
          </cell>
          <cell r="N207" t="str">
            <v>YES</v>
          </cell>
          <cell r="O207" t="str">
            <v>YES</v>
          </cell>
          <cell r="P207" t="str">
            <v>YES</v>
          </cell>
          <cell r="Q207" t="str">
            <v>YES</v>
          </cell>
          <cell r="R207" t="str">
            <v>YES</v>
          </cell>
          <cell r="S207" t="str">
            <v>YES</v>
          </cell>
          <cell r="T207" t="str">
            <v>YES</v>
          </cell>
          <cell r="U207" t="str">
            <v>YES</v>
          </cell>
          <cell r="V207" t="str">
            <v>YES</v>
          </cell>
          <cell r="W207" t="str">
            <v>YES</v>
          </cell>
          <cell r="X207" t="str">
            <v>YES</v>
          </cell>
          <cell r="Y207" t="str">
            <v>YES</v>
          </cell>
          <cell r="Z207" t="str">
            <v>YES</v>
          </cell>
          <cell r="AA207" t="str">
            <v>YES</v>
          </cell>
          <cell r="AB207" t="str">
            <v>YES</v>
          </cell>
          <cell r="AC207" t="str">
            <v>YES</v>
          </cell>
          <cell r="AD207" t="str">
            <v>YES</v>
          </cell>
          <cell r="AE207" t="str">
            <v>YES</v>
          </cell>
          <cell r="AF207" t="str">
            <v>YES</v>
          </cell>
          <cell r="AG207" t="str">
            <v>YES</v>
          </cell>
          <cell r="AH207" t="str">
            <v>YES</v>
          </cell>
          <cell r="AI207" t="str">
            <v>YES</v>
          </cell>
          <cell r="AJ207" t="str">
            <v>YES</v>
          </cell>
        </row>
        <row r="209">
          <cell r="I209" t="str">
            <v>Gross bookings by Geography</v>
          </cell>
        </row>
        <row r="210">
          <cell r="I210" t="str">
            <v>US</v>
          </cell>
          <cell r="M210">
            <v>1972.7899999999995</v>
          </cell>
          <cell r="N210">
            <v>2154.375</v>
          </cell>
          <cell r="O210">
            <v>3081.7919999999999</v>
          </cell>
          <cell r="P210">
            <v>3646.0619999999999</v>
          </cell>
          <cell r="Q210">
            <v>4166.875</v>
          </cell>
          <cell r="R210">
            <v>4723.7474999999995</v>
          </cell>
          <cell r="S210">
            <v>5308.8141479999995</v>
          </cell>
          <cell r="T210">
            <v>5829.1939200300003</v>
          </cell>
          <cell r="U210">
            <v>6267.6563735969012</v>
          </cell>
          <cell r="V210">
            <v>6595.9512793957383</v>
          </cell>
          <cell r="W210">
            <v>6908.501338879084</v>
          </cell>
          <cell r="X210">
            <v>7202.8650346225786</v>
          </cell>
          <cell r="Y210">
            <v>7509.8143420942879</v>
          </cell>
          <cell r="Z210">
            <v>7829.889183638772</v>
          </cell>
          <cell r="AA210">
            <v>8163.6527208987673</v>
          </cell>
          <cell r="AB210">
            <v>8511.6923582953132</v>
          </cell>
          <cell r="AC210">
            <v>8874.6207899729452</v>
          </cell>
          <cell r="AD210">
            <v>9253.0770920982468</v>
          </cell>
          <cell r="AE210">
            <v>9647.7278624822466</v>
          </cell>
          <cell r="AF210">
            <v>10059.26840958311</v>
          </cell>
          <cell r="AG210">
            <v>10488.42399303508</v>
          </cell>
          <cell r="AH210">
            <v>10935.951117943216</v>
          </cell>
          <cell r="AI210">
            <v>11402.638885281081</v>
          </cell>
          <cell r="AJ210">
            <v>11889.310400830367</v>
          </cell>
        </row>
        <row r="211">
          <cell r="I211" t="str">
            <v>y/y Growth - %</v>
          </cell>
          <cell r="M211" t="str">
            <v>NA</v>
          </cell>
          <cell r="N211">
            <v>9.2044769083379663E-2</v>
          </cell>
          <cell r="O211">
            <v>0.43048076588337691</v>
          </cell>
          <cell r="P211">
            <v>0.18309801569995643</v>
          </cell>
          <cell r="Q211">
            <v>0.14284260662599824</v>
          </cell>
          <cell r="R211">
            <v>0.13364271786410664</v>
          </cell>
          <cell r="S211">
            <v>0.12385646099839165</v>
          </cell>
          <cell r="T211">
            <v>9.802184772771616E-2</v>
          </cell>
          <cell r="U211">
            <v>7.5218368025170124E-2</v>
          </cell>
          <cell r="V211">
            <v>5.237921261634737E-2</v>
          </cell>
          <cell r="W211">
            <v>4.7385137676756672E-2</v>
          </cell>
          <cell r="X211">
            <v>4.2608907678268748E-2</v>
          </cell>
          <cell r="Y211">
            <v>4.26148908797086E-2</v>
          </cell>
          <cell r="Z211">
            <v>4.2620872762511475E-2</v>
          </cell>
          <cell r="AA211">
            <v>4.2626853258335151E-2</v>
          </cell>
          <cell r="AB211">
            <v>4.2632832298901135E-2</v>
          </cell>
          <cell r="AC211">
            <v>4.2638809815997325E-2</v>
          </cell>
          <cell r="AD211">
            <v>4.2644785741482449E-2</v>
          </cell>
          <cell r="AE211">
            <v>4.265076000728607E-2</v>
          </cell>
          <cell r="AF211">
            <v>4.2656732545416132E-2</v>
          </cell>
          <cell r="AG211">
            <v>4.2662703287957626E-2</v>
          </cell>
          <cell r="AH211">
            <v>4.2668672167078592E-2</v>
          </cell>
          <cell r="AI211">
            <v>4.2674639115032775E-2</v>
          </cell>
          <cell r="AJ211">
            <v>4.2680604064160743E-2</v>
          </cell>
        </row>
        <row r="212">
          <cell r="I212" t="str">
            <v>% of total gross bookings</v>
          </cell>
          <cell r="M212">
            <v>0.59425878281761657</v>
          </cell>
          <cell r="N212">
            <v>0.44609431036796166</v>
          </cell>
          <cell r="O212">
            <v>0.41645179393785259</v>
          </cell>
          <cell r="P212">
            <v>0.39162596339315464</v>
          </cell>
          <cell r="Q212">
            <v>0.30535784623558404</v>
          </cell>
          <cell r="R212">
            <v>0.22116074762254778</v>
          </cell>
          <cell r="S212">
            <v>0.1892040348552026</v>
          </cell>
          <cell r="T212">
            <v>0.16934370452460468</v>
          </cell>
          <cell r="U212">
            <v>0.16045854581245048</v>
          </cell>
          <cell r="V212">
            <v>0.15487637312048194</v>
          </cell>
          <cell r="W212">
            <v>0.15129933988750652</v>
          </cell>
          <cell r="X212">
            <v>0.14869269561012091</v>
          </cell>
          <cell r="Y212">
            <v>0.14753912868574892</v>
          </cell>
          <cell r="Z212">
            <v>0.14657697058612804</v>
          </cell>
          <cell r="AA212">
            <v>0.14561117237780444</v>
          </cell>
          <cell r="AB212">
            <v>0.14464175452602671</v>
          </cell>
          <cell r="AC212">
            <v>0.14366874031979085</v>
          </cell>
          <cell r="AD212">
            <v>0.14269215592830722</v>
          </cell>
          <cell r="AE212">
            <v>0.14171203045594727</v>
          </cell>
          <cell r="AF212">
            <v>0.14072839599552614</v>
          </cell>
          <cell r="AG212">
            <v>0.13974128767977109</v>
          </cell>
          <cell r="AH212">
            <v>0.13875074373082452</v>
          </cell>
          <cell r="AI212">
            <v>0.13775680550762898</v>
          </cell>
          <cell r="AJ212">
            <v>0.13675951755103888</v>
          </cell>
        </row>
        <row r="213">
          <cell r="I213" t="str">
            <v>International</v>
          </cell>
          <cell r="M213">
            <v>1346.9590000000001</v>
          </cell>
          <cell r="N213">
            <v>2675.0410000000002</v>
          </cell>
          <cell r="O213">
            <v>4318.3249999999998</v>
          </cell>
          <cell r="P213">
            <v>5664</v>
          </cell>
          <cell r="Q213">
            <v>9479</v>
          </cell>
          <cell r="R213">
            <v>16635.139873911208</v>
          </cell>
          <cell r="S213">
            <v>22749.858871646873</v>
          </cell>
          <cell r="T213">
            <v>28593.071356344954</v>
          </cell>
          <cell r="U213">
            <v>32793.250864854301</v>
          </cell>
          <cell r="V213">
            <v>35992.541377677226</v>
          </cell>
          <cell r="W213">
            <v>38752.645259748955</v>
          </cell>
          <cell r="X213">
            <v>41238.418547382171</v>
          </cell>
          <cell r="Y213">
            <v>43390.67835425221</v>
          </cell>
          <cell r="Z213">
            <v>45588.387591551917</v>
          </cell>
          <cell r="AA213">
            <v>47901.088655657542</v>
          </cell>
          <cell r="AB213">
            <v>50335.024388104008</v>
          </cell>
          <cell r="AC213">
            <v>52896.790097454701</v>
          </cell>
          <cell r="AD213">
            <v>55593.354247458126</v>
          </cell>
          <cell r="AE213">
            <v>58432.080403911546</v>
          </cell>
          <cell r="AF213">
            <v>61420.750519239911</v>
          </cell>
          <cell r="AG213">
            <v>64567.589638885824</v>
          </cell>
          <cell r="AH213">
            <v>67881.292119029153</v>
          </cell>
          <cell r="AI213">
            <v>71371.049450934021</v>
          </cell>
          <cell r="AJ213">
            <v>75046.579793380486</v>
          </cell>
        </row>
        <row r="214">
          <cell r="I214" t="str">
            <v>y/y Growth - %</v>
          </cell>
          <cell r="M214" t="str">
            <v>NA</v>
          </cell>
          <cell r="N214">
            <v>0.98598546800607889</v>
          </cell>
          <cell r="O214">
            <v>0.61430236022550666</v>
          </cell>
          <cell r="P214">
            <v>0.31161966734787216</v>
          </cell>
          <cell r="Q214">
            <v>0.67355225988700562</v>
          </cell>
          <cell r="R214">
            <v>0.75494671103610167</v>
          </cell>
          <cell r="S214">
            <v>0.36757845404866973</v>
          </cell>
          <cell r="T214">
            <v>0.25684609815230419</v>
          </cell>
          <cell r="U214">
            <v>0.14689501019894124</v>
          </cell>
          <cell r="V214">
            <v>9.755941934539103E-2</v>
          </cell>
          <cell r="W214">
            <v>7.668544027245483E-2</v>
          </cell>
          <cell r="X214">
            <v>6.4144609251103324E-2</v>
          </cell>
          <cell r="Y214">
            <v>5.219064849436772E-2</v>
          </cell>
          <cell r="Z214">
            <v>5.0649340380370722E-2</v>
          </cell>
          <cell r="AA214">
            <v>5.0730047415280755E-2</v>
          </cell>
          <cell r="AB214">
            <v>5.0811699707768554E-2</v>
          </cell>
          <cell r="AC214">
            <v>5.0894297568993219E-2</v>
          </cell>
          <cell r="AD214">
            <v>5.0977840905571004E-2</v>
          </cell>
          <cell r="AE214">
            <v>5.1062329209668356E-2</v>
          </cell>
          <cell r="AF214">
            <v>5.114776154929257E-2</v>
          </cell>
          <cell r="AG214">
            <v>5.1234136558786725E-2</v>
          </cell>
          <cell r="AH214">
            <v>5.1321452429558434E-2</v>
          </cell>
          <cell r="AI214">
            <v>5.1409706901065055E-2</v>
          </cell>
          <cell r="AJ214">
            <v>5.1498897252075793E-2</v>
          </cell>
        </row>
        <row r="215">
          <cell r="I215" t="str">
            <v>(+/-) FX y/y Growth - %</v>
          </cell>
          <cell r="M215" t="str">
            <v>NA</v>
          </cell>
          <cell r="N215">
            <v>-0.16467118449782081</v>
          </cell>
          <cell r="O215">
            <v>-0.12337984053328532</v>
          </cell>
          <cell r="P215">
            <v>0.10567870273775126</v>
          </cell>
          <cell r="Q215">
            <v>5.07224576271188E-2</v>
          </cell>
          <cell r="R215">
            <v>-8.4024519161382649E-2</v>
          </cell>
          <cell r="S215">
            <v>4.9963834690652353E-2</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row>
        <row r="216">
          <cell r="I216" t="str">
            <v>y/y Growth - % (excl F/X)</v>
          </cell>
          <cell r="M216" t="str">
            <v>NA</v>
          </cell>
          <cell r="N216">
            <v>0.82131428350825808</v>
          </cell>
          <cell r="O216">
            <v>0.49092251969222134</v>
          </cell>
          <cell r="P216">
            <v>0.41729837008562343</v>
          </cell>
          <cell r="Q216">
            <v>0.72427471751412442</v>
          </cell>
          <cell r="R216">
            <v>0.67092219187471902</v>
          </cell>
          <cell r="S216">
            <v>0.41754228873932209</v>
          </cell>
          <cell r="T216">
            <v>0.25684609815230419</v>
          </cell>
          <cell r="U216">
            <v>0.14689501019894124</v>
          </cell>
          <cell r="V216">
            <v>9.755941934539103E-2</v>
          </cell>
          <cell r="W216">
            <v>7.668544027245483E-2</v>
          </cell>
          <cell r="X216">
            <v>6.4144609251103324E-2</v>
          </cell>
          <cell r="Y216">
            <v>5.219064849436772E-2</v>
          </cell>
          <cell r="Z216">
            <v>5.0649340380370722E-2</v>
          </cell>
          <cell r="AA216">
            <v>5.0730047415280755E-2</v>
          </cell>
          <cell r="AB216">
            <v>5.0811699707768554E-2</v>
          </cell>
          <cell r="AC216">
            <v>5.0894297568993219E-2</v>
          </cell>
          <cell r="AD216">
            <v>5.0977840905571004E-2</v>
          </cell>
          <cell r="AE216">
            <v>5.1062329209668356E-2</v>
          </cell>
          <cell r="AF216">
            <v>5.114776154929257E-2</v>
          </cell>
          <cell r="AG216">
            <v>5.1234136558786725E-2</v>
          </cell>
          <cell r="AH216">
            <v>5.1321452429558434E-2</v>
          </cell>
          <cell r="AI216">
            <v>5.1409706901065055E-2</v>
          </cell>
          <cell r="AJ216">
            <v>5.1498897252075793E-2</v>
          </cell>
        </row>
        <row r="217">
          <cell r="I217" t="str">
            <v>% of total gross bookings</v>
          </cell>
          <cell r="M217">
            <v>0.40574121718238343</v>
          </cell>
          <cell r="N217">
            <v>0.55390568963203834</v>
          </cell>
          <cell r="O217">
            <v>0.5835482060621473</v>
          </cell>
          <cell r="P217">
            <v>0.60837403660684541</v>
          </cell>
          <cell r="Q217">
            <v>0.69464215376441596</v>
          </cell>
          <cell r="R217">
            <v>0.77883925237745211</v>
          </cell>
          <cell r="S217">
            <v>0.81079596514479746</v>
          </cell>
          <cell r="T217">
            <v>0.83065629547539521</v>
          </cell>
          <cell r="U217">
            <v>0.83954145418754944</v>
          </cell>
          <cell r="V217">
            <v>0.84512362687951803</v>
          </cell>
          <cell r="W217">
            <v>0.84870066011249368</v>
          </cell>
          <cell r="X217">
            <v>0.85130730438987923</v>
          </cell>
          <cell r="Y217">
            <v>0.85246087131425119</v>
          </cell>
          <cell r="Z217">
            <v>0.85342302941387183</v>
          </cell>
          <cell r="AA217">
            <v>0.85438882762219537</v>
          </cell>
          <cell r="AB217">
            <v>0.85535824547397354</v>
          </cell>
          <cell r="AC217">
            <v>0.85633125968020896</v>
          </cell>
          <cell r="AD217">
            <v>0.85730784407169269</v>
          </cell>
          <cell r="AE217">
            <v>0.85828796954405284</v>
          </cell>
          <cell r="AF217">
            <v>0.85927160400447389</v>
          </cell>
          <cell r="AG217">
            <v>0.86025871232022899</v>
          </cell>
          <cell r="AH217">
            <v>0.86124925626917548</v>
          </cell>
          <cell r="AI217">
            <v>0.86224319449237086</v>
          </cell>
          <cell r="AJ217">
            <v>0.86324048244896112</v>
          </cell>
        </row>
        <row r="218">
          <cell r="I218" t="str">
            <v>Total Check</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row>
        <row r="220">
          <cell r="I220" t="str">
            <v>Exchange Rates</v>
          </cell>
        </row>
        <row r="221">
          <cell r="I221" t="str">
            <v>EUR / USD Exchange Rate</v>
          </cell>
          <cell r="M221">
            <v>1.256</v>
          </cell>
          <cell r="N221">
            <v>1.3704000000000001</v>
          </cell>
          <cell r="O221">
            <v>1.4709000000000001</v>
          </cell>
          <cell r="P221">
            <v>1.3942000000000001</v>
          </cell>
          <cell r="Q221">
            <v>1.3274999999999999</v>
          </cell>
          <cell r="R221">
            <v>1.3924000000000001</v>
          </cell>
          <cell r="S221">
            <v>1.3003</v>
          </cell>
          <cell r="T221">
            <v>1.3003</v>
          </cell>
          <cell r="U221">
            <v>1.3003</v>
          </cell>
          <cell r="V221">
            <v>1.3003</v>
          </cell>
          <cell r="W221">
            <v>1.3003</v>
          </cell>
          <cell r="X221">
            <v>1.3003</v>
          </cell>
          <cell r="Y221">
            <v>1.3003</v>
          </cell>
          <cell r="Z221">
            <v>1.3003</v>
          </cell>
          <cell r="AA221">
            <v>1.3003</v>
          </cell>
          <cell r="AB221">
            <v>1.3003</v>
          </cell>
          <cell r="AC221">
            <v>1.3003</v>
          </cell>
          <cell r="AD221">
            <v>1.3003</v>
          </cell>
          <cell r="AE221">
            <v>1.3003</v>
          </cell>
          <cell r="AF221">
            <v>1.3003</v>
          </cell>
          <cell r="AG221">
            <v>1.3003</v>
          </cell>
          <cell r="AH221">
            <v>1.3003</v>
          </cell>
          <cell r="AI221">
            <v>1.3003</v>
          </cell>
          <cell r="AJ221">
            <v>1.3003</v>
          </cell>
        </row>
        <row r="222">
          <cell r="I222" t="str">
            <v>GBP / USD Exchange Rate</v>
          </cell>
          <cell r="M222">
            <v>1.8428</v>
          </cell>
          <cell r="N222">
            <v>2.0013000000000001</v>
          </cell>
          <cell r="O222">
            <v>1.8546</v>
          </cell>
          <cell r="P222">
            <v>1.5653999999999999</v>
          </cell>
          <cell r="Q222">
            <v>1.5458000000000001</v>
          </cell>
          <cell r="R222">
            <v>1.6039000000000001</v>
          </cell>
          <cell r="S222">
            <v>1.5603</v>
          </cell>
          <cell r="T222">
            <v>1.5603</v>
          </cell>
          <cell r="U222">
            <v>1.5603</v>
          </cell>
          <cell r="V222">
            <v>1.5603</v>
          </cell>
          <cell r="W222">
            <v>1.5603</v>
          </cell>
          <cell r="X222">
            <v>1.5603</v>
          </cell>
          <cell r="Y222">
            <v>1.5603</v>
          </cell>
          <cell r="Z222">
            <v>1.5603</v>
          </cell>
          <cell r="AA222">
            <v>1.5603</v>
          </cell>
          <cell r="AB222">
            <v>1.5603</v>
          </cell>
          <cell r="AC222">
            <v>1.5603</v>
          </cell>
          <cell r="AD222">
            <v>1.5603</v>
          </cell>
          <cell r="AE222">
            <v>1.5603</v>
          </cell>
          <cell r="AF222">
            <v>1.5603</v>
          </cell>
          <cell r="AG222">
            <v>1.5603</v>
          </cell>
          <cell r="AH222">
            <v>1.5603</v>
          </cell>
          <cell r="AI222">
            <v>1.5603</v>
          </cell>
          <cell r="AJ222">
            <v>1.5603</v>
          </cell>
        </row>
        <row r="223">
          <cell r="I223" t="str">
            <v>YEN / USD Exchange Rate</v>
          </cell>
          <cell r="M223">
            <v>8.6E-3</v>
          </cell>
          <cell r="N223">
            <v>8.5000000000000006E-3</v>
          </cell>
          <cell r="O223">
            <v>9.7000000000000003E-3</v>
          </cell>
          <cell r="P223">
            <v>1.0699999999999999E-2</v>
          </cell>
          <cell r="Q223">
            <v>1.14E-2</v>
          </cell>
          <cell r="R223">
            <v>1.26E-2</v>
          </cell>
          <cell r="S223">
            <v>1.2999999999999999E-2</v>
          </cell>
          <cell r="T223">
            <v>1.2999999999999999E-2</v>
          </cell>
          <cell r="U223">
            <v>1.2999999999999999E-2</v>
          </cell>
          <cell r="V223">
            <v>1.2999999999999999E-2</v>
          </cell>
          <cell r="W223">
            <v>1.2999999999999999E-2</v>
          </cell>
          <cell r="X223">
            <v>1.2999999999999999E-2</v>
          </cell>
          <cell r="Y223">
            <v>1.2999999999999999E-2</v>
          </cell>
          <cell r="Z223">
            <v>1.2999999999999999E-2</v>
          </cell>
          <cell r="AA223">
            <v>1.2999999999999999E-2</v>
          </cell>
          <cell r="AB223">
            <v>1.2999999999999999E-2</v>
          </cell>
          <cell r="AC223">
            <v>1.2999999999999999E-2</v>
          </cell>
          <cell r="AD223">
            <v>1.2999999999999999E-2</v>
          </cell>
          <cell r="AE223">
            <v>1.2999999999999999E-2</v>
          </cell>
          <cell r="AF223">
            <v>1.2999999999999999E-2</v>
          </cell>
          <cell r="AG223">
            <v>1.2999999999999999E-2</v>
          </cell>
          <cell r="AH223">
            <v>1.2999999999999999E-2</v>
          </cell>
          <cell r="AI223">
            <v>1.2999999999999999E-2</v>
          </cell>
          <cell r="AJ223">
            <v>1.2999999999999999E-2</v>
          </cell>
        </row>
        <row r="224">
          <cell r="I224" t="str">
            <v>AUD / USD Exchange Rate</v>
          </cell>
          <cell r="M224">
            <v>0.75319999999999998</v>
          </cell>
          <cell r="N224">
            <v>0.83850000000000002</v>
          </cell>
          <cell r="O224">
            <v>0.85240000000000005</v>
          </cell>
          <cell r="P224">
            <v>0.79190000000000005</v>
          </cell>
          <cell r="Q224">
            <v>0.91949999999999998</v>
          </cell>
          <cell r="R224">
            <v>1.0328999999999999</v>
          </cell>
          <cell r="S224">
            <v>1.0331999999999999</v>
          </cell>
          <cell r="T224">
            <v>1.0331999999999999</v>
          </cell>
          <cell r="U224">
            <v>1.0331999999999999</v>
          </cell>
          <cell r="V224">
            <v>1.0331999999999999</v>
          </cell>
          <cell r="W224">
            <v>1.0331999999999999</v>
          </cell>
          <cell r="X224">
            <v>1.0331999999999999</v>
          </cell>
          <cell r="Y224">
            <v>1.0331999999999999</v>
          </cell>
          <cell r="Z224">
            <v>1.0331999999999999</v>
          </cell>
          <cell r="AA224">
            <v>1.0331999999999999</v>
          </cell>
          <cell r="AB224">
            <v>1.0331999999999999</v>
          </cell>
          <cell r="AC224">
            <v>1.0331999999999999</v>
          </cell>
          <cell r="AD224">
            <v>1.0331999999999999</v>
          </cell>
          <cell r="AE224">
            <v>1.0331999999999999</v>
          </cell>
          <cell r="AF224">
            <v>1.0331999999999999</v>
          </cell>
          <cell r="AG224">
            <v>1.0331999999999999</v>
          </cell>
          <cell r="AH224">
            <v>1.0331999999999999</v>
          </cell>
          <cell r="AI224">
            <v>1.0331999999999999</v>
          </cell>
          <cell r="AJ224">
            <v>1.0331999999999999</v>
          </cell>
        </row>
        <row r="225">
          <cell r="I225" t="str">
            <v>CNY / USD Exchange Rate</v>
          </cell>
          <cell r="M225">
            <v>0.12529999999999999</v>
          </cell>
          <cell r="N225">
            <v>0.1313</v>
          </cell>
          <cell r="O225">
            <v>0.14369999999999999</v>
          </cell>
          <cell r="P225">
            <v>0.1462</v>
          </cell>
          <cell r="Q225">
            <v>0.14749999999999999</v>
          </cell>
          <cell r="R225">
            <v>0.1545</v>
          </cell>
          <cell r="S225">
            <v>0.15820000000000001</v>
          </cell>
          <cell r="T225">
            <v>0.15820000000000001</v>
          </cell>
          <cell r="U225">
            <v>0.15820000000000001</v>
          </cell>
          <cell r="V225">
            <v>0.15820000000000001</v>
          </cell>
          <cell r="W225">
            <v>0.15820000000000001</v>
          </cell>
          <cell r="X225">
            <v>0.15820000000000001</v>
          </cell>
          <cell r="Y225">
            <v>0.15820000000000001</v>
          </cell>
          <cell r="Z225">
            <v>0.15820000000000001</v>
          </cell>
          <cell r="AA225">
            <v>0.15820000000000001</v>
          </cell>
          <cell r="AB225">
            <v>0.15820000000000001</v>
          </cell>
          <cell r="AC225">
            <v>0.15820000000000001</v>
          </cell>
          <cell r="AD225">
            <v>0.15820000000000001</v>
          </cell>
          <cell r="AE225">
            <v>0.15820000000000001</v>
          </cell>
          <cell r="AF225">
            <v>0.15820000000000001</v>
          </cell>
          <cell r="AG225">
            <v>0.15820000000000001</v>
          </cell>
          <cell r="AH225">
            <v>0.15820000000000001</v>
          </cell>
          <cell r="AI225">
            <v>0.15820000000000001</v>
          </cell>
          <cell r="AJ225">
            <v>0.15820000000000001</v>
          </cell>
        </row>
        <row r="226">
          <cell r="I226" t="str">
            <v>BRL / USD Exchange Rate</v>
          </cell>
          <cell r="M226">
            <v>0.45910000000000001</v>
          </cell>
          <cell r="N226">
            <v>0.51449999999999996</v>
          </cell>
          <cell r="O226">
            <v>0.55430000000000001</v>
          </cell>
          <cell r="P226">
            <v>0.50429999999999997</v>
          </cell>
          <cell r="Q226">
            <v>0.56630000000000003</v>
          </cell>
          <cell r="R226">
            <v>0.59870000000000001</v>
          </cell>
          <cell r="S226">
            <v>0.54590000000000005</v>
          </cell>
          <cell r="T226">
            <v>0.54590000000000005</v>
          </cell>
          <cell r="U226">
            <v>0.54590000000000005</v>
          </cell>
          <cell r="V226">
            <v>0.54590000000000005</v>
          </cell>
          <cell r="W226">
            <v>0.54590000000000005</v>
          </cell>
          <cell r="X226">
            <v>0.54590000000000005</v>
          </cell>
          <cell r="Y226">
            <v>0.54590000000000005</v>
          </cell>
          <cell r="Z226">
            <v>0.54590000000000005</v>
          </cell>
          <cell r="AA226">
            <v>0.54590000000000005</v>
          </cell>
          <cell r="AB226">
            <v>0.54590000000000005</v>
          </cell>
          <cell r="AC226">
            <v>0.54590000000000005</v>
          </cell>
          <cell r="AD226">
            <v>0.54590000000000005</v>
          </cell>
          <cell r="AE226">
            <v>0.54590000000000005</v>
          </cell>
          <cell r="AF226">
            <v>0.54590000000000005</v>
          </cell>
          <cell r="AG226">
            <v>0.54590000000000005</v>
          </cell>
          <cell r="AH226">
            <v>0.54590000000000005</v>
          </cell>
          <cell r="AI226">
            <v>0.54590000000000005</v>
          </cell>
          <cell r="AJ226">
            <v>0.54590000000000005</v>
          </cell>
        </row>
        <row r="227">
          <cell r="I227" t="str">
            <v>CAD / USD Exchange Rate</v>
          </cell>
          <cell r="M227">
            <v>0.88170000000000004</v>
          </cell>
          <cell r="N227">
            <v>0.93520000000000003</v>
          </cell>
          <cell r="O227">
            <v>0.94350000000000001</v>
          </cell>
          <cell r="P227">
            <v>0.87980000000000003</v>
          </cell>
          <cell r="Q227">
            <v>0.97050000000000003</v>
          </cell>
          <cell r="R227">
            <v>1.0115000000000001</v>
          </cell>
          <cell r="S227">
            <v>0.98719999999999997</v>
          </cell>
          <cell r="T227">
            <v>0.98719999999999997</v>
          </cell>
          <cell r="U227">
            <v>0.98719999999999997</v>
          </cell>
          <cell r="V227">
            <v>0.98719999999999997</v>
          </cell>
          <cell r="W227">
            <v>0.98719999999999997</v>
          </cell>
          <cell r="X227">
            <v>0.98719999999999997</v>
          </cell>
          <cell r="Y227">
            <v>0.98719999999999997</v>
          </cell>
          <cell r="Z227">
            <v>0.98719999999999997</v>
          </cell>
          <cell r="AA227">
            <v>0.98719999999999997</v>
          </cell>
          <cell r="AB227">
            <v>0.98719999999999997</v>
          </cell>
          <cell r="AC227">
            <v>0.98719999999999997</v>
          </cell>
          <cell r="AD227">
            <v>0.98719999999999997</v>
          </cell>
          <cell r="AE227">
            <v>0.98719999999999997</v>
          </cell>
          <cell r="AF227">
            <v>0.98719999999999997</v>
          </cell>
          <cell r="AG227">
            <v>0.98719999999999997</v>
          </cell>
          <cell r="AH227">
            <v>0.98719999999999997</v>
          </cell>
          <cell r="AI227">
            <v>0.98719999999999997</v>
          </cell>
          <cell r="AJ227">
            <v>0.98719999999999997</v>
          </cell>
        </row>
        <row r="228">
          <cell r="I228" t="str">
            <v>USD / USD Exchange Rate</v>
          </cell>
          <cell r="M228">
            <v>1</v>
          </cell>
          <cell r="N228">
            <v>1</v>
          </cell>
          <cell r="O228">
            <v>1</v>
          </cell>
          <cell r="P228">
            <v>1</v>
          </cell>
          <cell r="Q228">
            <v>1</v>
          </cell>
          <cell r="R228">
            <v>1</v>
          </cell>
          <cell r="S228">
            <v>1</v>
          </cell>
          <cell r="T228">
            <v>1</v>
          </cell>
          <cell r="U228">
            <v>1</v>
          </cell>
          <cell r="V228">
            <v>1</v>
          </cell>
          <cell r="W228">
            <v>1</v>
          </cell>
          <cell r="X228">
            <v>1</v>
          </cell>
          <cell r="Y228">
            <v>1</v>
          </cell>
          <cell r="Z228">
            <v>1</v>
          </cell>
          <cell r="AA228">
            <v>1</v>
          </cell>
          <cell r="AB228">
            <v>1</v>
          </cell>
          <cell r="AC228">
            <v>1</v>
          </cell>
          <cell r="AD228">
            <v>1</v>
          </cell>
          <cell r="AE228">
            <v>1</v>
          </cell>
          <cell r="AF228">
            <v>1</v>
          </cell>
          <cell r="AG228">
            <v>1</v>
          </cell>
          <cell r="AH228">
            <v>1</v>
          </cell>
          <cell r="AI228">
            <v>1</v>
          </cell>
          <cell r="AJ228">
            <v>1</v>
          </cell>
        </row>
        <row r="230">
          <cell r="I230" t="str">
            <v>Exchange Rate Change</v>
          </cell>
        </row>
        <row r="231">
          <cell r="I231" t="str">
            <v>EUR / USD change</v>
          </cell>
          <cell r="N231">
            <v>9.1082802547770791E-2</v>
          </cell>
          <cell r="O231">
            <v>7.333625218914186E-2</v>
          </cell>
          <cell r="P231">
            <v>-5.2144945271602405E-2</v>
          </cell>
          <cell r="Q231">
            <v>-4.7841055802610999E-2</v>
          </cell>
          <cell r="R231">
            <v>4.8888888888888982E-2</v>
          </cell>
          <cell r="S231">
            <v>-6.6144785981040011E-2</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row>
        <row r="232">
          <cell r="I232" t="str">
            <v>GBP / USD change</v>
          </cell>
          <cell r="N232">
            <v>8.6010418927718657E-2</v>
          </cell>
          <cell r="O232">
            <v>-7.3302353470244386E-2</v>
          </cell>
          <cell r="P232">
            <v>-0.15593659010029126</v>
          </cell>
          <cell r="Q232">
            <v>-1.2520761466717656E-2</v>
          </cell>
          <cell r="R232">
            <v>3.7585716134040714E-2</v>
          </cell>
          <cell r="S232">
            <v>-2.7183739634640602E-2</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row>
        <row r="233">
          <cell r="I233" t="str">
            <v>YEN / USD change</v>
          </cell>
          <cell r="N233">
            <v>-1.1627906976744096E-2</v>
          </cell>
          <cell r="O233">
            <v>0.14117647058823524</v>
          </cell>
          <cell r="P233">
            <v>0.10309278350515449</v>
          </cell>
          <cell r="Q233">
            <v>6.542056074766367E-2</v>
          </cell>
          <cell r="R233">
            <v>0.10526315789473673</v>
          </cell>
          <cell r="S233">
            <v>3.1746031746031633E-2</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row>
        <row r="234">
          <cell r="I234" t="str">
            <v>AUD / USD change</v>
          </cell>
          <cell r="N234">
            <v>0.11325013276686136</v>
          </cell>
          <cell r="O234">
            <v>1.657722122838412E-2</v>
          </cell>
          <cell r="P234">
            <v>-7.0976067573908952E-2</v>
          </cell>
          <cell r="Q234">
            <v>0.16113145599191814</v>
          </cell>
          <cell r="R234">
            <v>0.12332789559543222</v>
          </cell>
          <cell r="S234">
            <v>2.904443799012224E-4</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row>
        <row r="235">
          <cell r="I235" t="str">
            <v>CNY / USD change</v>
          </cell>
          <cell r="N235">
            <v>4.7885075818036693E-2</v>
          </cell>
          <cell r="O235">
            <v>9.4440213252094507E-2</v>
          </cell>
          <cell r="P235">
            <v>1.7397355601948439E-2</v>
          </cell>
          <cell r="Q235">
            <v>8.8919288645690209E-3</v>
          </cell>
          <cell r="R235">
            <v>4.7457627118644208E-2</v>
          </cell>
          <cell r="S235">
            <v>2.3948220064724968E-2</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row>
        <row r="236">
          <cell r="I236" t="str">
            <v>BRL / USD change</v>
          </cell>
          <cell r="N236">
            <v>0.12067087780439989</v>
          </cell>
          <cell r="O236">
            <v>7.7356656948493807E-2</v>
          </cell>
          <cell r="P236">
            <v>-9.0203860725239116E-2</v>
          </cell>
          <cell r="Q236">
            <v>0.12294269284156267</v>
          </cell>
          <cell r="R236">
            <v>5.7213491082465096E-2</v>
          </cell>
          <cell r="S236">
            <v>-8.8191080674795308E-2</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row>
        <row r="237">
          <cell r="I237" t="str">
            <v>CAD / USD change</v>
          </cell>
          <cell r="N237">
            <v>6.0678235227401567E-2</v>
          </cell>
          <cell r="O237">
            <v>8.8751069289991769E-3</v>
          </cell>
          <cell r="P237">
            <v>-6.7514573396926347E-2</v>
          </cell>
          <cell r="Q237">
            <v>0.10309161172993853</v>
          </cell>
          <cell r="R237">
            <v>4.2246264811952594E-2</v>
          </cell>
          <cell r="S237">
            <v>-2.4023727137914119E-2</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row>
        <row r="238">
          <cell r="I238" t="str">
            <v>USD / USD change</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row>
        <row r="240">
          <cell r="I240" t="str">
            <v>Weighting</v>
          </cell>
        </row>
        <row r="241">
          <cell r="I241" t="str">
            <v xml:space="preserve">EUR / USD </v>
          </cell>
          <cell r="N241">
            <v>0.87349666790153857</v>
          </cell>
          <cell r="O241">
            <v>0.83882992827079961</v>
          </cell>
          <cell r="P241">
            <v>0.79324526615466107</v>
          </cell>
          <cell r="Q241">
            <v>0.74525190025319143</v>
          </cell>
          <cell r="R241">
            <v>0.70635758187630449</v>
          </cell>
          <cell r="S241">
            <v>0.6611823010146487</v>
          </cell>
          <cell r="T241">
            <v>0.63990555993508502</v>
          </cell>
          <cell r="U241">
            <v>0.62716454359375662</v>
          </cell>
          <cell r="V241">
            <v>0.62107127496893855</v>
          </cell>
          <cell r="W241">
            <v>0.6178588626238859</v>
          </cell>
          <cell r="X241">
            <v>0.61578225795590014</v>
          </cell>
          <cell r="Y241">
            <v>0.61312096140707018</v>
          </cell>
          <cell r="Z241">
            <v>0.60999180813583376</v>
          </cell>
          <cell r="AA241">
            <v>0.60683276206631798</v>
          </cell>
          <cell r="AB241">
            <v>0.60364391795766092</v>
          </cell>
          <cell r="AC241">
            <v>0.60042538528769274</v>
          </cell>
          <cell r="AD241">
            <v>0.59717728853233654</v>
          </cell>
          <cell r="AE241">
            <v>0.59389976743593198</v>
          </cell>
          <cell r="AF241">
            <v>0.59059297727173343</v>
          </cell>
          <cell r="AG241">
            <v>0.58725708909183483</v>
          </cell>
          <cell r="AH241">
            <v>0.58389228996576692</v>
          </cell>
          <cell r="AI241">
            <v>0.58049878320700754</v>
          </cell>
          <cell r="AJ241">
            <v>0.57707678858664668</v>
          </cell>
        </row>
        <row r="242">
          <cell r="I242" t="str">
            <v>GBP / USD</v>
          </cell>
          <cell r="N242">
            <v>9.705518532239317E-2</v>
          </cell>
          <cell r="O242">
            <v>9.3203325363422185E-2</v>
          </cell>
          <cell r="P242">
            <v>8.8138362906073464E-2</v>
          </cell>
          <cell r="Q242">
            <v>8.2805766694799054E-2</v>
          </cell>
          <cell r="R242">
            <v>7.8484175764033826E-2</v>
          </cell>
          <cell r="S242">
            <v>7.3464700112738743E-2</v>
          </cell>
          <cell r="T242">
            <v>7.1100617770565006E-2</v>
          </cell>
          <cell r="U242">
            <v>6.9684949288195172E-2</v>
          </cell>
          <cell r="V242">
            <v>6.9007919440993173E-2</v>
          </cell>
          <cell r="W242">
            <v>6.8650984735987325E-2</v>
          </cell>
          <cell r="X242">
            <v>6.8420250883988898E-2</v>
          </cell>
          <cell r="Y242">
            <v>6.8124551267452246E-2</v>
          </cell>
          <cell r="Z242">
            <v>6.77768675706482E-2</v>
          </cell>
          <cell r="AA242">
            <v>6.7425862451813118E-2</v>
          </cell>
          <cell r="AB242">
            <v>6.7071546439740101E-2</v>
          </cell>
          <cell r="AC242">
            <v>6.6713931698632531E-2</v>
          </cell>
          <cell r="AD242">
            <v>6.6353032059148498E-2</v>
          </cell>
          <cell r="AE242">
            <v>6.5988863048436888E-2</v>
          </cell>
          <cell r="AF242">
            <v>6.5621441919081494E-2</v>
          </cell>
          <cell r="AG242">
            <v>6.5250787676870536E-2</v>
          </cell>
          <cell r="AH242">
            <v>6.4876921107307431E-2</v>
          </cell>
          <cell r="AI242">
            <v>6.4499864800778614E-2</v>
          </cell>
          <cell r="AJ242">
            <v>6.411964317629408E-2</v>
          </cell>
        </row>
        <row r="243">
          <cell r="I243" t="str">
            <v>YEN / USD</v>
          </cell>
          <cell r="N243">
            <v>6.3519275654715822E-3</v>
          </cell>
          <cell r="O243">
            <v>1.5833492538580737E-2</v>
          </cell>
          <cell r="P243">
            <v>2.4656728166195855E-2</v>
          </cell>
          <cell r="Q243">
            <v>3.2474992966909311E-2</v>
          </cell>
          <cell r="R243">
            <v>4.0205502554198018E-2</v>
          </cell>
          <cell r="S243">
            <v>4.953786042249906E-2</v>
          </cell>
          <cell r="T243">
            <v>5.2985955238093831E-2</v>
          </cell>
          <cell r="U243">
            <v>5.494194767734787E-2</v>
          </cell>
          <cell r="V243">
            <v>5.4995696978783391E-2</v>
          </cell>
          <cell r="W243">
            <v>5.5139347183969532E-2</v>
          </cell>
          <cell r="X243">
            <v>5.5173052085385338E-2</v>
          </cell>
          <cell r="Y243">
            <v>5.5310848413287601E-2</v>
          </cell>
          <cell r="Z243">
            <v>5.5531578919852352E-2</v>
          </cell>
          <cell r="AA243">
            <v>5.5750159195231415E-2</v>
          </cell>
          <cell r="AB243">
            <v>5.5966507238867057E-2</v>
          </cell>
          <cell r="AC243">
            <v>5.6180540458318641E-2</v>
          </cell>
          <cell r="AD243">
            <v>5.6392175718414837E-2</v>
          </cell>
          <cell r="AE243">
            <v>5.6601329392454297E-2</v>
          </cell>
          <cell r="AF243">
            <v>5.6807917415440272E-2</v>
          </cell>
          <cell r="AG243">
            <v>5.7011855339329905E-2</v>
          </cell>
          <cell r="AH243">
            <v>5.7213058390273665E-2</v>
          </cell>
          <cell r="AI243">
            <v>5.7411441527815167E-2</v>
          </cell>
          <cell r="AJ243">
            <v>5.7606919506016228E-2</v>
          </cell>
        </row>
        <row r="244">
          <cell r="I244" t="str">
            <v xml:space="preserve">AUD / USD </v>
          </cell>
          <cell r="N244">
            <v>6.3519275654715822E-3</v>
          </cell>
          <cell r="O244">
            <v>1.5833492538580737E-2</v>
          </cell>
          <cell r="P244">
            <v>2.4656728166195855E-2</v>
          </cell>
          <cell r="Q244">
            <v>3.2474992966909311E-2</v>
          </cell>
          <cell r="R244">
            <v>4.0205502554198018E-2</v>
          </cell>
          <cell r="S244">
            <v>4.953786042249906E-2</v>
          </cell>
          <cell r="T244">
            <v>5.2985955238093831E-2</v>
          </cell>
          <cell r="U244">
            <v>5.494194767734787E-2</v>
          </cell>
          <cell r="V244">
            <v>5.4995696978783391E-2</v>
          </cell>
          <cell r="W244">
            <v>5.5139347183969532E-2</v>
          </cell>
          <cell r="X244">
            <v>5.5173052085385338E-2</v>
          </cell>
          <cell r="Y244">
            <v>5.5310848413287601E-2</v>
          </cell>
          <cell r="Z244">
            <v>5.5531578919852352E-2</v>
          </cell>
          <cell r="AA244">
            <v>5.5750159195231415E-2</v>
          </cell>
          <cell r="AB244">
            <v>5.5966507238867057E-2</v>
          </cell>
          <cell r="AC244">
            <v>5.6180540458318641E-2</v>
          </cell>
          <cell r="AD244">
            <v>5.6392175718414837E-2</v>
          </cell>
          <cell r="AE244">
            <v>5.6601329392454297E-2</v>
          </cell>
          <cell r="AF244">
            <v>5.6807917415440272E-2</v>
          </cell>
          <cell r="AG244">
            <v>5.7011855339329905E-2</v>
          </cell>
          <cell r="AH244">
            <v>5.7213058390273665E-2</v>
          </cell>
          <cell r="AI244">
            <v>5.7411441527815167E-2</v>
          </cell>
          <cell r="AJ244">
            <v>5.7606919506016228E-2</v>
          </cell>
        </row>
        <row r="245">
          <cell r="I245" t="str">
            <v xml:space="preserve">CNY / USD </v>
          </cell>
          <cell r="N245">
            <v>6.3519275654715822E-3</v>
          </cell>
          <cell r="O245">
            <v>1.5833492538580737E-2</v>
          </cell>
          <cell r="P245">
            <v>2.4656728166195855E-2</v>
          </cell>
          <cell r="Q245">
            <v>3.2474992966909311E-2</v>
          </cell>
          <cell r="R245">
            <v>4.0205502554198018E-2</v>
          </cell>
          <cell r="S245">
            <v>4.953786042249906E-2</v>
          </cell>
          <cell r="T245">
            <v>5.2985955238093831E-2</v>
          </cell>
          <cell r="U245">
            <v>5.494194767734787E-2</v>
          </cell>
          <cell r="V245">
            <v>5.4995696978783391E-2</v>
          </cell>
          <cell r="W245">
            <v>5.5139347183969532E-2</v>
          </cell>
          <cell r="X245">
            <v>5.5173052085385338E-2</v>
          </cell>
          <cell r="Y245">
            <v>5.5310848413287601E-2</v>
          </cell>
          <cell r="Z245">
            <v>5.5531578919852352E-2</v>
          </cell>
          <cell r="AA245">
            <v>5.5750159195231415E-2</v>
          </cell>
          <cell r="AB245">
            <v>5.5966507238867057E-2</v>
          </cell>
          <cell r="AC245">
            <v>5.6180540458318641E-2</v>
          </cell>
          <cell r="AD245">
            <v>5.6392175718414837E-2</v>
          </cell>
          <cell r="AE245">
            <v>5.6601329392454297E-2</v>
          </cell>
          <cell r="AF245">
            <v>5.6807917415440272E-2</v>
          </cell>
          <cell r="AG245">
            <v>5.7011855339329905E-2</v>
          </cell>
          <cell r="AH245">
            <v>5.7213058390273665E-2</v>
          </cell>
          <cell r="AI245">
            <v>5.7411441527815167E-2</v>
          </cell>
          <cell r="AJ245">
            <v>5.7606919506016228E-2</v>
          </cell>
        </row>
        <row r="246">
          <cell r="I246" t="str">
            <v xml:space="preserve">BRL / USD </v>
          </cell>
          <cell r="N246">
            <v>3.4641213598844522E-3</v>
          </cell>
          <cell r="O246">
            <v>6.8220895833453936E-3</v>
          </cell>
          <cell r="P246">
            <v>1.4882062146892654E-2</v>
          </cell>
          <cell r="Q246">
            <v>2.4839118050427256E-2</v>
          </cell>
          <cell r="R246">
            <v>3.1513911565689244E-2</v>
          </cell>
          <cell r="S246">
            <v>3.8913139201705117E-2</v>
          </cell>
          <cell r="T246">
            <v>4.3345318860022818E-2</v>
          </cell>
          <cell r="U246">
            <v>4.6108221362001579E-2</v>
          </cell>
          <cell r="V246">
            <v>4.831123821790604E-2</v>
          </cell>
          <cell r="W246">
            <v>4.9357370362739357E-2</v>
          </cell>
          <cell r="X246">
            <v>5.0092778301318308E-2</v>
          </cell>
          <cell r="Y246">
            <v>5.0940647361871615E-2</v>
          </cell>
          <cell r="Z246">
            <v>5.187886251132031E-2</v>
          </cell>
          <cell r="AA246">
            <v>5.2830299298724931E-2</v>
          </cell>
          <cell r="AB246">
            <v>5.3795004628665898E-2</v>
          </cell>
          <cell r="AC246">
            <v>5.4773020546239615E-2</v>
          </cell>
          <cell r="AD246">
            <v>5.5764384084423503E-2</v>
          </cell>
          <cell r="AE246">
            <v>5.6769127112756085E-2</v>
          </cell>
          <cell r="AF246">
            <v>5.7787276187621438E-2</v>
          </cell>
          <cell r="AG246">
            <v>5.881885240443499E-2</v>
          </cell>
          <cell r="AH246">
            <v>5.9863871252034927E-2</v>
          </cell>
          <cell r="AI246">
            <v>6.0922342469589469E-2</v>
          </cell>
          <cell r="AJ246">
            <v>6.199426990633685E-2</v>
          </cell>
        </row>
        <row r="247">
          <cell r="I247" t="str">
            <v>CAD / USD</v>
          </cell>
          <cell r="N247">
            <v>3.4641213598844522E-3</v>
          </cell>
          <cell r="O247">
            <v>6.8220895833453936E-3</v>
          </cell>
          <cell r="P247">
            <v>1.4882062146892654E-2</v>
          </cell>
          <cell r="Q247">
            <v>2.4839118050427256E-2</v>
          </cell>
          <cell r="R247">
            <v>3.1513911565689244E-2</v>
          </cell>
          <cell r="S247">
            <v>3.8913139201705117E-2</v>
          </cell>
          <cell r="T247">
            <v>4.3345318860022818E-2</v>
          </cell>
          <cell r="U247">
            <v>4.6108221362001579E-2</v>
          </cell>
          <cell r="V247">
            <v>4.831123821790604E-2</v>
          </cell>
          <cell r="W247">
            <v>4.9357370362739357E-2</v>
          </cell>
          <cell r="X247">
            <v>5.0092778301318308E-2</v>
          </cell>
          <cell r="Y247">
            <v>5.0940647361871615E-2</v>
          </cell>
          <cell r="Z247">
            <v>5.187886251132031E-2</v>
          </cell>
          <cell r="AA247">
            <v>5.2830299298724931E-2</v>
          </cell>
          <cell r="AB247">
            <v>5.3795004628665898E-2</v>
          </cell>
          <cell r="AC247">
            <v>5.4773020546239615E-2</v>
          </cell>
          <cell r="AD247">
            <v>5.5764384084423503E-2</v>
          </cell>
          <cell r="AE247">
            <v>5.6769127112756085E-2</v>
          </cell>
          <cell r="AF247">
            <v>5.7787276187621438E-2</v>
          </cell>
          <cell r="AG247">
            <v>5.881885240443499E-2</v>
          </cell>
          <cell r="AH247">
            <v>5.9863871252034927E-2</v>
          </cell>
          <cell r="AI247">
            <v>6.0922342469589469E-2</v>
          </cell>
          <cell r="AJ247">
            <v>6.199426990633685E-2</v>
          </cell>
        </row>
        <row r="248">
          <cell r="I248" t="str">
            <v>USD / USD</v>
          </cell>
          <cell r="N248">
            <v>3.4641213598844522E-3</v>
          </cell>
          <cell r="O248">
            <v>6.8220895833453936E-3</v>
          </cell>
          <cell r="P248">
            <v>1.4882062146892654E-2</v>
          </cell>
          <cell r="Q248">
            <v>2.4839118050427256E-2</v>
          </cell>
          <cell r="R248">
            <v>3.1513911565689244E-2</v>
          </cell>
          <cell r="S248">
            <v>3.8913139201705117E-2</v>
          </cell>
          <cell r="T248">
            <v>4.3345318860022818E-2</v>
          </cell>
          <cell r="U248">
            <v>4.6108221362001579E-2</v>
          </cell>
          <cell r="V248">
            <v>4.831123821790604E-2</v>
          </cell>
          <cell r="W248">
            <v>4.9357370362739357E-2</v>
          </cell>
          <cell r="X248">
            <v>5.0092778301318308E-2</v>
          </cell>
          <cell r="Y248">
            <v>5.0940647361871615E-2</v>
          </cell>
          <cell r="Z248">
            <v>5.187886251132031E-2</v>
          </cell>
          <cell r="AA248">
            <v>5.2830299298724931E-2</v>
          </cell>
          <cell r="AB248">
            <v>5.3795004628665898E-2</v>
          </cell>
          <cell r="AC248">
            <v>5.4773020546239615E-2</v>
          </cell>
          <cell r="AD248">
            <v>5.5764384084423503E-2</v>
          </cell>
          <cell r="AE248">
            <v>5.6769127112756085E-2</v>
          </cell>
          <cell r="AF248">
            <v>5.7787276187621438E-2</v>
          </cell>
          <cell r="AG248">
            <v>5.881885240443499E-2</v>
          </cell>
          <cell r="AH248">
            <v>5.9863871252034927E-2</v>
          </cell>
          <cell r="AI248">
            <v>6.0922342469589469E-2</v>
          </cell>
          <cell r="AJ248">
            <v>6.199426990633685E-2</v>
          </cell>
        </row>
        <row r="250">
          <cell r="I250" t="str">
            <v>Weighted Exchange rates</v>
          </cell>
        </row>
        <row r="251">
          <cell r="I251" t="str">
            <v xml:space="preserve">EUR / USD </v>
          </cell>
          <cell r="N251">
            <v>7.9560524528611551E-2</v>
          </cell>
          <cell r="O251">
            <v>6.1516643163467138E-2</v>
          </cell>
          <cell r="P251">
            <v>-4.1363730990592484E-2</v>
          </cell>
          <cell r="Q251">
            <v>-3.565363774701482E-2</v>
          </cell>
          <cell r="R251">
            <v>3.4533037336174952E-2</v>
          </cell>
          <cell r="S251">
            <v>-4.3733761795065509E-2</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row>
        <row r="252">
          <cell r="I252" t="str">
            <v>GBP / USD</v>
          </cell>
          <cell r="N252">
            <v>8.3477571486864077E-3</v>
          </cell>
          <cell r="O252">
            <v>-6.8320231003917665E-3</v>
          </cell>
          <cell r="P252">
            <v>-1.3743995768595094E-2</v>
          </cell>
          <cell r="Q252">
            <v>-1.0367912528542523E-3</v>
          </cell>
          <cell r="R252">
            <v>2.9498839512811332E-3</v>
          </cell>
          <cell r="S252">
            <v>-1.9970452802016421E-3</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row>
        <row r="253">
          <cell r="I253" t="str">
            <v>YEN / USD</v>
          </cell>
          <cell r="N253">
            <v>-7.3859622854320148E-5</v>
          </cell>
          <cell r="O253">
            <v>2.2353165936819853E-3</v>
          </cell>
          <cell r="P253">
            <v>2.5419307387830742E-3</v>
          </cell>
          <cell r="Q253">
            <v>2.1245322501716409E-3</v>
          </cell>
          <cell r="R253">
            <v>4.2321581635997862E-3</v>
          </cell>
          <cell r="S253">
            <v>1.5726304896031391E-3</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row>
        <row r="254">
          <cell r="I254" t="str">
            <v xml:space="preserve">AUD / USD </v>
          </cell>
          <cell r="N254">
            <v>7.1935664011514306E-4</v>
          </cell>
          <cell r="O254">
            <v>2.6247530863002217E-4</v>
          </cell>
          <cell r="P254">
            <v>-1.7500376044754212E-3</v>
          </cell>
          <cell r="Q254">
            <v>5.2327429000853989E-3</v>
          </cell>
          <cell r="R254">
            <v>4.9584600213660171E-3</v>
          </cell>
          <cell r="S254">
            <v>1.4387993152046047E-5</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row>
        <row r="255">
          <cell r="I255" t="str">
            <v xml:space="preserve">CNY / USD </v>
          </cell>
          <cell r="N255">
            <v>3.0416253306328396E-4</v>
          </cell>
          <cell r="O255">
            <v>1.495318411869012E-3</v>
          </cell>
          <cell r="P255">
            <v>4.2896186788788732E-4</v>
          </cell>
          <cell r="Q255">
            <v>2.8876532733913683E-4</v>
          </cell>
          <cell r="R255">
            <v>1.9080577483348267E-3</v>
          </cell>
          <cell r="S255">
            <v>1.1863435829336368E-3</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row>
        <row r="256">
          <cell r="I256" t="str">
            <v xml:space="preserve">BRL / USD </v>
          </cell>
          <cell r="N256">
            <v>4.180185653182283E-4</v>
          </cell>
          <cell r="O256">
            <v>5.2773404357074269E-4</v>
          </cell>
          <cell r="P256">
            <v>-1.342419461202658E-3</v>
          </cell>
          <cell r="Q256">
            <v>3.0537880609289932E-3</v>
          </cell>
          <cell r="R256">
            <v>1.8030208983371551E-3</v>
          </cell>
          <cell r="S256">
            <v>-3.4317917986471159E-3</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row>
        <row r="257">
          <cell r="I257" t="str">
            <v>CAD / USD</v>
          </cell>
          <cell r="N257">
            <v>2.1019677073133499E-4</v>
          </cell>
          <cell r="O257">
            <v>6.054677453140181E-5</v>
          </cell>
          <cell r="P257">
            <v>-1.0047560771140034E-3</v>
          </cell>
          <cell r="Q257">
            <v>2.5607047137687542E-3</v>
          </cell>
          <cell r="R257">
            <v>1.3313450532645634E-3</v>
          </cell>
          <cell r="S257">
            <v>-9.3483863826143297E-4</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row>
        <row r="258">
          <cell r="I258" t="str">
            <v>USD / USD</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row>
        <row r="260">
          <cell r="I260" t="str">
            <v xml:space="preserve">Weighted F/X favorable / (unfavorable) </v>
          </cell>
          <cell r="N260">
            <v>8.9486156563671634E-2</v>
          </cell>
          <cell r="O260">
            <v>5.9266011195358535E-2</v>
          </cell>
          <cell r="P260">
            <v>-5.6234047295308703E-2</v>
          </cell>
          <cell r="Q260">
            <v>-2.342989574757515E-2</v>
          </cell>
          <cell r="R260">
            <v>5.1715963172358437E-2</v>
          </cell>
          <cell r="S260">
            <v>-4.7324075446486875E-2</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row>
        <row r="261">
          <cell r="I261" t="str">
            <v xml:space="preserve">Actual </v>
          </cell>
        </row>
        <row r="262">
          <cell r="I262" t="str">
            <v>Difference</v>
          </cell>
        </row>
        <row r="264">
          <cell r="I264" t="str">
            <v>Revenue by Geography</v>
          </cell>
        </row>
        <row r="265">
          <cell r="I265" t="str">
            <v>US</v>
          </cell>
          <cell r="M265">
            <v>940.40299999999991</v>
          </cell>
          <cell r="N265">
            <v>1018.3179999999999</v>
          </cell>
          <cell r="O265">
            <v>1265.0059999999999</v>
          </cell>
          <cell r="P265">
            <v>1486.212</v>
          </cell>
          <cell r="Q265">
            <v>1640.6060000000002</v>
          </cell>
          <cell r="R265">
            <v>1794.9814725000001</v>
          </cell>
          <cell r="S265">
            <v>1958.932557956</v>
          </cell>
          <cell r="T265">
            <v>2109.2303651377501</v>
          </cell>
          <cell r="U265">
            <v>2256.9269370723368</v>
          </cell>
          <cell r="V265">
            <v>2376.4382518715574</v>
          </cell>
          <cell r="W265">
            <v>2494.1441868350289</v>
          </cell>
          <cell r="X265">
            <v>2593.9399999318916</v>
          </cell>
          <cell r="Y265">
            <v>2697.7511664056842</v>
          </cell>
          <cell r="Z265">
            <v>2805.7393588298723</v>
          </cell>
          <cell r="AA265">
            <v>2918.0727643105861</v>
          </cell>
          <cell r="AB265">
            <v>3034.9263472112671</v>
          </cell>
          <cell r="AC265">
            <v>3156.4821224827469</v>
          </cell>
          <cell r="AD265">
            <v>3282.929440027322</v>
          </cell>
          <cell r="AE265">
            <v>3414.4652805427168</v>
          </cell>
          <cell r="AF265">
            <v>3551.2945633098707</v>
          </cell>
          <cell r="AG265">
            <v>3693.6304664072568</v>
          </cell>
          <cell r="AH265">
            <v>3841.6947598539623</v>
          </cell>
          <cell r="AI265">
            <v>3995.7181522041046</v>
          </cell>
          <cell r="AJ265">
            <v>4155.9406511362722</v>
          </cell>
        </row>
        <row r="266">
          <cell r="I266" t="str">
            <v>y/y Growth - %</v>
          </cell>
          <cell r="M266" t="str">
            <v>NA</v>
          </cell>
          <cell r="N266">
            <v>8.2852776947755391E-2</v>
          </cell>
          <cell r="O266">
            <v>0.24225045614434793</v>
          </cell>
          <cell r="P266">
            <v>0.17486557376012457</v>
          </cell>
          <cell r="Q266">
            <v>0.10388423724206253</v>
          </cell>
          <cell r="R266">
            <v>9.4096615823665131E-2</v>
          </cell>
          <cell r="S266">
            <v>9.1338594836666065E-2</v>
          </cell>
          <cell r="T266">
            <v>7.6724339779504547E-2</v>
          </cell>
          <cell r="U266">
            <v>7.0023916958421362E-2</v>
          </cell>
          <cell r="V266">
            <v>5.2953116397400635E-2</v>
          </cell>
          <cell r="W266">
            <v>4.9530399062871711E-2</v>
          </cell>
          <cell r="X266">
            <v>4.0012046466126661E-2</v>
          </cell>
          <cell r="Y266">
            <v>4.002065062280491E-2</v>
          </cell>
          <cell r="Z266">
            <v>4.0028967003678417E-2</v>
          </cell>
          <cell r="AA266">
            <v>4.0037006690301524E-2</v>
          </cell>
          <cell r="AB266">
            <v>4.0044780352928688E-2</v>
          </cell>
          <cell r="AC266">
            <v>4.0052298265219832E-2</v>
          </cell>
          <cell r="AD266">
            <v>4.0059570318464965E-2</v>
          </cell>
          <cell r="AE266">
            <v>4.0066606035340291E-2</v>
          </cell>
          <cell r="AF266">
            <v>4.0073414583206901E-2</v>
          </cell>
          <cell r="AG266">
            <v>4.008000478696605E-2</v>
          </cell>
          <cell r="AH266">
            <v>4.0086385141479886E-2</v>
          </cell>
          <cell r="AI266">
            <v>4.0092563823576066E-2</v>
          </cell>
          <cell r="AJ266">
            <v>4.009854870363827E-2</v>
          </cell>
        </row>
        <row r="267">
          <cell r="I267" t="str">
            <v>% of total revenue</v>
          </cell>
          <cell r="M267">
            <v>0.83732569497187692</v>
          </cell>
          <cell r="N267">
            <v>0.73217200237558044</v>
          </cell>
          <cell r="O267">
            <v>0.67115979045058205</v>
          </cell>
          <cell r="P267">
            <v>0.6356190114497744</v>
          </cell>
          <cell r="Q267">
            <v>0.53181717692532615</v>
          </cell>
          <cell r="R267">
            <v>0.41446590515897908</v>
          </cell>
          <cell r="S267">
            <v>0.36287187404264387</v>
          </cell>
          <cell r="T267">
            <v>0.33070770813082589</v>
          </cell>
          <cell r="U267">
            <v>0.31592121838088433</v>
          </cell>
          <cell r="V267">
            <v>0.30741072145509596</v>
          </cell>
          <cell r="W267">
            <v>0.3020016027404997</v>
          </cell>
          <cell r="X267">
            <v>0.29719329915485809</v>
          </cell>
          <cell r="Y267">
            <v>0.29478001988580987</v>
          </cell>
          <cell r="Z267">
            <v>0.29267557766060154</v>
          </cell>
          <cell r="AA267">
            <v>0.29056612377144381</v>
          </cell>
          <cell r="AB267">
            <v>0.28845165589137667</v>
          </cell>
          <cell r="AC267">
            <v>0.2863321795008022</v>
          </cell>
          <cell r="AD267">
            <v>0.28420770791119337</v>
          </cell>
          <cell r="AE267">
            <v>0.28207826229003141</v>
          </cell>
          <cell r="AF267">
            <v>0.27994387168656326</v>
          </cell>
          <cell r="AG267">
            <v>0.2778045730579638</v>
          </cell>
          <cell r="AH267">
            <v>0.27566041129548258</v>
          </cell>
          <cell r="AI267">
            <v>0.27351143925015092</v>
          </cell>
          <cell r="AJ267">
            <v>0.27135771775762096</v>
          </cell>
        </row>
        <row r="268">
          <cell r="I268" t="str">
            <v>International</v>
          </cell>
          <cell r="M268">
            <v>182.7</v>
          </cell>
          <cell r="N268">
            <v>372.5</v>
          </cell>
          <cell r="O268">
            <v>619.79999999999995</v>
          </cell>
          <cell r="P268">
            <v>851.99999999999989</v>
          </cell>
          <cell r="Q268">
            <v>1444.3000000000002</v>
          </cell>
          <cell r="R268">
            <v>2535.8487602340742</v>
          </cell>
          <cell r="S268">
            <v>3439.4813122955989</v>
          </cell>
          <cell r="T268">
            <v>4268.6988856172766</v>
          </cell>
          <cell r="U268">
            <v>4887.0279661127861</v>
          </cell>
          <cell r="V268">
            <v>5354.0606735495849</v>
          </cell>
          <cell r="W268">
            <v>5764.567569003455</v>
          </cell>
          <cell r="X268">
            <v>6134.1841109023544</v>
          </cell>
          <cell r="Y268">
            <v>6453.9924539751064</v>
          </cell>
          <cell r="Z268">
            <v>6780.7774980139911</v>
          </cell>
          <cell r="AA268">
            <v>7124.6422171712557</v>
          </cell>
          <cell r="AB268">
            <v>7486.512116481038</v>
          </cell>
          <cell r="AC268">
            <v>7867.3648233471877</v>
          </cell>
          <cell r="AD268">
            <v>8268.2331380584965</v>
          </cell>
          <cell r="AE268">
            <v>8690.2082693530974</v>
          </cell>
          <cell r="AF268">
            <v>9134.443266615006</v>
          </cell>
          <cell r="AG268">
            <v>9602.1566610299233</v>
          </cell>
          <cell r="AH268">
            <v>10094.636328820279</v>
          </cell>
          <cell r="AI268">
            <v>10613.24359052454</v>
          </cell>
          <cell r="AJ268">
            <v>11159.41756118623</v>
          </cell>
        </row>
        <row r="269">
          <cell r="I269" t="str">
            <v>y/y Growth - %</v>
          </cell>
          <cell r="M269" t="str">
            <v>NA</v>
          </cell>
          <cell r="N269">
            <v>1.0388615216201424</v>
          </cell>
          <cell r="O269">
            <v>0.66389261744966421</v>
          </cell>
          <cell r="P269">
            <v>0.37463697967086151</v>
          </cell>
          <cell r="Q269">
            <v>0.69518779342723058</v>
          </cell>
          <cell r="R269">
            <v>0.75576317955692995</v>
          </cell>
          <cell r="S269">
            <v>0.35634323553984903</v>
          </cell>
          <cell r="T269">
            <v>0.24108797171171026</v>
          </cell>
          <cell r="U269">
            <v>0.14485188509755842</v>
          </cell>
          <cell r="V269">
            <v>9.5565793908947816E-2</v>
          </cell>
          <cell r="W269">
            <v>7.6672066396609617E-2</v>
          </cell>
          <cell r="X269">
            <v>6.4118693635643709E-2</v>
          </cell>
          <cell r="Y269">
            <v>5.2135432730874953E-2</v>
          </cell>
          <cell r="Z269">
            <v>5.0633006835577143E-2</v>
          </cell>
          <cell r="AA269">
            <v>5.0711694825258391E-2</v>
          </cell>
          <cell r="AB269">
            <v>5.0791308290208947E-2</v>
          </cell>
          <cell r="AC269">
            <v>5.0871848056951441E-2</v>
          </cell>
          <cell r="AD269">
            <v>5.0953314573857433E-2</v>
          </cell>
          <cell r="AE269">
            <v>5.1035707901396554E-2</v>
          </cell>
          <cell r="AF269">
            <v>5.111902770254062E-2</v>
          </cell>
          <cell r="AG269">
            <v>5.1203273233338509E-2</v>
          </cell>
          <cell r="AH269">
            <v>5.1288443333680434E-2</v>
          </cell>
          <cell r="AI269">
            <v>5.137453641827916E-2</v>
          </cell>
          <cell r="AJ269">
            <v>5.146155046788059E-2</v>
          </cell>
        </row>
        <row r="270">
          <cell r="I270" t="str">
            <v>(+/-) FX y/y Growth - %</v>
          </cell>
          <cell r="M270" t="str">
            <v>NA</v>
          </cell>
          <cell r="N270" t="str">
            <v>NA</v>
          </cell>
          <cell r="O270" t="str">
            <v>NA</v>
          </cell>
          <cell r="P270" t="str">
            <v>NA</v>
          </cell>
          <cell r="Q270">
            <v>7.4812206572769435E-2</v>
          </cell>
          <cell r="R270">
            <v>-8.4024519161382649E-2</v>
          </cell>
          <cell r="S270">
            <v>4.9963834690652353E-2</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row>
        <row r="271">
          <cell r="I271" t="str">
            <v>y/y Growth - % (excl F/X)</v>
          </cell>
          <cell r="M271" t="str">
            <v>NA</v>
          </cell>
          <cell r="N271" t="str">
            <v>NA</v>
          </cell>
          <cell r="O271" t="str">
            <v>NA</v>
          </cell>
          <cell r="P271" t="str">
            <v>NA</v>
          </cell>
          <cell r="Q271">
            <v>0.77</v>
          </cell>
          <cell r="R271">
            <v>0.6717386603955473</v>
          </cell>
          <cell r="S271">
            <v>0.40630707023050139</v>
          </cell>
          <cell r="T271">
            <v>0.24108797171171026</v>
          </cell>
          <cell r="U271">
            <v>0.14485188509755842</v>
          </cell>
          <cell r="V271">
            <v>9.5565793908947816E-2</v>
          </cell>
          <cell r="W271">
            <v>7.6672066396609617E-2</v>
          </cell>
          <cell r="X271">
            <v>6.4118693635643709E-2</v>
          </cell>
          <cell r="Y271">
            <v>5.2135432730874953E-2</v>
          </cell>
          <cell r="Z271">
            <v>5.0633006835577143E-2</v>
          </cell>
          <cell r="AA271">
            <v>5.0711694825258391E-2</v>
          </cell>
          <cell r="AB271">
            <v>5.0791308290208947E-2</v>
          </cell>
          <cell r="AC271">
            <v>5.0871848056951441E-2</v>
          </cell>
          <cell r="AD271">
            <v>5.0953314573857433E-2</v>
          </cell>
          <cell r="AE271">
            <v>5.1035707901396554E-2</v>
          </cell>
          <cell r="AF271">
            <v>5.111902770254062E-2</v>
          </cell>
          <cell r="AG271">
            <v>5.1203273233338509E-2</v>
          </cell>
          <cell r="AH271">
            <v>5.1288443333680434E-2</v>
          </cell>
          <cell r="AI271">
            <v>5.137453641827916E-2</v>
          </cell>
          <cell r="AJ271">
            <v>5.146155046788059E-2</v>
          </cell>
        </row>
        <row r="272">
          <cell r="I272" t="str">
            <v>% of total revenue</v>
          </cell>
          <cell r="M272">
            <v>0.16267430502812297</v>
          </cell>
          <cell r="N272">
            <v>0.26782799762441961</v>
          </cell>
          <cell r="O272">
            <v>0.32884020954941778</v>
          </cell>
          <cell r="P272">
            <v>0.36438098855022549</v>
          </cell>
          <cell r="Q272">
            <v>0.46818282307467396</v>
          </cell>
          <cell r="R272">
            <v>0.58553409484102092</v>
          </cell>
          <cell r="S272">
            <v>0.63712812595735602</v>
          </cell>
          <cell r="T272">
            <v>0.66929229186917416</v>
          </cell>
          <cell r="U272">
            <v>0.68407878161911551</v>
          </cell>
          <cell r="V272">
            <v>0.69258927854490404</v>
          </cell>
          <cell r="W272">
            <v>0.69799839725950019</v>
          </cell>
          <cell r="X272">
            <v>0.70280670084514196</v>
          </cell>
          <cell r="Y272">
            <v>0.70521998011418974</v>
          </cell>
          <cell r="Z272">
            <v>0.7073244223393983</v>
          </cell>
          <cell r="AA272">
            <v>0.70943387622855614</v>
          </cell>
          <cell r="AB272">
            <v>0.71154834410862344</v>
          </cell>
          <cell r="AC272">
            <v>0.71366782049919775</v>
          </cell>
          <cell r="AD272">
            <v>0.71579229208880657</v>
          </cell>
          <cell r="AE272">
            <v>0.7179217377099687</v>
          </cell>
          <cell r="AF272">
            <v>0.72005612831343679</v>
          </cell>
          <cell r="AG272">
            <v>0.7221954269420362</v>
          </cell>
          <cell r="AH272">
            <v>0.72433958870451731</v>
          </cell>
          <cell r="AI272">
            <v>0.72648856074984913</v>
          </cell>
          <cell r="AJ272">
            <v>0.72864228224237892</v>
          </cell>
        </row>
        <row r="274">
          <cell r="I274" t="str">
            <v>Gross Profit by Geography</v>
          </cell>
        </row>
        <row r="275">
          <cell r="I275" t="str">
            <v>US</v>
          </cell>
          <cell r="M275">
            <v>218.399</v>
          </cell>
          <cell r="N275">
            <v>248.31999999999994</v>
          </cell>
          <cell r="O275">
            <v>336.17100000000005</v>
          </cell>
          <cell r="P275">
            <v>408.76300000000003</v>
          </cell>
          <cell r="Q275">
            <v>464.67199999999991</v>
          </cell>
          <cell r="R275">
            <v>510.44530250000025</v>
          </cell>
          <cell r="S275">
            <v>544.15641128599998</v>
          </cell>
          <cell r="T275">
            <v>582.98927010500006</v>
          </cell>
          <cell r="U275">
            <v>617.88413053969714</v>
          </cell>
          <cell r="V275">
            <v>647.24809097962236</v>
          </cell>
          <cell r="W275">
            <v>678.49451789849672</v>
          </cell>
          <cell r="X275">
            <v>705.66434423789815</v>
          </cell>
          <cell r="Y275">
            <v>733.94448448393155</v>
          </cell>
          <cell r="Z275">
            <v>763.38040963124945</v>
          </cell>
          <cell r="AA275">
            <v>794.01945714401825</v>
          </cell>
          <cell r="AB275">
            <v>825.91090775803627</v>
          </cell>
          <cell r="AC275">
            <v>859.1060654513866</v>
          </cell>
          <cell r="AD275">
            <v>893.65834071470715</v>
          </cell>
          <cell r="AE275">
            <v>929.62333725759743</v>
          </cell>
          <cell r="AF275">
            <v>967.05894229334706</v>
          </cell>
          <cell r="AG275">
            <v>1006.0254205500717</v>
          </cell>
          <cell r="AH275">
            <v>1046.5855121624897</v>
          </cell>
          <cell r="AI275">
            <v>1088.8045346049732</v>
          </cell>
          <cell r="AJ275">
            <v>1132.7504888331757</v>
          </cell>
        </row>
        <row r="276">
          <cell r="I276" t="str">
            <v>y/y Growth - %</v>
          </cell>
          <cell r="M276" t="str">
            <v>NA</v>
          </cell>
          <cell r="N276">
            <v>0.1370015430473579</v>
          </cell>
          <cell r="O276">
            <v>0.35378141108247485</v>
          </cell>
          <cell r="P276">
            <v>0.21593772217115692</v>
          </cell>
          <cell r="Q276">
            <v>0.13677607806968806</v>
          </cell>
          <cell r="R276">
            <v>9.8506693969079961E-2</v>
          </cell>
          <cell r="S276">
            <v>6.6042548772401899E-2</v>
          </cell>
          <cell r="T276">
            <v>7.1363413190752789E-2</v>
          </cell>
          <cell r="U276">
            <v>5.9855064619649401E-2</v>
          </cell>
          <cell r="V276">
            <v>4.7523409306979625E-2</v>
          </cell>
          <cell r="W276">
            <v>4.8275811631336429E-2</v>
          </cell>
          <cell r="X276">
            <v>4.0044282779991613E-2</v>
          </cell>
          <cell r="Y276">
            <v>4.007590928598681E-2</v>
          </cell>
          <cell r="Z276">
            <v>4.0106473676977838E-2</v>
          </cell>
          <cell r="AA276">
            <v>4.0136014922846908E-2</v>
          </cell>
          <cell r="AB276">
            <v>4.016457068788637E-2</v>
          </cell>
          <cell r="AC276">
            <v>4.0192177366272785E-2</v>
          </cell>
          <cell r="AD276">
            <v>4.0218870117237904E-2</v>
          </cell>
          <cell r="AE276">
            <v>4.0244682899873263E-2</v>
          </cell>
          <cell r="AF276">
            <v>4.0269648507518241E-2</v>
          </cell>
          <cell r="AG276">
            <v>4.0293798601682917E-2</v>
          </cell>
          <cell r="AH276">
            <v>4.0317163745465567E-2</v>
          </cell>
          <cell r="AI276">
            <v>4.0339773436428583E-2</v>
          </cell>
          <cell r="AJ276">
            <v>4.0361656138901303E-2</v>
          </cell>
        </row>
        <row r="277">
          <cell r="I277" t="str">
            <v>% of total gross profit</v>
          </cell>
          <cell r="M277">
            <v>0.54450148217771677</v>
          </cell>
          <cell r="N277">
            <v>0.39998711381720942</v>
          </cell>
          <cell r="O277">
            <v>0.35165397276695642</v>
          </cell>
          <cell r="P277">
            <v>0.32421874690167785</v>
          </cell>
          <cell r="Q277">
            <v>0.24341478031107838</v>
          </cell>
          <cell r="R277">
            <v>0.16756271456008792</v>
          </cell>
          <cell r="S277">
            <v>0.13659786583122352</v>
          </cell>
          <cell r="T277">
            <v>0.12016214797676127</v>
          </cell>
          <cell r="U277">
            <v>0.11224232461685087</v>
          </cell>
          <cell r="V277">
            <v>0.10785115653525253</v>
          </cell>
          <cell r="W277">
            <v>0.10530622066762366</v>
          </cell>
          <cell r="X277">
            <v>0.10316958758166353</v>
          </cell>
          <cell r="Y277">
            <v>0.10210780795209309</v>
          </cell>
          <cell r="Z277">
            <v>0.10118828621782168</v>
          </cell>
          <cell r="AA277">
            <v>0.10027192596439309</v>
          </cell>
          <cell r="AB277">
            <v>9.9358623273824637E-2</v>
          </cell>
          <cell r="AC277">
            <v>9.8448281831106266E-2</v>
          </cell>
          <cell r="AD277">
            <v>9.7540812700650958E-2</v>
          </cell>
          <cell r="AE277">
            <v>9.6636134110576893E-2</v>
          </cell>
          <cell r="AF277">
            <v>9.5734171244402963E-2</v>
          </cell>
          <cell r="AG277">
            <v>9.4834856039747853E-2</v>
          </cell>
          <cell r="AH277">
            <v>9.393812699363413E-2</v>
          </cell>
          <cell r="AI277">
            <v>9.3043928974007942E-2</v>
          </cell>
          <cell r="AJ277">
            <v>9.2152213037096198E-2</v>
          </cell>
        </row>
        <row r="278">
          <cell r="I278" t="str">
            <v>International</v>
          </cell>
          <cell r="M278">
            <v>182.7</v>
          </cell>
          <cell r="N278">
            <v>372.5</v>
          </cell>
          <cell r="O278">
            <v>619.79999999999995</v>
          </cell>
          <cell r="P278">
            <v>851.99999999999989</v>
          </cell>
          <cell r="Q278">
            <v>1444.3000000000002</v>
          </cell>
          <cell r="R278">
            <v>2535.8487602340742</v>
          </cell>
          <cell r="S278">
            <v>3439.4813122955989</v>
          </cell>
          <cell r="T278">
            <v>4268.6988856172766</v>
          </cell>
          <cell r="U278">
            <v>4887.0279661127861</v>
          </cell>
          <cell r="V278">
            <v>5354.0606735495849</v>
          </cell>
          <cell r="W278">
            <v>5764.567569003455</v>
          </cell>
          <cell r="X278">
            <v>6134.1841109023544</v>
          </cell>
          <cell r="Y278">
            <v>6453.9924539751064</v>
          </cell>
          <cell r="Z278">
            <v>6780.7774980139911</v>
          </cell>
          <cell r="AA278">
            <v>7124.6422171712557</v>
          </cell>
          <cell r="AB278">
            <v>7486.512116481038</v>
          </cell>
          <cell r="AC278">
            <v>7867.3648233471877</v>
          </cell>
          <cell r="AD278">
            <v>8268.2331380584965</v>
          </cell>
          <cell r="AE278">
            <v>8690.2082693530974</v>
          </cell>
          <cell r="AF278">
            <v>9134.443266615006</v>
          </cell>
          <cell r="AG278">
            <v>9602.1566610299233</v>
          </cell>
          <cell r="AH278">
            <v>10094.636328820279</v>
          </cell>
          <cell r="AI278">
            <v>10613.24359052454</v>
          </cell>
          <cell r="AJ278">
            <v>11159.41756118623</v>
          </cell>
        </row>
        <row r="279">
          <cell r="I279" t="str">
            <v>y/y Growth - %</v>
          </cell>
          <cell r="M279" t="str">
            <v>NA</v>
          </cell>
          <cell r="N279">
            <v>1.0388615216201424</v>
          </cell>
          <cell r="O279">
            <v>0.66389261744966421</v>
          </cell>
          <cell r="P279">
            <v>0.37463697967086151</v>
          </cell>
          <cell r="Q279">
            <v>0.69518779342723058</v>
          </cell>
          <cell r="R279">
            <v>0.75576317955692995</v>
          </cell>
          <cell r="S279">
            <v>0.35634323553984903</v>
          </cell>
          <cell r="T279">
            <v>0.24108797171171026</v>
          </cell>
          <cell r="U279">
            <v>0.14485188509755842</v>
          </cell>
          <cell r="V279">
            <v>9.5565793908947816E-2</v>
          </cell>
          <cell r="W279">
            <v>7.6672066396609617E-2</v>
          </cell>
          <cell r="X279">
            <v>6.4118693635643709E-2</v>
          </cell>
          <cell r="Y279">
            <v>5.2135432730874953E-2</v>
          </cell>
          <cell r="Z279">
            <v>5.0633006835577143E-2</v>
          </cell>
          <cell r="AA279">
            <v>5.0711694825258391E-2</v>
          </cell>
          <cell r="AB279">
            <v>5.0791308290208947E-2</v>
          </cell>
          <cell r="AC279">
            <v>5.0871848056951441E-2</v>
          </cell>
          <cell r="AD279">
            <v>5.0953314573857433E-2</v>
          </cell>
          <cell r="AE279">
            <v>5.1035707901396554E-2</v>
          </cell>
          <cell r="AF279">
            <v>5.111902770254062E-2</v>
          </cell>
          <cell r="AG279">
            <v>5.1203273233338509E-2</v>
          </cell>
          <cell r="AH279">
            <v>5.1288443333680434E-2</v>
          </cell>
          <cell r="AI279">
            <v>5.137453641827916E-2</v>
          </cell>
          <cell r="AJ279">
            <v>5.146155046788059E-2</v>
          </cell>
        </row>
        <row r="280">
          <cell r="I280" t="str">
            <v>(+/-) FX y/y Growth - %</v>
          </cell>
          <cell r="M280" t="str">
            <v>NA</v>
          </cell>
          <cell r="N280" t="str">
            <v>NA</v>
          </cell>
          <cell r="O280" t="str">
            <v>NA</v>
          </cell>
          <cell r="P280" t="str">
            <v>NA</v>
          </cell>
          <cell r="Q280">
            <v>7.4812206572769435E-2</v>
          </cell>
          <cell r="R280">
            <v>-8.4024519161382649E-2</v>
          </cell>
          <cell r="S280">
            <v>4.9963834690652353E-2</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row>
        <row r="281">
          <cell r="I281" t="str">
            <v>y/y Growth - % (excl F/X)</v>
          </cell>
          <cell r="M281" t="str">
            <v>NA</v>
          </cell>
          <cell r="N281" t="str">
            <v>NA</v>
          </cell>
          <cell r="O281" t="str">
            <v>NA</v>
          </cell>
          <cell r="P281" t="str">
            <v>NA</v>
          </cell>
          <cell r="Q281">
            <v>0.77</v>
          </cell>
          <cell r="R281">
            <v>0.6717386603955473</v>
          </cell>
          <cell r="S281">
            <v>0.40630707023050139</v>
          </cell>
          <cell r="T281">
            <v>0.24108797171171026</v>
          </cell>
          <cell r="U281">
            <v>0.14485188509755842</v>
          </cell>
          <cell r="V281">
            <v>9.5565793908947816E-2</v>
          </cell>
          <cell r="W281">
            <v>7.6672066396609617E-2</v>
          </cell>
          <cell r="X281">
            <v>6.4118693635643709E-2</v>
          </cell>
          <cell r="Y281">
            <v>5.2135432730874953E-2</v>
          </cell>
          <cell r="Z281">
            <v>5.0633006835577143E-2</v>
          </cell>
          <cell r="AA281">
            <v>5.0711694825258391E-2</v>
          </cell>
          <cell r="AB281">
            <v>5.0791308290208947E-2</v>
          </cell>
          <cell r="AC281">
            <v>5.0871848056951441E-2</v>
          </cell>
          <cell r="AD281">
            <v>5.0953314573857433E-2</v>
          </cell>
          <cell r="AE281">
            <v>5.1035707901396554E-2</v>
          </cell>
          <cell r="AF281">
            <v>5.111902770254062E-2</v>
          </cell>
          <cell r="AG281">
            <v>5.1203273233338509E-2</v>
          </cell>
          <cell r="AH281">
            <v>5.1288443333680434E-2</v>
          </cell>
          <cell r="AI281">
            <v>5.137453641827916E-2</v>
          </cell>
          <cell r="AJ281">
            <v>5.146155046788059E-2</v>
          </cell>
        </row>
        <row r="282">
          <cell r="I282" t="str">
            <v>% of total gross profit</v>
          </cell>
          <cell r="M282">
            <v>0.45549851782228334</v>
          </cell>
          <cell r="N282">
            <v>0.60001288618279058</v>
          </cell>
          <cell r="O282">
            <v>0.64834602723304369</v>
          </cell>
          <cell r="P282">
            <v>0.67578125309832215</v>
          </cell>
          <cell r="Q282">
            <v>0.75658521968892167</v>
          </cell>
          <cell r="R282">
            <v>0.83243728543991213</v>
          </cell>
          <cell r="S282">
            <v>0.86340213416877643</v>
          </cell>
          <cell r="T282">
            <v>0.87983785202323883</v>
          </cell>
          <cell r="U282">
            <v>0.88775767538314909</v>
          </cell>
          <cell r="V282">
            <v>0.89214884346474765</v>
          </cell>
          <cell r="W282">
            <v>0.89469377933237626</v>
          </cell>
          <cell r="X282">
            <v>0.89683041241833661</v>
          </cell>
          <cell r="Y282">
            <v>0.89789219204790671</v>
          </cell>
          <cell r="Z282">
            <v>0.89881171378217817</v>
          </cell>
          <cell r="AA282">
            <v>0.89972807403560684</v>
          </cell>
          <cell r="AB282">
            <v>0.90064137672617528</v>
          </cell>
          <cell r="AC282">
            <v>0.90155171816889357</v>
          </cell>
          <cell r="AD282">
            <v>0.90245918729934893</v>
          </cell>
          <cell r="AE282">
            <v>0.90336386588942319</v>
          </cell>
          <cell r="AF282">
            <v>0.90426582875559713</v>
          </cell>
          <cell r="AG282">
            <v>0.90516514396025205</v>
          </cell>
          <cell r="AH282">
            <v>0.90606187300636565</v>
          </cell>
          <cell r="AI282">
            <v>0.90695607102599207</v>
          </cell>
          <cell r="AJ282">
            <v>0.90784778696290369</v>
          </cell>
        </row>
        <row r="284">
          <cell r="I284" t="str">
            <v>Market Share Forecast - Gross Bookings</v>
          </cell>
        </row>
        <row r="285">
          <cell r="I285" t="str">
            <v>Booking.com Europe</v>
          </cell>
          <cell r="M285">
            <v>1323.9290000000003</v>
          </cell>
          <cell r="N285">
            <v>2596.2659999999996</v>
          </cell>
          <cell r="O285">
            <v>4024.8225000000002</v>
          </cell>
          <cell r="P285">
            <v>4992.1568750000006</v>
          </cell>
          <cell r="Q285">
            <v>7664.4586250000011</v>
          </cell>
          <cell r="R285">
            <v>12567.324086258932</v>
          </cell>
          <cell r="S285">
            <v>15948.969148794769</v>
          </cell>
          <cell r="T285">
            <v>19298.252670041671</v>
          </cell>
          <cell r="U285">
            <v>21614.042990446673</v>
          </cell>
          <cell r="V285">
            <v>23451.236644634639</v>
          </cell>
        </row>
        <row r="286">
          <cell r="I286" t="str">
            <v>y/y Growth - %</v>
          </cell>
          <cell r="M286" t="str">
            <v>NA</v>
          </cell>
          <cell r="N286">
            <v>0.96103114290872016</v>
          </cell>
          <cell r="O286">
            <v>0.55023502984671091</v>
          </cell>
          <cell r="P286">
            <v>0.24034212067737148</v>
          </cell>
          <cell r="Q286">
            <v>0.53530003501742929</v>
          </cell>
          <cell r="R286">
            <v>0.63968842434176887</v>
          </cell>
          <cell r="S286">
            <v>0.2690823471508399</v>
          </cell>
          <cell r="T286">
            <v>0.20999999999999996</v>
          </cell>
          <cell r="U286">
            <v>0.12000000000000011</v>
          </cell>
          <cell r="V286">
            <v>8.4999999999999964E-2</v>
          </cell>
        </row>
        <row r="287">
          <cell r="I287" t="str">
            <v>Europe Hotel Market</v>
          </cell>
          <cell r="M287">
            <v>110240.63217127256</v>
          </cell>
          <cell r="N287">
            <v>112974.7097890833</v>
          </cell>
          <cell r="O287">
            <v>113646.98387786282</v>
          </cell>
          <cell r="P287">
            <v>101384.96683493789</v>
          </cell>
          <cell r="Q287">
            <v>103366.79008285188</v>
          </cell>
          <cell r="R287">
            <v>107501.46168616596</v>
          </cell>
          <cell r="S287">
            <v>112876.53477047425</v>
          </cell>
          <cell r="T287">
            <v>117391.59616129322</v>
          </cell>
          <cell r="U287">
            <v>122087.26000774496</v>
          </cell>
          <cell r="V287">
            <v>127581.18670809348</v>
          </cell>
        </row>
        <row r="288">
          <cell r="I288" t="str">
            <v>y/y Growth - %</v>
          </cell>
          <cell r="M288" t="str">
            <v>NA</v>
          </cell>
          <cell r="N288">
            <v>2.4800997272611758E-2</v>
          </cell>
          <cell r="O288">
            <v>5.9506600197036796E-3</v>
          </cell>
          <cell r="P288">
            <v>-0.10789566625105507</v>
          </cell>
          <cell r="Q288">
            <v>1.954750600392785E-2</v>
          </cell>
          <cell r="R288">
            <v>4.0000000000000036E-2</v>
          </cell>
          <cell r="S288">
            <v>4.9999999999999822E-2</v>
          </cell>
          <cell r="T288">
            <v>4.0000000000000036E-2</v>
          </cell>
          <cell r="U288">
            <v>4.0000000000000036E-2</v>
          </cell>
          <cell r="V288">
            <v>4.4999999999999929E-2</v>
          </cell>
        </row>
        <row r="289">
          <cell r="I289" t="str">
            <v>Europe Online Hotel Market</v>
          </cell>
          <cell r="M289">
            <v>11847.607117616632</v>
          </cell>
          <cell r="N289">
            <v>14828.563506068698</v>
          </cell>
          <cell r="O289">
            <v>18250.632357106871</v>
          </cell>
          <cell r="P289">
            <v>19289.359750895801</v>
          </cell>
          <cell r="Q289">
            <v>22430.18734784524</v>
          </cell>
          <cell r="R289">
            <v>26019.017323500477</v>
          </cell>
          <cell r="S289">
            <v>29661.679748790546</v>
          </cell>
          <cell r="T289">
            <v>33517.698116133317</v>
          </cell>
          <cell r="U289">
            <v>37204.644908907991</v>
          </cell>
          <cell r="V289">
            <v>40925.109399798792</v>
          </cell>
        </row>
        <row r="290">
          <cell r="I290" t="str">
            <v>y/y Growth - %</v>
          </cell>
          <cell r="M290" t="str">
            <v>NA</v>
          </cell>
          <cell r="N290">
            <v>0.25160830865327877</v>
          </cell>
          <cell r="O290">
            <v>0.23077547934010378</v>
          </cell>
          <cell r="P290">
            <v>5.6914597448698423E-2</v>
          </cell>
          <cell r="Q290">
            <v>0.16282694902839268</v>
          </cell>
          <cell r="R290">
            <v>0.15999999999999992</v>
          </cell>
          <cell r="S290">
            <v>0.14000000000000012</v>
          </cell>
          <cell r="T290">
            <v>0.12999999999999989</v>
          </cell>
          <cell r="U290">
            <v>0.11000000000000032</v>
          </cell>
          <cell r="V290">
            <v>0.10000000000000009</v>
          </cell>
        </row>
        <row r="291">
          <cell r="I291" t="str">
            <v>Seasonality</v>
          </cell>
          <cell r="M291" t="str">
            <v>NA</v>
          </cell>
          <cell r="N291" t="str">
            <v>NA</v>
          </cell>
          <cell r="O291" t="str">
            <v>NA</v>
          </cell>
          <cell r="P291" t="str">
            <v>NA</v>
          </cell>
          <cell r="Q291" t="str">
            <v>NA</v>
          </cell>
          <cell r="R291" t="str">
            <v>NA</v>
          </cell>
          <cell r="S291" t="str">
            <v>NA</v>
          </cell>
          <cell r="T291" t="str">
            <v>NA</v>
          </cell>
          <cell r="U291" t="str">
            <v>NA</v>
          </cell>
          <cell r="V291" t="str">
            <v>NA</v>
          </cell>
        </row>
        <row r="292">
          <cell r="I292" t="str">
            <v>Booking.com Europe Hotel Market Share</v>
          </cell>
          <cell r="M292">
            <v>1.2009446734150723E-2</v>
          </cell>
          <cell r="N292">
            <v>2.2980948610950767E-2</v>
          </cell>
          <cell r="O292">
            <v>3.5415128168517912E-2</v>
          </cell>
          <cell r="P292">
            <v>4.9239616393302127E-2</v>
          </cell>
          <cell r="Q292">
            <v>7.4148172917594582E-2</v>
          </cell>
          <cell r="R292">
            <v>0.1169037507875689</v>
          </cell>
          <cell r="S292">
            <v>0.14129570137164266</v>
          </cell>
          <cell r="T292">
            <v>0.1643921140958535</v>
          </cell>
          <cell r="U292">
            <v>0.17703766133399607</v>
          </cell>
          <cell r="V292">
            <v>0.18381422253338348</v>
          </cell>
        </row>
        <row r="293">
          <cell r="I293" t="str">
            <v>Booking.com Europe Online Hotel Market Share</v>
          </cell>
          <cell r="M293">
            <v>0.11174653133385921</v>
          </cell>
          <cell r="N293">
            <v>0.17508546926595139</v>
          </cell>
          <cell r="O293">
            <v>0.22053057785872926</v>
          </cell>
          <cell r="P293">
            <v>0.25880365856975446</v>
          </cell>
          <cell r="Q293">
            <v>0.34170283583192135</v>
          </cell>
          <cell r="R293">
            <v>0.4830053314468597</v>
          </cell>
          <cell r="S293">
            <v>0.53769608747276321</v>
          </cell>
          <cell r="T293">
            <v>0.57576306711685266</v>
          </cell>
          <cell r="U293">
            <v>0.58095012177556293</v>
          </cell>
          <cell r="V293">
            <v>0.57302807466044148</v>
          </cell>
        </row>
        <row r="295">
          <cell r="I295" t="str">
            <v>Priceline Asia Pacific</v>
          </cell>
          <cell r="M295">
            <v>15.030000000000001</v>
          </cell>
          <cell r="N295">
            <v>50.975000000000001</v>
          </cell>
          <cell r="O295">
            <v>205.12249999999997</v>
          </cell>
          <cell r="P295">
            <v>418.96712499999995</v>
          </cell>
          <cell r="Q295">
            <v>923.49137500000006</v>
          </cell>
          <cell r="R295">
            <v>2006.4724760699351</v>
          </cell>
          <cell r="S295">
            <v>3380.9380002455841</v>
          </cell>
          <cell r="T295">
            <v>4545.0935970207502</v>
          </cell>
          <cell r="U295">
            <v>5405.1752195609033</v>
          </cell>
          <cell r="V295">
            <v>5938.3046973091787</v>
          </cell>
        </row>
        <row r="296">
          <cell r="I296" t="str">
            <v>y/y Growth - %</v>
          </cell>
          <cell r="M296" t="str">
            <v>NA</v>
          </cell>
          <cell r="N296" t="str">
            <v>NM</v>
          </cell>
          <cell r="O296" t="str">
            <v>NM</v>
          </cell>
          <cell r="P296">
            <v>1.042521542005387</v>
          </cell>
          <cell r="Q296">
            <v>1.2042096381667182</v>
          </cell>
          <cell r="R296">
            <v>1.1727029947301184</v>
          </cell>
          <cell r="S296">
            <v>0.685015887617759</v>
          </cell>
          <cell r="T296">
            <v>0.3443291763086469</v>
          </cell>
          <cell r="U296">
            <v>0.18923298369563302</v>
          </cell>
          <cell r="V296">
            <v>9.8633153615246716E-2</v>
          </cell>
        </row>
        <row r="297">
          <cell r="I297" t="str">
            <v>Asia Hotel Market</v>
          </cell>
          <cell r="M297" t="str">
            <v>NA</v>
          </cell>
          <cell r="N297" t="str">
            <v>NA</v>
          </cell>
          <cell r="O297">
            <v>76295.456801565451</v>
          </cell>
          <cell r="P297">
            <v>72181.113947222824</v>
          </cell>
          <cell r="Q297">
            <v>84131.852926779</v>
          </cell>
          <cell r="R297">
            <v>94227.675277992486</v>
          </cell>
          <cell r="S297">
            <v>104592.71955857167</v>
          </cell>
          <cell r="T297">
            <v>116097.91871001456</v>
          </cell>
          <cell r="U297">
            <v>127707.71058101603</v>
          </cell>
          <cell r="V297">
            <v>137924.32742749734</v>
          </cell>
        </row>
        <row r="298">
          <cell r="I298" t="str">
            <v>y/y Growth - %</v>
          </cell>
          <cell r="M298" t="str">
            <v>NA</v>
          </cell>
          <cell r="N298" t="str">
            <v>NA</v>
          </cell>
          <cell r="O298" t="str">
            <v>NA</v>
          </cell>
          <cell r="P298">
            <v>-5.3926446302608788E-2</v>
          </cell>
          <cell r="Q298">
            <v>0.16556600925131582</v>
          </cell>
          <cell r="R298">
            <v>0.12000000000000011</v>
          </cell>
          <cell r="S298">
            <v>0.1100000000000001</v>
          </cell>
          <cell r="T298">
            <v>0.1100000000000001</v>
          </cell>
          <cell r="U298">
            <v>0.10000000000000009</v>
          </cell>
          <cell r="V298">
            <v>8.0000000000000293E-2</v>
          </cell>
        </row>
        <row r="299">
          <cell r="I299" t="str">
            <v xml:space="preserve">Asia Online Hotel Market </v>
          </cell>
          <cell r="M299" t="str">
            <v>NA</v>
          </cell>
          <cell r="N299" t="str">
            <v>NA</v>
          </cell>
          <cell r="O299">
            <v>9316.3781640735124</v>
          </cell>
          <cell r="P299">
            <v>11053.567449892371</v>
          </cell>
          <cell r="Q299">
            <v>14712.570532434493</v>
          </cell>
          <cell r="R299">
            <v>18832.090281516153</v>
          </cell>
          <cell r="S299">
            <v>22975.150143449704</v>
          </cell>
          <cell r="T299">
            <v>27799.931673574141</v>
          </cell>
          <cell r="U299">
            <v>32803.91937481748</v>
          </cell>
          <cell r="V299">
            <v>37396.468087291934</v>
          </cell>
        </row>
        <row r="300">
          <cell r="I300" t="str">
            <v>y/y Growth - %</v>
          </cell>
          <cell r="M300" t="str">
            <v>NA</v>
          </cell>
          <cell r="N300" t="str">
            <v>NA</v>
          </cell>
          <cell r="O300" t="str">
            <v>NA</v>
          </cell>
          <cell r="P300">
            <v>0.18646616262507809</v>
          </cell>
          <cell r="Q300">
            <v>0.33102463065693333</v>
          </cell>
          <cell r="R300">
            <v>0.28000000000000025</v>
          </cell>
          <cell r="S300">
            <v>0.21999999999999975</v>
          </cell>
          <cell r="T300">
            <v>0.20999999999999996</v>
          </cell>
          <cell r="U300">
            <v>0.17999999999999972</v>
          </cell>
          <cell r="V300">
            <v>0.14000000000000012</v>
          </cell>
        </row>
        <row r="301">
          <cell r="I301" t="str">
            <v>Seasonality</v>
          </cell>
          <cell r="M301" t="str">
            <v>NA</v>
          </cell>
          <cell r="N301" t="str">
            <v>NA</v>
          </cell>
          <cell r="O301" t="str">
            <v>NA</v>
          </cell>
          <cell r="P301" t="str">
            <v>NA</v>
          </cell>
          <cell r="Q301" t="str">
            <v>NA</v>
          </cell>
          <cell r="R301" t="str">
            <v>NA</v>
          </cell>
          <cell r="S301" t="str">
            <v>NA</v>
          </cell>
          <cell r="T301" t="str">
            <v>NA</v>
          </cell>
          <cell r="U301" t="str">
            <v>NA</v>
          </cell>
          <cell r="V301" t="str">
            <v>NA</v>
          </cell>
        </row>
        <row r="302">
          <cell r="I302" t="str">
            <v>Asia Hotel Market Share</v>
          </cell>
          <cell r="M302" t="str">
            <v>NA</v>
          </cell>
          <cell r="N302" t="str">
            <v>NA</v>
          </cell>
          <cell r="O302">
            <v>2.6885283685173663E-3</v>
          </cell>
          <cell r="P302">
            <v>5.8043870770176685E-3</v>
          </cell>
          <cell r="Q302">
            <v>1.0976715035668192E-2</v>
          </cell>
          <cell r="R302">
            <v>2.1293876455620891E-2</v>
          </cell>
          <cell r="S302">
            <v>3.2324792915937775E-2</v>
          </cell>
          <cell r="T302">
            <v>3.9148794806333528E-2</v>
          </cell>
          <cell r="U302">
            <v>4.2324580050567377E-2</v>
          </cell>
          <cell r="V302">
            <v>4.3054802644810916E-2</v>
          </cell>
        </row>
        <row r="303">
          <cell r="I303" t="str">
            <v>Asia Online Hotel Market Share</v>
          </cell>
          <cell r="M303" t="str">
            <v>NA</v>
          </cell>
          <cell r="N303" t="str">
            <v>NA</v>
          </cell>
          <cell r="O303">
            <v>2.2017408094382442E-2</v>
          </cell>
          <cell r="P303">
            <v>3.790333997591696E-2</v>
          </cell>
          <cell r="Q303">
            <v>6.2768866457708641E-2</v>
          </cell>
          <cell r="R303">
            <v>0.10654539385037379</v>
          </cell>
          <cell r="S303">
            <v>0.14715629622161583</v>
          </cell>
          <cell r="T303">
            <v>0.16349297726300502</v>
          </cell>
          <cell r="U303">
            <v>0.16477223827437776</v>
          </cell>
          <cell r="V303">
            <v>0.15879319628387936</v>
          </cell>
        </row>
        <row r="305">
          <cell r="I305" t="str">
            <v>Operating Scenarios</v>
          </cell>
        </row>
        <row r="306">
          <cell r="I306" t="str">
            <v>Offline Advertising as % of Gross Profit</v>
          </cell>
        </row>
        <row r="307">
          <cell r="I307" t="str">
            <v>Base Case</v>
          </cell>
          <cell r="M307">
            <v>7.936444618410915E-2</v>
          </cell>
          <cell r="N307">
            <v>5.7928223961856908E-2</v>
          </cell>
          <cell r="O307">
            <v>3.9783633603948237E-2</v>
          </cell>
          <cell r="P307">
            <v>2.8768293485770129E-2</v>
          </cell>
          <cell r="Q307">
            <v>1.8708498605532191E-2</v>
          </cell>
          <cell r="R307">
            <v>1.1940774553686317E-2</v>
          </cell>
          <cell r="S307">
            <v>1.1435752965584974E-2</v>
          </cell>
          <cell r="T307">
            <v>1.0999999999999999E-2</v>
          </cell>
          <cell r="U307">
            <v>0.01</v>
          </cell>
          <cell r="V307">
            <v>0.01</v>
          </cell>
          <cell r="W307">
            <v>0.01</v>
          </cell>
          <cell r="X307">
            <v>0.01</v>
          </cell>
          <cell r="Y307">
            <v>0.01</v>
          </cell>
          <cell r="Z307">
            <v>0.01</v>
          </cell>
          <cell r="AA307">
            <v>0.01</v>
          </cell>
          <cell r="AB307">
            <v>0.01</v>
          </cell>
          <cell r="AC307">
            <v>0.01</v>
          </cell>
          <cell r="AD307">
            <v>0.01</v>
          </cell>
          <cell r="AE307">
            <v>0.01</v>
          </cell>
          <cell r="AF307">
            <v>0.01</v>
          </cell>
          <cell r="AG307">
            <v>0.01</v>
          </cell>
          <cell r="AH307">
            <v>0.01</v>
          </cell>
          <cell r="AI307">
            <v>0.01</v>
          </cell>
          <cell r="AJ307">
            <v>0.01</v>
          </cell>
        </row>
        <row r="308">
          <cell r="I308" t="str">
            <v>Bull Case</v>
          </cell>
          <cell r="M308">
            <v>7.936444618410915E-2</v>
          </cell>
          <cell r="N308">
            <v>5.7928223961856908E-2</v>
          </cell>
          <cell r="O308">
            <v>3.9783633603948237E-2</v>
          </cell>
          <cell r="P308">
            <v>2.8768293485770129E-2</v>
          </cell>
          <cell r="Q308">
            <v>1.8708498605532191E-2</v>
          </cell>
          <cell r="R308">
            <v>1.1940774553686317E-2</v>
          </cell>
          <cell r="S308">
            <v>1.1435752965584974E-2</v>
          </cell>
          <cell r="T308">
            <v>8.9999999999999993E-3</v>
          </cell>
          <cell r="U308">
            <v>8.0000000000000002E-3</v>
          </cell>
          <cell r="V308">
            <v>8.0000000000000002E-3</v>
          </cell>
          <cell r="W308">
            <v>8.0000000000000002E-3</v>
          </cell>
          <cell r="X308">
            <v>8.0000000000000002E-3</v>
          </cell>
          <cell r="Y308">
            <v>8.0000000000000002E-3</v>
          </cell>
          <cell r="Z308">
            <v>8.0000000000000002E-3</v>
          </cell>
          <cell r="AA308">
            <v>8.0000000000000002E-3</v>
          </cell>
          <cell r="AB308">
            <v>8.0000000000000002E-3</v>
          </cell>
          <cell r="AC308">
            <v>8.0000000000000002E-3</v>
          </cell>
          <cell r="AD308">
            <v>8.0000000000000002E-3</v>
          </cell>
          <cell r="AE308">
            <v>8.0000000000000002E-3</v>
          </cell>
          <cell r="AF308">
            <v>8.0000000000000002E-3</v>
          </cell>
          <cell r="AG308">
            <v>8.0000000000000002E-3</v>
          </cell>
          <cell r="AH308">
            <v>8.0000000000000002E-3</v>
          </cell>
          <cell r="AI308">
            <v>8.0000000000000002E-3</v>
          </cell>
          <cell r="AJ308">
            <v>8.0000000000000002E-3</v>
          </cell>
        </row>
        <row r="309">
          <cell r="I309" t="str">
            <v>Bull vs. Base Case - bps</v>
          </cell>
          <cell r="M309">
            <v>0</v>
          </cell>
          <cell r="N309">
            <v>0</v>
          </cell>
          <cell r="O309">
            <v>0</v>
          </cell>
          <cell r="P309">
            <v>0</v>
          </cell>
          <cell r="Q309">
            <v>0</v>
          </cell>
          <cell r="R309">
            <v>0</v>
          </cell>
          <cell r="S309">
            <v>0</v>
          </cell>
          <cell r="T309">
            <v>-20</v>
          </cell>
          <cell r="U309">
            <v>-20</v>
          </cell>
          <cell r="V309">
            <v>-20</v>
          </cell>
          <cell r="W309">
            <v>-20</v>
          </cell>
          <cell r="X309">
            <v>-20</v>
          </cell>
          <cell r="Y309">
            <v>-20</v>
          </cell>
          <cell r="Z309">
            <v>-20</v>
          </cell>
          <cell r="AA309">
            <v>-20</v>
          </cell>
          <cell r="AB309">
            <v>-20</v>
          </cell>
          <cell r="AC309">
            <v>-20</v>
          </cell>
          <cell r="AD309">
            <v>-20</v>
          </cell>
          <cell r="AE309">
            <v>-20</v>
          </cell>
          <cell r="AF309">
            <v>-20</v>
          </cell>
          <cell r="AG309">
            <v>-20</v>
          </cell>
          <cell r="AH309">
            <v>-20</v>
          </cell>
          <cell r="AI309">
            <v>-20</v>
          </cell>
          <cell r="AJ309">
            <v>-20</v>
          </cell>
        </row>
        <row r="310">
          <cell r="I310" t="str">
            <v>Bear Case</v>
          </cell>
          <cell r="M310">
            <v>7.936444618410915E-2</v>
          </cell>
          <cell r="N310">
            <v>5.7928223961856908E-2</v>
          </cell>
          <cell r="O310">
            <v>3.9783633603948237E-2</v>
          </cell>
          <cell r="P310">
            <v>2.8768293485770129E-2</v>
          </cell>
          <cell r="Q310">
            <v>1.8708498605532191E-2</v>
          </cell>
          <cell r="R310">
            <v>1.1940774553686317E-2</v>
          </cell>
          <cell r="S310">
            <v>1.1435752965584974E-2</v>
          </cell>
          <cell r="T310">
            <v>1.2999999999999999E-2</v>
          </cell>
          <cell r="U310">
            <v>1.2E-2</v>
          </cell>
          <cell r="V310">
            <v>1.2E-2</v>
          </cell>
          <cell r="W310">
            <v>1.2E-2</v>
          </cell>
          <cell r="X310">
            <v>1.2E-2</v>
          </cell>
          <cell r="Y310">
            <v>1.2E-2</v>
          </cell>
          <cell r="Z310">
            <v>1.2E-2</v>
          </cell>
          <cell r="AA310">
            <v>1.2E-2</v>
          </cell>
          <cell r="AB310">
            <v>1.2E-2</v>
          </cell>
          <cell r="AC310">
            <v>1.2E-2</v>
          </cell>
          <cell r="AD310">
            <v>1.2E-2</v>
          </cell>
          <cell r="AE310">
            <v>1.2E-2</v>
          </cell>
          <cell r="AF310">
            <v>1.2E-2</v>
          </cell>
          <cell r="AG310">
            <v>1.2E-2</v>
          </cell>
          <cell r="AH310">
            <v>1.2E-2</v>
          </cell>
          <cell r="AI310">
            <v>1.2E-2</v>
          </cell>
          <cell r="AJ310">
            <v>1.2E-2</v>
          </cell>
        </row>
        <row r="311">
          <cell r="I311" t="str">
            <v>Bear vs. Base Case - bps</v>
          </cell>
          <cell r="M311">
            <v>0</v>
          </cell>
          <cell r="N311">
            <v>0</v>
          </cell>
          <cell r="O311">
            <v>0</v>
          </cell>
          <cell r="P311">
            <v>0</v>
          </cell>
          <cell r="Q311">
            <v>0</v>
          </cell>
          <cell r="R311">
            <v>0</v>
          </cell>
          <cell r="S311">
            <v>0</v>
          </cell>
          <cell r="T311">
            <v>20</v>
          </cell>
          <cell r="U311">
            <v>20</v>
          </cell>
          <cell r="V311">
            <v>20</v>
          </cell>
          <cell r="W311">
            <v>20</v>
          </cell>
          <cell r="X311">
            <v>20</v>
          </cell>
          <cell r="Y311">
            <v>20</v>
          </cell>
          <cell r="Z311">
            <v>20</v>
          </cell>
          <cell r="AA311">
            <v>20</v>
          </cell>
          <cell r="AB311">
            <v>20</v>
          </cell>
          <cell r="AC311">
            <v>20</v>
          </cell>
          <cell r="AD311">
            <v>20</v>
          </cell>
          <cell r="AE311">
            <v>20</v>
          </cell>
          <cell r="AF311">
            <v>20</v>
          </cell>
          <cell r="AG311">
            <v>20</v>
          </cell>
          <cell r="AH311">
            <v>20</v>
          </cell>
          <cell r="AI311">
            <v>20</v>
          </cell>
          <cell r="AJ311">
            <v>20</v>
          </cell>
        </row>
        <row r="313">
          <cell r="I313" t="str">
            <v>Online Advertising as % of Gross Profit</v>
          </cell>
        </row>
        <row r="314">
          <cell r="I314" t="str">
            <v>Base Case</v>
          </cell>
          <cell r="M314">
            <v>0.28377532728827543</v>
          </cell>
          <cell r="N314">
            <v>0.27814020166876069</v>
          </cell>
          <cell r="O314">
            <v>0.28318118436647133</v>
          </cell>
          <cell r="P314">
            <v>0.28980942492760337</v>
          </cell>
          <cell r="Q314">
            <v>0.2892342056352844</v>
          </cell>
          <cell r="R314">
            <v>0.29260850196840721</v>
          </cell>
          <cell r="S314">
            <v>0.29353684624748005</v>
          </cell>
          <cell r="T314">
            <v>0.29299999999999998</v>
          </cell>
          <cell r="U314">
            <v>0.29199999999999998</v>
          </cell>
          <cell r="V314">
            <v>0.29099999999999998</v>
          </cell>
          <cell r="W314">
            <v>0.29099999999999998</v>
          </cell>
          <cell r="X314">
            <v>0.28999999999999998</v>
          </cell>
          <cell r="Y314">
            <v>0.28999999999999998</v>
          </cell>
          <cell r="Z314">
            <v>0.28999999999999998</v>
          </cell>
          <cell r="AA314">
            <v>0.28999999999999998</v>
          </cell>
          <cell r="AB314">
            <v>0.28999999999999998</v>
          </cell>
          <cell r="AC314">
            <v>0.28999999999999998</v>
          </cell>
          <cell r="AD314">
            <v>0.28999999999999998</v>
          </cell>
          <cell r="AE314">
            <v>0.28999999999999998</v>
          </cell>
          <cell r="AF314">
            <v>0.28999999999999998</v>
          </cell>
          <cell r="AG314">
            <v>0.28999999999999998</v>
          </cell>
          <cell r="AH314">
            <v>0.28999999999999998</v>
          </cell>
          <cell r="AI314">
            <v>0.28999999999999998</v>
          </cell>
          <cell r="AJ314">
            <v>0.28999999999999998</v>
          </cell>
        </row>
        <row r="315">
          <cell r="I315" t="str">
            <v>Bull Case</v>
          </cell>
          <cell r="M315">
            <v>0.28377532728827543</v>
          </cell>
          <cell r="N315">
            <v>0.27814020166876069</v>
          </cell>
          <cell r="O315">
            <v>0.28318118436647133</v>
          </cell>
          <cell r="P315">
            <v>0.28980942492760337</v>
          </cell>
          <cell r="Q315">
            <v>0.2892342056352844</v>
          </cell>
          <cell r="R315">
            <v>0.29260850196840721</v>
          </cell>
          <cell r="S315">
            <v>0.29353684624748005</v>
          </cell>
          <cell r="T315">
            <v>0.28299999999999997</v>
          </cell>
          <cell r="U315">
            <v>0.28199999999999997</v>
          </cell>
          <cell r="V315">
            <v>0.28099999999999997</v>
          </cell>
          <cell r="W315">
            <v>0.28599999999999998</v>
          </cell>
          <cell r="X315">
            <v>0.28499999999999998</v>
          </cell>
          <cell r="Y315">
            <v>0.28499999999999998</v>
          </cell>
          <cell r="Z315">
            <v>0.28499999999999998</v>
          </cell>
          <cell r="AA315">
            <v>0.28499999999999998</v>
          </cell>
          <cell r="AB315">
            <v>0.28499999999999998</v>
          </cell>
          <cell r="AC315">
            <v>0.28499999999999998</v>
          </cell>
          <cell r="AD315">
            <v>0.28499999999999998</v>
          </cell>
          <cell r="AE315">
            <v>0.28499999999999998</v>
          </cell>
          <cell r="AF315">
            <v>0.28499999999999998</v>
          </cell>
          <cell r="AG315">
            <v>0.28499999999999998</v>
          </cell>
          <cell r="AH315">
            <v>0.28499999999999998</v>
          </cell>
          <cell r="AI315">
            <v>0.28499999999999998</v>
          </cell>
          <cell r="AJ315">
            <v>0.28499999999999998</v>
          </cell>
        </row>
        <row r="316">
          <cell r="I316" t="str">
            <v>Bull vs. Base Case - bps</v>
          </cell>
          <cell r="M316">
            <v>0</v>
          </cell>
          <cell r="N316">
            <v>0</v>
          </cell>
          <cell r="O316">
            <v>0</v>
          </cell>
          <cell r="P316">
            <v>0</v>
          </cell>
          <cell r="Q316">
            <v>0</v>
          </cell>
          <cell r="R316">
            <v>0</v>
          </cell>
          <cell r="S316">
            <v>0</v>
          </cell>
          <cell r="T316">
            <v>-100</v>
          </cell>
          <cell r="U316">
            <v>-100</v>
          </cell>
          <cell r="V316">
            <v>-100</v>
          </cell>
          <cell r="W316">
            <v>-50</v>
          </cell>
          <cell r="X316">
            <v>-50</v>
          </cell>
          <cell r="Y316">
            <v>-50</v>
          </cell>
          <cell r="Z316">
            <v>-50</v>
          </cell>
          <cell r="AA316">
            <v>-50</v>
          </cell>
          <cell r="AB316">
            <v>-50</v>
          </cell>
          <cell r="AC316">
            <v>-50</v>
          </cell>
          <cell r="AD316">
            <v>-50</v>
          </cell>
          <cell r="AE316">
            <v>-50</v>
          </cell>
          <cell r="AF316">
            <v>-50</v>
          </cell>
          <cell r="AG316">
            <v>-50</v>
          </cell>
          <cell r="AH316">
            <v>-50</v>
          </cell>
          <cell r="AI316">
            <v>-50</v>
          </cell>
          <cell r="AJ316">
            <v>-50</v>
          </cell>
        </row>
        <row r="317">
          <cell r="I317" t="str">
            <v>Bear Case</v>
          </cell>
          <cell r="M317">
            <v>0.28377532728827543</v>
          </cell>
          <cell r="N317">
            <v>0.27814020166876069</v>
          </cell>
          <cell r="O317">
            <v>0.28318118436647133</v>
          </cell>
          <cell r="P317">
            <v>0.28980942492760337</v>
          </cell>
          <cell r="Q317">
            <v>0.2892342056352844</v>
          </cell>
          <cell r="R317">
            <v>0.29260850196840721</v>
          </cell>
          <cell r="S317">
            <v>0.29353684624748005</v>
          </cell>
          <cell r="T317">
            <v>0.308</v>
          </cell>
          <cell r="U317">
            <v>0.312</v>
          </cell>
          <cell r="V317">
            <v>0.311</v>
          </cell>
          <cell r="W317">
            <v>0.311</v>
          </cell>
          <cell r="X317">
            <v>0.31</v>
          </cell>
          <cell r="Y317">
            <v>0.31</v>
          </cell>
          <cell r="Z317">
            <v>0.31</v>
          </cell>
          <cell r="AA317">
            <v>0.31</v>
          </cell>
          <cell r="AB317">
            <v>0.31</v>
          </cell>
          <cell r="AC317">
            <v>0.31</v>
          </cell>
          <cell r="AD317">
            <v>0.31</v>
          </cell>
          <cell r="AE317">
            <v>0.31</v>
          </cell>
          <cell r="AF317">
            <v>0.31</v>
          </cell>
          <cell r="AG317">
            <v>0.31</v>
          </cell>
          <cell r="AH317">
            <v>0.31</v>
          </cell>
          <cell r="AI317">
            <v>0.31</v>
          </cell>
          <cell r="AJ317">
            <v>0.31</v>
          </cell>
        </row>
        <row r="318">
          <cell r="I318" t="str">
            <v>Bear vs. Base Case - bps</v>
          </cell>
          <cell r="M318">
            <v>0</v>
          </cell>
          <cell r="N318">
            <v>0</v>
          </cell>
          <cell r="O318">
            <v>0</v>
          </cell>
          <cell r="P318">
            <v>0</v>
          </cell>
          <cell r="Q318">
            <v>0</v>
          </cell>
          <cell r="R318">
            <v>0</v>
          </cell>
          <cell r="S318">
            <v>0</v>
          </cell>
          <cell r="T318">
            <v>150</v>
          </cell>
          <cell r="U318">
            <v>200</v>
          </cell>
          <cell r="V318">
            <v>200</v>
          </cell>
          <cell r="W318">
            <v>200</v>
          </cell>
          <cell r="X318">
            <v>200</v>
          </cell>
          <cell r="Y318">
            <v>200</v>
          </cell>
          <cell r="Z318">
            <v>200</v>
          </cell>
          <cell r="AA318">
            <v>200</v>
          </cell>
          <cell r="AB318">
            <v>200</v>
          </cell>
          <cell r="AC318">
            <v>200</v>
          </cell>
          <cell r="AD318">
            <v>200</v>
          </cell>
          <cell r="AE318">
            <v>200</v>
          </cell>
          <cell r="AF318">
            <v>200</v>
          </cell>
          <cell r="AG318">
            <v>200</v>
          </cell>
          <cell r="AH318">
            <v>200</v>
          </cell>
          <cell r="AI318">
            <v>200</v>
          </cell>
          <cell r="AJ318">
            <v>200</v>
          </cell>
        </row>
        <row r="320">
          <cell r="I320" t="str">
            <v>Selling &amp; Marketing as % of Gross Profit</v>
          </cell>
        </row>
        <row r="321">
          <cell r="I321" t="str">
            <v>Base Case</v>
          </cell>
          <cell r="M321">
            <v>0.10500649465593281</v>
          </cell>
          <cell r="N321">
            <v>7.5962436777165701E-2</v>
          </cell>
          <cell r="O321">
            <v>8.1538038287772341E-2</v>
          </cell>
          <cell r="P321">
            <v>6.4435583848828054E-2</v>
          </cell>
          <cell r="Q321">
            <v>6.0924937610399736E-2</v>
          </cell>
          <cell r="R321">
            <v>5.4647382532347077E-2</v>
          </cell>
          <cell r="S321">
            <v>5.4636689507313235E-2</v>
          </cell>
          <cell r="T321">
            <v>5.5E-2</v>
          </cell>
          <cell r="U321">
            <v>5.3999999999999999E-2</v>
          </cell>
          <cell r="V321">
            <v>5.2999999999999999E-2</v>
          </cell>
          <cell r="W321">
            <v>5.2999999999999999E-2</v>
          </cell>
          <cell r="X321">
            <v>5.2999999999999999E-2</v>
          </cell>
          <cell r="Y321">
            <v>5.2999999999999999E-2</v>
          </cell>
          <cell r="Z321">
            <v>5.2999999999999999E-2</v>
          </cell>
          <cell r="AA321">
            <v>5.2999999999999999E-2</v>
          </cell>
          <cell r="AB321">
            <v>5.3999999999999999E-2</v>
          </cell>
          <cell r="AC321">
            <v>5.3999999999999999E-2</v>
          </cell>
          <cell r="AD321">
            <v>5.3999999999999999E-2</v>
          </cell>
          <cell r="AE321">
            <v>5.3999999999999999E-2</v>
          </cell>
          <cell r="AF321">
            <v>5.3999999999999999E-2</v>
          </cell>
          <cell r="AG321">
            <v>5.3999999999999999E-2</v>
          </cell>
          <cell r="AH321">
            <v>5.3999999999999999E-2</v>
          </cell>
          <cell r="AI321">
            <v>5.3999999999999999E-2</v>
          </cell>
          <cell r="AJ321">
            <v>5.3999999999999999E-2</v>
          </cell>
        </row>
        <row r="322">
          <cell r="I322" t="str">
            <v>Bull Case</v>
          </cell>
          <cell r="M322">
            <v>0.10500649465593281</v>
          </cell>
          <cell r="N322">
            <v>7.5962436777165701E-2</v>
          </cell>
          <cell r="O322">
            <v>8.1538038287772341E-2</v>
          </cell>
          <cell r="P322">
            <v>6.4435583848828054E-2</v>
          </cell>
          <cell r="Q322">
            <v>6.0924937610399736E-2</v>
          </cell>
          <cell r="R322">
            <v>5.4647382532347077E-2</v>
          </cell>
          <cell r="S322">
            <v>5.4636689507313235E-2</v>
          </cell>
          <cell r="T322">
            <v>5.2499999999999998E-2</v>
          </cell>
          <cell r="U322">
            <v>5.1499999999999997E-2</v>
          </cell>
          <cell r="V322">
            <v>5.0499999999999996E-2</v>
          </cell>
          <cell r="W322">
            <v>5.0499999999999996E-2</v>
          </cell>
          <cell r="X322">
            <v>5.0499999999999996E-2</v>
          </cell>
          <cell r="Y322">
            <v>5.0499999999999996E-2</v>
          </cell>
          <cell r="Z322">
            <v>5.0499999999999996E-2</v>
          </cell>
          <cell r="AA322">
            <v>5.0499999999999996E-2</v>
          </cell>
          <cell r="AB322">
            <v>5.1499999999999997E-2</v>
          </cell>
          <cell r="AC322">
            <v>5.1499999999999997E-2</v>
          </cell>
          <cell r="AD322">
            <v>5.1499999999999997E-2</v>
          </cell>
          <cell r="AE322">
            <v>5.1499999999999997E-2</v>
          </cell>
          <cell r="AF322">
            <v>5.1499999999999997E-2</v>
          </cell>
          <cell r="AG322">
            <v>5.1499999999999997E-2</v>
          </cell>
          <cell r="AH322">
            <v>5.1499999999999997E-2</v>
          </cell>
          <cell r="AI322">
            <v>5.1499999999999997E-2</v>
          </cell>
          <cell r="AJ322">
            <v>5.1499999999999997E-2</v>
          </cell>
        </row>
        <row r="323">
          <cell r="I323" t="str">
            <v>Bull vs. Base Case - bps</v>
          </cell>
          <cell r="M323">
            <v>0</v>
          </cell>
          <cell r="N323">
            <v>0</v>
          </cell>
          <cell r="O323">
            <v>0</v>
          </cell>
          <cell r="P323">
            <v>0</v>
          </cell>
          <cell r="Q323">
            <v>0</v>
          </cell>
          <cell r="R323">
            <v>0</v>
          </cell>
          <cell r="S323">
            <v>0</v>
          </cell>
          <cell r="T323">
            <v>-25</v>
          </cell>
          <cell r="U323">
            <v>-25</v>
          </cell>
          <cell r="V323">
            <v>-25</v>
          </cell>
          <cell r="W323">
            <v>-25</v>
          </cell>
          <cell r="X323">
            <v>-25</v>
          </cell>
          <cell r="Y323">
            <v>-25</v>
          </cell>
          <cell r="Z323">
            <v>-25</v>
          </cell>
          <cell r="AA323">
            <v>-25</v>
          </cell>
          <cell r="AB323">
            <v>-25</v>
          </cell>
          <cell r="AC323">
            <v>-25</v>
          </cell>
          <cell r="AD323">
            <v>-25</v>
          </cell>
          <cell r="AE323">
            <v>-25</v>
          </cell>
          <cell r="AF323">
            <v>-25</v>
          </cell>
          <cell r="AG323">
            <v>-25</v>
          </cell>
          <cell r="AH323">
            <v>-25</v>
          </cell>
          <cell r="AI323">
            <v>-25</v>
          </cell>
          <cell r="AJ323">
            <v>-25</v>
          </cell>
        </row>
        <row r="324">
          <cell r="I324" t="str">
            <v>Bear Case</v>
          </cell>
          <cell r="M324">
            <v>0.10500649465593281</v>
          </cell>
          <cell r="N324">
            <v>7.5962436777165701E-2</v>
          </cell>
          <cell r="O324">
            <v>8.1538038287772341E-2</v>
          </cell>
          <cell r="P324">
            <v>6.4435583848828054E-2</v>
          </cell>
          <cell r="Q324">
            <v>6.0924937610399736E-2</v>
          </cell>
          <cell r="R324">
            <v>5.4647382532347077E-2</v>
          </cell>
          <cell r="S324">
            <v>5.4636689507313235E-2</v>
          </cell>
          <cell r="T324">
            <v>0.06</v>
          </cell>
          <cell r="U324">
            <v>5.8999999999999997E-2</v>
          </cell>
          <cell r="V324">
            <v>5.7999999999999996E-2</v>
          </cell>
          <cell r="W324">
            <v>5.7999999999999996E-2</v>
          </cell>
          <cell r="X324">
            <v>5.7999999999999996E-2</v>
          </cell>
          <cell r="Y324">
            <v>5.7999999999999996E-2</v>
          </cell>
          <cell r="Z324">
            <v>5.7999999999999996E-2</v>
          </cell>
          <cell r="AA324">
            <v>5.7999999999999996E-2</v>
          </cell>
          <cell r="AB324">
            <v>5.8999999999999997E-2</v>
          </cell>
          <cell r="AC324">
            <v>5.8999999999999997E-2</v>
          </cell>
          <cell r="AD324">
            <v>5.8999999999999997E-2</v>
          </cell>
          <cell r="AE324">
            <v>5.8999999999999997E-2</v>
          </cell>
          <cell r="AF324">
            <v>5.8999999999999997E-2</v>
          </cell>
          <cell r="AG324">
            <v>5.8999999999999997E-2</v>
          </cell>
          <cell r="AH324">
            <v>5.8999999999999997E-2</v>
          </cell>
          <cell r="AI324">
            <v>5.8999999999999997E-2</v>
          </cell>
          <cell r="AJ324">
            <v>5.8999999999999997E-2</v>
          </cell>
        </row>
        <row r="325">
          <cell r="I325" t="str">
            <v>Bear vs. Base Case - bps</v>
          </cell>
          <cell r="M325">
            <v>0</v>
          </cell>
          <cell r="N325">
            <v>0</v>
          </cell>
          <cell r="O325">
            <v>0</v>
          </cell>
          <cell r="P325">
            <v>0</v>
          </cell>
          <cell r="Q325">
            <v>0</v>
          </cell>
          <cell r="R325">
            <v>0</v>
          </cell>
          <cell r="S325">
            <v>0</v>
          </cell>
          <cell r="T325">
            <v>50</v>
          </cell>
          <cell r="U325">
            <v>50</v>
          </cell>
          <cell r="V325">
            <v>50</v>
          </cell>
          <cell r="W325">
            <v>50</v>
          </cell>
          <cell r="X325">
            <v>50</v>
          </cell>
          <cell r="Y325">
            <v>50</v>
          </cell>
          <cell r="Z325">
            <v>50</v>
          </cell>
          <cell r="AA325">
            <v>50</v>
          </cell>
          <cell r="AB325">
            <v>50</v>
          </cell>
          <cell r="AC325">
            <v>50</v>
          </cell>
          <cell r="AD325">
            <v>50</v>
          </cell>
          <cell r="AE325">
            <v>50</v>
          </cell>
          <cell r="AF325">
            <v>50</v>
          </cell>
          <cell r="AG325">
            <v>50</v>
          </cell>
          <cell r="AH325">
            <v>50</v>
          </cell>
          <cell r="AI325">
            <v>50</v>
          </cell>
          <cell r="AJ325">
            <v>50</v>
          </cell>
        </row>
        <row r="327">
          <cell r="I327" t="str">
            <v>Personnel (ex-SBC) as % of Gross Profit</v>
          </cell>
        </row>
        <row r="328">
          <cell r="I328" t="str">
            <v>Base Case</v>
          </cell>
          <cell r="M328">
            <v>0.16079072747625894</v>
          </cell>
          <cell r="N328">
            <v>0.13971682613317871</v>
          </cell>
          <cell r="O328">
            <v>0.12894010383160159</v>
          </cell>
          <cell r="P328">
            <v>0.11063221239836513</v>
          </cell>
          <cell r="Q328">
            <v>0.10574853900423893</v>
          </cell>
          <cell r="R328">
            <v>9.7136385472356077E-2</v>
          </cell>
          <cell r="S328">
            <v>9.9287331640830215E-2</v>
          </cell>
          <cell r="T328">
            <v>9.8000000000000004E-2</v>
          </cell>
          <cell r="U328">
            <v>9.8000000000000004E-2</v>
          </cell>
          <cell r="V328">
            <v>9.7000000000000003E-2</v>
          </cell>
          <cell r="W328">
            <v>9.6000000000000002E-2</v>
          </cell>
          <cell r="X328">
            <v>9.5000000000000001E-2</v>
          </cell>
          <cell r="Y328">
            <v>9.5000000000000001E-2</v>
          </cell>
          <cell r="Z328">
            <v>9.5000000000000001E-2</v>
          </cell>
          <cell r="AA328">
            <v>9.5000000000000001E-2</v>
          </cell>
          <cell r="AB328">
            <v>9.5000000000000001E-2</v>
          </cell>
          <cell r="AC328">
            <v>9.5000000000000001E-2</v>
          </cell>
          <cell r="AD328">
            <v>9.5000000000000001E-2</v>
          </cell>
          <cell r="AE328">
            <v>9.5000000000000001E-2</v>
          </cell>
          <cell r="AF328">
            <v>9.5000000000000001E-2</v>
          </cell>
          <cell r="AG328">
            <v>9.5000000000000001E-2</v>
          </cell>
          <cell r="AH328">
            <v>9.5000000000000001E-2</v>
          </cell>
          <cell r="AI328">
            <v>9.5000000000000001E-2</v>
          </cell>
          <cell r="AJ328">
            <v>9.5000000000000001E-2</v>
          </cell>
        </row>
        <row r="329">
          <cell r="I329" t="str">
            <v>Bull Case</v>
          </cell>
          <cell r="M329">
            <v>0.16079072747625894</v>
          </cell>
          <cell r="N329">
            <v>0.13971682613317871</v>
          </cell>
          <cell r="O329">
            <v>0.12894010383160159</v>
          </cell>
          <cell r="P329">
            <v>0.11063221239836513</v>
          </cell>
          <cell r="Q329">
            <v>0.10574853900423893</v>
          </cell>
          <cell r="R329">
            <v>9.7136385472356077E-2</v>
          </cell>
          <cell r="S329">
            <v>9.9287331640830215E-2</v>
          </cell>
          <cell r="T329">
            <v>9.5500000000000002E-2</v>
          </cell>
          <cell r="U329">
            <v>9.5500000000000002E-2</v>
          </cell>
          <cell r="V329">
            <v>9.4500000000000001E-2</v>
          </cell>
          <cell r="W329">
            <v>9.35E-2</v>
          </cell>
          <cell r="X329">
            <v>9.2499999999999999E-2</v>
          </cell>
          <cell r="Y329">
            <v>9.2499999999999999E-2</v>
          </cell>
          <cell r="Z329">
            <v>9.2499999999999999E-2</v>
          </cell>
          <cell r="AA329">
            <v>9.2499999999999999E-2</v>
          </cell>
          <cell r="AB329">
            <v>9.2499999999999999E-2</v>
          </cell>
          <cell r="AC329">
            <v>9.2499999999999999E-2</v>
          </cell>
          <cell r="AD329">
            <v>9.2499999999999999E-2</v>
          </cell>
          <cell r="AE329">
            <v>9.2499999999999999E-2</v>
          </cell>
          <cell r="AF329">
            <v>9.2499999999999999E-2</v>
          </cell>
          <cell r="AG329">
            <v>9.2499999999999999E-2</v>
          </cell>
          <cell r="AH329">
            <v>9.2499999999999999E-2</v>
          </cell>
          <cell r="AI329">
            <v>9.2499999999999999E-2</v>
          </cell>
          <cell r="AJ329">
            <v>9.2499999999999999E-2</v>
          </cell>
        </row>
        <row r="330">
          <cell r="I330" t="str">
            <v>Bull vs. Base Case - bps</v>
          </cell>
          <cell r="M330">
            <v>0</v>
          </cell>
          <cell r="N330">
            <v>0</v>
          </cell>
          <cell r="O330">
            <v>0</v>
          </cell>
          <cell r="P330">
            <v>0</v>
          </cell>
          <cell r="Q330">
            <v>0</v>
          </cell>
          <cell r="R330">
            <v>0</v>
          </cell>
          <cell r="S330">
            <v>0</v>
          </cell>
          <cell r="T330">
            <v>-25</v>
          </cell>
          <cell r="U330">
            <v>-25</v>
          </cell>
          <cell r="V330">
            <v>-25</v>
          </cell>
          <cell r="W330">
            <v>-25</v>
          </cell>
          <cell r="X330">
            <v>-25</v>
          </cell>
          <cell r="Y330">
            <v>-25</v>
          </cell>
          <cell r="Z330">
            <v>-25</v>
          </cell>
          <cell r="AA330">
            <v>-25</v>
          </cell>
          <cell r="AB330">
            <v>-25</v>
          </cell>
          <cell r="AC330">
            <v>-25</v>
          </cell>
          <cell r="AD330">
            <v>-25</v>
          </cell>
          <cell r="AE330">
            <v>-25</v>
          </cell>
          <cell r="AF330">
            <v>-25</v>
          </cell>
          <cell r="AG330">
            <v>-25</v>
          </cell>
          <cell r="AH330">
            <v>-25</v>
          </cell>
          <cell r="AI330">
            <v>-25</v>
          </cell>
          <cell r="AJ330">
            <v>-25</v>
          </cell>
        </row>
        <row r="331">
          <cell r="I331" t="str">
            <v>Bear Case</v>
          </cell>
          <cell r="M331">
            <v>0.16079072747625894</v>
          </cell>
          <cell r="N331">
            <v>0.13971682613317871</v>
          </cell>
          <cell r="O331">
            <v>0.12894010383160159</v>
          </cell>
          <cell r="P331">
            <v>0.11063221239836513</v>
          </cell>
          <cell r="Q331">
            <v>0.10574853900423893</v>
          </cell>
          <cell r="R331">
            <v>9.7136385472356077E-2</v>
          </cell>
          <cell r="S331">
            <v>9.9287331640830215E-2</v>
          </cell>
          <cell r="T331">
            <v>0.10300000000000001</v>
          </cell>
          <cell r="U331">
            <v>0.10300000000000001</v>
          </cell>
          <cell r="V331">
            <v>0.10200000000000001</v>
          </cell>
          <cell r="W331">
            <v>0.10100000000000001</v>
          </cell>
          <cell r="X331">
            <v>0.1</v>
          </cell>
          <cell r="Y331">
            <v>0.1</v>
          </cell>
          <cell r="Z331">
            <v>0.1</v>
          </cell>
          <cell r="AA331">
            <v>0.1</v>
          </cell>
          <cell r="AB331">
            <v>0.1</v>
          </cell>
          <cell r="AC331">
            <v>0.1</v>
          </cell>
          <cell r="AD331">
            <v>0.1</v>
          </cell>
          <cell r="AE331">
            <v>0.1</v>
          </cell>
          <cell r="AF331">
            <v>0.1</v>
          </cell>
          <cell r="AG331">
            <v>0.1</v>
          </cell>
          <cell r="AH331">
            <v>0.1</v>
          </cell>
          <cell r="AI331">
            <v>0.1</v>
          </cell>
          <cell r="AJ331">
            <v>0.1</v>
          </cell>
        </row>
        <row r="332">
          <cell r="I332" t="str">
            <v>Bear vs. Base Case - bps</v>
          </cell>
          <cell r="M332">
            <v>0</v>
          </cell>
          <cell r="N332">
            <v>0</v>
          </cell>
          <cell r="O332">
            <v>0</v>
          </cell>
          <cell r="P332">
            <v>0</v>
          </cell>
          <cell r="Q332">
            <v>0</v>
          </cell>
          <cell r="R332">
            <v>0</v>
          </cell>
          <cell r="S332">
            <v>0</v>
          </cell>
          <cell r="T332">
            <v>50</v>
          </cell>
          <cell r="U332">
            <v>50</v>
          </cell>
          <cell r="V332">
            <v>50</v>
          </cell>
          <cell r="W332">
            <v>50</v>
          </cell>
          <cell r="X332">
            <v>50</v>
          </cell>
          <cell r="Y332">
            <v>50</v>
          </cell>
          <cell r="Z332">
            <v>50</v>
          </cell>
          <cell r="AA332">
            <v>50</v>
          </cell>
          <cell r="AB332">
            <v>50</v>
          </cell>
          <cell r="AC332">
            <v>50</v>
          </cell>
          <cell r="AD332">
            <v>50</v>
          </cell>
          <cell r="AE332">
            <v>50</v>
          </cell>
          <cell r="AF332">
            <v>50</v>
          </cell>
          <cell r="AG332">
            <v>50</v>
          </cell>
          <cell r="AH332">
            <v>50</v>
          </cell>
          <cell r="AI332">
            <v>50</v>
          </cell>
          <cell r="AJ332">
            <v>50</v>
          </cell>
        </row>
        <row r="334">
          <cell r="I334" t="str">
            <v>General &amp; Administrative as % of Gross Profit</v>
          </cell>
        </row>
        <row r="335">
          <cell r="I335" t="str">
            <v>Base Case</v>
          </cell>
          <cell r="M335">
            <v>7.1269187906227632E-2</v>
          </cell>
          <cell r="N335">
            <v>5.8748107341902653E-2</v>
          </cell>
          <cell r="O335">
            <v>5.7812423180201071E-2</v>
          </cell>
          <cell r="P335">
            <v>5.4376595759869223E-2</v>
          </cell>
          <cell r="Q335">
            <v>4.2528648927276043E-2</v>
          </cell>
          <cell r="R335">
            <v>4.0238618358932297E-2</v>
          </cell>
          <cell r="S335">
            <v>4.0896762073845648E-2</v>
          </cell>
          <cell r="T335">
            <v>4.1000000000000002E-2</v>
          </cell>
          <cell r="U335">
            <v>0.04</v>
          </cell>
          <cell r="V335">
            <v>3.9E-2</v>
          </cell>
          <cell r="W335">
            <v>3.7999999999999999E-2</v>
          </cell>
          <cell r="X335">
            <v>3.7999999999999999E-2</v>
          </cell>
          <cell r="Y335">
            <v>3.7999999999999999E-2</v>
          </cell>
          <cell r="Z335">
            <v>3.7999999999999999E-2</v>
          </cell>
          <cell r="AA335">
            <v>3.7999999999999999E-2</v>
          </cell>
          <cell r="AB335">
            <v>3.7999999999999999E-2</v>
          </cell>
          <cell r="AC335">
            <v>3.7999999999999999E-2</v>
          </cell>
          <cell r="AD335">
            <v>3.7999999999999999E-2</v>
          </cell>
          <cell r="AE335">
            <v>3.7999999999999999E-2</v>
          </cell>
          <cell r="AF335">
            <v>3.7999999999999999E-2</v>
          </cell>
          <cell r="AG335">
            <v>3.7999999999999999E-2</v>
          </cell>
          <cell r="AH335">
            <v>3.7999999999999999E-2</v>
          </cell>
          <cell r="AI335">
            <v>3.7999999999999999E-2</v>
          </cell>
          <cell r="AJ335">
            <v>3.7999999999999999E-2</v>
          </cell>
        </row>
        <row r="336">
          <cell r="I336" t="str">
            <v>Bull Case</v>
          </cell>
          <cell r="M336">
            <v>7.1269187906227632E-2</v>
          </cell>
          <cell r="N336">
            <v>5.8748107341902653E-2</v>
          </cell>
          <cell r="O336">
            <v>5.7812423180201071E-2</v>
          </cell>
          <cell r="P336">
            <v>5.4376595759869223E-2</v>
          </cell>
          <cell r="Q336">
            <v>4.2528648927276043E-2</v>
          </cell>
          <cell r="R336">
            <v>4.0238618358932297E-2</v>
          </cell>
          <cell r="S336">
            <v>4.0896762073845648E-2</v>
          </cell>
          <cell r="T336">
            <v>3.9E-2</v>
          </cell>
          <cell r="U336">
            <v>3.7999999999999999E-2</v>
          </cell>
          <cell r="V336">
            <v>3.6999999999999998E-2</v>
          </cell>
          <cell r="W336">
            <v>3.5999999999999997E-2</v>
          </cell>
          <cell r="X336">
            <v>3.5999999999999997E-2</v>
          </cell>
          <cell r="Y336">
            <v>3.5999999999999997E-2</v>
          </cell>
          <cell r="Z336">
            <v>3.5999999999999997E-2</v>
          </cell>
          <cell r="AA336">
            <v>3.5999999999999997E-2</v>
          </cell>
          <cell r="AB336">
            <v>3.5999999999999997E-2</v>
          </cell>
          <cell r="AC336">
            <v>3.5999999999999997E-2</v>
          </cell>
          <cell r="AD336">
            <v>3.5999999999999997E-2</v>
          </cell>
          <cell r="AE336">
            <v>3.5999999999999997E-2</v>
          </cell>
          <cell r="AF336">
            <v>3.5999999999999997E-2</v>
          </cell>
          <cell r="AG336">
            <v>3.5999999999999997E-2</v>
          </cell>
          <cell r="AH336">
            <v>3.5999999999999997E-2</v>
          </cell>
          <cell r="AI336">
            <v>3.5999999999999997E-2</v>
          </cell>
          <cell r="AJ336">
            <v>3.5999999999999997E-2</v>
          </cell>
        </row>
        <row r="337">
          <cell r="I337" t="str">
            <v>Bull vs. Base Case - bps</v>
          </cell>
          <cell r="M337">
            <v>0</v>
          </cell>
          <cell r="N337">
            <v>0</v>
          </cell>
          <cell r="O337">
            <v>0</v>
          </cell>
          <cell r="P337">
            <v>0</v>
          </cell>
          <cell r="Q337">
            <v>0</v>
          </cell>
          <cell r="R337">
            <v>0</v>
          </cell>
          <cell r="S337">
            <v>0</v>
          </cell>
          <cell r="T337">
            <v>-20</v>
          </cell>
          <cell r="U337">
            <v>-20</v>
          </cell>
          <cell r="V337">
            <v>-20</v>
          </cell>
          <cell r="W337">
            <v>-20</v>
          </cell>
          <cell r="X337">
            <v>-20</v>
          </cell>
          <cell r="Y337">
            <v>-20</v>
          </cell>
          <cell r="Z337">
            <v>-20</v>
          </cell>
          <cell r="AA337">
            <v>-20</v>
          </cell>
          <cell r="AB337">
            <v>-20</v>
          </cell>
          <cell r="AC337">
            <v>-20</v>
          </cell>
          <cell r="AD337">
            <v>-20</v>
          </cell>
          <cell r="AE337">
            <v>-20</v>
          </cell>
          <cell r="AF337">
            <v>-20</v>
          </cell>
          <cell r="AG337">
            <v>-20</v>
          </cell>
          <cell r="AH337">
            <v>-20</v>
          </cell>
          <cell r="AI337">
            <v>-20</v>
          </cell>
          <cell r="AJ337">
            <v>-20</v>
          </cell>
        </row>
        <row r="338">
          <cell r="I338" t="str">
            <v>Bear Case</v>
          </cell>
          <cell r="M338">
            <v>7.1269187906227632E-2</v>
          </cell>
          <cell r="N338">
            <v>5.8748107341902653E-2</v>
          </cell>
          <cell r="O338">
            <v>5.7812423180201071E-2</v>
          </cell>
          <cell r="P338">
            <v>5.4376595759869223E-2</v>
          </cell>
          <cell r="Q338">
            <v>4.2528648927276043E-2</v>
          </cell>
          <cell r="R338">
            <v>4.0238618358932297E-2</v>
          </cell>
          <cell r="S338">
            <v>4.0896762073845648E-2</v>
          </cell>
          <cell r="T338">
            <v>4.3500000000000004E-2</v>
          </cell>
          <cell r="U338">
            <v>4.2500000000000003E-2</v>
          </cell>
          <cell r="V338">
            <v>4.1500000000000002E-2</v>
          </cell>
          <cell r="W338">
            <v>4.0500000000000001E-2</v>
          </cell>
          <cell r="X338">
            <v>4.0500000000000001E-2</v>
          </cell>
          <cell r="Y338">
            <v>4.0500000000000001E-2</v>
          </cell>
          <cell r="Z338">
            <v>4.0500000000000001E-2</v>
          </cell>
          <cell r="AA338">
            <v>4.0500000000000001E-2</v>
          </cell>
          <cell r="AB338">
            <v>4.0500000000000001E-2</v>
          </cell>
          <cell r="AC338">
            <v>4.0500000000000001E-2</v>
          </cell>
          <cell r="AD338">
            <v>4.0500000000000001E-2</v>
          </cell>
          <cell r="AE338">
            <v>4.0500000000000001E-2</v>
          </cell>
          <cell r="AF338">
            <v>4.0500000000000001E-2</v>
          </cell>
          <cell r="AG338">
            <v>4.0500000000000001E-2</v>
          </cell>
          <cell r="AH338">
            <v>4.0500000000000001E-2</v>
          </cell>
          <cell r="AI338">
            <v>4.0500000000000001E-2</v>
          </cell>
          <cell r="AJ338">
            <v>4.0500000000000001E-2</v>
          </cell>
        </row>
        <row r="339">
          <cell r="I339" t="str">
            <v>Bear vs. Base Case - bps</v>
          </cell>
          <cell r="M339">
            <v>0</v>
          </cell>
          <cell r="N339">
            <v>0</v>
          </cell>
          <cell r="O339">
            <v>0</v>
          </cell>
          <cell r="P339">
            <v>0</v>
          </cell>
          <cell r="Q339">
            <v>0</v>
          </cell>
          <cell r="R339">
            <v>0</v>
          </cell>
          <cell r="S339">
            <v>0</v>
          </cell>
          <cell r="T339">
            <v>25</v>
          </cell>
          <cell r="U339">
            <v>25</v>
          </cell>
          <cell r="V339">
            <v>25</v>
          </cell>
          <cell r="W339">
            <v>25</v>
          </cell>
          <cell r="X339">
            <v>25</v>
          </cell>
          <cell r="Y339">
            <v>25</v>
          </cell>
          <cell r="Z339">
            <v>25</v>
          </cell>
          <cell r="AA339">
            <v>25</v>
          </cell>
          <cell r="AB339">
            <v>25</v>
          </cell>
          <cell r="AC339">
            <v>25</v>
          </cell>
          <cell r="AD339">
            <v>25</v>
          </cell>
          <cell r="AE339">
            <v>25</v>
          </cell>
          <cell r="AF339">
            <v>25</v>
          </cell>
          <cell r="AG339">
            <v>25</v>
          </cell>
          <cell r="AH339">
            <v>25</v>
          </cell>
          <cell r="AI339">
            <v>25</v>
          </cell>
          <cell r="AJ339">
            <v>25</v>
          </cell>
        </row>
        <row r="341">
          <cell r="I341" t="str">
            <v>Information Technology as % of Gross Profit</v>
          </cell>
        </row>
        <row r="342">
          <cell r="I342" t="str">
            <v>Base Case</v>
          </cell>
          <cell r="M342">
            <v>2.4305720034206012E-2</v>
          </cell>
          <cell r="N342">
            <v>2.2194839083792404E-2</v>
          </cell>
          <cell r="O342">
            <v>1.878299655533484E-2</v>
          </cell>
          <cell r="P342">
            <v>1.5179696739196821E-2</v>
          </cell>
          <cell r="Q342">
            <v>1.099963750123103E-2</v>
          </cell>
          <cell r="R342">
            <v>1.0649478726432109E-2</v>
          </cell>
          <cell r="S342">
            <v>1.070720644181832E-2</v>
          </cell>
          <cell r="T342">
            <v>1.0999999999999999E-2</v>
          </cell>
          <cell r="U342">
            <v>1.0999999999999999E-2</v>
          </cell>
          <cell r="V342">
            <v>1.0999999999999999E-2</v>
          </cell>
          <cell r="W342">
            <v>1.0999999999999999E-2</v>
          </cell>
          <cell r="X342">
            <v>1.0999999999999999E-2</v>
          </cell>
          <cell r="Y342">
            <v>1.0999999999999999E-2</v>
          </cell>
          <cell r="Z342">
            <v>1.0999999999999999E-2</v>
          </cell>
          <cell r="AA342">
            <v>1.0999999999999999E-2</v>
          </cell>
          <cell r="AB342">
            <v>1.0999999999999999E-2</v>
          </cell>
          <cell r="AC342">
            <v>1.0999999999999999E-2</v>
          </cell>
          <cell r="AD342">
            <v>1.0999999999999999E-2</v>
          </cell>
          <cell r="AE342">
            <v>1.0999999999999999E-2</v>
          </cell>
          <cell r="AF342">
            <v>1.0999999999999999E-2</v>
          </cell>
          <cell r="AG342">
            <v>1.0999999999999999E-2</v>
          </cell>
          <cell r="AH342">
            <v>1.0999999999999999E-2</v>
          </cell>
          <cell r="AI342">
            <v>1.0999999999999999E-2</v>
          </cell>
          <cell r="AJ342">
            <v>1.0999999999999999E-2</v>
          </cell>
        </row>
        <row r="343">
          <cell r="I343" t="str">
            <v>Bull Case</v>
          </cell>
          <cell r="M343">
            <v>2.4305720034206012E-2</v>
          </cell>
          <cell r="N343">
            <v>2.2194839083792404E-2</v>
          </cell>
          <cell r="O343">
            <v>1.878299655533484E-2</v>
          </cell>
          <cell r="P343">
            <v>1.5179696739196821E-2</v>
          </cell>
          <cell r="Q343">
            <v>1.099963750123103E-2</v>
          </cell>
          <cell r="R343">
            <v>1.0649478726432109E-2</v>
          </cell>
          <cell r="S343">
            <v>1.070720644181832E-2</v>
          </cell>
          <cell r="T343">
            <v>8.9999999999999993E-3</v>
          </cell>
          <cell r="U343">
            <v>8.9999999999999993E-3</v>
          </cell>
          <cell r="V343">
            <v>8.9999999999999993E-3</v>
          </cell>
          <cell r="W343">
            <v>8.9999999999999993E-3</v>
          </cell>
          <cell r="X343">
            <v>8.9999999999999993E-3</v>
          </cell>
          <cell r="Y343">
            <v>8.9999999999999993E-3</v>
          </cell>
          <cell r="Z343">
            <v>8.9999999999999993E-3</v>
          </cell>
          <cell r="AA343">
            <v>8.9999999999999993E-3</v>
          </cell>
          <cell r="AB343">
            <v>8.9999999999999993E-3</v>
          </cell>
          <cell r="AC343">
            <v>8.9999999999999993E-3</v>
          </cell>
          <cell r="AD343">
            <v>8.9999999999999993E-3</v>
          </cell>
          <cell r="AE343">
            <v>8.9999999999999993E-3</v>
          </cell>
          <cell r="AF343">
            <v>8.9999999999999993E-3</v>
          </cell>
          <cell r="AG343">
            <v>8.9999999999999993E-3</v>
          </cell>
          <cell r="AH343">
            <v>8.9999999999999993E-3</v>
          </cell>
          <cell r="AI343">
            <v>8.9999999999999993E-3</v>
          </cell>
          <cell r="AJ343">
            <v>8.9999999999999993E-3</v>
          </cell>
        </row>
        <row r="344">
          <cell r="I344" t="str">
            <v>Bull vs. Base Case - bps</v>
          </cell>
          <cell r="M344">
            <v>0</v>
          </cell>
          <cell r="N344">
            <v>0</v>
          </cell>
          <cell r="O344">
            <v>0</v>
          </cell>
          <cell r="P344">
            <v>0</v>
          </cell>
          <cell r="Q344">
            <v>0</v>
          </cell>
          <cell r="R344">
            <v>0</v>
          </cell>
          <cell r="S344">
            <v>0</v>
          </cell>
          <cell r="T344">
            <v>-20</v>
          </cell>
          <cell r="U344">
            <v>-20</v>
          </cell>
          <cell r="V344">
            <v>-20</v>
          </cell>
          <cell r="W344">
            <v>-20</v>
          </cell>
          <cell r="X344">
            <v>-20</v>
          </cell>
          <cell r="Y344">
            <v>-20</v>
          </cell>
          <cell r="Z344">
            <v>-20</v>
          </cell>
          <cell r="AA344">
            <v>-20</v>
          </cell>
          <cell r="AB344">
            <v>-20</v>
          </cell>
          <cell r="AC344">
            <v>-20</v>
          </cell>
          <cell r="AD344">
            <v>-20</v>
          </cell>
          <cell r="AE344">
            <v>-20</v>
          </cell>
          <cell r="AF344">
            <v>-20</v>
          </cell>
          <cell r="AG344">
            <v>-20</v>
          </cell>
          <cell r="AH344">
            <v>-20</v>
          </cell>
          <cell r="AI344">
            <v>-20</v>
          </cell>
          <cell r="AJ344">
            <v>-20</v>
          </cell>
        </row>
        <row r="345">
          <cell r="I345" t="str">
            <v>Bear Case</v>
          </cell>
          <cell r="M345">
            <v>2.4305720034206012E-2</v>
          </cell>
          <cell r="N345">
            <v>2.2194839083792404E-2</v>
          </cell>
          <cell r="O345">
            <v>1.878299655533484E-2</v>
          </cell>
          <cell r="P345">
            <v>1.5179696739196821E-2</v>
          </cell>
          <cell r="Q345">
            <v>1.099963750123103E-2</v>
          </cell>
          <cell r="R345">
            <v>1.0649478726432109E-2</v>
          </cell>
          <cell r="S345">
            <v>1.070720644181832E-2</v>
          </cell>
          <cell r="T345">
            <v>1.35E-2</v>
          </cell>
          <cell r="U345">
            <v>1.35E-2</v>
          </cell>
          <cell r="V345">
            <v>1.35E-2</v>
          </cell>
          <cell r="W345">
            <v>1.35E-2</v>
          </cell>
          <cell r="X345">
            <v>1.35E-2</v>
          </cell>
          <cell r="Y345">
            <v>1.35E-2</v>
          </cell>
          <cell r="Z345">
            <v>1.35E-2</v>
          </cell>
          <cell r="AA345">
            <v>1.35E-2</v>
          </cell>
          <cell r="AB345">
            <v>1.35E-2</v>
          </cell>
          <cell r="AC345">
            <v>1.35E-2</v>
          </cell>
          <cell r="AD345">
            <v>1.35E-2</v>
          </cell>
          <cell r="AE345">
            <v>1.35E-2</v>
          </cell>
          <cell r="AF345">
            <v>1.35E-2</v>
          </cell>
          <cell r="AG345">
            <v>1.35E-2</v>
          </cell>
          <cell r="AH345">
            <v>1.35E-2</v>
          </cell>
          <cell r="AI345">
            <v>1.35E-2</v>
          </cell>
          <cell r="AJ345">
            <v>1.35E-2</v>
          </cell>
        </row>
        <row r="346">
          <cell r="I346" t="str">
            <v>Bear vs. Base Case - bps</v>
          </cell>
          <cell r="M346">
            <v>0</v>
          </cell>
          <cell r="N346">
            <v>0</v>
          </cell>
          <cell r="O346">
            <v>0</v>
          </cell>
          <cell r="P346">
            <v>0</v>
          </cell>
          <cell r="Q346">
            <v>0</v>
          </cell>
          <cell r="R346">
            <v>0</v>
          </cell>
          <cell r="S346">
            <v>0</v>
          </cell>
          <cell r="T346">
            <v>25</v>
          </cell>
          <cell r="U346">
            <v>25</v>
          </cell>
          <cell r="V346">
            <v>25</v>
          </cell>
          <cell r="W346">
            <v>25</v>
          </cell>
          <cell r="X346">
            <v>25</v>
          </cell>
          <cell r="Y346">
            <v>25</v>
          </cell>
          <cell r="Z346">
            <v>25</v>
          </cell>
          <cell r="AA346">
            <v>25</v>
          </cell>
          <cell r="AB346">
            <v>25</v>
          </cell>
          <cell r="AC346">
            <v>25</v>
          </cell>
          <cell r="AD346">
            <v>25</v>
          </cell>
          <cell r="AE346">
            <v>25</v>
          </cell>
          <cell r="AF346">
            <v>25</v>
          </cell>
          <cell r="AG346">
            <v>25</v>
          </cell>
          <cell r="AH346">
            <v>25</v>
          </cell>
          <cell r="AI346">
            <v>25</v>
          </cell>
          <cell r="AJ346">
            <v>25</v>
          </cell>
        </row>
        <row r="348">
          <cell r="I348" t="str">
            <v>Stock-Based Compensation as % of Gross Profit</v>
          </cell>
        </row>
        <row r="349">
          <cell r="I349" t="str">
            <v>Base Case</v>
          </cell>
          <cell r="M349">
            <v>3.7217744247679499E-2</v>
          </cell>
          <cell r="N349">
            <v>2.6179891111755425E-2</v>
          </cell>
          <cell r="O349">
            <v>4.2388315126714093E-2</v>
          </cell>
          <cell r="P349">
            <v>3.2259036789626598E-2</v>
          </cell>
          <cell r="Q349">
            <v>3.572603474540223E-2</v>
          </cell>
          <cell r="R349">
            <v>2.0069412414883865E-2</v>
          </cell>
          <cell r="S349">
            <v>2.1674166326760683E-2</v>
          </cell>
          <cell r="T349">
            <v>2.5000000000000001E-2</v>
          </cell>
          <cell r="U349">
            <v>2.5000000000000001E-2</v>
          </cell>
          <cell r="V349">
            <v>2.5000000000000001E-2</v>
          </cell>
          <cell r="W349">
            <v>2.5000000000000001E-2</v>
          </cell>
          <cell r="X349">
            <v>2.5000000000000001E-2</v>
          </cell>
          <cell r="Y349">
            <v>2.5000000000000001E-2</v>
          </cell>
          <cell r="Z349">
            <v>2.5000000000000001E-2</v>
          </cell>
          <cell r="AA349">
            <v>2.5000000000000001E-2</v>
          </cell>
          <cell r="AB349">
            <v>2.5000000000000001E-2</v>
          </cell>
          <cell r="AC349">
            <v>2.5000000000000001E-2</v>
          </cell>
          <cell r="AD349">
            <v>2.5000000000000001E-2</v>
          </cell>
          <cell r="AE349">
            <v>2.5000000000000001E-2</v>
          </cell>
          <cell r="AF349">
            <v>2.5000000000000001E-2</v>
          </cell>
          <cell r="AG349">
            <v>2.5000000000000001E-2</v>
          </cell>
          <cell r="AH349">
            <v>2.5000000000000001E-2</v>
          </cell>
          <cell r="AI349">
            <v>2.5000000000000001E-2</v>
          </cell>
          <cell r="AJ349">
            <v>2.5000000000000001E-2</v>
          </cell>
        </row>
        <row r="350">
          <cell r="I350" t="str">
            <v>Bull Case</v>
          </cell>
          <cell r="M350">
            <v>3.7217744247679499E-2</v>
          </cell>
          <cell r="N350">
            <v>2.6179891111755425E-2</v>
          </cell>
          <cell r="O350">
            <v>4.2388315126714093E-2</v>
          </cell>
          <cell r="P350">
            <v>3.2259036789626598E-2</v>
          </cell>
          <cell r="Q350">
            <v>3.572603474540223E-2</v>
          </cell>
          <cell r="R350">
            <v>2.0069412414883865E-2</v>
          </cell>
          <cell r="S350">
            <v>2.1674166326760683E-2</v>
          </cell>
          <cell r="T350">
            <v>2.2500000000000003E-2</v>
          </cell>
          <cell r="U350">
            <v>2.2500000000000003E-2</v>
          </cell>
          <cell r="V350">
            <v>2.2500000000000003E-2</v>
          </cell>
          <cell r="W350">
            <v>2.2500000000000003E-2</v>
          </cell>
          <cell r="X350">
            <v>2.2500000000000003E-2</v>
          </cell>
          <cell r="Y350">
            <v>2.2500000000000003E-2</v>
          </cell>
          <cell r="Z350">
            <v>2.2500000000000003E-2</v>
          </cell>
          <cell r="AA350">
            <v>2.2500000000000003E-2</v>
          </cell>
          <cell r="AB350">
            <v>2.2500000000000003E-2</v>
          </cell>
          <cell r="AC350">
            <v>2.2500000000000003E-2</v>
          </cell>
          <cell r="AD350">
            <v>2.2500000000000003E-2</v>
          </cell>
          <cell r="AE350">
            <v>2.2500000000000003E-2</v>
          </cell>
          <cell r="AF350">
            <v>2.2500000000000003E-2</v>
          </cell>
          <cell r="AG350">
            <v>2.2500000000000003E-2</v>
          </cell>
          <cell r="AH350">
            <v>2.2500000000000003E-2</v>
          </cell>
          <cell r="AI350">
            <v>2.2500000000000003E-2</v>
          </cell>
          <cell r="AJ350">
            <v>2.2500000000000003E-2</v>
          </cell>
        </row>
        <row r="351">
          <cell r="I351" t="str">
            <v>Bull vs. Base Case - bps</v>
          </cell>
          <cell r="M351">
            <v>0</v>
          </cell>
          <cell r="N351">
            <v>0</v>
          </cell>
          <cell r="O351">
            <v>0</v>
          </cell>
          <cell r="P351">
            <v>0</v>
          </cell>
          <cell r="Q351">
            <v>0</v>
          </cell>
          <cell r="R351">
            <v>0</v>
          </cell>
          <cell r="S351">
            <v>0</v>
          </cell>
          <cell r="T351">
            <v>-25</v>
          </cell>
          <cell r="U351">
            <v>-25</v>
          </cell>
          <cell r="V351">
            <v>-25</v>
          </cell>
          <cell r="W351">
            <v>-25</v>
          </cell>
          <cell r="X351">
            <v>-25</v>
          </cell>
          <cell r="Y351">
            <v>-25</v>
          </cell>
          <cell r="Z351">
            <v>-25</v>
          </cell>
          <cell r="AA351">
            <v>-25</v>
          </cell>
          <cell r="AB351">
            <v>-25</v>
          </cell>
          <cell r="AC351">
            <v>-25</v>
          </cell>
          <cell r="AD351">
            <v>-25</v>
          </cell>
          <cell r="AE351">
            <v>-25</v>
          </cell>
          <cell r="AF351">
            <v>-25</v>
          </cell>
          <cell r="AG351">
            <v>-25</v>
          </cell>
          <cell r="AH351">
            <v>-25</v>
          </cell>
          <cell r="AI351">
            <v>-25</v>
          </cell>
          <cell r="AJ351">
            <v>-25</v>
          </cell>
        </row>
        <row r="352">
          <cell r="I352" t="str">
            <v>Bear Case</v>
          </cell>
          <cell r="M352">
            <v>3.7217744247679499E-2</v>
          </cell>
          <cell r="N352">
            <v>2.6179891111755425E-2</v>
          </cell>
          <cell r="O352">
            <v>4.2388315126714093E-2</v>
          </cell>
          <cell r="P352">
            <v>3.2259036789626598E-2</v>
          </cell>
          <cell r="Q352">
            <v>3.572603474540223E-2</v>
          </cell>
          <cell r="R352">
            <v>2.0069412414883865E-2</v>
          </cell>
          <cell r="S352">
            <v>2.1674166326760683E-2</v>
          </cell>
          <cell r="T352">
            <v>2.75E-2</v>
          </cell>
          <cell r="U352">
            <v>2.75E-2</v>
          </cell>
          <cell r="V352">
            <v>2.75E-2</v>
          </cell>
          <cell r="W352">
            <v>2.75E-2</v>
          </cell>
          <cell r="X352">
            <v>2.75E-2</v>
          </cell>
          <cell r="Y352">
            <v>2.75E-2</v>
          </cell>
          <cell r="Z352">
            <v>2.75E-2</v>
          </cell>
          <cell r="AA352">
            <v>2.75E-2</v>
          </cell>
          <cell r="AB352">
            <v>2.75E-2</v>
          </cell>
          <cell r="AC352">
            <v>2.75E-2</v>
          </cell>
          <cell r="AD352">
            <v>2.75E-2</v>
          </cell>
          <cell r="AE352">
            <v>2.75E-2</v>
          </cell>
          <cell r="AF352">
            <v>2.75E-2</v>
          </cell>
          <cell r="AG352">
            <v>2.75E-2</v>
          </cell>
          <cell r="AH352">
            <v>2.75E-2</v>
          </cell>
          <cell r="AI352">
            <v>2.75E-2</v>
          </cell>
          <cell r="AJ352">
            <v>2.75E-2</v>
          </cell>
        </row>
        <row r="353">
          <cell r="I353" t="str">
            <v>Bear vs. Base Case - bps</v>
          </cell>
          <cell r="M353">
            <v>0</v>
          </cell>
          <cell r="N353">
            <v>0</v>
          </cell>
          <cell r="O353">
            <v>0</v>
          </cell>
          <cell r="P353">
            <v>0</v>
          </cell>
          <cell r="Q353">
            <v>0</v>
          </cell>
          <cell r="R353">
            <v>0</v>
          </cell>
          <cell r="S353">
            <v>0</v>
          </cell>
          <cell r="T353">
            <v>25</v>
          </cell>
          <cell r="U353">
            <v>25</v>
          </cell>
          <cell r="V353">
            <v>25</v>
          </cell>
          <cell r="W353">
            <v>25</v>
          </cell>
          <cell r="X353">
            <v>25</v>
          </cell>
          <cell r="Y353">
            <v>25</v>
          </cell>
          <cell r="Z353">
            <v>25</v>
          </cell>
          <cell r="AA353">
            <v>25</v>
          </cell>
          <cell r="AB353">
            <v>25</v>
          </cell>
          <cell r="AC353">
            <v>25</v>
          </cell>
          <cell r="AD353">
            <v>25</v>
          </cell>
          <cell r="AE353">
            <v>25</v>
          </cell>
          <cell r="AF353">
            <v>25</v>
          </cell>
          <cell r="AG353">
            <v>25</v>
          </cell>
          <cell r="AH353">
            <v>25</v>
          </cell>
          <cell r="AI353">
            <v>25</v>
          </cell>
          <cell r="AJ353">
            <v>25</v>
          </cell>
        </row>
        <row r="355">
          <cell r="I355" t="str">
            <v>Model Drivers</v>
          </cell>
        </row>
        <row r="356">
          <cell r="I356" t="str">
            <v>Gross Bookings Model Drivers:</v>
          </cell>
        </row>
        <row r="357">
          <cell r="I357" t="str">
            <v>US</v>
          </cell>
        </row>
        <row r="358">
          <cell r="I358" t="str">
            <v>Agency (Priceline.com &amp; Booking.com) - Y/Y growth</v>
          </cell>
          <cell r="T358">
            <v>0.12</v>
          </cell>
          <cell r="U358">
            <v>0.08</v>
          </cell>
          <cell r="V358">
            <v>0.05</v>
          </cell>
          <cell r="W358">
            <v>4.4999999999999998E-2</v>
          </cell>
          <cell r="X358">
            <v>4.4999999999999998E-2</v>
          </cell>
          <cell r="Y358">
            <v>4.4999999999999998E-2</v>
          </cell>
          <cell r="Z358">
            <v>4.4999999999999998E-2</v>
          </cell>
          <cell r="AA358">
            <v>4.4999999999999998E-2</v>
          </cell>
          <cell r="AB358">
            <v>4.4999999999999998E-2</v>
          </cell>
          <cell r="AC358">
            <v>4.4999999999999998E-2</v>
          </cell>
          <cell r="AD358">
            <v>4.4999999999999998E-2</v>
          </cell>
          <cell r="AE358">
            <v>4.4999999999999998E-2</v>
          </cell>
          <cell r="AF358">
            <v>4.4999999999999998E-2</v>
          </cell>
          <cell r="AG358">
            <v>4.4999999999999998E-2</v>
          </cell>
          <cell r="AH358">
            <v>4.4999999999999998E-2</v>
          </cell>
          <cell r="AI358">
            <v>4.4999999999999998E-2</v>
          </cell>
          <cell r="AJ358">
            <v>4.4999999999999998E-2</v>
          </cell>
        </row>
        <row r="359">
          <cell r="I359" t="str">
            <v>Merchant (NYOP &amp; Priceline.com) - Y/Y growth</v>
          </cell>
          <cell r="T359">
            <v>7.4999999999999997E-2</v>
          </cell>
          <cell r="U359">
            <v>7.0000000000000007E-2</v>
          </cell>
          <cell r="V359">
            <v>5.5E-2</v>
          </cell>
          <cell r="W359">
            <v>0.05</v>
          </cell>
          <cell r="X359">
            <v>0.04</v>
          </cell>
          <cell r="Y359">
            <v>0.04</v>
          </cell>
          <cell r="Z359">
            <v>0.04</v>
          </cell>
          <cell r="AA359">
            <v>0.04</v>
          </cell>
          <cell r="AB359">
            <v>0.04</v>
          </cell>
          <cell r="AC359">
            <v>0.04</v>
          </cell>
          <cell r="AD359">
            <v>0.04</v>
          </cell>
          <cell r="AE359">
            <v>0.04</v>
          </cell>
          <cell r="AF359">
            <v>0.04</v>
          </cell>
          <cell r="AG359">
            <v>0.04</v>
          </cell>
          <cell r="AH359">
            <v>0.04</v>
          </cell>
          <cell r="AI359">
            <v>0.04</v>
          </cell>
          <cell r="AJ359">
            <v>0.04</v>
          </cell>
        </row>
        <row r="360">
          <cell r="I360" t="str">
            <v>Europe</v>
          </cell>
        </row>
        <row r="361">
          <cell r="I361" t="str">
            <v>Agency (Booking.com &amp; Other) - Y/Y growth</v>
          </cell>
          <cell r="T361">
            <v>0.21</v>
          </cell>
          <cell r="U361">
            <v>0.12</v>
          </cell>
          <cell r="V361">
            <v>8.5000000000000006E-2</v>
          </cell>
          <cell r="W361">
            <v>7.0000000000000007E-2</v>
          </cell>
          <cell r="X361">
            <v>0.06</v>
          </cell>
          <cell r="Y361">
            <v>4.7500000000000001E-2</v>
          </cell>
          <cell r="Z361">
            <v>4.4999999999999998E-2</v>
          </cell>
          <cell r="AA361">
            <v>4.4999999999999998E-2</v>
          </cell>
          <cell r="AB361">
            <v>4.4999999999999998E-2</v>
          </cell>
          <cell r="AC361">
            <v>4.4999999999999998E-2</v>
          </cell>
          <cell r="AD361">
            <v>4.4999999999999998E-2</v>
          </cell>
          <cell r="AE361">
            <v>4.4999999999999998E-2</v>
          </cell>
          <cell r="AF361">
            <v>4.4999999999999998E-2</v>
          </cell>
          <cell r="AG361">
            <v>4.4999999999999998E-2</v>
          </cell>
          <cell r="AH361">
            <v>4.4999999999999998E-2</v>
          </cell>
          <cell r="AI361">
            <v>4.4999999999999998E-2</v>
          </cell>
          <cell r="AJ361">
            <v>4.4999999999999998E-2</v>
          </cell>
        </row>
        <row r="362">
          <cell r="I362" t="str">
            <v>Merchant (TravelJigsaw) - Y/Y growth</v>
          </cell>
          <cell r="T362">
            <v>0.35</v>
          </cell>
          <cell r="U362">
            <v>0.2</v>
          </cell>
          <cell r="V362">
            <v>0.12</v>
          </cell>
          <cell r="W362">
            <v>0.09</v>
          </cell>
          <cell r="X362">
            <v>7.0000000000000007E-2</v>
          </cell>
          <cell r="Y362">
            <v>0.05</v>
          </cell>
          <cell r="Z362">
            <v>0.05</v>
          </cell>
          <cell r="AA362">
            <v>0.05</v>
          </cell>
          <cell r="AB362">
            <v>0.05</v>
          </cell>
          <cell r="AC362">
            <v>0.05</v>
          </cell>
          <cell r="AD362">
            <v>0.05</v>
          </cell>
          <cell r="AE362">
            <v>0.05</v>
          </cell>
          <cell r="AF362">
            <v>0.05</v>
          </cell>
          <cell r="AG362">
            <v>0.05</v>
          </cell>
          <cell r="AH362">
            <v>0.05</v>
          </cell>
          <cell r="AI362">
            <v>0.05</v>
          </cell>
          <cell r="AJ362">
            <v>0.05</v>
          </cell>
        </row>
        <row r="363">
          <cell r="I363" t="str">
            <v>Asia</v>
          </cell>
        </row>
        <row r="364">
          <cell r="I364" t="str">
            <v>Agency (Booking.com) - Y/Y growth</v>
          </cell>
          <cell r="T364">
            <v>0.4</v>
          </cell>
          <cell r="U364">
            <v>0.2</v>
          </cell>
          <cell r="V364">
            <v>0.12</v>
          </cell>
          <cell r="W364">
            <v>0.09</v>
          </cell>
          <cell r="X364">
            <v>7.0000000000000007E-2</v>
          </cell>
          <cell r="Y364">
            <v>0.06</v>
          </cell>
          <cell r="Z364">
            <v>0.06</v>
          </cell>
          <cell r="AA364">
            <v>0.06</v>
          </cell>
          <cell r="AB364">
            <v>0.06</v>
          </cell>
          <cell r="AC364">
            <v>0.06</v>
          </cell>
          <cell r="AD364">
            <v>0.06</v>
          </cell>
          <cell r="AE364">
            <v>0.06</v>
          </cell>
          <cell r="AF364">
            <v>0.06</v>
          </cell>
          <cell r="AG364">
            <v>0.06</v>
          </cell>
          <cell r="AH364">
            <v>0.06</v>
          </cell>
          <cell r="AI364">
            <v>0.06</v>
          </cell>
          <cell r="AJ364">
            <v>0.06</v>
          </cell>
        </row>
        <row r="365">
          <cell r="I365" t="str">
            <v>Merchant (Agoda) - Y/Y growth</v>
          </cell>
          <cell r="T365">
            <v>0.3</v>
          </cell>
          <cell r="U365">
            <v>0.18</v>
          </cell>
          <cell r="V365">
            <v>0.08</v>
          </cell>
          <cell r="W365">
            <v>7.0000000000000007E-2</v>
          </cell>
          <cell r="X365">
            <v>0.06</v>
          </cell>
          <cell r="Y365">
            <v>0.05</v>
          </cell>
          <cell r="Z365">
            <v>0.05</v>
          </cell>
          <cell r="AA365">
            <v>0.05</v>
          </cell>
          <cell r="AB365">
            <v>0.05</v>
          </cell>
          <cell r="AC365">
            <v>0.05</v>
          </cell>
          <cell r="AD365">
            <v>0.05</v>
          </cell>
          <cell r="AE365">
            <v>0.05</v>
          </cell>
          <cell r="AF365">
            <v>0.05</v>
          </cell>
          <cell r="AG365">
            <v>0.05</v>
          </cell>
          <cell r="AH365">
            <v>0.05</v>
          </cell>
          <cell r="AI365">
            <v>0.05</v>
          </cell>
          <cell r="AJ365">
            <v>0.05</v>
          </cell>
        </row>
        <row r="366">
          <cell r="I366" t="str">
            <v>Latin America</v>
          </cell>
        </row>
        <row r="367">
          <cell r="I367" t="str">
            <v>Agency (Booking.com) - Y/Y growth</v>
          </cell>
          <cell r="T367">
            <v>0.4</v>
          </cell>
          <cell r="U367">
            <v>0.22</v>
          </cell>
          <cell r="V367">
            <v>0.15</v>
          </cell>
          <cell r="W367">
            <v>0.1</v>
          </cell>
          <cell r="X367">
            <v>0.08</v>
          </cell>
          <cell r="Y367">
            <v>7.0000000000000007E-2</v>
          </cell>
          <cell r="Z367">
            <v>7.0000000000000007E-2</v>
          </cell>
          <cell r="AA367">
            <v>7.0000000000000007E-2</v>
          </cell>
          <cell r="AB367">
            <v>7.0000000000000007E-2</v>
          </cell>
          <cell r="AC367">
            <v>7.0000000000000007E-2</v>
          </cell>
          <cell r="AD367">
            <v>7.0000000000000007E-2</v>
          </cell>
          <cell r="AE367">
            <v>7.0000000000000007E-2</v>
          </cell>
          <cell r="AF367">
            <v>7.0000000000000007E-2</v>
          </cell>
          <cell r="AG367">
            <v>7.0000000000000007E-2</v>
          </cell>
          <cell r="AH367">
            <v>7.0000000000000007E-2</v>
          </cell>
          <cell r="AI367">
            <v>7.0000000000000007E-2</v>
          </cell>
          <cell r="AJ367">
            <v>7.0000000000000007E-2</v>
          </cell>
        </row>
        <row r="369">
          <cell r="I369" t="str">
            <v>US</v>
          </cell>
        </row>
        <row r="370">
          <cell r="I370" t="str">
            <v xml:space="preserve">Agency (Priceline.com &amp; Booking.com) </v>
          </cell>
          <cell r="M370">
            <v>834.30699999999956</v>
          </cell>
          <cell r="N370">
            <v>923.46399999999994</v>
          </cell>
          <cell r="O370">
            <v>1538.9859999999999</v>
          </cell>
          <cell r="P370">
            <v>1772.3919999999998</v>
          </cell>
          <cell r="Q370">
            <v>2028.4010000000003</v>
          </cell>
          <cell r="R370">
            <v>2335.0682999999999</v>
          </cell>
          <cell r="S370">
            <v>2715.9713540000002</v>
          </cell>
          <cell r="T370">
            <v>3041.8879164800005</v>
          </cell>
          <cell r="U370">
            <v>3285.2389497984009</v>
          </cell>
          <cell r="V370">
            <v>3449.5008972883211</v>
          </cell>
          <cell r="W370">
            <v>3604.7284376662951</v>
          </cell>
          <cell r="X370">
            <v>3766.9412173612782</v>
          </cell>
          <cell r="Y370">
            <v>3936.4535721425354</v>
          </cell>
          <cell r="Z370">
            <v>4113.5939828889495</v>
          </cell>
          <cell r="AA370">
            <v>4298.7057121189519</v>
          </cell>
          <cell r="AB370">
            <v>4492.1474691643043</v>
          </cell>
          <cell r="AC370">
            <v>4694.2941052766973</v>
          </cell>
          <cell r="AD370">
            <v>4905.537340014148</v>
          </cell>
          <cell r="AE370">
            <v>5126.286520314784</v>
          </cell>
          <cell r="AF370">
            <v>5356.9694137289489</v>
          </cell>
          <cell r="AG370">
            <v>5598.0330373467514</v>
          </cell>
          <cell r="AH370">
            <v>5849.9445240273544</v>
          </cell>
          <cell r="AI370">
            <v>6113.1920276085848</v>
          </cell>
          <cell r="AJ370">
            <v>6388.285668850971</v>
          </cell>
        </row>
        <row r="371">
          <cell r="I371" t="str">
            <v xml:space="preserve">Merchant (NYOP &amp; Priceline.com) </v>
          </cell>
          <cell r="M371">
            <v>1138.4829999999999</v>
          </cell>
          <cell r="N371">
            <v>1230.9110000000001</v>
          </cell>
          <cell r="O371">
            <v>1542.806</v>
          </cell>
          <cell r="P371">
            <v>1873.67</v>
          </cell>
          <cell r="Q371">
            <v>2138.4740000000002</v>
          </cell>
          <cell r="R371">
            <v>2388.6791999999996</v>
          </cell>
          <cell r="S371">
            <v>2592.8427940000001</v>
          </cell>
          <cell r="T371">
            <v>2787.3060035500002</v>
          </cell>
          <cell r="U371">
            <v>2982.4174237985003</v>
          </cell>
          <cell r="V371">
            <v>3146.4503821074177</v>
          </cell>
          <cell r="W371">
            <v>3303.7729012127888</v>
          </cell>
          <cell r="X371">
            <v>3435.9238172613004</v>
          </cell>
          <cell r="Y371">
            <v>3573.3607699517524</v>
          </cell>
          <cell r="Z371">
            <v>3716.2952007498225</v>
          </cell>
          <cell r="AA371">
            <v>3864.9470087798154</v>
          </cell>
          <cell r="AB371">
            <v>4019.5448891310079</v>
          </cell>
          <cell r="AC371">
            <v>4180.3266846962488</v>
          </cell>
          <cell r="AD371">
            <v>4347.5397520840988</v>
          </cell>
          <cell r="AE371">
            <v>4521.4413421674626</v>
          </cell>
          <cell r="AF371">
            <v>4702.2989958541611</v>
          </cell>
          <cell r="AG371">
            <v>4890.3909556883282</v>
          </cell>
          <cell r="AH371">
            <v>5086.0065939158612</v>
          </cell>
          <cell r="AI371">
            <v>5289.4468576724958</v>
          </cell>
          <cell r="AJ371">
            <v>5501.0247319793962</v>
          </cell>
        </row>
        <row r="372">
          <cell r="I372" t="str">
            <v>Europe</v>
          </cell>
        </row>
        <row r="373">
          <cell r="I373" t="str">
            <v xml:space="preserve">Agency (Booking.com &amp; Other) </v>
          </cell>
          <cell r="M373">
            <v>1323.9290000000003</v>
          </cell>
          <cell r="N373">
            <v>2596.2659999999996</v>
          </cell>
          <cell r="O373">
            <v>4024.8225000000002</v>
          </cell>
          <cell r="P373">
            <v>4992.1568750000006</v>
          </cell>
          <cell r="Q373">
            <v>7664.4586250000011</v>
          </cell>
          <cell r="R373">
            <v>12567.324086258932</v>
          </cell>
          <cell r="S373">
            <v>15948.969148794769</v>
          </cell>
          <cell r="T373">
            <v>19298.252670041671</v>
          </cell>
          <cell r="U373">
            <v>21614.042990446673</v>
          </cell>
          <cell r="V373">
            <v>23451.236644634639</v>
          </cell>
          <cell r="W373">
            <v>25092.823209759066</v>
          </cell>
          <cell r="X373">
            <v>26598.392602344611</v>
          </cell>
          <cell r="Y373">
            <v>27861.816250955984</v>
          </cell>
          <cell r="Z373">
            <v>29115.597982249001</v>
          </cell>
          <cell r="AA373">
            <v>30425.799891450202</v>
          </cell>
          <cell r="AB373">
            <v>31794.960886565459</v>
          </cell>
          <cell r="AC373">
            <v>33225.734126460906</v>
          </cell>
          <cell r="AD373">
            <v>34720.892162151642</v>
          </cell>
          <cell r="AE373">
            <v>36283.332309448466</v>
          </cell>
          <cell r="AF373">
            <v>37916.082263373646</v>
          </cell>
          <cell r="AG373">
            <v>39622.30596522546</v>
          </cell>
          <cell r="AH373">
            <v>41405.309733660601</v>
          </cell>
          <cell r="AI373">
            <v>43268.548671675322</v>
          </cell>
          <cell r="AJ373">
            <v>45215.633361900705</v>
          </cell>
        </row>
        <row r="374">
          <cell r="I374" t="str">
            <v xml:space="preserve">Merchant (TravelJigsaw) </v>
          </cell>
          <cell r="M374">
            <v>0</v>
          </cell>
          <cell r="N374">
            <v>0</v>
          </cell>
          <cell r="O374">
            <v>0</v>
          </cell>
          <cell r="P374">
            <v>0</v>
          </cell>
          <cell r="Q374">
            <v>184.7</v>
          </cell>
          <cell r="R374">
            <v>488.62833097441575</v>
          </cell>
          <cell r="S374">
            <v>764.14644733189664</v>
          </cell>
          <cell r="T374">
            <v>1031.5977038980604</v>
          </cell>
          <cell r="U374">
            <v>1237.9172446776724</v>
          </cell>
          <cell r="V374">
            <v>1386.4673140389932</v>
          </cell>
          <cell r="W374">
            <v>1511.2493723025027</v>
          </cell>
          <cell r="X374">
            <v>1617.0368283636781</v>
          </cell>
          <cell r="Y374">
            <v>1697.8886697818621</v>
          </cell>
          <cell r="Z374">
            <v>1782.7831032709553</v>
          </cell>
          <cell r="AA374">
            <v>1871.9222584345032</v>
          </cell>
          <cell r="AB374">
            <v>1965.5183713562285</v>
          </cell>
          <cell r="AC374">
            <v>2063.7942899240402</v>
          </cell>
          <cell r="AD374">
            <v>2166.9840044202424</v>
          </cell>
          <cell r="AE374">
            <v>2275.3332046412547</v>
          </cell>
          <cell r="AF374">
            <v>2389.0998648733175</v>
          </cell>
          <cell r="AG374">
            <v>2508.5548581169837</v>
          </cell>
          <cell r="AH374">
            <v>2633.982601022833</v>
          </cell>
          <cell r="AI374">
            <v>2765.6817310739748</v>
          </cell>
          <cell r="AJ374">
            <v>2903.9658176276735</v>
          </cell>
        </row>
        <row r="375">
          <cell r="I375" t="str">
            <v>Asia</v>
          </cell>
        </row>
        <row r="376">
          <cell r="I376" t="str">
            <v xml:space="preserve">Agency (Booking.com) </v>
          </cell>
          <cell r="M376">
            <v>15.030000000000001</v>
          </cell>
          <cell r="N376">
            <v>37.575000000000003</v>
          </cell>
          <cell r="O376">
            <v>86.422499999999985</v>
          </cell>
          <cell r="P376">
            <v>174.01512499999995</v>
          </cell>
          <cell r="Q376">
            <v>382.32037500000001</v>
          </cell>
          <cell r="R376">
            <v>859.77269180028907</v>
          </cell>
          <cell r="S376">
            <v>1498.7419670149097</v>
          </cell>
          <cell r="T376">
            <v>2098.2387538208736</v>
          </cell>
          <cell r="U376">
            <v>2517.8865045850484</v>
          </cell>
          <cell r="V376">
            <v>2820.0328851352547</v>
          </cell>
          <cell r="W376">
            <v>3073.8358447974279</v>
          </cell>
          <cell r="X376">
            <v>3289.0043539332478</v>
          </cell>
          <cell r="Y376">
            <v>3486.3446151692428</v>
          </cell>
          <cell r="Z376">
            <v>3695.5252920793978</v>
          </cell>
          <cell r="AA376">
            <v>3917.2568096041618</v>
          </cell>
          <cell r="AB376">
            <v>4152.2922181804115</v>
          </cell>
          <cell r="AC376">
            <v>4401.4297512712365</v>
          </cell>
          <cell r="AD376">
            <v>4665.5155363475105</v>
          </cell>
          <cell r="AE376">
            <v>4945.446468528361</v>
          </cell>
          <cell r="AF376">
            <v>5242.1732566400633</v>
          </cell>
          <cell r="AG376">
            <v>5556.7036520384672</v>
          </cell>
          <cell r="AH376">
            <v>5890.1058711607757</v>
          </cell>
          <cell r="AI376">
            <v>6243.5122234304226</v>
          </cell>
          <cell r="AJ376">
            <v>6618.1229568362487</v>
          </cell>
        </row>
        <row r="377">
          <cell r="I377" t="str">
            <v xml:space="preserve">Merchant (Agoda) </v>
          </cell>
          <cell r="M377">
            <v>0</v>
          </cell>
          <cell r="N377">
            <v>13.4</v>
          </cell>
          <cell r="O377">
            <v>118.69999999999999</v>
          </cell>
          <cell r="P377">
            <v>244.952</v>
          </cell>
          <cell r="Q377">
            <v>541.17100000000005</v>
          </cell>
          <cell r="R377">
            <v>1146.699784269646</v>
          </cell>
          <cell r="S377">
            <v>1882.1960332306744</v>
          </cell>
          <cell r="T377">
            <v>2446.854843199877</v>
          </cell>
          <cell r="U377">
            <v>2887.2887149758549</v>
          </cell>
          <cell r="V377">
            <v>3118.2718121739235</v>
          </cell>
          <cell r="W377">
            <v>3336.5508390260984</v>
          </cell>
          <cell r="X377">
            <v>3536.7438893676645</v>
          </cell>
          <cell r="Y377">
            <v>3713.581083836048</v>
          </cell>
          <cell r="Z377">
            <v>3899.2601380278506</v>
          </cell>
          <cell r="AA377">
            <v>4094.2231449292435</v>
          </cell>
          <cell r="AB377">
            <v>4298.9343021757059</v>
          </cell>
          <cell r="AC377">
            <v>4513.8810172844915</v>
          </cell>
          <cell r="AD377">
            <v>4739.5750681487161</v>
          </cell>
          <cell r="AE377">
            <v>4976.5538215561519</v>
          </cell>
          <cell r="AF377">
            <v>5225.3815126339596</v>
          </cell>
          <cell r="AG377">
            <v>5486.6505882656575</v>
          </cell>
          <cell r="AH377">
            <v>5760.9831176789403</v>
          </cell>
          <cell r="AI377">
            <v>6049.0322735628879</v>
          </cell>
          <cell r="AJ377">
            <v>6351.4838872410328</v>
          </cell>
        </row>
        <row r="378">
          <cell r="I378" t="str">
            <v>Latin America</v>
          </cell>
        </row>
        <row r="379">
          <cell r="I379" t="str">
            <v xml:space="preserve">Agency (Booking.com) </v>
          </cell>
          <cell r="M379">
            <v>8</v>
          </cell>
          <cell r="N379">
            <v>27.799999999999997</v>
          </cell>
          <cell r="O379">
            <v>88.38</v>
          </cell>
          <cell r="P379">
            <v>252.876</v>
          </cell>
          <cell r="Q379">
            <v>706.34999999999991</v>
          </cell>
          <cell r="R379">
            <v>1572.714980607926</v>
          </cell>
          <cell r="S379">
            <v>2655.8052752746225</v>
          </cell>
          <cell r="T379">
            <v>3718.1273853844714</v>
          </cell>
          <cell r="U379">
            <v>4536.1154101690554</v>
          </cell>
          <cell r="V379">
            <v>5216.5327216944133</v>
          </cell>
          <cell r="W379">
            <v>5738.1859938638554</v>
          </cell>
          <cell r="X379">
            <v>6197.2408733729644</v>
          </cell>
          <cell r="Y379">
            <v>6631.0477345090721</v>
          </cell>
          <cell r="Z379">
            <v>7095.2210759247073</v>
          </cell>
          <cell r="AA379">
            <v>7591.8865512394368</v>
          </cell>
          <cell r="AB379">
            <v>8123.3186098261976</v>
          </cell>
          <cell r="AC379">
            <v>8691.9509125140321</v>
          </cell>
          <cell r="AD379">
            <v>9300.3874763900149</v>
          </cell>
          <cell r="AE379">
            <v>9951.4145997373162</v>
          </cell>
          <cell r="AF379">
            <v>10648.013621718928</v>
          </cell>
          <cell r="AG379">
            <v>11393.374575239253</v>
          </cell>
          <cell r="AH379">
            <v>12190.910795506003</v>
          </cell>
          <cell r="AI379">
            <v>13044.274551191424</v>
          </cell>
          <cell r="AJ379">
            <v>13957.373769774824</v>
          </cell>
        </row>
        <row r="381">
          <cell r="I381" t="str">
            <v>Revenue Model Drivers:</v>
          </cell>
        </row>
        <row r="382">
          <cell r="I382" t="str">
            <v>US</v>
          </cell>
        </row>
        <row r="383">
          <cell r="I383" t="str">
            <v>Agency (Priceline.com &amp; Booking.com) - % of gross bookings</v>
          </cell>
          <cell r="T383">
            <v>0.03</v>
          </cell>
          <cell r="U383">
            <v>0.03</v>
          </cell>
          <cell r="V383">
            <v>2.9000000000000001E-2</v>
          </cell>
          <cell r="W383">
            <v>2.9000000000000001E-2</v>
          </cell>
          <cell r="X383">
            <v>2.9000000000000001E-2</v>
          </cell>
          <cell r="Y383">
            <v>2.9000000000000001E-2</v>
          </cell>
          <cell r="Z383">
            <v>2.9000000000000001E-2</v>
          </cell>
          <cell r="AA383">
            <v>2.9000000000000001E-2</v>
          </cell>
          <cell r="AB383">
            <v>2.9000000000000001E-2</v>
          </cell>
          <cell r="AC383">
            <v>2.9000000000000001E-2</v>
          </cell>
          <cell r="AD383">
            <v>2.9000000000000001E-2</v>
          </cell>
          <cell r="AE383">
            <v>2.9000000000000001E-2</v>
          </cell>
          <cell r="AF383">
            <v>2.9000000000000001E-2</v>
          </cell>
          <cell r="AG383">
            <v>2.9000000000000001E-2</v>
          </cell>
          <cell r="AH383">
            <v>2.9000000000000001E-2</v>
          </cell>
          <cell r="AI383">
            <v>2.9000000000000001E-2</v>
          </cell>
          <cell r="AJ383">
            <v>2.9000000000000001E-2</v>
          </cell>
        </row>
        <row r="384">
          <cell r="I384" t="str">
            <v>Merchant (NYOP &amp; Priceline.com) - % of gross bookings</v>
          </cell>
          <cell r="T384">
            <v>0.719568545788974</v>
          </cell>
          <cell r="U384">
            <v>0.719568545788974</v>
          </cell>
          <cell r="V384">
            <v>0.719568545788974</v>
          </cell>
          <cell r="W384">
            <v>0.719568545788974</v>
          </cell>
          <cell r="X384">
            <v>0.719568545788974</v>
          </cell>
          <cell r="Y384">
            <v>0.719568545788974</v>
          </cell>
          <cell r="Z384">
            <v>0.719568545788974</v>
          </cell>
          <cell r="AA384">
            <v>0.719568545788974</v>
          </cell>
          <cell r="AB384">
            <v>0.719568545788974</v>
          </cell>
          <cell r="AC384">
            <v>0.719568545788974</v>
          </cell>
          <cell r="AD384">
            <v>0.719568545788974</v>
          </cell>
          <cell r="AE384">
            <v>0.719568545788974</v>
          </cell>
          <cell r="AF384">
            <v>0.719568545788974</v>
          </cell>
          <cell r="AG384">
            <v>0.719568545788974</v>
          </cell>
          <cell r="AH384">
            <v>0.719568545788974</v>
          </cell>
          <cell r="AI384">
            <v>0.719568545788974</v>
          </cell>
          <cell r="AJ384">
            <v>0.719568545788974</v>
          </cell>
        </row>
        <row r="385">
          <cell r="I385" t="str">
            <v>Other - Y/Y growth</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row>
        <row r="386">
          <cell r="I386" t="str">
            <v>Europe</v>
          </cell>
        </row>
        <row r="387">
          <cell r="I387" t="str">
            <v>Agency (Booking.com &amp; Other) -  % of gross bookings</v>
          </cell>
          <cell r="T387">
            <v>0.14499999999999999</v>
          </cell>
          <cell r="U387">
            <v>0.14499999999999999</v>
          </cell>
          <cell r="V387">
            <v>0.14499999999999999</v>
          </cell>
          <cell r="W387">
            <v>0.14499999999999999</v>
          </cell>
          <cell r="X387">
            <v>0.14499999999999999</v>
          </cell>
          <cell r="Y387">
            <v>0.14499999999999999</v>
          </cell>
          <cell r="Z387">
            <v>0.14499999999999999</v>
          </cell>
          <cell r="AA387">
            <v>0.14499999999999999</v>
          </cell>
          <cell r="AB387">
            <v>0.14499999999999999</v>
          </cell>
          <cell r="AC387">
            <v>0.14499999999999999</v>
          </cell>
          <cell r="AD387">
            <v>0.14499999999999999</v>
          </cell>
          <cell r="AE387">
            <v>0.14499999999999999</v>
          </cell>
          <cell r="AF387">
            <v>0.14499999999999999</v>
          </cell>
          <cell r="AG387">
            <v>0.14499999999999999</v>
          </cell>
          <cell r="AH387">
            <v>0.14499999999999999</v>
          </cell>
          <cell r="AI387">
            <v>0.14499999999999999</v>
          </cell>
          <cell r="AJ387">
            <v>0.14499999999999999</v>
          </cell>
        </row>
        <row r="388">
          <cell r="I388" t="str">
            <v>Merchant (TravelJigsaw) - % of gross bookings</v>
          </cell>
          <cell r="T388">
            <v>0.17799999999999999</v>
          </cell>
          <cell r="U388">
            <v>0.17699999999999999</v>
          </cell>
          <cell r="V388">
            <v>0.17499999999999999</v>
          </cell>
          <cell r="W388">
            <v>0.17499999999999999</v>
          </cell>
          <cell r="X388">
            <v>0.17499999999999999</v>
          </cell>
          <cell r="Y388">
            <v>0.17499999999999999</v>
          </cell>
          <cell r="Z388">
            <v>0.17499999999999999</v>
          </cell>
          <cell r="AA388">
            <v>0.17499999999999999</v>
          </cell>
          <cell r="AB388">
            <v>0.17499999999999999</v>
          </cell>
          <cell r="AC388">
            <v>0.17499999999999999</v>
          </cell>
          <cell r="AD388">
            <v>0.17499999999999999</v>
          </cell>
          <cell r="AE388">
            <v>0.17499999999999999</v>
          </cell>
          <cell r="AF388">
            <v>0.17499999999999999</v>
          </cell>
          <cell r="AG388">
            <v>0.17499999999999999</v>
          </cell>
          <cell r="AH388">
            <v>0.17499999999999999</v>
          </cell>
          <cell r="AI388">
            <v>0.17499999999999999</v>
          </cell>
          <cell r="AJ388">
            <v>0.17499999999999999</v>
          </cell>
        </row>
        <row r="389">
          <cell r="I389" t="str">
            <v>Asia</v>
          </cell>
        </row>
        <row r="390">
          <cell r="I390" t="str">
            <v>Agency (Booking.com) - % of gross bookings</v>
          </cell>
          <cell r="T390">
            <v>0.14699999999999999</v>
          </cell>
          <cell r="U390">
            <v>0.14499999999999999</v>
          </cell>
          <cell r="V390">
            <v>0.14499999999999999</v>
          </cell>
          <cell r="W390">
            <v>0.14499999999999999</v>
          </cell>
          <cell r="X390">
            <v>0.14499999999999999</v>
          </cell>
          <cell r="Y390">
            <v>0.14499999999999999</v>
          </cell>
          <cell r="Z390">
            <v>0.14499999999999999</v>
          </cell>
          <cell r="AA390">
            <v>0.14499999999999999</v>
          </cell>
          <cell r="AB390">
            <v>0.14499999999999999</v>
          </cell>
          <cell r="AC390">
            <v>0.14499999999999999</v>
          </cell>
          <cell r="AD390">
            <v>0.14499999999999999</v>
          </cell>
          <cell r="AE390">
            <v>0.14499999999999999</v>
          </cell>
          <cell r="AF390">
            <v>0.14499999999999999</v>
          </cell>
          <cell r="AG390">
            <v>0.14499999999999999</v>
          </cell>
          <cell r="AH390">
            <v>0.14499999999999999</v>
          </cell>
          <cell r="AI390">
            <v>0.14499999999999999</v>
          </cell>
          <cell r="AJ390">
            <v>0.14499999999999999</v>
          </cell>
        </row>
        <row r="391">
          <cell r="I391" t="str">
            <v>Merchant (Agoda) - % of gross bookings</v>
          </cell>
          <cell r="T391">
            <v>0.17799999999999999</v>
          </cell>
          <cell r="U391">
            <v>0.17699999999999999</v>
          </cell>
          <cell r="V391">
            <v>0.17499999999999999</v>
          </cell>
          <cell r="W391">
            <v>0.17499999999999999</v>
          </cell>
          <cell r="X391">
            <v>0.17499999999999999</v>
          </cell>
          <cell r="Y391">
            <v>0.17499999999999999</v>
          </cell>
          <cell r="Z391">
            <v>0.17499999999999999</v>
          </cell>
          <cell r="AA391">
            <v>0.17499999999999999</v>
          </cell>
          <cell r="AB391">
            <v>0.17499999999999999</v>
          </cell>
          <cell r="AC391">
            <v>0.17499999999999999</v>
          </cell>
          <cell r="AD391">
            <v>0.17499999999999999</v>
          </cell>
          <cell r="AE391">
            <v>0.17499999999999999</v>
          </cell>
          <cell r="AF391">
            <v>0.17499999999999999</v>
          </cell>
          <cell r="AG391">
            <v>0.17499999999999999</v>
          </cell>
          <cell r="AH391">
            <v>0.17499999999999999</v>
          </cell>
          <cell r="AI391">
            <v>0.17499999999999999</v>
          </cell>
          <cell r="AJ391">
            <v>0.17499999999999999</v>
          </cell>
        </row>
        <row r="392">
          <cell r="I392" t="str">
            <v>Latin America</v>
          </cell>
        </row>
        <row r="393">
          <cell r="I393" t="str">
            <v>Agency (Booking.com) - % of gross bookings</v>
          </cell>
          <cell r="T393">
            <v>0.14599999999999999</v>
          </cell>
          <cell r="U393">
            <v>0.14499999999999999</v>
          </cell>
          <cell r="V393">
            <v>0.14499999999999999</v>
          </cell>
          <cell r="W393">
            <v>0.14499999999999999</v>
          </cell>
          <cell r="X393">
            <v>0.14499999999999999</v>
          </cell>
          <cell r="Y393">
            <v>0.14499999999999999</v>
          </cell>
          <cell r="Z393">
            <v>0.14499999999999999</v>
          </cell>
          <cell r="AA393">
            <v>0.14499999999999999</v>
          </cell>
          <cell r="AB393">
            <v>0.14499999999999999</v>
          </cell>
          <cell r="AC393">
            <v>0.14499999999999999</v>
          </cell>
          <cell r="AD393">
            <v>0.14499999999999999</v>
          </cell>
          <cell r="AE393">
            <v>0.14499999999999999</v>
          </cell>
          <cell r="AF393">
            <v>0.14499999999999999</v>
          </cell>
          <cell r="AG393">
            <v>0.14499999999999999</v>
          </cell>
          <cell r="AH393">
            <v>0.14499999999999999</v>
          </cell>
          <cell r="AI393">
            <v>0.14499999999999999</v>
          </cell>
          <cell r="AJ393">
            <v>0.14499999999999999</v>
          </cell>
        </row>
        <row r="395">
          <cell r="I395" t="str">
            <v>US</v>
          </cell>
        </row>
        <row r="396">
          <cell r="I396" t="str">
            <v xml:space="preserve">Agency (Priceline.com &amp; Booking.com) </v>
          </cell>
          <cell r="M396">
            <v>31.20000000000001</v>
          </cell>
          <cell r="N396">
            <v>28.15799999999993</v>
          </cell>
          <cell r="O396">
            <v>50.358000000000047</v>
          </cell>
          <cell r="P396">
            <v>60.485359999999993</v>
          </cell>
          <cell r="Q396">
            <v>66.958779999999948</v>
          </cell>
          <cell r="R396">
            <v>71.947912300000283</v>
          </cell>
          <cell r="S396">
            <v>80.888439218000002</v>
          </cell>
          <cell r="T396">
            <v>91.25663749440001</v>
          </cell>
          <cell r="U396">
            <v>98.55716849395202</v>
          </cell>
          <cell r="V396">
            <v>100.03552602136132</v>
          </cell>
          <cell r="W396">
            <v>104.53712469232256</v>
          </cell>
          <cell r="X396">
            <v>109.24129530347707</v>
          </cell>
          <cell r="Y396">
            <v>114.15715359213354</v>
          </cell>
          <cell r="Z396">
            <v>119.29422550377954</v>
          </cell>
          <cell r="AA396">
            <v>124.66246565144961</v>
          </cell>
          <cell r="AB396">
            <v>130.27227660576483</v>
          </cell>
          <cell r="AC396">
            <v>136.13452905302424</v>
          </cell>
          <cell r="AD396">
            <v>142.2605828604103</v>
          </cell>
          <cell r="AE396">
            <v>148.66230908912874</v>
          </cell>
          <cell r="AF396">
            <v>155.35211299813952</v>
          </cell>
          <cell r="AG396">
            <v>162.34295808305581</v>
          </cell>
          <cell r="AH396">
            <v>169.64839119679328</v>
          </cell>
          <cell r="AI396">
            <v>177.28256880064896</v>
          </cell>
          <cell r="AJ396">
            <v>185.26028439667817</v>
          </cell>
        </row>
        <row r="397">
          <cell r="I397" t="str">
            <v xml:space="preserve">Merchant (NYOP &amp; Priceline.com) </v>
          </cell>
          <cell r="M397">
            <v>904.16899999999998</v>
          </cell>
          <cell r="N397">
            <v>981.82099999999991</v>
          </cell>
          <cell r="O397">
            <v>1196.796</v>
          </cell>
          <cell r="P397">
            <v>1403.4856399999999</v>
          </cell>
          <cell r="Q397">
            <v>1560.9842200000001</v>
          </cell>
          <cell r="R397">
            <v>1710.7175602000002</v>
          </cell>
          <cell r="S397">
            <v>1865.7281187380004</v>
          </cell>
          <cell r="T397">
            <v>2005.6577276433504</v>
          </cell>
          <cell r="U397">
            <v>2146.0537685783852</v>
          </cell>
          <cell r="V397">
            <v>2264.0867258501962</v>
          </cell>
          <cell r="W397">
            <v>2377.2910621427063</v>
          </cell>
          <cell r="X397">
            <v>2472.3827046284146</v>
          </cell>
          <cell r="Y397">
            <v>2571.278012813551</v>
          </cell>
          <cell r="Z397">
            <v>2674.1291333260929</v>
          </cell>
          <cell r="AA397">
            <v>2781.0942986591367</v>
          </cell>
          <cell r="AB397">
            <v>2892.3380706055023</v>
          </cell>
          <cell r="AC397">
            <v>3008.0315934297228</v>
          </cell>
          <cell r="AD397">
            <v>3128.3528571669117</v>
          </cell>
          <cell r="AE397">
            <v>3253.486971453588</v>
          </cell>
          <cell r="AF397">
            <v>3383.6264503117313</v>
          </cell>
          <cell r="AG397">
            <v>3518.9715083242013</v>
          </cell>
          <cell r="AH397">
            <v>3659.730368657169</v>
          </cell>
          <cell r="AI397">
            <v>3806.1195834034561</v>
          </cell>
          <cell r="AJ397">
            <v>3958.3643667395945</v>
          </cell>
        </row>
        <row r="398">
          <cell r="I398" t="str">
            <v>Other</v>
          </cell>
          <cell r="M398">
            <v>5.0340000000000007</v>
          </cell>
          <cell r="N398">
            <v>8.3389999999999986</v>
          </cell>
          <cell r="O398">
            <v>17.852</v>
          </cell>
          <cell r="P398">
            <v>22.241000000000003</v>
          </cell>
          <cell r="Q398">
            <v>12.663</v>
          </cell>
          <cell r="R398">
            <v>12.315999999999999</v>
          </cell>
          <cell r="S398">
            <v>12.315999999999999</v>
          </cell>
          <cell r="T398">
            <v>12.315999999999999</v>
          </cell>
          <cell r="U398">
            <v>12.315999999999999</v>
          </cell>
          <cell r="V398">
            <v>12.315999999999999</v>
          </cell>
          <cell r="W398">
            <v>12.315999999999999</v>
          </cell>
          <cell r="X398">
            <v>12.315999999999999</v>
          </cell>
          <cell r="Y398">
            <v>12.315999999999999</v>
          </cell>
          <cell r="Z398">
            <v>12.315999999999999</v>
          </cell>
          <cell r="AA398">
            <v>12.315999999999999</v>
          </cell>
          <cell r="AB398">
            <v>12.315999999999999</v>
          </cell>
          <cell r="AC398">
            <v>12.315999999999999</v>
          </cell>
          <cell r="AD398">
            <v>12.315999999999999</v>
          </cell>
          <cell r="AE398">
            <v>12.315999999999999</v>
          </cell>
          <cell r="AF398">
            <v>12.315999999999999</v>
          </cell>
          <cell r="AG398">
            <v>12.315999999999999</v>
          </cell>
          <cell r="AH398">
            <v>12.315999999999999</v>
          </cell>
          <cell r="AI398">
            <v>12.315999999999999</v>
          </cell>
          <cell r="AJ398">
            <v>12.315999999999999</v>
          </cell>
        </row>
        <row r="399">
          <cell r="I399" t="str">
            <v>Europe</v>
          </cell>
        </row>
        <row r="400">
          <cell r="I400" t="str">
            <v xml:space="preserve">Agency (Booking.com &amp; Other) </v>
          </cell>
          <cell r="M400">
            <v>179.24549999999999</v>
          </cell>
          <cell r="N400">
            <v>360.28174999999999</v>
          </cell>
          <cell r="O400">
            <v>572.21362499999998</v>
          </cell>
          <cell r="P400">
            <v>743.87497125000004</v>
          </cell>
          <cell r="Q400">
            <v>1150.3426637500002</v>
          </cell>
          <cell r="R400">
            <v>1876.8907024289108</v>
          </cell>
          <cell r="S400">
            <v>2349.591381183297</v>
          </cell>
          <cell r="T400">
            <v>2798.2466371560422</v>
          </cell>
          <cell r="U400">
            <v>3134.0362336147673</v>
          </cell>
          <cell r="V400">
            <v>3400.4293134720224</v>
          </cell>
          <cell r="W400">
            <v>3638.4593654150644</v>
          </cell>
          <cell r="X400">
            <v>3856.7669273399683</v>
          </cell>
          <cell r="Y400">
            <v>4039.9633563886173</v>
          </cell>
          <cell r="Z400">
            <v>4221.7617074261052</v>
          </cell>
          <cell r="AA400">
            <v>4411.7409842602792</v>
          </cell>
          <cell r="AB400">
            <v>4610.2693285519908</v>
          </cell>
          <cell r="AC400">
            <v>4817.7314483368309</v>
          </cell>
          <cell r="AD400">
            <v>5034.5293635119879</v>
          </cell>
          <cell r="AE400">
            <v>5261.0831848700273</v>
          </cell>
          <cell r="AF400">
            <v>5497.8319281891781</v>
          </cell>
          <cell r="AG400">
            <v>5745.2343649576915</v>
          </cell>
          <cell r="AH400">
            <v>6003.7699113807867</v>
          </cell>
          <cell r="AI400">
            <v>6273.9395573929214</v>
          </cell>
          <cell r="AJ400">
            <v>6556.2668374756022</v>
          </cell>
        </row>
        <row r="401">
          <cell r="I401" t="str">
            <v xml:space="preserve">Merchant (TravelJigsaw) </v>
          </cell>
          <cell r="M401">
            <v>0</v>
          </cell>
          <cell r="N401">
            <v>0</v>
          </cell>
          <cell r="O401">
            <v>0</v>
          </cell>
          <cell r="P401">
            <v>0</v>
          </cell>
          <cell r="Q401">
            <v>33.245999999999995</v>
          </cell>
          <cell r="R401">
            <v>87.944959575394833</v>
          </cell>
          <cell r="S401">
            <v>136.60708314611165</v>
          </cell>
          <cell r="T401">
            <v>183.62439129385476</v>
          </cell>
          <cell r="U401">
            <v>219.11135230794801</v>
          </cell>
          <cell r="V401">
            <v>242.63177995682381</v>
          </cell>
          <cell r="W401">
            <v>264.46864015293795</v>
          </cell>
          <cell r="X401">
            <v>282.98144496364364</v>
          </cell>
          <cell r="Y401">
            <v>297.13051721182586</v>
          </cell>
          <cell r="Z401">
            <v>311.98704307241718</v>
          </cell>
          <cell r="AA401">
            <v>327.58639522603806</v>
          </cell>
          <cell r="AB401">
            <v>343.96571498733999</v>
          </cell>
          <cell r="AC401">
            <v>361.16400073670701</v>
          </cell>
          <cell r="AD401">
            <v>379.2222007735424</v>
          </cell>
          <cell r="AE401">
            <v>398.18331081221953</v>
          </cell>
          <cell r="AF401">
            <v>418.09247635283054</v>
          </cell>
          <cell r="AG401">
            <v>438.99710017047215</v>
          </cell>
          <cell r="AH401">
            <v>460.94695517899572</v>
          </cell>
          <cell r="AI401">
            <v>483.99430293794558</v>
          </cell>
          <cell r="AJ401">
            <v>508.19401808484281</v>
          </cell>
        </row>
        <row r="402">
          <cell r="I402" t="str">
            <v>Asia</v>
          </cell>
        </row>
        <row r="403">
          <cell r="I403" t="str">
            <v xml:space="preserve">Agency (Booking.com) </v>
          </cell>
          <cell r="M403">
            <v>2.2544999999999997</v>
          </cell>
          <cell r="N403">
            <v>5.6362499999999995</v>
          </cell>
          <cell r="O403">
            <v>12.963374999999999</v>
          </cell>
          <cell r="P403">
            <v>26.102268749999993</v>
          </cell>
          <cell r="Q403">
            <v>57.348056249999985</v>
          </cell>
          <cell r="R403">
            <v>128.96590377004338</v>
          </cell>
          <cell r="S403">
            <v>223.23237642387363</v>
          </cell>
          <cell r="T403">
            <v>308.44109681166839</v>
          </cell>
          <cell r="U403">
            <v>365.093543164832</v>
          </cell>
          <cell r="V403">
            <v>408.90476834461191</v>
          </cell>
          <cell r="W403">
            <v>445.70619749562701</v>
          </cell>
          <cell r="X403">
            <v>476.90563132032088</v>
          </cell>
          <cell r="Y403">
            <v>505.51996919954018</v>
          </cell>
          <cell r="Z403">
            <v>535.85116735151269</v>
          </cell>
          <cell r="AA403">
            <v>568.00223739260343</v>
          </cell>
          <cell r="AB403">
            <v>602.08237163615968</v>
          </cell>
          <cell r="AC403">
            <v>638.20731393432925</v>
          </cell>
          <cell r="AD403">
            <v>676.49975277038902</v>
          </cell>
          <cell r="AE403">
            <v>717.08973793661232</v>
          </cell>
          <cell r="AF403">
            <v>760.11512221280907</v>
          </cell>
          <cell r="AG403">
            <v>805.7220295455777</v>
          </cell>
          <cell r="AH403">
            <v>854.06535131831242</v>
          </cell>
          <cell r="AI403">
            <v>905.30927239741118</v>
          </cell>
          <cell r="AJ403">
            <v>959.62782874125594</v>
          </cell>
        </row>
        <row r="404">
          <cell r="I404" t="str">
            <v xml:space="preserve">Merchant (Agoda) </v>
          </cell>
          <cell r="M404">
            <v>0</v>
          </cell>
          <cell r="N404">
            <v>2.4119999999999999</v>
          </cell>
          <cell r="O404">
            <v>21.366</v>
          </cell>
          <cell r="P404">
            <v>44.091360000000002</v>
          </cell>
          <cell r="Q404">
            <v>97.410780000000003</v>
          </cell>
          <cell r="R404">
            <v>206.58719696853626</v>
          </cell>
          <cell r="S404">
            <v>335.94444167496067</v>
          </cell>
          <cell r="T404">
            <v>435.54016208957808</v>
          </cell>
          <cell r="U404">
            <v>511.05010255072631</v>
          </cell>
          <cell r="V404">
            <v>545.6975671304366</v>
          </cell>
          <cell r="W404">
            <v>583.89639682956715</v>
          </cell>
          <cell r="X404">
            <v>618.93018063934119</v>
          </cell>
          <cell r="Y404">
            <v>649.87668967130833</v>
          </cell>
          <cell r="Z404">
            <v>682.37052415487381</v>
          </cell>
          <cell r="AA404">
            <v>716.4890503626176</v>
          </cell>
          <cell r="AB404">
            <v>752.3135028807485</v>
          </cell>
          <cell r="AC404">
            <v>789.92917802478598</v>
          </cell>
          <cell r="AD404">
            <v>829.42563692602528</v>
          </cell>
          <cell r="AE404">
            <v>870.89691877232656</v>
          </cell>
          <cell r="AF404">
            <v>914.44176471094283</v>
          </cell>
          <cell r="AG404">
            <v>960.16385294649001</v>
          </cell>
          <cell r="AH404">
            <v>1008.1720455938145</v>
          </cell>
          <cell r="AI404">
            <v>1058.5806478735053</v>
          </cell>
          <cell r="AJ404">
            <v>1111.5096802671806</v>
          </cell>
        </row>
        <row r="405">
          <cell r="I405" t="str">
            <v>Latin America</v>
          </cell>
        </row>
        <row r="406">
          <cell r="I406" t="str">
            <v xml:space="preserve">Agency (Booking.com) </v>
          </cell>
          <cell r="M406">
            <v>1.2</v>
          </cell>
          <cell r="N406">
            <v>4.17</v>
          </cell>
          <cell r="O406">
            <v>13.256999999999998</v>
          </cell>
          <cell r="P406">
            <v>37.931399999999996</v>
          </cell>
          <cell r="Q406">
            <v>105.95249999999999</v>
          </cell>
          <cell r="R406">
            <v>235.45999749118889</v>
          </cell>
          <cell r="S406">
            <v>394.10602986735591</v>
          </cell>
          <cell r="T406">
            <v>542.84659826613279</v>
          </cell>
          <cell r="U406">
            <v>657.73673447451301</v>
          </cell>
          <cell r="V406">
            <v>756.39724464568985</v>
          </cell>
          <cell r="W406">
            <v>832.03696911025895</v>
          </cell>
          <cell r="X406">
            <v>898.59992663907974</v>
          </cell>
          <cell r="Y406">
            <v>961.50192150381542</v>
          </cell>
          <cell r="Z406">
            <v>1028.8070560090825</v>
          </cell>
          <cell r="AA406">
            <v>1100.8235499297182</v>
          </cell>
          <cell r="AB406">
            <v>1177.8811984247986</v>
          </cell>
          <cell r="AC406">
            <v>1260.3328823145346</v>
          </cell>
          <cell r="AD406">
            <v>1348.556184076552</v>
          </cell>
          <cell r="AE406">
            <v>1442.9551169619108</v>
          </cell>
          <cell r="AF406">
            <v>1543.9619751492446</v>
          </cell>
          <cell r="AG406">
            <v>1652.0393134096917</v>
          </cell>
          <cell r="AH406">
            <v>1767.6820653483703</v>
          </cell>
          <cell r="AI406">
            <v>1891.4198099227563</v>
          </cell>
          <cell r="AJ406">
            <v>2023.8191966173492</v>
          </cell>
        </row>
        <row r="408">
          <cell r="I408" t="str">
            <v>Gross Profit Model Drivers:</v>
          </cell>
        </row>
        <row r="409">
          <cell r="I409" t="str">
            <v>US</v>
          </cell>
        </row>
        <row r="410">
          <cell r="I410" t="str">
            <v>Merchant (NYOP &amp; Priceline.com) - % of gross bookings</v>
          </cell>
          <cell r="T410">
            <v>0.17199999999999999</v>
          </cell>
          <cell r="U410">
            <v>0.17</v>
          </cell>
          <cell r="V410">
            <v>0.17</v>
          </cell>
          <cell r="W410">
            <v>0.17</v>
          </cell>
          <cell r="X410">
            <v>0.17</v>
          </cell>
          <cell r="Y410">
            <v>0.17</v>
          </cell>
          <cell r="Z410">
            <v>0.17</v>
          </cell>
          <cell r="AA410">
            <v>0.17</v>
          </cell>
          <cell r="AB410">
            <v>0.17</v>
          </cell>
          <cell r="AC410">
            <v>0.17</v>
          </cell>
          <cell r="AD410">
            <v>0.17</v>
          </cell>
          <cell r="AE410">
            <v>0.17</v>
          </cell>
          <cell r="AF410">
            <v>0.17</v>
          </cell>
          <cell r="AG410">
            <v>0.17</v>
          </cell>
          <cell r="AH410">
            <v>0.17</v>
          </cell>
          <cell r="AI410">
            <v>0.17</v>
          </cell>
          <cell r="AJ410">
            <v>0.17</v>
          </cell>
        </row>
        <row r="412">
          <cell r="I412" t="str">
            <v>US</v>
          </cell>
        </row>
        <row r="413">
          <cell r="I413" t="str">
            <v>Merchant (NYOP &amp; Priceline.com) - Y/Y growth</v>
          </cell>
          <cell r="M413">
            <v>182.16499999999999</v>
          </cell>
          <cell r="N413">
            <v>211.82300000000001</v>
          </cell>
          <cell r="O413">
            <v>267.96100000000001</v>
          </cell>
          <cell r="P413">
            <v>326.03664000000003</v>
          </cell>
          <cell r="Q413">
            <v>385.05021999999997</v>
          </cell>
          <cell r="R413">
            <v>426.18139020000001</v>
          </cell>
          <cell r="S413">
            <v>450.95197206800003</v>
          </cell>
          <cell r="T413">
            <v>479.4166326106</v>
          </cell>
          <cell r="U413">
            <v>507.01096204574509</v>
          </cell>
          <cell r="V413">
            <v>534.89656495826102</v>
          </cell>
          <cell r="W413">
            <v>561.64139320617414</v>
          </cell>
          <cell r="X413">
            <v>584.10704893442107</v>
          </cell>
          <cell r="Y413">
            <v>607.47133089179795</v>
          </cell>
          <cell r="Z413">
            <v>631.77018412746986</v>
          </cell>
          <cell r="AA413">
            <v>657.04099149256865</v>
          </cell>
          <cell r="AB413">
            <v>683.32263115227136</v>
          </cell>
          <cell r="AC413">
            <v>710.6555363983623</v>
          </cell>
          <cell r="AD413">
            <v>739.08175785429682</v>
          </cell>
          <cell r="AE413">
            <v>768.64502816846868</v>
          </cell>
          <cell r="AF413">
            <v>799.39082929520748</v>
          </cell>
          <cell r="AG413">
            <v>831.36646246701582</v>
          </cell>
          <cell r="AH413">
            <v>864.62112096569649</v>
          </cell>
          <cell r="AI413">
            <v>899.20596580432436</v>
          </cell>
          <cell r="AJ413">
            <v>935.17420443649746</v>
          </cell>
        </row>
        <row r="415">
          <cell r="I415" t="str">
            <v>Other P&amp;L Model Drivers:</v>
          </cell>
        </row>
        <row r="416">
          <cell r="I416" t="str">
            <v xml:space="preserve">Offline Advertising </v>
          </cell>
          <cell r="T416">
            <v>1.0999999999999999E-2</v>
          </cell>
          <cell r="U416">
            <v>0.01</v>
          </cell>
          <cell r="V416">
            <v>0.01</v>
          </cell>
          <cell r="W416">
            <v>0.01</v>
          </cell>
          <cell r="X416">
            <v>0.01</v>
          </cell>
          <cell r="Y416">
            <v>0.01</v>
          </cell>
          <cell r="Z416">
            <v>0.01</v>
          </cell>
          <cell r="AA416">
            <v>0.01</v>
          </cell>
          <cell r="AB416">
            <v>0.01</v>
          </cell>
          <cell r="AC416">
            <v>0.01</v>
          </cell>
          <cell r="AD416">
            <v>0.01</v>
          </cell>
          <cell r="AE416">
            <v>0.01</v>
          </cell>
          <cell r="AF416">
            <v>0.01</v>
          </cell>
          <cell r="AG416">
            <v>0.01</v>
          </cell>
          <cell r="AH416">
            <v>0.01</v>
          </cell>
          <cell r="AI416">
            <v>0.01</v>
          </cell>
          <cell r="AJ416">
            <v>0.01</v>
          </cell>
        </row>
        <row r="417">
          <cell r="I417" t="str">
            <v xml:space="preserve">Online Advertising </v>
          </cell>
          <cell r="T417">
            <v>0.29299999999999998</v>
          </cell>
          <cell r="U417">
            <v>0.29199999999999998</v>
          </cell>
          <cell r="V417">
            <v>0.29099999999999998</v>
          </cell>
          <cell r="W417">
            <v>0.29099999999999998</v>
          </cell>
          <cell r="X417">
            <v>0.28999999999999998</v>
          </cell>
          <cell r="Y417">
            <v>0.28999999999999998</v>
          </cell>
          <cell r="Z417">
            <v>0.28999999999999998</v>
          </cell>
          <cell r="AA417">
            <v>0.28999999999999998</v>
          </cell>
          <cell r="AB417">
            <v>0.28999999999999998</v>
          </cell>
          <cell r="AC417">
            <v>0.28999999999999998</v>
          </cell>
          <cell r="AD417">
            <v>0.28999999999999998</v>
          </cell>
          <cell r="AE417">
            <v>0.28999999999999998</v>
          </cell>
          <cell r="AF417">
            <v>0.28999999999999998</v>
          </cell>
          <cell r="AG417">
            <v>0.28999999999999998</v>
          </cell>
          <cell r="AH417">
            <v>0.28999999999999998</v>
          </cell>
          <cell r="AI417">
            <v>0.28999999999999998</v>
          </cell>
          <cell r="AJ417">
            <v>0.28999999999999998</v>
          </cell>
        </row>
        <row r="418">
          <cell r="I418" t="str">
            <v xml:space="preserve">Selling &amp; Marketing  </v>
          </cell>
          <cell r="T418">
            <v>5.5E-2</v>
          </cell>
          <cell r="U418">
            <v>5.3999999999999999E-2</v>
          </cell>
          <cell r="V418">
            <v>5.2999999999999999E-2</v>
          </cell>
          <cell r="W418">
            <v>5.2999999999999999E-2</v>
          </cell>
          <cell r="X418">
            <v>5.2999999999999999E-2</v>
          </cell>
          <cell r="Y418">
            <v>5.2999999999999999E-2</v>
          </cell>
          <cell r="Z418">
            <v>5.2999999999999999E-2</v>
          </cell>
          <cell r="AA418">
            <v>5.2999999999999999E-2</v>
          </cell>
          <cell r="AB418">
            <v>5.3999999999999999E-2</v>
          </cell>
          <cell r="AC418">
            <v>5.3999999999999999E-2</v>
          </cell>
          <cell r="AD418">
            <v>5.3999999999999999E-2</v>
          </cell>
          <cell r="AE418">
            <v>5.3999999999999999E-2</v>
          </cell>
          <cell r="AF418">
            <v>5.3999999999999999E-2</v>
          </cell>
          <cell r="AG418">
            <v>5.3999999999999999E-2</v>
          </cell>
          <cell r="AH418">
            <v>5.3999999999999999E-2</v>
          </cell>
          <cell r="AI418">
            <v>5.3999999999999999E-2</v>
          </cell>
          <cell r="AJ418">
            <v>5.3999999999999999E-2</v>
          </cell>
        </row>
        <row r="419">
          <cell r="I419" t="str">
            <v>Personnel (ex-SBC)</v>
          </cell>
          <cell r="T419">
            <v>9.8000000000000004E-2</v>
          </cell>
          <cell r="U419">
            <v>9.8000000000000004E-2</v>
          </cell>
          <cell r="V419">
            <v>9.7000000000000003E-2</v>
          </cell>
          <cell r="W419">
            <v>9.6000000000000002E-2</v>
          </cell>
          <cell r="X419">
            <v>9.5000000000000001E-2</v>
          </cell>
          <cell r="Y419">
            <v>9.5000000000000001E-2</v>
          </cell>
          <cell r="Z419">
            <v>9.5000000000000001E-2</v>
          </cell>
          <cell r="AA419">
            <v>9.5000000000000001E-2</v>
          </cell>
          <cell r="AB419">
            <v>9.5000000000000001E-2</v>
          </cell>
          <cell r="AC419">
            <v>9.5000000000000001E-2</v>
          </cell>
          <cell r="AD419">
            <v>9.5000000000000001E-2</v>
          </cell>
          <cell r="AE419">
            <v>9.5000000000000001E-2</v>
          </cell>
          <cell r="AF419">
            <v>9.5000000000000001E-2</v>
          </cell>
          <cell r="AG419">
            <v>9.5000000000000001E-2</v>
          </cell>
          <cell r="AH419">
            <v>9.5000000000000001E-2</v>
          </cell>
          <cell r="AI419">
            <v>9.5000000000000001E-2</v>
          </cell>
          <cell r="AJ419">
            <v>9.5000000000000001E-2</v>
          </cell>
        </row>
        <row r="420">
          <cell r="I420" t="str">
            <v xml:space="preserve">General &amp; Administrative </v>
          </cell>
          <cell r="T420">
            <v>4.1000000000000002E-2</v>
          </cell>
          <cell r="U420">
            <v>0.04</v>
          </cell>
          <cell r="V420">
            <v>3.9E-2</v>
          </cell>
          <cell r="W420">
            <v>3.7999999999999999E-2</v>
          </cell>
          <cell r="X420">
            <v>3.7999999999999999E-2</v>
          </cell>
          <cell r="Y420">
            <v>3.7999999999999999E-2</v>
          </cell>
          <cell r="Z420">
            <v>3.7999999999999999E-2</v>
          </cell>
          <cell r="AA420">
            <v>3.7999999999999999E-2</v>
          </cell>
          <cell r="AB420">
            <v>3.7999999999999999E-2</v>
          </cell>
          <cell r="AC420">
            <v>3.7999999999999999E-2</v>
          </cell>
          <cell r="AD420">
            <v>3.7999999999999999E-2</v>
          </cell>
          <cell r="AE420">
            <v>3.7999999999999999E-2</v>
          </cell>
          <cell r="AF420">
            <v>3.7999999999999999E-2</v>
          </cell>
          <cell r="AG420">
            <v>3.7999999999999999E-2</v>
          </cell>
          <cell r="AH420">
            <v>3.7999999999999999E-2</v>
          </cell>
          <cell r="AI420">
            <v>3.7999999999999999E-2</v>
          </cell>
          <cell r="AJ420">
            <v>3.7999999999999999E-2</v>
          </cell>
        </row>
        <row r="421">
          <cell r="I421" t="str">
            <v xml:space="preserve">Information Technology </v>
          </cell>
          <cell r="T421">
            <v>1.0999999999999999E-2</v>
          </cell>
          <cell r="U421">
            <v>1.0999999999999999E-2</v>
          </cell>
          <cell r="V421">
            <v>1.0999999999999999E-2</v>
          </cell>
          <cell r="W421">
            <v>1.0999999999999999E-2</v>
          </cell>
          <cell r="X421">
            <v>1.0999999999999999E-2</v>
          </cell>
          <cell r="Y421">
            <v>1.0999999999999999E-2</v>
          </cell>
          <cell r="Z421">
            <v>1.0999999999999999E-2</v>
          </cell>
          <cell r="AA421">
            <v>1.0999999999999999E-2</v>
          </cell>
          <cell r="AB421">
            <v>1.0999999999999999E-2</v>
          </cell>
          <cell r="AC421">
            <v>1.0999999999999999E-2</v>
          </cell>
          <cell r="AD421">
            <v>1.0999999999999999E-2</v>
          </cell>
          <cell r="AE421">
            <v>1.0999999999999999E-2</v>
          </cell>
          <cell r="AF421">
            <v>1.0999999999999999E-2</v>
          </cell>
          <cell r="AG421">
            <v>1.0999999999999999E-2</v>
          </cell>
          <cell r="AH421">
            <v>1.0999999999999999E-2</v>
          </cell>
          <cell r="AI421">
            <v>1.0999999999999999E-2</v>
          </cell>
          <cell r="AJ421">
            <v>1.0999999999999999E-2</v>
          </cell>
        </row>
        <row r="422">
          <cell r="I422" t="str">
            <v>Stock-based Compensation</v>
          </cell>
          <cell r="T422">
            <v>2.5000000000000001E-2</v>
          </cell>
          <cell r="U422">
            <v>2.5000000000000001E-2</v>
          </cell>
          <cell r="V422">
            <v>2.5000000000000001E-2</v>
          </cell>
          <cell r="W422">
            <v>2.5000000000000001E-2</v>
          </cell>
          <cell r="X422">
            <v>2.5000000000000001E-2</v>
          </cell>
          <cell r="Y422">
            <v>2.5000000000000001E-2</v>
          </cell>
          <cell r="Z422">
            <v>2.5000000000000001E-2</v>
          </cell>
          <cell r="AA422">
            <v>2.5000000000000001E-2</v>
          </cell>
          <cell r="AB422">
            <v>2.5000000000000001E-2</v>
          </cell>
          <cell r="AC422">
            <v>2.5000000000000001E-2</v>
          </cell>
          <cell r="AD422">
            <v>2.5000000000000001E-2</v>
          </cell>
          <cell r="AE422">
            <v>2.5000000000000001E-2</v>
          </cell>
          <cell r="AF422">
            <v>2.5000000000000001E-2</v>
          </cell>
          <cell r="AG422">
            <v>2.5000000000000001E-2</v>
          </cell>
          <cell r="AH422">
            <v>2.5000000000000001E-2</v>
          </cell>
          <cell r="AI422">
            <v>2.5000000000000001E-2</v>
          </cell>
          <cell r="AJ422">
            <v>2.5000000000000001E-2</v>
          </cell>
        </row>
        <row r="423">
          <cell r="I423" t="str">
            <v>Interest Rate on Cash &amp; Equivalents</v>
          </cell>
          <cell r="T423">
            <v>4.0000000000000001E-3</v>
          </cell>
          <cell r="U423">
            <v>4.0000000000000001E-3</v>
          </cell>
          <cell r="V423">
            <v>4.0000000000000001E-3</v>
          </cell>
          <cell r="W423">
            <v>4.0000000000000001E-3</v>
          </cell>
          <cell r="X423">
            <v>4.0000000000000001E-3</v>
          </cell>
          <cell r="Y423">
            <v>4.0000000000000001E-3</v>
          </cell>
          <cell r="Z423">
            <v>4.0000000000000001E-3</v>
          </cell>
          <cell r="AA423">
            <v>4.0000000000000001E-3</v>
          </cell>
          <cell r="AB423">
            <v>4.0000000000000001E-3</v>
          </cell>
          <cell r="AC423">
            <v>4.0000000000000001E-3</v>
          </cell>
          <cell r="AD423">
            <v>4.0000000000000001E-3</v>
          </cell>
          <cell r="AE423">
            <v>4.0000000000000001E-3</v>
          </cell>
          <cell r="AF423">
            <v>4.0000000000000001E-3</v>
          </cell>
          <cell r="AG423">
            <v>4.0000000000000001E-3</v>
          </cell>
          <cell r="AH423">
            <v>4.0000000000000001E-3</v>
          </cell>
          <cell r="AI423">
            <v>4.0000000000000001E-3</v>
          </cell>
          <cell r="AJ423">
            <v>4.0000000000000001E-3</v>
          </cell>
        </row>
        <row r="425">
          <cell r="I425" t="str">
            <v>Cash Flow Statement Model Drivers:</v>
          </cell>
        </row>
        <row r="426">
          <cell r="I426" t="str">
            <v>Capex as % of Gross Profit</v>
          </cell>
          <cell r="M426">
            <v>3.2039471551911121E-2</v>
          </cell>
          <cell r="N426">
            <v>2.5690216165716314E-2</v>
          </cell>
          <cell r="O426">
            <v>1.9165853357476326E-2</v>
          </cell>
          <cell r="P426">
            <v>1.1981633344252649E-2</v>
          </cell>
          <cell r="Q426">
            <v>1.1835165733179952E-2</v>
          </cell>
          <cell r="R426">
            <v>1.3856180086347116E-2</v>
          </cell>
          <cell r="S426">
            <v>1.591001125751421E-2</v>
          </cell>
          <cell r="T426">
            <v>1.7999999999999999E-2</v>
          </cell>
          <cell r="U426">
            <v>0.02</v>
          </cell>
          <cell r="V426">
            <v>0.02</v>
          </cell>
          <cell r="W426">
            <v>0.02</v>
          </cell>
          <cell r="X426">
            <v>0.02</v>
          </cell>
          <cell r="Y426">
            <v>0.02</v>
          </cell>
          <cell r="Z426">
            <v>0.02</v>
          </cell>
          <cell r="AA426">
            <v>0.02</v>
          </cell>
          <cell r="AB426">
            <v>0.02</v>
          </cell>
          <cell r="AC426">
            <v>0.02</v>
          </cell>
          <cell r="AD426">
            <v>0.02</v>
          </cell>
          <cell r="AE426">
            <v>0.02</v>
          </cell>
          <cell r="AF426">
            <v>0.02</v>
          </cell>
          <cell r="AG426">
            <v>0.02</v>
          </cell>
          <cell r="AH426">
            <v>0.02</v>
          </cell>
          <cell r="AI426">
            <v>0.02</v>
          </cell>
          <cell r="AJ426">
            <v>0.02</v>
          </cell>
        </row>
      </sheetData>
      <sheetData sheetId="4"/>
      <sheetData sheetId="5"/>
      <sheetData sheetId="6"/>
      <sheetData sheetId="7"/>
      <sheetData sheetId="8"/>
      <sheetData sheetId="9"/>
      <sheetData sheetId="10"/>
      <sheetData sheetId="11" refreshError="1">
        <row r="3">
          <cell r="D3" t="str">
            <v>UFCF Valuation Year</v>
          </cell>
          <cell r="E3">
            <v>41274</v>
          </cell>
        </row>
        <row r="4">
          <cell r="D4" t="str">
            <v>Beginning Year of CAGR</v>
          </cell>
          <cell r="E4">
            <v>40543</v>
          </cell>
        </row>
        <row r="5">
          <cell r="D5" t="str">
            <v>Ending Year of CAGR</v>
          </cell>
          <cell r="E5">
            <v>44196</v>
          </cell>
        </row>
        <row r="7">
          <cell r="B7" t="str">
            <v xml:space="preserve">Price Target = $650 </v>
          </cell>
          <cell r="D7" t="str">
            <v>Derived from base case, utilizing DCF analysis.</v>
          </cell>
        </row>
        <row r="8">
          <cell r="B8" t="str">
            <v xml:space="preserve">Bull Case $934 </v>
          </cell>
          <cell r="C8" t="str">
            <v>22x Bull Case 12E EV / EBITDA</v>
          </cell>
          <cell r="D8" t="str">
            <v>Economy improves and growth recovers quickly. PCLN continues its momentum, taking market share and receiving higher commissions per booking as the economic cycle improves. 10-year gross bookings CAGR (C10-C20E) of 19%, Adj. EBITDA margin expands to 52% in</v>
          </cell>
          <cell r="E8">
            <v>0.19208566924467307</v>
          </cell>
          <cell r="F8">
            <v>0.51900000000000002</v>
          </cell>
        </row>
        <row r="9">
          <cell r="B9" t="str">
            <v xml:space="preserve">Base Case $650 </v>
          </cell>
          <cell r="C9" t="str">
            <v>16x Base Case 12E EV / EBITDA</v>
          </cell>
          <cell r="D9" t="str">
            <v>Continued market share gains in Europe and APAC despite weak economic conditions. Priceline is able to maintain strong growth by continuing to take share from offline channels and local online travel agencies. 10-year gross bookings CAGR (C10-C20E) of 15%</v>
          </cell>
          <cell r="E9">
            <v>0.15177817128386772</v>
          </cell>
          <cell r="F9">
            <v>0.50300000000000011</v>
          </cell>
        </row>
        <row r="10">
          <cell r="B10" t="str">
            <v xml:space="preserve">Bear Case $396 </v>
          </cell>
          <cell r="C10" t="str">
            <v>11x Bear Case 12E EV / EBITDA</v>
          </cell>
          <cell r="D10" t="str">
            <v>Global recessionary conditions and increased competition. Consumers significantly cut back on travel expenditures, leading to large declines in hotel occupancy and ADRs. New models from entrants pressure long term growth. 10-year gross bookings CAGR of (C</v>
          </cell>
          <cell r="E10">
            <v>0.10570221905422805</v>
          </cell>
          <cell r="F10">
            <v>0.46599999999999991</v>
          </cell>
        </row>
      </sheetData>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sheetName val="Act vs. Ests"/>
      <sheetName val="Estimate changes"/>
      <sheetName val="Model"/>
      <sheetName val="Core inputs &amp; expenses"/>
      <sheetName val="MMI revenue"/>
      <sheetName val="DCF"/>
      <sheetName val="MW-Cache"/>
      <sheetName val="RR Table"/>
      <sheetName val="MWA RR"/>
      <sheetName val="Ad product revenue"/>
      <sheetName val="CPC and click growth"/>
      <sheetName val="Distribution TAC analysis"/>
      <sheetName val="Android unit data"/>
      <sheetName val="Product charts"/>
      <sheetName val="Marketing book chart"/>
      <sheetName val="mwareDates"/>
      <sheetName val="mwareSettings"/>
      <sheetName val="Old MMI revenue"/>
      <sheetName val="#REF"/>
    </sheetNames>
    <sheetDataSet>
      <sheetData sheetId="0"/>
      <sheetData sheetId="1"/>
      <sheetData sheetId="2"/>
      <sheetData sheetId="3"/>
      <sheetData sheetId="4"/>
      <sheetData sheetId="5" refreshError="1">
        <row r="1">
          <cell r="A1" t="str">
            <v>Morgan Stanley | Motorola</v>
          </cell>
          <cell r="Y1" t="str">
            <v>Scott Devitt: 212-761-3365 / scott.devitt@morganstanley.com</v>
          </cell>
        </row>
        <row r="2">
          <cell r="A2" t="str">
            <v>(millions)</v>
          </cell>
          <cell r="Y2" t="str">
            <v>Jordan Monahan: 212-761-8094 / jordan.monahan@morganstanley.com</v>
          </cell>
        </row>
        <row r="5">
          <cell r="B5">
            <v>39172</v>
          </cell>
          <cell r="C5">
            <v>39262</v>
          </cell>
          <cell r="D5">
            <v>39352</v>
          </cell>
          <cell r="E5">
            <v>39442</v>
          </cell>
          <cell r="F5">
            <v>39532</v>
          </cell>
          <cell r="G5">
            <v>39622</v>
          </cell>
          <cell r="H5">
            <v>39712</v>
          </cell>
          <cell r="I5">
            <v>39802</v>
          </cell>
          <cell r="J5">
            <v>39892</v>
          </cell>
          <cell r="K5">
            <v>39982</v>
          </cell>
          <cell r="L5">
            <v>40072</v>
          </cell>
          <cell r="M5">
            <v>40162</v>
          </cell>
          <cell r="N5">
            <v>40252</v>
          </cell>
          <cell r="O5">
            <v>40342</v>
          </cell>
          <cell r="P5">
            <v>40432</v>
          </cell>
          <cell r="Q5">
            <v>40522</v>
          </cell>
          <cell r="R5">
            <v>40612</v>
          </cell>
          <cell r="S5">
            <v>40702</v>
          </cell>
          <cell r="T5">
            <v>40792</v>
          </cell>
          <cell r="U5">
            <v>40882</v>
          </cell>
          <cell r="V5">
            <v>40972</v>
          </cell>
          <cell r="W5">
            <v>41062</v>
          </cell>
          <cell r="X5">
            <v>41153</v>
          </cell>
          <cell r="Y5">
            <v>41244</v>
          </cell>
          <cell r="Z5">
            <v>41337</v>
          </cell>
          <cell r="AA5">
            <v>41427</v>
          </cell>
          <cell r="AB5">
            <v>41518</v>
          </cell>
          <cell r="AC5">
            <v>41609</v>
          </cell>
          <cell r="AD5">
            <v>41702</v>
          </cell>
          <cell r="AE5">
            <v>41792</v>
          </cell>
          <cell r="AF5">
            <v>41883</v>
          </cell>
          <cell r="AG5">
            <v>41974</v>
          </cell>
          <cell r="AH5">
            <v>42067</v>
          </cell>
          <cell r="AI5">
            <v>42157</v>
          </cell>
          <cell r="AJ5">
            <v>42248</v>
          </cell>
          <cell r="AK5">
            <v>42339</v>
          </cell>
          <cell r="AM5" t="str">
            <v>2007A</v>
          </cell>
          <cell r="AN5" t="str">
            <v>2008A</v>
          </cell>
          <cell r="AO5" t="str">
            <v>2009A</v>
          </cell>
          <cell r="AP5" t="str">
            <v>2010A</v>
          </cell>
          <cell r="AQ5" t="str">
            <v>2011E</v>
          </cell>
          <cell r="AR5" t="str">
            <v>2012E</v>
          </cell>
          <cell r="AS5" t="str">
            <v>2013E</v>
          </cell>
          <cell r="AT5" t="str">
            <v>2014E</v>
          </cell>
          <cell r="AU5" t="str">
            <v>2015E</v>
          </cell>
          <cell r="AV5" t="str">
            <v>2016E</v>
          </cell>
          <cell r="AW5" t="str">
            <v>2017E</v>
          </cell>
          <cell r="AX5" t="str">
            <v>2018E</v>
          </cell>
          <cell r="AY5" t="str">
            <v>2019E</v>
          </cell>
          <cell r="AZ5" t="str">
            <v>2020E</v>
          </cell>
        </row>
        <row r="6">
          <cell r="B6" t="str">
            <v>Q1-07A</v>
          </cell>
          <cell r="C6" t="str">
            <v>Q2-07A</v>
          </cell>
          <cell r="D6" t="str">
            <v>Q3-07A</v>
          </cell>
          <cell r="E6" t="str">
            <v>Q4-07A</v>
          </cell>
          <cell r="F6" t="str">
            <v>Q1-08A</v>
          </cell>
          <cell r="G6" t="str">
            <v>Q2-08A</v>
          </cell>
          <cell r="H6" t="str">
            <v>Q3-08A</v>
          </cell>
          <cell r="I6" t="str">
            <v>Q4-08A</v>
          </cell>
          <cell r="J6" t="str">
            <v>Q1-09A</v>
          </cell>
          <cell r="K6" t="str">
            <v>Q2-09A</v>
          </cell>
          <cell r="L6" t="str">
            <v>Q3-09A</v>
          </cell>
          <cell r="M6" t="str">
            <v>Q4-09A</v>
          </cell>
          <cell r="N6" t="str">
            <v>Q1-10A</v>
          </cell>
          <cell r="O6" t="str">
            <v>Q2-10A</v>
          </cell>
          <cell r="P6" t="str">
            <v>Q3-10A</v>
          </cell>
          <cell r="Q6" t="str">
            <v>Q4-10A</v>
          </cell>
          <cell r="R6" t="str">
            <v>Q1-11</v>
          </cell>
          <cell r="S6" t="str">
            <v>Q2-11</v>
          </cell>
          <cell r="T6" t="str">
            <v>Q3-11</v>
          </cell>
          <cell r="U6" t="str">
            <v>Q4-11</v>
          </cell>
          <cell r="V6" t="str">
            <v>Q1-12</v>
          </cell>
          <cell r="W6" t="str">
            <v>Q2-12</v>
          </cell>
          <cell r="X6" t="str">
            <v>Q3-12</v>
          </cell>
          <cell r="Y6" t="str">
            <v>Q4-12E</v>
          </cell>
          <cell r="Z6" t="str">
            <v>Q1-13E</v>
          </cell>
          <cell r="AA6" t="str">
            <v>Q2-13E</v>
          </cell>
          <cell r="AB6" t="str">
            <v>Q3-13E</v>
          </cell>
          <cell r="AC6" t="str">
            <v>Q4-13E</v>
          </cell>
          <cell r="AD6" t="str">
            <v>Q1-14E</v>
          </cell>
          <cell r="AE6" t="str">
            <v>Q2-14E</v>
          </cell>
          <cell r="AF6" t="str">
            <v>Q3-14E</v>
          </cell>
          <cell r="AG6" t="str">
            <v>Q4-14E</v>
          </cell>
          <cell r="AH6" t="str">
            <v>Q1-15E</v>
          </cell>
          <cell r="AI6" t="str">
            <v>Q2-15E</v>
          </cell>
          <cell r="AJ6" t="str">
            <v>Q3-15E</v>
          </cell>
          <cell r="AK6" t="str">
            <v>Q4-15E</v>
          </cell>
        </row>
        <row r="7">
          <cell r="A7" t="str">
            <v>Pro Forma Earnings</v>
          </cell>
        </row>
        <row r="8">
          <cell r="A8" t="str">
            <v>Mobile Devices</v>
          </cell>
          <cell r="F8">
            <v>3316</v>
          </cell>
          <cell r="G8">
            <v>3362</v>
          </cell>
          <cell r="H8">
            <v>3141</v>
          </cell>
          <cell r="I8">
            <v>2368</v>
          </cell>
          <cell r="J8">
            <v>1801</v>
          </cell>
          <cell r="K8">
            <v>1829</v>
          </cell>
          <cell r="L8">
            <v>1692</v>
          </cell>
          <cell r="M8">
            <v>1824</v>
          </cell>
          <cell r="N8">
            <v>1642</v>
          </cell>
          <cell r="O8">
            <v>1723</v>
          </cell>
          <cell r="P8">
            <v>2034</v>
          </cell>
          <cell r="Q8">
            <v>2420</v>
          </cell>
          <cell r="R8">
            <v>2128</v>
          </cell>
          <cell r="S8">
            <v>2430</v>
          </cell>
          <cell r="T8">
            <v>2434</v>
          </cell>
          <cell r="U8">
            <v>2539</v>
          </cell>
          <cell r="V8">
            <v>2194</v>
          </cell>
          <cell r="W8">
            <v>1912.3088691288415</v>
          </cell>
          <cell r="X8">
            <v>1778</v>
          </cell>
          <cell r="Y8">
            <v>1597.011356305545</v>
          </cell>
          <cell r="Z8">
            <v>1701.1152610209942</v>
          </cell>
          <cell r="AA8">
            <v>1839.3845990576949</v>
          </cell>
          <cell r="AB8">
            <v>1998.4641166744295</v>
          </cell>
          <cell r="AC8">
            <v>2169.6649158742753</v>
          </cell>
          <cell r="AD8">
            <v>1400.2358409083186</v>
          </cell>
          <cell r="AE8">
            <v>1423.8325762525672</v>
          </cell>
          <cell r="AF8">
            <v>1435.4931161009874</v>
          </cell>
          <cell r="AG8">
            <v>1436.5893976464683</v>
          </cell>
          <cell r="AH8">
            <v>1157.3473843877371</v>
          </cell>
          <cell r="AI8">
            <v>1284.9544523663344</v>
          </cell>
          <cell r="AJ8">
            <v>1415.1671281582783</v>
          </cell>
          <cell r="AK8">
            <v>1547.9843440107234</v>
          </cell>
          <cell r="AM8">
            <v>19142</v>
          </cell>
          <cell r="AN8">
            <v>12187</v>
          </cell>
          <cell r="AO8">
            <v>7146</v>
          </cell>
          <cell r="AP8">
            <v>7819</v>
          </cell>
          <cell r="AQ8">
            <v>9531</v>
          </cell>
          <cell r="AR8">
            <v>7481.320225434386</v>
          </cell>
          <cell r="AS8">
            <v>7708.6288926273937</v>
          </cell>
          <cell r="AT8">
            <v>5696.1509309083413</v>
          </cell>
          <cell r="AU8">
            <v>5405.4533089230736</v>
          </cell>
          <cell r="AV8">
            <v>5459.5078420123045</v>
          </cell>
          <cell r="AW8">
            <v>5514.1029204324277</v>
          </cell>
          <cell r="AX8">
            <v>5569.2439496367524</v>
          </cell>
          <cell r="AY8">
            <v>5624.9363891331204</v>
          </cell>
          <cell r="AZ8">
            <v>5681.1857530244515</v>
          </cell>
        </row>
        <row r="9">
          <cell r="A9" t="str">
            <v xml:space="preserve">   % Change y/y</v>
          </cell>
          <cell r="AN9">
            <v>-0.36333716435064256</v>
          </cell>
          <cell r="AO9">
            <v>-0.41363748256338717</v>
          </cell>
          <cell r="AP9">
            <v>9.4178561432969543E-2</v>
          </cell>
          <cell r="AQ9">
            <v>0.21895383041309624</v>
          </cell>
          <cell r="AR9">
            <v>-0.21505401055142315</v>
          </cell>
          <cell r="AS9">
            <v>3.0383496541188215E-2</v>
          </cell>
          <cell r="AT9">
            <v>-0.26106821196747521</v>
          </cell>
          <cell r="AU9">
            <v>-5.1034044833308423E-2</v>
          </cell>
          <cell r="AV9">
            <v>0.01</v>
          </cell>
          <cell r="AW9">
            <v>0.01</v>
          </cell>
          <cell r="AX9">
            <v>0.01</v>
          </cell>
          <cell r="AY9">
            <v>0.01</v>
          </cell>
          <cell r="AZ9">
            <v>0.01</v>
          </cell>
        </row>
        <row r="10">
          <cell r="A10" t="str">
            <v>Home (i.e., Cable)</v>
          </cell>
          <cell r="F10">
            <v>1162</v>
          </cell>
          <cell r="G10">
            <v>1376</v>
          </cell>
          <cell r="H10">
            <v>1138</v>
          </cell>
          <cell r="I10">
            <v>1236</v>
          </cell>
          <cell r="J10">
            <v>1025</v>
          </cell>
          <cell r="K10">
            <v>1013</v>
          </cell>
          <cell r="L10">
            <v>867</v>
          </cell>
          <cell r="M10">
            <v>999</v>
          </cell>
          <cell r="N10">
            <v>838</v>
          </cell>
          <cell r="O10">
            <v>886</v>
          </cell>
          <cell r="P10">
            <v>912</v>
          </cell>
          <cell r="Q10">
            <v>1005</v>
          </cell>
          <cell r="R10">
            <v>904</v>
          </cell>
          <cell r="S10">
            <v>907</v>
          </cell>
          <cell r="T10">
            <v>825</v>
          </cell>
          <cell r="U10">
            <v>897</v>
          </cell>
          <cell r="V10">
            <v>884</v>
          </cell>
          <cell r="W10">
            <v>907</v>
          </cell>
          <cell r="X10">
            <v>797</v>
          </cell>
          <cell r="Y10">
            <v>797</v>
          </cell>
          <cell r="Z10">
            <v>797</v>
          </cell>
          <cell r="AA10">
            <v>797</v>
          </cell>
          <cell r="AB10">
            <v>797</v>
          </cell>
          <cell r="AC10">
            <v>797</v>
          </cell>
          <cell r="AD10">
            <v>797</v>
          </cell>
          <cell r="AE10">
            <v>797</v>
          </cell>
          <cell r="AF10">
            <v>797</v>
          </cell>
          <cell r="AG10">
            <v>797</v>
          </cell>
          <cell r="AH10">
            <v>797</v>
          </cell>
          <cell r="AI10">
            <v>797</v>
          </cell>
          <cell r="AJ10">
            <v>797</v>
          </cell>
          <cell r="AK10">
            <v>797</v>
          </cell>
          <cell r="AM10">
            <v>4231</v>
          </cell>
          <cell r="AN10">
            <v>4912</v>
          </cell>
          <cell r="AO10">
            <v>3904</v>
          </cell>
          <cell r="AP10">
            <v>3641</v>
          </cell>
          <cell r="AQ10">
            <v>3533</v>
          </cell>
          <cell r="AR10">
            <v>3385</v>
          </cell>
          <cell r="AS10">
            <v>3188</v>
          </cell>
          <cell r="AT10">
            <v>3188</v>
          </cell>
          <cell r="AU10">
            <v>3188</v>
          </cell>
          <cell r="AV10">
            <v>3188</v>
          </cell>
          <cell r="AW10">
            <v>3188</v>
          </cell>
          <cell r="AX10">
            <v>3188</v>
          </cell>
          <cell r="AY10">
            <v>3188</v>
          </cell>
          <cell r="AZ10">
            <v>3188</v>
          </cell>
        </row>
        <row r="11">
          <cell r="A11" t="str">
            <v xml:space="preserve">   % Change y/y</v>
          </cell>
          <cell r="AN11">
            <v>0.16095485700779966</v>
          </cell>
          <cell r="AO11">
            <v>-0.2052117263843648</v>
          </cell>
          <cell r="AP11">
            <v>-6.7366803278688492E-2</v>
          </cell>
          <cell r="AQ11">
            <v>-2.9662180719582487E-2</v>
          </cell>
          <cell r="AR11">
            <v>-4.1890744409849967E-2</v>
          </cell>
          <cell r="AS11">
            <v>-5.8197932053175805E-2</v>
          </cell>
          <cell r="AT11">
            <v>0</v>
          </cell>
          <cell r="AU11">
            <v>0</v>
          </cell>
          <cell r="AV11">
            <v>0</v>
          </cell>
          <cell r="AW11">
            <v>0</v>
          </cell>
          <cell r="AX11">
            <v>0</v>
          </cell>
          <cell r="AY11">
            <v>0</v>
          </cell>
          <cell r="AZ11">
            <v>0</v>
          </cell>
        </row>
        <row r="12">
          <cell r="A12" t="str">
            <v>Total Motorola Mobility Revenue</v>
          </cell>
          <cell r="F12">
            <v>4478</v>
          </cell>
          <cell r="G12">
            <v>4738</v>
          </cell>
          <cell r="H12">
            <v>4279</v>
          </cell>
          <cell r="I12">
            <v>3604</v>
          </cell>
          <cell r="J12">
            <v>2826</v>
          </cell>
          <cell r="K12">
            <v>2842</v>
          </cell>
          <cell r="L12">
            <v>2559</v>
          </cell>
          <cell r="M12">
            <v>2823</v>
          </cell>
          <cell r="N12">
            <v>2480</v>
          </cell>
          <cell r="O12">
            <v>2609</v>
          </cell>
          <cell r="P12">
            <v>2946</v>
          </cell>
          <cell r="Q12">
            <v>3425</v>
          </cell>
          <cell r="R12">
            <v>3032</v>
          </cell>
          <cell r="S12">
            <v>3337</v>
          </cell>
          <cell r="T12">
            <v>3259</v>
          </cell>
          <cell r="U12">
            <v>3436</v>
          </cell>
          <cell r="V12">
            <v>3078</v>
          </cell>
          <cell r="W12">
            <v>2819.3088691288413</v>
          </cell>
          <cell r="X12">
            <v>2575</v>
          </cell>
          <cell r="Y12">
            <v>2394.0113563055447</v>
          </cell>
          <cell r="Z12">
            <v>2498.1152610209942</v>
          </cell>
          <cell r="AA12">
            <v>2636.3845990576947</v>
          </cell>
          <cell r="AB12">
            <v>2795.4641166744295</v>
          </cell>
          <cell r="AC12">
            <v>2966.6649158742753</v>
          </cell>
          <cell r="AD12">
            <v>2197.2358409083186</v>
          </cell>
          <cell r="AE12">
            <v>2220.8325762525674</v>
          </cell>
          <cell r="AF12">
            <v>2232.4931161009872</v>
          </cell>
          <cell r="AG12">
            <v>2233.5893976464686</v>
          </cell>
          <cell r="AH12">
            <v>1954.3473843877371</v>
          </cell>
          <cell r="AI12">
            <v>2081.9544523663344</v>
          </cell>
          <cell r="AJ12">
            <v>2212.1671281582785</v>
          </cell>
          <cell r="AK12">
            <v>2344.9843440107234</v>
          </cell>
          <cell r="AM12">
            <v>23373</v>
          </cell>
          <cell r="AN12">
            <v>17099</v>
          </cell>
          <cell r="AO12">
            <v>11050</v>
          </cell>
          <cell r="AP12">
            <v>11460</v>
          </cell>
          <cell r="AQ12">
            <v>13064</v>
          </cell>
          <cell r="AR12">
            <v>10866.320225434385</v>
          </cell>
          <cell r="AS12">
            <v>10896.628892627394</v>
          </cell>
          <cell r="AT12">
            <v>8884.1509309083413</v>
          </cell>
          <cell r="AU12">
            <v>8593.4533089230736</v>
          </cell>
          <cell r="AV12">
            <v>8647.5078420123045</v>
          </cell>
          <cell r="AW12">
            <v>8702.1029204324277</v>
          </cell>
          <cell r="AX12">
            <v>8757.2439496367515</v>
          </cell>
          <cell r="AY12">
            <v>8812.9363891331195</v>
          </cell>
          <cell r="AZ12">
            <v>8869.1857530244524</v>
          </cell>
        </row>
        <row r="13">
          <cell r="A13" t="str">
            <v xml:space="preserve">   % Change y/y</v>
          </cell>
          <cell r="J13">
            <v>-0.36891469405984811</v>
          </cell>
          <cell r="K13">
            <v>-0.40016884761502747</v>
          </cell>
          <cell r="L13">
            <v>-0.40196307548492638</v>
          </cell>
          <cell r="M13">
            <v>-0.21670366259711427</v>
          </cell>
          <cell r="N13">
            <v>-0.12243453644727531</v>
          </cell>
          <cell r="O13">
            <v>-8.1984517945109081E-2</v>
          </cell>
          <cell r="P13">
            <v>0.15123094958968353</v>
          </cell>
          <cell r="Q13">
            <v>0.21324831739284456</v>
          </cell>
          <cell r="R13">
            <v>0.22258064516129039</v>
          </cell>
          <cell r="S13">
            <v>0.27903411268685319</v>
          </cell>
          <cell r="T13">
            <v>0.10624575695858796</v>
          </cell>
          <cell r="U13">
            <v>3.2116788321168155E-3</v>
          </cell>
          <cell r="V13">
            <v>1.517150395778355E-2</v>
          </cell>
          <cell r="W13">
            <v>-0.1551366889035537</v>
          </cell>
          <cell r="X13">
            <v>-0.20988033138999695</v>
          </cell>
          <cell r="Y13">
            <v>-0.30325629909617446</v>
          </cell>
          <cell r="Z13">
            <v>-0.18839660135770164</v>
          </cell>
          <cell r="AA13">
            <v>-6.4882664001149171E-2</v>
          </cell>
          <cell r="AB13">
            <v>8.5617132689098874E-2</v>
          </cell>
          <cell r="AC13">
            <v>0.23920252427392552</v>
          </cell>
          <cell r="AD13">
            <v>-0.12044256916700657</v>
          </cell>
          <cell r="AE13">
            <v>-0.15762192775426442</v>
          </cell>
          <cell r="AF13">
            <v>-0.20138731068498561</v>
          </cell>
          <cell r="AG13">
            <v>-0.24710425309754591</v>
          </cell>
          <cell r="AH13">
            <v>-0.11054273373775547</v>
          </cell>
          <cell r="AI13">
            <v>-6.2534260966477628E-2</v>
          </cell>
          <cell r="AJ13">
            <v>-9.1046139386121716E-3</v>
          </cell>
          <cell r="AK13">
            <v>4.9872616015115279E-2</v>
          </cell>
          <cell r="AN13">
            <v>-0.26842938433234931</v>
          </cell>
          <cell r="AO13">
            <v>-0.3537633779753202</v>
          </cell>
          <cell r="AP13">
            <v>3.7104072398190135E-2</v>
          </cell>
          <cell r="AQ13">
            <v>0.13996509598603835</v>
          </cell>
          <cell r="AR13">
            <v>-0.16822411011678007</v>
          </cell>
          <cell r="AS13">
            <v>2.7892300764398303E-3</v>
          </cell>
          <cell r="AT13">
            <v>-0.18468812524951506</v>
          </cell>
          <cell r="AU13">
            <v>-3.2720923388854017E-2</v>
          </cell>
          <cell r="AV13">
            <v>6.2901991953692171E-3</v>
          </cell>
          <cell r="AW13">
            <v>6.3133887147095447E-3</v>
          </cell>
          <cell r="AX13">
            <v>6.3365177025029862E-3</v>
          </cell>
          <cell r="AY13">
            <v>6.3595852549793719E-3</v>
          </cell>
          <cell r="AZ13">
            <v>6.3825904792291777E-3</v>
          </cell>
        </row>
        <row r="14">
          <cell r="A14" t="str">
            <v xml:space="preserve">  % Change q/q</v>
          </cell>
          <cell r="G14">
            <v>5.8061634658329586E-2</v>
          </cell>
          <cell r="H14">
            <v>-9.6876319121992349E-2</v>
          </cell>
          <cell r="I14">
            <v>-0.15774713718158451</v>
          </cell>
          <cell r="J14">
            <v>-0.21587125416204223</v>
          </cell>
          <cell r="K14">
            <v>5.6617126680820196E-3</v>
          </cell>
          <cell r="L14">
            <v>-9.9577762139338444E-2</v>
          </cell>
          <cell r="M14">
            <v>0.10316529894490034</v>
          </cell>
          <cell r="N14">
            <v>-0.12150194828196959</v>
          </cell>
          <cell r="O14">
            <v>5.2016129032258052E-2</v>
          </cell>
          <cell r="P14">
            <v>0.12916826370256795</v>
          </cell>
          <cell r="Q14">
            <v>0.16259334691106586</v>
          </cell>
          <cell r="R14">
            <v>-0.1147445255474453</v>
          </cell>
          <cell r="S14">
            <v>0.10059366754617405</v>
          </cell>
          <cell r="T14">
            <v>-2.3374288282888789E-2</v>
          </cell>
          <cell r="U14">
            <v>5.4311138386007984E-2</v>
          </cell>
          <cell r="V14">
            <v>-0.10419091967403959</v>
          </cell>
          <cell r="W14">
            <v>-8.4045201712527162E-2</v>
          </cell>
          <cell r="X14">
            <v>-8.6655588468507183E-2</v>
          </cell>
          <cell r="Y14">
            <v>-7.0286851920176807E-2</v>
          </cell>
          <cell r="Z14">
            <v>4.3485134037168249E-2</v>
          </cell>
          <cell r="AA14">
            <v>5.5349462930781357E-2</v>
          </cell>
          <cell r="AB14">
            <v>6.034002689652862E-2</v>
          </cell>
          <cell r="AC14">
            <v>6.1242352630700658E-2</v>
          </cell>
          <cell r="AD14">
            <v>-0.25935826821857511</v>
          </cell>
          <cell r="AE14">
            <v>1.0739282012846685E-2</v>
          </cell>
          <cell r="AF14">
            <v>5.2505262995088398E-3</v>
          </cell>
          <cell r="AG14">
            <v>4.9105707765684237E-4</v>
          </cell>
          <cell r="AH14">
            <v>-0.12501940309752935</v>
          </cell>
          <cell r="AI14">
            <v>6.529395387840653E-2</v>
          </cell>
          <cell r="AJ14">
            <v>6.2543479586666839E-2</v>
          </cell>
          <cell r="AK14">
            <v>6.0039413009007392E-2</v>
          </cell>
        </row>
        <row r="16">
          <cell r="A16" t="str">
            <v>Cost of Sales</v>
          </cell>
          <cell r="F16">
            <v>3532</v>
          </cell>
          <cell r="G16">
            <v>3794</v>
          </cell>
          <cell r="H16">
            <v>3397</v>
          </cell>
          <cell r="I16">
            <v>2949</v>
          </cell>
          <cell r="J16">
            <v>2392</v>
          </cell>
          <cell r="K16">
            <v>2327</v>
          </cell>
          <cell r="L16">
            <v>2028</v>
          </cell>
          <cell r="M16">
            <v>2103</v>
          </cell>
          <cell r="N16">
            <v>1878</v>
          </cell>
          <cell r="O16">
            <v>1939</v>
          </cell>
          <cell r="P16">
            <v>2146</v>
          </cell>
          <cell r="Q16">
            <v>2500</v>
          </cell>
          <cell r="R16">
            <v>2273</v>
          </cell>
          <cell r="S16">
            <v>2469</v>
          </cell>
          <cell r="T16">
            <v>2412</v>
          </cell>
          <cell r="U16">
            <v>2573</v>
          </cell>
          <cell r="V16">
            <v>2319</v>
          </cell>
          <cell r="W16">
            <v>2038.989660003936</v>
          </cell>
          <cell r="X16">
            <v>1872.606736584446</v>
          </cell>
          <cell r="Y16">
            <v>1696.7919451708087</v>
          </cell>
          <cell r="Z16">
            <v>1792.7934780681755</v>
          </cell>
          <cell r="AA16">
            <v>1868.3047678744724</v>
          </cell>
          <cell r="AB16">
            <v>1976.0372657045796</v>
          </cell>
          <cell r="AC16">
            <v>2071.839969974767</v>
          </cell>
          <cell r="AD16">
            <v>1575.0696493052255</v>
          </cell>
          <cell r="AE16">
            <v>1577.2361508321719</v>
          </cell>
          <cell r="AF16">
            <v>1584.9232118482328</v>
          </cell>
          <cell r="AG16">
            <v>1571.319579725071</v>
          </cell>
          <cell r="AH16">
            <v>1403.7686192185779</v>
          </cell>
          <cell r="AI16">
            <v>1480.2999161910946</v>
          </cell>
          <cell r="AJ16">
            <v>1569.9448372959664</v>
          </cell>
          <cell r="AK16">
            <v>1646.1546864683364</v>
          </cell>
          <cell r="AM16">
            <v>18531</v>
          </cell>
          <cell r="AN16">
            <v>13672</v>
          </cell>
          <cell r="AO16">
            <v>8850</v>
          </cell>
          <cell r="AP16">
            <v>8463</v>
          </cell>
          <cell r="AQ16">
            <v>9727</v>
          </cell>
          <cell r="AR16">
            <v>7927.3883417591906</v>
          </cell>
          <cell r="AS16">
            <v>7708.9754816219947</v>
          </cell>
          <cell r="AT16">
            <v>6308.5485917107007</v>
          </cell>
          <cell r="AU16">
            <v>6100.1680591739751</v>
          </cell>
        </row>
        <row r="17">
          <cell r="A17" t="str">
            <v>Gross Profit</v>
          </cell>
          <cell r="F17">
            <v>946</v>
          </cell>
          <cell r="G17">
            <v>944</v>
          </cell>
          <cell r="H17">
            <v>882</v>
          </cell>
          <cell r="I17">
            <v>655</v>
          </cell>
          <cell r="J17">
            <v>434</v>
          </cell>
          <cell r="K17">
            <v>515</v>
          </cell>
          <cell r="L17">
            <v>531</v>
          </cell>
          <cell r="M17">
            <v>720</v>
          </cell>
          <cell r="N17">
            <v>602</v>
          </cell>
          <cell r="O17">
            <v>670</v>
          </cell>
          <cell r="P17">
            <v>800</v>
          </cell>
          <cell r="Q17">
            <v>925</v>
          </cell>
          <cell r="R17">
            <v>759</v>
          </cell>
          <cell r="S17">
            <v>868</v>
          </cell>
          <cell r="T17">
            <v>847</v>
          </cell>
          <cell r="U17">
            <v>863</v>
          </cell>
          <cell r="V17">
            <v>759</v>
          </cell>
          <cell r="W17">
            <v>780.31920912490534</v>
          </cell>
          <cell r="X17">
            <v>702.39326341555409</v>
          </cell>
          <cell r="Y17">
            <v>697.21941113473599</v>
          </cell>
          <cell r="Z17">
            <v>705.32178295281869</v>
          </cell>
          <cell r="AA17">
            <v>768.07983118322215</v>
          </cell>
          <cell r="AB17">
            <v>819.42685096984997</v>
          </cell>
          <cell r="AC17">
            <v>894.82494589950841</v>
          </cell>
          <cell r="AD17">
            <v>622.16619160309313</v>
          </cell>
          <cell r="AE17">
            <v>643.59642542039535</v>
          </cell>
          <cell r="AF17">
            <v>647.56990425275444</v>
          </cell>
          <cell r="AG17">
            <v>662.2698179213977</v>
          </cell>
          <cell r="AH17">
            <v>550.57876516915928</v>
          </cell>
          <cell r="AI17">
            <v>601.65453617523985</v>
          </cell>
          <cell r="AJ17">
            <v>642.22229086231209</v>
          </cell>
          <cell r="AK17">
            <v>698.82965754238683</v>
          </cell>
          <cell r="AM17">
            <v>4842</v>
          </cell>
          <cell r="AN17">
            <v>3427</v>
          </cell>
          <cell r="AO17">
            <v>2200</v>
          </cell>
          <cell r="AP17">
            <v>2997</v>
          </cell>
          <cell r="AQ17">
            <v>3337</v>
          </cell>
          <cell r="AR17">
            <v>2938.9318836751945</v>
          </cell>
          <cell r="AS17">
            <v>3187.653411005399</v>
          </cell>
          <cell r="AT17">
            <v>2575.6023391976405</v>
          </cell>
          <cell r="AU17">
            <v>2493.2852497490985</v>
          </cell>
        </row>
        <row r="18">
          <cell r="A18" t="str">
            <v>Gross Margin</v>
          </cell>
          <cell r="F18">
            <v>0.21125502456453774</v>
          </cell>
          <cell r="G18">
            <v>0.19924018573237653</v>
          </cell>
          <cell r="H18">
            <v>0.20612292591727038</v>
          </cell>
          <cell r="I18">
            <v>0.18174250832408434</v>
          </cell>
          <cell r="J18">
            <v>0.15357395612172683</v>
          </cell>
          <cell r="K18">
            <v>0.181210415200563</v>
          </cell>
          <cell r="L18">
            <v>0.20750293083235638</v>
          </cell>
          <cell r="M18">
            <v>0.25504782146652499</v>
          </cell>
          <cell r="N18">
            <v>0.24274193548387096</v>
          </cell>
          <cell r="O18">
            <v>0.25680337293982369</v>
          </cell>
          <cell r="P18">
            <v>0.27155465037338766</v>
          </cell>
          <cell r="Q18">
            <v>0.27007299270072993</v>
          </cell>
          <cell r="R18">
            <v>0.25032981530343007</v>
          </cell>
          <cell r="S18">
            <v>0.26011387473778841</v>
          </cell>
          <cell r="T18">
            <v>0.2598956735194845</v>
          </cell>
          <cell r="U18">
            <v>0.25116414435389989</v>
          </cell>
          <cell r="V18">
            <v>0.246588693957115</v>
          </cell>
          <cell r="W18">
            <v>0.27677677237472098</v>
          </cell>
          <cell r="X18">
            <v>0.27277408287982685</v>
          </cell>
          <cell r="Y18">
            <v>0.29123479690200382</v>
          </cell>
          <cell r="Z18">
            <v>0.28234156924550774</v>
          </cell>
          <cell r="AA18">
            <v>0.29133830908348951</v>
          </cell>
          <cell r="AB18">
            <v>0.29312730078777238</v>
          </cell>
          <cell r="AC18">
            <v>0.30162656426460749</v>
          </cell>
          <cell r="AD18">
            <v>0.28315858499099256</v>
          </cell>
          <cell r="AE18">
            <v>0.28979961492928019</v>
          </cell>
          <cell r="AF18">
            <v>0.29006580113614178</v>
          </cell>
          <cell r="AG18">
            <v>0.29650472849630771</v>
          </cell>
          <cell r="AH18">
            <v>0.28172001025377891</v>
          </cell>
          <cell r="AI18">
            <v>0.28898544609917071</v>
          </cell>
          <cell r="AJ18">
            <v>0.2903136398184295</v>
          </cell>
          <cell r="AK18">
            <v>0.29801037236229461</v>
          </cell>
          <cell r="AM18">
            <v>0.2071621101270697</v>
          </cell>
          <cell r="AN18">
            <v>0.20042107725597988</v>
          </cell>
          <cell r="AO18">
            <v>0.19909502262443438</v>
          </cell>
          <cell r="AP18">
            <v>0.26151832460732982</v>
          </cell>
          <cell r="AQ18">
            <v>0.25543478260869568</v>
          </cell>
          <cell r="AR18">
            <v>0.27046247696585896</v>
          </cell>
          <cell r="AS18">
            <v>0.29253574132107496</v>
          </cell>
          <cell r="AT18">
            <v>0.28990979095560049</v>
          </cell>
          <cell r="AU18">
            <v>0.29013775488372967</v>
          </cell>
        </row>
        <row r="20">
          <cell r="A20" t="str">
            <v xml:space="preserve">    Selling, G&amp;A</v>
          </cell>
          <cell r="F20">
            <v>599.80200000000002</v>
          </cell>
          <cell r="G20">
            <v>540.80200000000002</v>
          </cell>
          <cell r="H20">
            <v>517</v>
          </cell>
          <cell r="I20">
            <v>463.726</v>
          </cell>
          <cell r="J20">
            <v>360</v>
          </cell>
          <cell r="K20">
            <v>335</v>
          </cell>
          <cell r="L20">
            <v>306</v>
          </cell>
          <cell r="M20">
            <v>386</v>
          </cell>
          <cell r="N20">
            <v>348</v>
          </cell>
          <cell r="O20">
            <v>363</v>
          </cell>
          <cell r="P20">
            <v>362</v>
          </cell>
          <cell r="Q20">
            <v>426</v>
          </cell>
          <cell r="R20">
            <v>396</v>
          </cell>
          <cell r="S20">
            <v>428</v>
          </cell>
          <cell r="T20">
            <v>407</v>
          </cell>
          <cell r="U20">
            <v>428</v>
          </cell>
          <cell r="V20">
            <v>405</v>
          </cell>
          <cell r="W20">
            <v>394.93286329436108</v>
          </cell>
          <cell r="X20">
            <v>350.0268767008032</v>
          </cell>
          <cell r="Y20">
            <v>339.75823592501359</v>
          </cell>
          <cell r="Z20">
            <v>386.52358052000892</v>
          </cell>
          <cell r="AA20">
            <v>397.59632385453637</v>
          </cell>
          <cell r="AB20">
            <v>408.38231369994753</v>
          </cell>
          <cell r="AC20">
            <v>429.82264536973395</v>
          </cell>
          <cell r="AD20">
            <v>333.70708283883954</v>
          </cell>
          <cell r="AE20">
            <v>325.14318956614608</v>
          </cell>
          <cell r="AF20">
            <v>320.88434646938106</v>
          </cell>
          <cell r="AG20">
            <v>324.43564497780085</v>
          </cell>
          <cell r="AH20">
            <v>288.67202447192722</v>
          </cell>
          <cell r="AI20">
            <v>300.74971155919212</v>
          </cell>
          <cell r="AJ20">
            <v>317.79560893729121</v>
          </cell>
          <cell r="AK20">
            <v>344.64163711843042</v>
          </cell>
          <cell r="AM20">
            <v>2654</v>
          </cell>
          <cell r="AN20">
            <v>2121.33</v>
          </cell>
          <cell r="AO20">
            <v>1387</v>
          </cell>
          <cell r="AP20">
            <v>1499</v>
          </cell>
          <cell r="AQ20">
            <v>1659</v>
          </cell>
          <cell r="AR20">
            <v>1489.7179759201781</v>
          </cell>
          <cell r="AS20">
            <v>1622.3248634442266</v>
          </cell>
          <cell r="AT20">
            <v>1304.1702638521674</v>
          </cell>
          <cell r="AU20">
            <v>1251.858982086841</v>
          </cell>
        </row>
        <row r="21">
          <cell r="A21" t="str">
            <v xml:space="preserve">    R &amp; D expense</v>
          </cell>
          <cell r="F21">
            <v>606.19799999999998</v>
          </cell>
          <cell r="G21">
            <v>597.19799999999998</v>
          </cell>
          <cell r="H21">
            <v>565.31200000000001</v>
          </cell>
          <cell r="I21">
            <v>543.274</v>
          </cell>
          <cell r="J21">
            <v>423</v>
          </cell>
          <cell r="K21">
            <v>372</v>
          </cell>
          <cell r="L21">
            <v>364</v>
          </cell>
          <cell r="M21">
            <v>380</v>
          </cell>
          <cell r="N21">
            <v>355</v>
          </cell>
          <cell r="O21">
            <v>358</v>
          </cell>
          <cell r="P21">
            <v>358</v>
          </cell>
          <cell r="Q21">
            <v>353</v>
          </cell>
          <cell r="R21">
            <v>342</v>
          </cell>
          <cell r="S21">
            <v>381</v>
          </cell>
          <cell r="T21">
            <v>378</v>
          </cell>
          <cell r="U21">
            <v>370</v>
          </cell>
          <cell r="V21">
            <v>348</v>
          </cell>
          <cell r="W21">
            <v>351.56406755876532</v>
          </cell>
          <cell r="X21">
            <v>325.08638671475092</v>
          </cell>
          <cell r="Y21">
            <v>293.71623199125008</v>
          </cell>
          <cell r="Z21">
            <v>332.12396548385954</v>
          </cell>
          <cell r="AA21">
            <v>353.93504530041668</v>
          </cell>
          <cell r="AB21">
            <v>379.28381960339107</v>
          </cell>
          <cell r="AC21">
            <v>371.57565137103165</v>
          </cell>
          <cell r="AD21">
            <v>286.74090080966954</v>
          </cell>
          <cell r="AE21">
            <v>289.43821314182622</v>
          </cell>
          <cell r="AF21">
            <v>298.02035126640305</v>
          </cell>
          <cell r="AG21">
            <v>280.47006692006147</v>
          </cell>
          <cell r="AH21">
            <v>248.04410991661894</v>
          </cell>
          <cell r="AI21">
            <v>267.72345818703781</v>
          </cell>
          <cell r="AJ21">
            <v>295.15169576976922</v>
          </cell>
          <cell r="AK21">
            <v>297.93786386406367</v>
          </cell>
          <cell r="AM21">
            <v>2498</v>
          </cell>
          <cell r="AN21">
            <v>2311.982</v>
          </cell>
          <cell r="AO21">
            <v>1539</v>
          </cell>
          <cell r="AP21">
            <v>1424</v>
          </cell>
          <cell r="AQ21">
            <v>1471</v>
          </cell>
          <cell r="AR21">
            <v>1318.3666862647665</v>
          </cell>
          <cell r="AS21">
            <v>1436.9184817586988</v>
          </cell>
          <cell r="AT21">
            <v>1154.6695321379602</v>
          </cell>
          <cell r="AU21">
            <v>1108.8571277374897</v>
          </cell>
        </row>
        <row r="22">
          <cell r="A22" t="str">
            <v xml:space="preserve">    Amort of Intang &amp; IPR&amp;D</v>
          </cell>
          <cell r="AN22">
            <v>0</v>
          </cell>
          <cell r="AO22">
            <v>0</v>
          </cell>
          <cell r="AP22">
            <v>0</v>
          </cell>
          <cell r="AQ22">
            <v>0</v>
          </cell>
          <cell r="AR22">
            <v>0</v>
          </cell>
          <cell r="AS22">
            <v>0</v>
          </cell>
          <cell r="AT22">
            <v>0</v>
          </cell>
          <cell r="AU22">
            <v>0</v>
          </cell>
        </row>
        <row r="23">
          <cell r="A23" t="str">
            <v xml:space="preserve">    Other charges/(benefits)</v>
          </cell>
          <cell r="F23">
            <v>0</v>
          </cell>
          <cell r="G23">
            <v>0</v>
          </cell>
          <cell r="H23">
            <v>1</v>
          </cell>
          <cell r="I23">
            <v>-8</v>
          </cell>
          <cell r="J23">
            <v>0</v>
          </cell>
          <cell r="K23">
            <v>0</v>
          </cell>
          <cell r="L23">
            <v>0</v>
          </cell>
          <cell r="M23">
            <v>0</v>
          </cell>
          <cell r="N23">
            <v>0</v>
          </cell>
          <cell r="O23">
            <v>0</v>
          </cell>
          <cell r="P23">
            <v>0</v>
          </cell>
          <cell r="Q23">
            <v>0</v>
          </cell>
          <cell r="R23">
            <v>1</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M23">
            <v>0</v>
          </cell>
          <cell r="AN23">
            <v>-7</v>
          </cell>
          <cell r="AO23">
            <v>0</v>
          </cell>
          <cell r="AP23">
            <v>0</v>
          </cell>
          <cell r="AQ23">
            <v>1</v>
          </cell>
          <cell r="AR23">
            <v>0</v>
          </cell>
          <cell r="AS23">
            <v>0</v>
          </cell>
          <cell r="AT23">
            <v>0</v>
          </cell>
          <cell r="AU23">
            <v>0</v>
          </cell>
        </row>
        <row r="24">
          <cell r="A24" t="str">
            <v>Total Op Expenses</v>
          </cell>
          <cell r="F24">
            <v>1206</v>
          </cell>
          <cell r="G24">
            <v>1138</v>
          </cell>
          <cell r="H24">
            <v>1083.3119999999999</v>
          </cell>
          <cell r="I24">
            <v>999</v>
          </cell>
          <cell r="J24">
            <v>783</v>
          </cell>
          <cell r="K24">
            <v>707</v>
          </cell>
          <cell r="L24">
            <v>670</v>
          </cell>
          <cell r="M24">
            <v>766</v>
          </cell>
          <cell r="N24">
            <v>703</v>
          </cell>
          <cell r="O24">
            <v>721</v>
          </cell>
          <cell r="P24">
            <v>720</v>
          </cell>
          <cell r="Q24">
            <v>779</v>
          </cell>
          <cell r="R24">
            <v>739</v>
          </cell>
          <cell r="S24">
            <v>809</v>
          </cell>
          <cell r="T24">
            <v>785</v>
          </cell>
          <cell r="U24">
            <v>798</v>
          </cell>
          <cell r="V24">
            <v>753</v>
          </cell>
          <cell r="W24">
            <v>746.4969308531264</v>
          </cell>
          <cell r="X24">
            <v>675.11326341555412</v>
          </cell>
          <cell r="Y24">
            <v>633.47446791626373</v>
          </cell>
          <cell r="Z24">
            <v>718.64754600386846</v>
          </cell>
          <cell r="AA24">
            <v>751.53136915495304</v>
          </cell>
          <cell r="AB24">
            <v>787.6661333033386</v>
          </cell>
          <cell r="AC24">
            <v>801.39829674076566</v>
          </cell>
          <cell r="AD24">
            <v>620.44798364850908</v>
          </cell>
          <cell r="AE24">
            <v>614.5814027079723</v>
          </cell>
          <cell r="AF24">
            <v>618.90469773578411</v>
          </cell>
          <cell r="AG24">
            <v>604.90571189786237</v>
          </cell>
          <cell r="AH24">
            <v>536.71613438854615</v>
          </cell>
          <cell r="AI24">
            <v>568.47316974622993</v>
          </cell>
          <cell r="AJ24">
            <v>612.94730470706043</v>
          </cell>
          <cell r="AK24">
            <v>642.5795009824941</v>
          </cell>
          <cell r="AM24">
            <v>5152</v>
          </cell>
          <cell r="AN24">
            <v>4426.3119999999999</v>
          </cell>
          <cell r="AO24">
            <v>2926</v>
          </cell>
          <cell r="AP24">
            <v>2923</v>
          </cell>
          <cell r="AQ24">
            <v>3131</v>
          </cell>
          <cell r="AR24">
            <v>2808.0846621849446</v>
          </cell>
          <cell r="AS24">
            <v>3059.2433452029254</v>
          </cell>
          <cell r="AT24">
            <v>2458.8397959901276</v>
          </cell>
          <cell r="AU24">
            <v>2360.7161098243305</v>
          </cell>
        </row>
        <row r="26">
          <cell r="A26" t="str">
            <v>Operating Income</v>
          </cell>
          <cell r="F26">
            <v>-260</v>
          </cell>
          <cell r="G26">
            <v>-194</v>
          </cell>
          <cell r="H26">
            <v>-201.3119999999999</v>
          </cell>
          <cell r="I26">
            <v>-344</v>
          </cell>
          <cell r="J26">
            <v>-349</v>
          </cell>
          <cell r="K26">
            <v>-192</v>
          </cell>
          <cell r="L26">
            <v>-139</v>
          </cell>
          <cell r="M26">
            <v>-46</v>
          </cell>
          <cell r="N26">
            <v>-101</v>
          </cell>
          <cell r="O26">
            <v>-51</v>
          </cell>
          <cell r="P26">
            <v>80</v>
          </cell>
          <cell r="Q26">
            <v>146</v>
          </cell>
          <cell r="R26">
            <v>20</v>
          </cell>
          <cell r="S26">
            <v>59</v>
          </cell>
          <cell r="T26">
            <v>62</v>
          </cell>
          <cell r="U26">
            <v>65</v>
          </cell>
          <cell r="V26">
            <v>6</v>
          </cell>
          <cell r="W26">
            <v>33.822278271778956</v>
          </cell>
          <cell r="X26">
            <v>27.28</v>
          </cell>
          <cell r="Y26">
            <v>63.74494321847228</v>
          </cell>
          <cell r="Z26">
            <v>-13.325763051049719</v>
          </cell>
          <cell r="AA26">
            <v>16.548462028269157</v>
          </cell>
          <cell r="AB26">
            <v>31.760717666511411</v>
          </cell>
          <cell r="AC26">
            <v>93.426649158742748</v>
          </cell>
          <cell r="AD26">
            <v>1.7182079545840736</v>
          </cell>
          <cell r="AE26">
            <v>29.01502271242299</v>
          </cell>
          <cell r="AF26">
            <v>28.665206516970386</v>
          </cell>
          <cell r="AG26">
            <v>57.364106023535321</v>
          </cell>
          <cell r="AH26">
            <v>13.862630780613145</v>
          </cell>
          <cell r="AI26">
            <v>33.181366429009977</v>
          </cell>
          <cell r="AJ26">
            <v>29.274986155251661</v>
          </cell>
          <cell r="AK26">
            <v>56.250156559892773</v>
          </cell>
          <cell r="AM26">
            <v>-310</v>
          </cell>
          <cell r="AN26">
            <v>-999.3119999999999</v>
          </cell>
          <cell r="AO26">
            <v>-726</v>
          </cell>
          <cell r="AP26">
            <v>74</v>
          </cell>
          <cell r="AQ26">
            <v>206</v>
          </cell>
          <cell r="AR26">
            <v>130.84722149024992</v>
          </cell>
          <cell r="AS26">
            <v>128.41006580247358</v>
          </cell>
          <cell r="AT26">
            <v>116.76254320751286</v>
          </cell>
          <cell r="AU26">
            <v>132.56913992476802</v>
          </cell>
        </row>
        <row r="27">
          <cell r="A27" t="str">
            <v xml:space="preserve">     Operating Margin</v>
          </cell>
          <cell r="F27">
            <v>-5.8061634658329614E-2</v>
          </cell>
          <cell r="G27">
            <v>-4.0945546644153653E-2</v>
          </cell>
          <cell r="H27">
            <v>-4.7046506193035735E-2</v>
          </cell>
          <cell r="I27">
            <v>-9.5449500554938962E-2</v>
          </cell>
          <cell r="J27">
            <v>-0.12349610757254069</v>
          </cell>
          <cell r="K27">
            <v>-6.755805770584096E-2</v>
          </cell>
          <cell r="L27">
            <v>-5.4318093005080108E-2</v>
          </cell>
          <cell r="M27">
            <v>-1.6294721927027984E-2</v>
          </cell>
          <cell r="N27">
            <v>-4.0725806451612903E-2</v>
          </cell>
          <cell r="O27">
            <v>-1.9547719432732848E-2</v>
          </cell>
          <cell r="P27">
            <v>2.7155465037338764E-2</v>
          </cell>
          <cell r="Q27">
            <v>4.2627737226277371E-2</v>
          </cell>
          <cell r="R27">
            <v>6.5963060686015833E-3</v>
          </cell>
          <cell r="S27">
            <v>1.7680551393467185E-2</v>
          </cell>
          <cell r="T27">
            <v>1.9024240564590365E-2</v>
          </cell>
          <cell r="U27">
            <v>1.8917345750873109E-2</v>
          </cell>
          <cell r="V27">
            <v>1.9493177387914229E-3</v>
          </cell>
          <cell r="W27">
            <v>1.199665586205528E-2</v>
          </cell>
          <cell r="X27">
            <v>1.0594174757281553E-2</v>
          </cell>
          <cell r="Y27">
            <v>2.6626834100254196E-2</v>
          </cell>
          <cell r="Z27">
            <v>-5.3343267458377409E-3</v>
          </cell>
          <cell r="AA27">
            <v>6.2769529279544274E-3</v>
          </cell>
          <cell r="AB27">
            <v>1.1361518639092724E-2</v>
          </cell>
          <cell r="AC27">
            <v>3.1492147515153376E-2</v>
          </cell>
          <cell r="AD27">
            <v>7.8198613120828266E-4</v>
          </cell>
          <cell r="AE27">
            <v>1.3064930253041828E-2</v>
          </cell>
          <cell r="AF27">
            <v>1.283999771835073E-2</v>
          </cell>
          <cell r="AG27">
            <v>2.5682475966254063E-2</v>
          </cell>
          <cell r="AH27">
            <v>7.0932275865357814E-3</v>
          </cell>
          <cell r="AI27">
            <v>1.5937604394417118E-2</v>
          </cell>
          <cell r="AJ27">
            <v>1.323362316644869E-2</v>
          </cell>
          <cell r="AK27">
            <v>2.3987433734284899E-2</v>
          </cell>
          <cell r="AM27">
            <v>-1.3263166901980919E-2</v>
          </cell>
          <cell r="AN27">
            <v>-5.8442715948301062E-2</v>
          </cell>
          <cell r="AO27">
            <v>-6.5701357466063343E-2</v>
          </cell>
          <cell r="AP27">
            <v>6.4572425828970329E-3</v>
          </cell>
          <cell r="AQ27">
            <v>1.5768524188609922E-2</v>
          </cell>
          <cell r="AR27">
            <v>1.2041539249320186E-2</v>
          </cell>
          <cell r="AS27">
            <v>1.1784384608101613E-2</v>
          </cell>
          <cell r="AT27">
            <v>1.3142791485148117E-2</v>
          </cell>
          <cell r="AU27">
            <v>1.5426759785511827E-2</v>
          </cell>
        </row>
        <row r="28">
          <cell r="A28" t="str">
            <v xml:space="preserve">     Depreciation</v>
          </cell>
          <cell r="J28">
            <v>42</v>
          </cell>
          <cell r="K28">
            <v>40</v>
          </cell>
          <cell r="L28">
            <v>37</v>
          </cell>
          <cell r="M28">
            <v>35</v>
          </cell>
          <cell r="N28">
            <v>36</v>
          </cell>
          <cell r="O28">
            <v>48</v>
          </cell>
          <cell r="P28">
            <v>44</v>
          </cell>
          <cell r="Q28">
            <v>47</v>
          </cell>
          <cell r="R28">
            <v>38</v>
          </cell>
          <cell r="S28">
            <v>40</v>
          </cell>
          <cell r="T28">
            <v>42</v>
          </cell>
          <cell r="U28">
            <v>42</v>
          </cell>
          <cell r="V28">
            <v>38</v>
          </cell>
          <cell r="W28">
            <v>36.849878934624698</v>
          </cell>
          <cell r="X28">
            <v>36.54517181299849</v>
          </cell>
          <cell r="Y28">
            <v>36.133982400383637</v>
          </cell>
          <cell r="Z28">
            <v>35.652440788715062</v>
          </cell>
          <cell r="AA28">
            <v>35.244399519860671</v>
          </cell>
          <cell r="AB28">
            <v>34.923328615110314</v>
          </cell>
          <cell r="AC28">
            <v>34.695491206999634</v>
          </cell>
          <cell r="AD28">
            <v>34.562576674501891</v>
          </cell>
          <cell r="AE28">
            <v>34.056271884884488</v>
          </cell>
          <cell r="AF28">
            <v>33.584898168844973</v>
          </cell>
          <cell r="AG28">
            <v>33.140961246410932</v>
          </cell>
          <cell r="AH28">
            <v>32.717988290411185</v>
          </cell>
          <cell r="AI28">
            <v>32.17674379405674</v>
          </cell>
          <cell r="AJ28">
            <v>31.723338711253739</v>
          </cell>
          <cell r="AK28">
            <v>31.355017165741891</v>
          </cell>
          <cell r="AM28">
            <v>186</v>
          </cell>
          <cell r="AN28">
            <v>163</v>
          </cell>
          <cell r="AO28">
            <v>154</v>
          </cell>
          <cell r="AP28">
            <v>175</v>
          </cell>
          <cell r="AQ28">
            <v>162</v>
          </cell>
          <cell r="AR28">
            <v>147.52903314800682</v>
          </cell>
          <cell r="AS28">
            <v>140.51566013068569</v>
          </cell>
          <cell r="AT28">
            <v>135.34470797464229</v>
          </cell>
          <cell r="AU28">
            <v>127.97308796146356</v>
          </cell>
        </row>
        <row r="29">
          <cell r="A29" t="str">
            <v>EBITDA</v>
          </cell>
          <cell r="J29">
            <v>-307</v>
          </cell>
          <cell r="K29">
            <v>-152</v>
          </cell>
          <cell r="L29">
            <v>-102</v>
          </cell>
          <cell r="M29">
            <v>-11</v>
          </cell>
          <cell r="N29">
            <v>-65</v>
          </cell>
          <cell r="O29">
            <v>-3</v>
          </cell>
          <cell r="P29">
            <v>124</v>
          </cell>
          <cell r="Q29">
            <v>193</v>
          </cell>
          <cell r="R29">
            <v>58</v>
          </cell>
          <cell r="S29">
            <v>99</v>
          </cell>
          <cell r="T29">
            <v>104</v>
          </cell>
          <cell r="U29">
            <v>107</v>
          </cell>
          <cell r="V29">
            <v>44</v>
          </cell>
          <cell r="W29">
            <v>70.672157206403654</v>
          </cell>
          <cell r="X29">
            <v>63.825171812998491</v>
          </cell>
          <cell r="Y29">
            <v>99.878925618855916</v>
          </cell>
          <cell r="Z29">
            <v>22.326677737665342</v>
          </cell>
          <cell r="AA29">
            <v>51.792861548129828</v>
          </cell>
          <cell r="AB29">
            <v>66.684046281621733</v>
          </cell>
          <cell r="AC29">
            <v>128.12214036574238</v>
          </cell>
          <cell r="AD29">
            <v>36.280784629085964</v>
          </cell>
          <cell r="AE29">
            <v>63.071294597307478</v>
          </cell>
          <cell r="AF29">
            <v>62.250104685815359</v>
          </cell>
          <cell r="AG29">
            <v>90.505067269946252</v>
          </cell>
          <cell r="AH29">
            <v>46.58061907102433</v>
          </cell>
          <cell r="AI29">
            <v>65.358110223066717</v>
          </cell>
          <cell r="AJ29">
            <v>60.998324866505399</v>
          </cell>
          <cell r="AK29">
            <v>87.605173725634671</v>
          </cell>
          <cell r="AM29">
            <v>-124</v>
          </cell>
          <cell r="AN29">
            <v>-836.3119999999999</v>
          </cell>
          <cell r="AO29">
            <v>-572</v>
          </cell>
          <cell r="AP29">
            <v>249</v>
          </cell>
          <cell r="AQ29">
            <v>368</v>
          </cell>
          <cell r="AR29">
            <v>278.37625463825674</v>
          </cell>
          <cell r="AS29">
            <v>268.92572593315924</v>
          </cell>
          <cell r="AT29">
            <v>252.10725118215515</v>
          </cell>
          <cell r="AU29">
            <v>260.54222788623156</v>
          </cell>
        </row>
        <row r="30">
          <cell r="A30" t="str">
            <v xml:space="preserve">     EBITDA Margin</v>
          </cell>
          <cell r="J30">
            <v>-0.10863411181882519</v>
          </cell>
          <cell r="K30">
            <v>-5.3483462350457422E-2</v>
          </cell>
          <cell r="L30">
            <v>-3.9859320046893319E-2</v>
          </cell>
          <cell r="M30">
            <v>-3.8965639390719092E-3</v>
          </cell>
          <cell r="N30">
            <v>-2.620967741935484E-2</v>
          </cell>
          <cell r="O30">
            <v>-1.1498658489842851E-3</v>
          </cell>
          <cell r="P30">
            <v>4.2090970807875085E-2</v>
          </cell>
          <cell r="Q30">
            <v>5.6350364963503652E-2</v>
          </cell>
          <cell r="R30">
            <v>1.912928759894459E-2</v>
          </cell>
          <cell r="S30">
            <v>2.9667365897512735E-2</v>
          </cell>
          <cell r="T30">
            <v>3.1911629334151578E-2</v>
          </cell>
          <cell r="U30">
            <v>3.1140861466821886E-2</v>
          </cell>
          <cell r="V30">
            <v>1.4294996751137101E-2</v>
          </cell>
          <cell r="W30">
            <v>2.506719216906559E-2</v>
          </cell>
          <cell r="X30">
            <v>2.478647449048485E-2</v>
          </cell>
          <cell r="Y30">
            <v>4.1720322401891101E-2</v>
          </cell>
          <cell r="Z30">
            <v>8.9374089682876766E-3</v>
          </cell>
          <cell r="AA30">
            <v>1.9645411965553812E-2</v>
          </cell>
          <cell r="AB30">
            <v>2.3854373906595207E-2</v>
          </cell>
          <cell r="AC30">
            <v>4.3187263812699529E-2</v>
          </cell>
          <cell r="AD30">
            <v>1.6512012026022566E-2</v>
          </cell>
          <cell r="AE30">
            <v>2.8399842145567754E-2</v>
          </cell>
          <cell r="AF30">
            <v>2.7883671504678211E-2</v>
          </cell>
          <cell r="AG30">
            <v>4.052001113781762E-2</v>
          </cell>
          <cell r="AH30">
            <v>2.3834359972609079E-2</v>
          </cell>
          <cell r="AI30">
            <v>3.1392670549915805E-2</v>
          </cell>
          <cell r="AJ30">
            <v>2.7574012871843481E-2</v>
          </cell>
          <cell r="AK30">
            <v>3.7358532456468314E-2</v>
          </cell>
          <cell r="AM30">
            <v>-5.3052667607923669E-3</v>
          </cell>
          <cell r="AN30">
            <v>-4.8909994736534297E-2</v>
          </cell>
          <cell r="AO30">
            <v>-5.1764705882352942E-2</v>
          </cell>
          <cell r="AP30">
            <v>2.1727748691099478E-2</v>
          </cell>
          <cell r="AQ30">
            <v>2.8169014084507043E-2</v>
          </cell>
          <cell r="AR30">
            <v>2.5618263484143599E-2</v>
          </cell>
          <cell r="AS30">
            <v>2.4679717790069285E-2</v>
          </cell>
          <cell r="AT30">
            <v>2.8377191376281467E-2</v>
          </cell>
          <cell r="AU30">
            <v>3.0318687787096683E-2</v>
          </cell>
        </row>
        <row r="32">
          <cell r="A32" t="str">
            <v xml:space="preserve">    Interest (expense) income net</v>
          </cell>
          <cell r="F32" t="str">
            <v>ND</v>
          </cell>
          <cell r="G32" t="str">
            <v>ND</v>
          </cell>
          <cell r="H32" t="str">
            <v>ND</v>
          </cell>
          <cell r="I32" t="str">
            <v>ND</v>
          </cell>
          <cell r="J32">
            <v>-11</v>
          </cell>
          <cell r="K32">
            <v>-6</v>
          </cell>
          <cell r="L32">
            <v>-17</v>
          </cell>
          <cell r="M32">
            <v>-7</v>
          </cell>
          <cell r="N32">
            <v>-11</v>
          </cell>
          <cell r="O32">
            <v>-18</v>
          </cell>
          <cell r="P32">
            <v>-11</v>
          </cell>
          <cell r="Q32">
            <v>-12</v>
          </cell>
          <cell r="R32">
            <v>2</v>
          </cell>
          <cell r="S32">
            <v>1</v>
          </cell>
          <cell r="T32">
            <v>7</v>
          </cell>
          <cell r="U32">
            <v>0</v>
          </cell>
          <cell r="V32">
            <v>3</v>
          </cell>
          <cell r="W32">
            <v>4.2288447898028192</v>
          </cell>
          <cell r="X32">
            <v>4.1851451973682829</v>
          </cell>
          <cell r="Y32">
            <v>4.175510727698418</v>
          </cell>
          <cell r="Z32">
            <v>4.1582792518288851</v>
          </cell>
          <cell r="AA32">
            <v>4.1276793125036502</v>
          </cell>
          <cell r="AB32">
            <v>4.1278175402723738</v>
          </cell>
          <cell r="AC32">
            <v>4.1616517990556918</v>
          </cell>
          <cell r="AD32">
            <v>4.1604749859864123</v>
          </cell>
          <cell r="AE32">
            <v>4.1229067402570552</v>
          </cell>
          <cell r="AF32">
            <v>4.1105763159315067</v>
          </cell>
          <cell r="AG32">
            <v>4.1205131228027936</v>
          </cell>
          <cell r="AH32">
            <v>4.1158948059706351</v>
          </cell>
          <cell r="AI32">
            <v>4.0942628813610185</v>
          </cell>
          <cell r="AJ32">
            <v>4.0930461032459684</v>
          </cell>
          <cell r="AK32">
            <v>4.1129008920425942</v>
          </cell>
          <cell r="AM32">
            <v>32</v>
          </cell>
          <cell r="AN32">
            <v>28</v>
          </cell>
          <cell r="AO32">
            <v>-41</v>
          </cell>
          <cell r="AP32">
            <v>-52</v>
          </cell>
          <cell r="AQ32">
            <v>10</v>
          </cell>
          <cell r="AR32">
            <v>15.589500714869521</v>
          </cell>
          <cell r="AS32">
            <v>16.575427903660604</v>
          </cell>
          <cell r="AT32">
            <v>16.514471164977767</v>
          </cell>
          <cell r="AU32">
            <v>16.416104682620215</v>
          </cell>
        </row>
        <row r="33">
          <cell r="A33" t="str">
            <v xml:space="preserve">  Other income (expense)</v>
          </cell>
          <cell r="F33" t="str">
            <v>ND</v>
          </cell>
          <cell r="G33" t="str">
            <v>ND</v>
          </cell>
          <cell r="H33" t="str">
            <v>ND</v>
          </cell>
          <cell r="I33" t="str">
            <v>ND</v>
          </cell>
          <cell r="J33">
            <v>-14</v>
          </cell>
          <cell r="K33">
            <v>-8</v>
          </cell>
          <cell r="L33">
            <v>-19</v>
          </cell>
          <cell r="M33">
            <v>-12</v>
          </cell>
          <cell r="N33">
            <v>-16</v>
          </cell>
          <cell r="O33">
            <v>-6</v>
          </cell>
          <cell r="P33">
            <v>-2</v>
          </cell>
          <cell r="Q33">
            <v>-4</v>
          </cell>
          <cell r="R33">
            <v>-17</v>
          </cell>
          <cell r="S33">
            <v>5</v>
          </cell>
          <cell r="T33">
            <v>-4</v>
          </cell>
          <cell r="U33">
            <v>0</v>
          </cell>
          <cell r="V33">
            <v>-2</v>
          </cell>
          <cell r="W33">
            <v>-14.228844789802819</v>
          </cell>
          <cell r="X33">
            <v>-14.185145197368282</v>
          </cell>
          <cell r="Y33">
            <v>-14.175510727698418</v>
          </cell>
          <cell r="Z33">
            <v>-14.158279251828885</v>
          </cell>
          <cell r="AA33">
            <v>-14.12767931250365</v>
          </cell>
          <cell r="AB33">
            <v>-14.127817540272375</v>
          </cell>
          <cell r="AC33">
            <v>-14.161651799055692</v>
          </cell>
          <cell r="AD33">
            <v>-14.160474985986411</v>
          </cell>
          <cell r="AE33">
            <v>-14.122906740257054</v>
          </cell>
          <cell r="AF33">
            <v>-14.110576315931507</v>
          </cell>
          <cell r="AG33">
            <v>-14.120513122802794</v>
          </cell>
          <cell r="AH33">
            <v>-14.115894805970635</v>
          </cell>
          <cell r="AI33">
            <v>-14.094262881361018</v>
          </cell>
          <cell r="AJ33">
            <v>-14.093046103245968</v>
          </cell>
          <cell r="AK33">
            <v>-14.112900892042594</v>
          </cell>
          <cell r="AM33">
            <v>20</v>
          </cell>
          <cell r="AN33">
            <v>75</v>
          </cell>
          <cell r="AO33">
            <v>-53</v>
          </cell>
          <cell r="AP33">
            <v>-28</v>
          </cell>
          <cell r="AQ33">
            <v>-16</v>
          </cell>
          <cell r="AR33">
            <v>-44.589500714869523</v>
          </cell>
          <cell r="AS33">
            <v>-56.575427903660596</v>
          </cell>
          <cell r="AT33">
            <v>-56.514471164977763</v>
          </cell>
          <cell r="AU33">
            <v>-56.416104682620215</v>
          </cell>
        </row>
        <row r="34">
          <cell r="A34" t="str">
            <v>Earnings Before Taxes</v>
          </cell>
          <cell r="F34" t="str">
            <v>ND</v>
          </cell>
          <cell r="G34" t="str">
            <v>ND</v>
          </cell>
          <cell r="H34" t="str">
            <v>ND</v>
          </cell>
          <cell r="I34" t="str">
            <v>ND</v>
          </cell>
          <cell r="J34">
            <v>-374</v>
          </cell>
          <cell r="K34">
            <v>-206</v>
          </cell>
          <cell r="L34">
            <v>-175</v>
          </cell>
          <cell r="M34">
            <v>-65</v>
          </cell>
          <cell r="N34">
            <v>-128</v>
          </cell>
          <cell r="O34">
            <v>-75</v>
          </cell>
          <cell r="P34">
            <v>67</v>
          </cell>
          <cell r="Q34">
            <v>130</v>
          </cell>
          <cell r="R34">
            <v>5</v>
          </cell>
          <cell r="S34">
            <v>65</v>
          </cell>
          <cell r="T34">
            <v>65</v>
          </cell>
          <cell r="U34">
            <v>65</v>
          </cell>
          <cell r="V34">
            <v>7</v>
          </cell>
          <cell r="W34">
            <v>23.822278271778956</v>
          </cell>
          <cell r="X34">
            <v>17.28</v>
          </cell>
          <cell r="Y34">
            <v>53.74494321847228</v>
          </cell>
          <cell r="Z34">
            <v>-23.325763051049719</v>
          </cell>
          <cell r="AA34">
            <v>6.5484620282691584</v>
          </cell>
          <cell r="AB34">
            <v>21.760717666511411</v>
          </cell>
          <cell r="AC34">
            <v>83.426649158742748</v>
          </cell>
          <cell r="AD34">
            <v>-8.2817920454159264</v>
          </cell>
          <cell r="AE34">
            <v>19.015022712422994</v>
          </cell>
          <cell r="AF34">
            <v>18.66520651697039</v>
          </cell>
          <cell r="AG34">
            <v>47.364106023535314</v>
          </cell>
          <cell r="AH34">
            <v>3.8626307806131432</v>
          </cell>
          <cell r="AI34">
            <v>23.181366429009977</v>
          </cell>
          <cell r="AJ34">
            <v>19.274986155251661</v>
          </cell>
          <cell r="AK34">
            <v>46.250156559892773</v>
          </cell>
          <cell r="AM34">
            <v>-258</v>
          </cell>
          <cell r="AN34">
            <v>-896.3119999999999</v>
          </cell>
          <cell r="AO34">
            <v>-820</v>
          </cell>
          <cell r="AP34">
            <v>-6</v>
          </cell>
          <cell r="AQ34">
            <v>200</v>
          </cell>
          <cell r="AR34">
            <v>101.84722149024992</v>
          </cell>
          <cell r="AS34">
            <v>88.410065802473582</v>
          </cell>
          <cell r="AT34">
            <v>76.762543207512877</v>
          </cell>
          <cell r="AU34">
            <v>92.569139924768024</v>
          </cell>
        </row>
        <row r="36">
          <cell r="A36" t="str">
            <v xml:space="preserve">    Effective Tax Rate</v>
          </cell>
          <cell r="F36" t="str">
            <v>ND</v>
          </cell>
          <cell r="G36" t="str">
            <v>ND</v>
          </cell>
          <cell r="H36" t="str">
            <v>ND</v>
          </cell>
          <cell r="I36" t="str">
            <v>ND</v>
          </cell>
          <cell r="J36">
            <v>-4.8128342245989303E-2</v>
          </cell>
          <cell r="K36">
            <v>-4.3689320388349516E-2</v>
          </cell>
          <cell r="L36">
            <v>-5.7142857142857141E-2</v>
          </cell>
          <cell r="M36">
            <v>-6.1538461538461542E-2</v>
          </cell>
          <cell r="N36">
            <v>-0.1015625</v>
          </cell>
          <cell r="O36">
            <v>-0.2</v>
          </cell>
          <cell r="P36">
            <v>0.44776119402985076</v>
          </cell>
          <cell r="Q36">
            <v>0.16923076923076924</v>
          </cell>
          <cell r="R36">
            <v>6</v>
          </cell>
          <cell r="S36">
            <v>0.6</v>
          </cell>
          <cell r="T36">
            <v>0.46153846153846156</v>
          </cell>
          <cell r="U36">
            <v>6.1538461538461542E-2</v>
          </cell>
          <cell r="V36">
            <v>2.4285714285714284</v>
          </cell>
          <cell r="W36">
            <v>0.3</v>
          </cell>
          <cell r="X36">
            <v>0.3</v>
          </cell>
          <cell r="Y36">
            <v>0.3</v>
          </cell>
          <cell r="Z36">
            <v>0.3</v>
          </cell>
          <cell r="AA36">
            <v>0.3</v>
          </cell>
          <cell r="AB36">
            <v>0.3</v>
          </cell>
          <cell r="AC36">
            <v>0.3</v>
          </cell>
          <cell r="AD36">
            <v>0.3</v>
          </cell>
          <cell r="AE36">
            <v>0.3</v>
          </cell>
          <cell r="AF36">
            <v>0.3</v>
          </cell>
          <cell r="AG36">
            <v>0.3</v>
          </cell>
          <cell r="AH36">
            <v>0.3</v>
          </cell>
          <cell r="AI36">
            <v>0.3</v>
          </cell>
          <cell r="AJ36">
            <v>0.3</v>
          </cell>
          <cell r="AK36">
            <v>0.3</v>
          </cell>
          <cell r="AM36">
            <v>1.6705426356589148</v>
          </cell>
          <cell r="AN36">
            <v>-1.154731834450504</v>
          </cell>
          <cell r="AO36">
            <v>-0.05</v>
          </cell>
          <cell r="AP36">
            <v>-13.333333333333334</v>
          </cell>
          <cell r="AQ36">
            <v>0.51500000000000001</v>
          </cell>
          <cell r="AR36">
            <v>0.4462975600313927</v>
          </cell>
          <cell r="AS36">
            <v>0.30000000000000004</v>
          </cell>
          <cell r="AT36">
            <v>0.29999999999999954</v>
          </cell>
          <cell r="AU36">
            <v>0.29999999999999843</v>
          </cell>
        </row>
        <row r="37">
          <cell r="A37" t="str">
            <v>Income Tax Provision</v>
          </cell>
          <cell r="F37" t="str">
            <v>ND</v>
          </cell>
          <cell r="G37" t="str">
            <v>ND</v>
          </cell>
          <cell r="H37" t="str">
            <v>ND</v>
          </cell>
          <cell r="I37" t="str">
            <v>ND</v>
          </cell>
          <cell r="J37">
            <v>18</v>
          </cell>
          <cell r="K37">
            <v>9</v>
          </cell>
          <cell r="L37">
            <v>10</v>
          </cell>
          <cell r="M37">
            <v>4</v>
          </cell>
          <cell r="N37">
            <v>13</v>
          </cell>
          <cell r="O37">
            <v>15</v>
          </cell>
          <cell r="P37">
            <v>30</v>
          </cell>
          <cell r="Q37">
            <v>22</v>
          </cell>
          <cell r="R37">
            <v>30</v>
          </cell>
          <cell r="S37">
            <v>39</v>
          </cell>
          <cell r="T37">
            <v>30</v>
          </cell>
          <cell r="U37">
            <v>4</v>
          </cell>
          <cell r="V37">
            <v>17</v>
          </cell>
          <cell r="W37">
            <v>7.1466834815336862</v>
          </cell>
          <cell r="X37">
            <v>5.1840000000000002</v>
          </cell>
          <cell r="Y37">
            <v>16.123482965541683</v>
          </cell>
          <cell r="Z37">
            <v>-6.9977289153149158</v>
          </cell>
          <cell r="AA37">
            <v>1.9645386084807475</v>
          </cell>
          <cell r="AB37">
            <v>6.5282152999534233</v>
          </cell>
          <cell r="AC37">
            <v>25.027994747622824</v>
          </cell>
          <cell r="AD37">
            <v>-2.4845376136247777</v>
          </cell>
          <cell r="AE37">
            <v>5.7045068137268977</v>
          </cell>
          <cell r="AF37">
            <v>5.5995619550911169</v>
          </cell>
          <cell r="AG37">
            <v>14.209231807060593</v>
          </cell>
          <cell r="AH37">
            <v>1.158789234183943</v>
          </cell>
          <cell r="AI37">
            <v>6.9544099287029928</v>
          </cell>
          <cell r="AJ37">
            <v>5.7824958465754976</v>
          </cell>
          <cell r="AK37">
            <v>13.875046967967831</v>
          </cell>
          <cell r="AM37">
            <v>-431</v>
          </cell>
          <cell r="AN37">
            <v>1035</v>
          </cell>
          <cell r="AO37">
            <v>41</v>
          </cell>
          <cell r="AP37">
            <v>80</v>
          </cell>
          <cell r="AQ37">
            <v>103</v>
          </cell>
          <cell r="AR37">
            <v>45.454166447075366</v>
          </cell>
          <cell r="AS37">
            <v>26.523019740742079</v>
          </cell>
          <cell r="AT37">
            <v>23.028762962253829</v>
          </cell>
          <cell r="AU37">
            <v>27.770741977430262</v>
          </cell>
        </row>
        <row r="39">
          <cell r="A39" t="str">
            <v>Earnings to noncontrolling interest</v>
          </cell>
          <cell r="F39" t="str">
            <v>ND</v>
          </cell>
          <cell r="G39" t="str">
            <v>ND</v>
          </cell>
          <cell r="H39" t="str">
            <v>ND</v>
          </cell>
          <cell r="I39" t="str">
            <v>ND</v>
          </cell>
          <cell r="J39">
            <v>3</v>
          </cell>
          <cell r="K39">
            <v>1</v>
          </cell>
          <cell r="L39">
            <v>2</v>
          </cell>
          <cell r="M39">
            <v>1</v>
          </cell>
          <cell r="N39">
            <v>1</v>
          </cell>
          <cell r="O39">
            <v>-3</v>
          </cell>
          <cell r="P39">
            <v>-1</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M39">
            <v>8</v>
          </cell>
          <cell r="AN39">
            <v>-3</v>
          </cell>
          <cell r="AO39">
            <v>7</v>
          </cell>
          <cell r="AP39">
            <v>-3</v>
          </cell>
          <cell r="AQ39">
            <v>0</v>
          </cell>
          <cell r="AR39">
            <v>0</v>
          </cell>
          <cell r="AS39">
            <v>0</v>
          </cell>
          <cell r="AT39">
            <v>0</v>
          </cell>
          <cell r="AU39">
            <v>0</v>
          </cell>
        </row>
        <row r="41">
          <cell r="A41" t="str">
            <v>Net Income, ex. stock comp/amort</v>
          </cell>
          <cell r="F41" t="str">
            <v>ND</v>
          </cell>
          <cell r="G41" t="str">
            <v>ND</v>
          </cell>
          <cell r="H41" t="str">
            <v>ND</v>
          </cell>
          <cell r="I41" t="str">
            <v>ND</v>
          </cell>
          <cell r="J41">
            <v>-395</v>
          </cell>
          <cell r="K41">
            <v>-216</v>
          </cell>
          <cell r="L41">
            <v>-187</v>
          </cell>
          <cell r="M41">
            <v>-70</v>
          </cell>
          <cell r="N41">
            <v>-142</v>
          </cell>
          <cell r="O41">
            <v>-87</v>
          </cell>
          <cell r="P41">
            <v>38</v>
          </cell>
          <cell r="Q41">
            <v>108</v>
          </cell>
          <cell r="R41">
            <v>-25</v>
          </cell>
          <cell r="S41">
            <v>26</v>
          </cell>
          <cell r="T41">
            <v>35</v>
          </cell>
          <cell r="U41">
            <v>61</v>
          </cell>
          <cell r="V41">
            <v>-10</v>
          </cell>
          <cell r="W41">
            <v>16.67559479024527</v>
          </cell>
          <cell r="X41">
            <v>12.096</v>
          </cell>
          <cell r="Y41">
            <v>37.621460252930596</v>
          </cell>
          <cell r="Z41">
            <v>-16.328034135734804</v>
          </cell>
          <cell r="AA41">
            <v>4.5839234197884107</v>
          </cell>
          <cell r="AB41">
            <v>15.232502366557988</v>
          </cell>
          <cell r="AC41">
            <v>58.398654411119921</v>
          </cell>
          <cell r="AD41">
            <v>-5.7972544317911492</v>
          </cell>
          <cell r="AE41">
            <v>13.310515898696096</v>
          </cell>
          <cell r="AF41">
            <v>13.065644561879273</v>
          </cell>
          <cell r="AG41">
            <v>33.154874216474724</v>
          </cell>
          <cell r="AH41">
            <v>2.7038415464292003</v>
          </cell>
          <cell r="AI41">
            <v>16.226956500306983</v>
          </cell>
          <cell r="AJ41">
            <v>13.492490308676164</v>
          </cell>
          <cell r="AK41">
            <v>32.375109591924939</v>
          </cell>
          <cell r="AM41">
            <v>165</v>
          </cell>
          <cell r="AN41">
            <v>-1928.3119999999999</v>
          </cell>
          <cell r="AO41">
            <v>-868</v>
          </cell>
          <cell r="AP41">
            <v>-83</v>
          </cell>
          <cell r="AQ41">
            <v>97</v>
          </cell>
          <cell r="AR41">
            <v>56.393055043174556</v>
          </cell>
          <cell r="AS41">
            <v>61.887046061731503</v>
          </cell>
          <cell r="AT41">
            <v>53.733780245259048</v>
          </cell>
          <cell r="AU41">
            <v>64.798397947337762</v>
          </cell>
        </row>
        <row r="42">
          <cell r="A42" t="str">
            <v xml:space="preserve">    AT Stock option comp expense</v>
          </cell>
          <cell r="F42">
            <v>41</v>
          </cell>
          <cell r="G42">
            <v>41</v>
          </cell>
          <cell r="H42">
            <v>31</v>
          </cell>
          <cell r="I42">
            <v>35</v>
          </cell>
          <cell r="J42">
            <v>41</v>
          </cell>
          <cell r="K42">
            <v>42</v>
          </cell>
          <cell r="L42">
            <v>43</v>
          </cell>
          <cell r="M42">
            <v>40</v>
          </cell>
          <cell r="N42">
            <v>38</v>
          </cell>
          <cell r="O42">
            <v>40</v>
          </cell>
          <cell r="P42">
            <v>42</v>
          </cell>
          <cell r="Q42">
            <v>43</v>
          </cell>
          <cell r="R42">
            <v>40</v>
          </cell>
          <cell r="S42">
            <v>46</v>
          </cell>
          <cell r="T42">
            <v>34</v>
          </cell>
          <cell r="U42">
            <v>36</v>
          </cell>
          <cell r="V42">
            <v>48</v>
          </cell>
          <cell r="W42">
            <v>48</v>
          </cell>
          <cell r="X42">
            <v>48</v>
          </cell>
          <cell r="Y42">
            <v>48</v>
          </cell>
          <cell r="Z42">
            <v>48</v>
          </cell>
          <cell r="AA42">
            <v>48</v>
          </cell>
          <cell r="AB42">
            <v>48</v>
          </cell>
          <cell r="AC42">
            <v>48</v>
          </cell>
          <cell r="AD42">
            <v>48</v>
          </cell>
          <cell r="AE42">
            <v>48</v>
          </cell>
          <cell r="AF42">
            <v>48</v>
          </cell>
          <cell r="AG42">
            <v>48</v>
          </cell>
          <cell r="AH42">
            <v>48</v>
          </cell>
          <cell r="AI42">
            <v>48</v>
          </cell>
          <cell r="AJ42">
            <v>48</v>
          </cell>
          <cell r="AK42">
            <v>48</v>
          </cell>
          <cell r="AM42">
            <v>166</v>
          </cell>
          <cell r="AN42">
            <v>148</v>
          </cell>
          <cell r="AO42">
            <v>166</v>
          </cell>
          <cell r="AP42">
            <v>163</v>
          </cell>
          <cell r="AQ42">
            <v>156</v>
          </cell>
          <cell r="AR42">
            <v>192</v>
          </cell>
          <cell r="AS42">
            <v>192</v>
          </cell>
          <cell r="AT42">
            <v>192</v>
          </cell>
          <cell r="AU42">
            <v>192</v>
          </cell>
        </row>
        <row r="43">
          <cell r="A43" t="str">
            <v xml:space="preserve">    AT Intangible Amortization</v>
          </cell>
          <cell r="F43">
            <v>17</v>
          </cell>
          <cell r="G43">
            <v>16</v>
          </cell>
          <cell r="H43">
            <v>16</v>
          </cell>
          <cell r="I43">
            <v>15</v>
          </cell>
          <cell r="J43">
            <v>15</v>
          </cell>
          <cell r="K43">
            <v>14</v>
          </cell>
          <cell r="L43">
            <v>14</v>
          </cell>
          <cell r="M43">
            <v>14</v>
          </cell>
          <cell r="N43">
            <v>13</v>
          </cell>
          <cell r="O43">
            <v>14</v>
          </cell>
          <cell r="P43">
            <v>14</v>
          </cell>
          <cell r="Q43">
            <v>14</v>
          </cell>
          <cell r="R43">
            <v>16</v>
          </cell>
          <cell r="S43">
            <v>16</v>
          </cell>
          <cell r="T43">
            <v>15</v>
          </cell>
          <cell r="U43">
            <v>12</v>
          </cell>
          <cell r="V43">
            <v>11</v>
          </cell>
          <cell r="W43">
            <v>11</v>
          </cell>
          <cell r="X43">
            <v>11</v>
          </cell>
          <cell r="Y43">
            <v>11</v>
          </cell>
          <cell r="Z43">
            <v>11</v>
          </cell>
          <cell r="AA43">
            <v>11</v>
          </cell>
          <cell r="AB43">
            <v>11</v>
          </cell>
          <cell r="AC43">
            <v>11</v>
          </cell>
          <cell r="AD43">
            <v>11</v>
          </cell>
          <cell r="AE43">
            <v>11</v>
          </cell>
          <cell r="AF43">
            <v>11</v>
          </cell>
          <cell r="AG43">
            <v>11</v>
          </cell>
          <cell r="AH43">
            <v>11</v>
          </cell>
          <cell r="AI43">
            <v>11</v>
          </cell>
          <cell r="AJ43">
            <v>11</v>
          </cell>
          <cell r="AK43">
            <v>11</v>
          </cell>
          <cell r="AM43">
            <v>88</v>
          </cell>
          <cell r="AN43">
            <v>64</v>
          </cell>
          <cell r="AO43">
            <v>57</v>
          </cell>
          <cell r="AP43">
            <v>55</v>
          </cell>
          <cell r="AQ43">
            <v>59</v>
          </cell>
          <cell r="AR43">
            <v>44</v>
          </cell>
          <cell r="AS43">
            <v>44</v>
          </cell>
          <cell r="AT43">
            <v>44</v>
          </cell>
          <cell r="AU43">
            <v>44</v>
          </cell>
        </row>
        <row r="44">
          <cell r="A44" t="str">
            <v>Net Income</v>
          </cell>
          <cell r="F44" t="str">
            <v>ND</v>
          </cell>
          <cell r="G44" t="str">
            <v>ND</v>
          </cell>
          <cell r="H44" t="str">
            <v>ND</v>
          </cell>
          <cell r="I44" t="str">
            <v>ND</v>
          </cell>
          <cell r="J44">
            <v>-451</v>
          </cell>
          <cell r="K44">
            <v>-272</v>
          </cell>
          <cell r="L44">
            <v>-244</v>
          </cell>
          <cell r="M44">
            <v>-124</v>
          </cell>
          <cell r="N44">
            <v>-193</v>
          </cell>
          <cell r="O44">
            <v>-141</v>
          </cell>
          <cell r="P44">
            <v>-18</v>
          </cell>
          <cell r="Q44">
            <v>51</v>
          </cell>
          <cell r="R44">
            <v>-81</v>
          </cell>
          <cell r="S44">
            <v>-36</v>
          </cell>
          <cell r="T44">
            <v>-14</v>
          </cell>
          <cell r="U44">
            <v>13</v>
          </cell>
          <cell r="V44">
            <v>-69</v>
          </cell>
          <cell r="W44">
            <v>-42.32440520975473</v>
          </cell>
          <cell r="X44">
            <v>-46.903999999999996</v>
          </cell>
          <cell r="Y44">
            <v>-21.378539747069404</v>
          </cell>
          <cell r="Z44">
            <v>-75.328034135734811</v>
          </cell>
          <cell r="AA44">
            <v>-54.416076580211588</v>
          </cell>
          <cell r="AB44">
            <v>-43.767497633442012</v>
          </cell>
          <cell r="AC44">
            <v>-0.60134558888007916</v>
          </cell>
          <cell r="AD44">
            <v>-64.797254431791146</v>
          </cell>
          <cell r="AE44">
            <v>-45.689484101303904</v>
          </cell>
          <cell r="AF44">
            <v>-45.934355438120726</v>
          </cell>
          <cell r="AG44">
            <v>-25.845125783525276</v>
          </cell>
          <cell r="AH44">
            <v>-56.296158453570797</v>
          </cell>
          <cell r="AI44">
            <v>-42.773043499693017</v>
          </cell>
          <cell r="AJ44">
            <v>-45.507509691323833</v>
          </cell>
          <cell r="AK44">
            <v>-26.624890408075061</v>
          </cell>
          <cell r="AM44">
            <v>-89</v>
          </cell>
          <cell r="AN44">
            <v>-2140.3119999999999</v>
          </cell>
          <cell r="AO44">
            <v>-1091</v>
          </cell>
          <cell r="AP44">
            <v>-301</v>
          </cell>
          <cell r="AQ44">
            <v>-118</v>
          </cell>
          <cell r="AR44">
            <v>-179.60694495682543</v>
          </cell>
          <cell r="AS44">
            <v>-174.1129539382685</v>
          </cell>
          <cell r="AT44">
            <v>-182.26621975474094</v>
          </cell>
          <cell r="AU44">
            <v>-171.20160205266222</v>
          </cell>
        </row>
        <row r="46">
          <cell r="A46" t="str">
            <v>EPS - Diluted, ex. stock comp/amort.</v>
          </cell>
          <cell r="F46" t="str">
            <v>ND</v>
          </cell>
          <cell r="G46" t="str">
            <v>ND</v>
          </cell>
          <cell r="H46" t="str">
            <v>ND</v>
          </cell>
          <cell r="I46" t="str">
            <v>ND</v>
          </cell>
          <cell r="J46">
            <v>-1.3435374149659864</v>
          </cell>
          <cell r="K46">
            <v>-0.73469387755102045</v>
          </cell>
          <cell r="L46">
            <v>-0.63605442176870752</v>
          </cell>
          <cell r="M46">
            <v>-0.23809523809523808</v>
          </cell>
          <cell r="N46">
            <v>-0.48299319727891155</v>
          </cell>
          <cell r="O46">
            <v>-0.29591836734693877</v>
          </cell>
          <cell r="P46">
            <v>0.12925170068027211</v>
          </cell>
          <cell r="Q46">
            <v>0.36697247706422015</v>
          </cell>
          <cell r="R46">
            <v>-8.483203257550051E-2</v>
          </cell>
          <cell r="S46">
            <v>8.7897227856659904E-2</v>
          </cell>
          <cell r="T46">
            <v>0.1175680214981525</v>
          </cell>
          <cell r="U46">
            <v>0.20319786808794138</v>
          </cell>
          <cell r="V46">
            <v>-3.3068783068783074E-2</v>
          </cell>
          <cell r="W46">
            <v>5.5089073592562439E-2</v>
          </cell>
          <cell r="X46">
            <v>3.9920119840199768E-2</v>
          </cell>
          <cell r="Y46">
            <v>0.1240371072264625</v>
          </cell>
          <cell r="Z46">
            <v>-5.3779381460129345E-2</v>
          </cell>
          <cell r="AA46">
            <v>1.5082911380369532E-2</v>
          </cell>
          <cell r="AB46">
            <v>5.0070854443795235E-2</v>
          </cell>
          <cell r="AC46">
            <v>0.19177081382048763</v>
          </cell>
          <cell r="AD46">
            <v>-1.9018136255735285E-2</v>
          </cell>
          <cell r="AE46">
            <v>4.3622083462829947E-2</v>
          </cell>
          <cell r="AF46">
            <v>4.277679848407883E-2</v>
          </cell>
          <cell r="AG46">
            <v>0.10844030877178085</v>
          </cell>
          <cell r="AH46">
            <v>8.8346738326498617E-3</v>
          </cell>
          <cell r="AI46">
            <v>5.2967841815516808E-2</v>
          </cell>
          <cell r="AJ46">
            <v>4.3998031190606621E-2</v>
          </cell>
          <cell r="AK46">
            <v>0.1054674141693626</v>
          </cell>
          <cell r="AM46">
            <v>0.5680534486653972</v>
          </cell>
          <cell r="AN46">
            <v>-6.8113412736083365</v>
          </cell>
          <cell r="AO46">
            <v>-2.9523809523809526</v>
          </cell>
          <cell r="AP46">
            <v>-0.28224092493411546</v>
          </cell>
          <cell r="AQ46">
            <v>0.3264893975092561</v>
          </cell>
          <cell r="AR46">
            <v>0.18620547591496853</v>
          </cell>
          <cell r="AS46">
            <v>0.2035308609481532</v>
          </cell>
          <cell r="AT46">
            <v>0.17601172563169001</v>
          </cell>
          <cell r="AU46">
            <v>0.21140836365388679</v>
          </cell>
        </row>
        <row r="47">
          <cell r="A47" t="str">
            <v>Per share impact stock comp/amort</v>
          </cell>
          <cell r="F47" t="str">
            <v>ND</v>
          </cell>
          <cell r="G47" t="str">
            <v>ND</v>
          </cell>
          <cell r="H47" t="str">
            <v>ND</v>
          </cell>
          <cell r="I47" t="str">
            <v>ND</v>
          </cell>
          <cell r="J47">
            <v>-0.19047619047619047</v>
          </cell>
          <cell r="K47">
            <v>-0.19047619047619047</v>
          </cell>
          <cell r="L47">
            <v>-0.19387755102040816</v>
          </cell>
          <cell r="M47">
            <v>-0.18367346938775514</v>
          </cell>
          <cell r="N47">
            <v>-0.17346938775510201</v>
          </cell>
          <cell r="O47">
            <v>-0.18367346938775508</v>
          </cell>
          <cell r="P47">
            <v>-0.19047619047619047</v>
          </cell>
          <cell r="Q47">
            <v>-0.19367991845056062</v>
          </cell>
          <cell r="R47">
            <v>-0.19002375296912113</v>
          </cell>
          <cell r="S47">
            <v>-0.20960108181203516</v>
          </cell>
          <cell r="T47">
            <v>-0.1645952300974135</v>
          </cell>
          <cell r="U47">
            <v>-0.15989340439706862</v>
          </cell>
          <cell r="V47">
            <v>-0.19510582010582012</v>
          </cell>
          <cell r="W47">
            <v>-0.19491090919662352</v>
          </cell>
          <cell r="X47">
            <v>-0.19471619300361989</v>
          </cell>
          <cell r="Y47">
            <v>-0.19452167133228759</v>
          </cell>
          <cell r="Z47">
            <v>-0.19432734398829937</v>
          </cell>
          <cell r="AA47">
            <v>-0.19413321077752188</v>
          </cell>
          <cell r="AB47">
            <v>-0.19393927150601586</v>
          </cell>
          <cell r="AC47">
            <v>-0.19374552598003586</v>
          </cell>
          <cell r="AD47">
            <v>-0.19355197400602983</v>
          </cell>
          <cell r="AE47">
            <v>-0.19335861539063923</v>
          </cell>
          <cell r="AF47">
            <v>-0.19316544994069856</v>
          </cell>
          <cell r="AG47">
            <v>-0.19297247746323531</v>
          </cell>
          <cell r="AH47">
            <v>-0.19277969776546985</v>
          </cell>
          <cell r="AI47">
            <v>-0.19258711065481507</v>
          </cell>
          <cell r="AJ47">
            <v>-0.19239471593887619</v>
          </cell>
          <cell r="AK47">
            <v>-0.19220251342545078</v>
          </cell>
          <cell r="AM47">
            <v>-0.87445803612733863</v>
          </cell>
          <cell r="AN47">
            <v>-0.7488437296479864</v>
          </cell>
          <cell r="AO47">
            <v>-0.75850340136054406</v>
          </cell>
          <cell r="AP47">
            <v>-0.74130748958599002</v>
          </cell>
          <cell r="AQ47">
            <v>-0.7236620666442275</v>
          </cell>
          <cell r="AR47">
            <v>-0.77925362054403047</v>
          </cell>
          <cell r="AS47">
            <v>-0.77614438304021804</v>
          </cell>
          <cell r="AT47">
            <v>-0.77304755145612192</v>
          </cell>
          <cell r="AU47">
            <v>-0.76996307629187477</v>
          </cell>
        </row>
        <row r="48">
          <cell r="A48" t="str">
            <v xml:space="preserve">EPS - Diluted </v>
          </cell>
          <cell r="F48" t="str">
            <v>ND</v>
          </cell>
          <cell r="G48" t="str">
            <v>ND</v>
          </cell>
          <cell r="H48" t="str">
            <v>ND</v>
          </cell>
          <cell r="I48" t="str">
            <v>ND</v>
          </cell>
          <cell r="J48">
            <v>-1.5340136054421769</v>
          </cell>
          <cell r="K48">
            <v>-0.92517006802721091</v>
          </cell>
          <cell r="L48">
            <v>-0.82993197278911568</v>
          </cell>
          <cell r="M48">
            <v>-0.42176870748299322</v>
          </cell>
          <cell r="N48">
            <v>-0.65646258503401356</v>
          </cell>
          <cell r="O48">
            <v>-0.47959183673469385</v>
          </cell>
          <cell r="P48">
            <v>-6.1224489795918366E-2</v>
          </cell>
          <cell r="Q48">
            <v>0.17329255861365953</v>
          </cell>
          <cell r="R48">
            <v>-0.27485578554462164</v>
          </cell>
          <cell r="S48">
            <v>-0.12170385395537525</v>
          </cell>
          <cell r="T48">
            <v>-4.7027208599261003E-2</v>
          </cell>
          <cell r="U48">
            <v>4.3304463690872756E-2</v>
          </cell>
          <cell r="V48">
            <v>-0.2281746031746032</v>
          </cell>
          <cell r="W48">
            <v>-0.13982183560406108</v>
          </cell>
          <cell r="X48">
            <v>-0.15479607316342012</v>
          </cell>
          <cell r="Y48">
            <v>-7.0484564105825112E-2</v>
          </cell>
          <cell r="Z48">
            <v>-0.24810672544842871</v>
          </cell>
          <cell r="AA48">
            <v>-0.17905029939715233</v>
          </cell>
          <cell r="AB48">
            <v>-0.14386841706222064</v>
          </cell>
          <cell r="AC48">
            <v>-1.9747121595482262E-3</v>
          </cell>
          <cell r="AD48">
            <v>-0.21257011026176512</v>
          </cell>
          <cell r="AE48">
            <v>-0.14973653192780928</v>
          </cell>
          <cell r="AF48">
            <v>-0.15038865145661973</v>
          </cell>
          <cell r="AG48">
            <v>-8.4532168691454468E-2</v>
          </cell>
          <cell r="AH48">
            <v>-0.18394502393282</v>
          </cell>
          <cell r="AI48">
            <v>-0.13961926883929826</v>
          </cell>
          <cell r="AJ48">
            <v>-0.14839668474826959</v>
          </cell>
          <cell r="AK48">
            <v>-8.6735099256088175E-2</v>
          </cell>
          <cell r="AM48">
            <v>-0.30640458746194149</v>
          </cell>
          <cell r="AN48">
            <v>-7.5601850032563229</v>
          </cell>
          <cell r="AO48">
            <v>-3.7108843537414966</v>
          </cell>
          <cell r="AP48">
            <v>-1.0235484145201055</v>
          </cell>
          <cell r="AQ48">
            <v>-0.39717266913497135</v>
          </cell>
          <cell r="AR48">
            <v>-0.59304814462906197</v>
          </cell>
          <cell r="AS48">
            <v>-0.57261352209206484</v>
          </cell>
          <cell r="AT48">
            <v>-0.59703582582443193</v>
          </cell>
          <cell r="AU48">
            <v>-0.55855471263798795</v>
          </cell>
        </row>
        <row r="50">
          <cell r="A50" t="str">
            <v>Share Outstanding - Basic</v>
          </cell>
          <cell r="F50">
            <v>282.125</v>
          </cell>
          <cell r="G50">
            <v>282.82499999999999</v>
          </cell>
          <cell r="H50">
            <v>283.23750000000001</v>
          </cell>
          <cell r="I50">
            <v>284.22500000000002</v>
          </cell>
          <cell r="J50">
            <v>294</v>
          </cell>
          <cell r="K50">
            <v>294</v>
          </cell>
          <cell r="L50">
            <v>294</v>
          </cell>
          <cell r="M50">
            <v>294</v>
          </cell>
          <cell r="N50">
            <v>294</v>
          </cell>
          <cell r="O50">
            <v>294</v>
          </cell>
          <cell r="P50">
            <v>294</v>
          </cell>
          <cell r="Q50">
            <v>294.3</v>
          </cell>
          <cell r="R50">
            <v>294.7</v>
          </cell>
          <cell r="S50">
            <v>295.8</v>
          </cell>
          <cell r="T50">
            <v>297.7</v>
          </cell>
          <cell r="U50">
            <v>300.2</v>
          </cell>
          <cell r="V50">
            <v>302.39999999999998</v>
          </cell>
          <cell r="W50">
            <v>302.70239999999995</v>
          </cell>
          <cell r="X50">
            <v>303.00510239999994</v>
          </cell>
          <cell r="Y50">
            <v>303.30810750239993</v>
          </cell>
          <cell r="Z50">
            <v>303.61141560990228</v>
          </cell>
          <cell r="AA50">
            <v>303.91502702551213</v>
          </cell>
          <cell r="AB50">
            <v>304.21894205253761</v>
          </cell>
          <cell r="AC50">
            <v>304.52316099459011</v>
          </cell>
          <cell r="AD50">
            <v>304.82768415558468</v>
          </cell>
          <cell r="AE50">
            <v>305.13251183974023</v>
          </cell>
          <cell r="AF50">
            <v>305.43764435157993</v>
          </cell>
          <cell r="AG50">
            <v>305.7430819959315</v>
          </cell>
          <cell r="AH50">
            <v>306.0488250779274</v>
          </cell>
          <cell r="AI50">
            <v>306.35487390300528</v>
          </cell>
          <cell r="AJ50">
            <v>306.66122877690827</v>
          </cell>
          <cell r="AK50">
            <v>306.96789000568515</v>
          </cell>
          <cell r="AM50">
            <v>289.08749999999998</v>
          </cell>
          <cell r="AN50">
            <v>283.10312499999998</v>
          </cell>
          <cell r="AO50">
            <v>294</v>
          </cell>
          <cell r="AP50">
            <v>294.07499999999999</v>
          </cell>
          <cell r="AQ50">
            <v>297.10000000000002</v>
          </cell>
          <cell r="AR50">
            <v>302.85390247559997</v>
          </cell>
          <cell r="AS50">
            <v>304.06713642063556</v>
          </cell>
          <cell r="AT50">
            <v>305.28523058570909</v>
          </cell>
          <cell r="AU50">
            <v>306.50820444088151</v>
          </cell>
        </row>
        <row r="51">
          <cell r="A51" t="str">
            <v>Share Outstanding - Diluted</v>
          </cell>
          <cell r="F51">
            <v>282.125</v>
          </cell>
          <cell r="G51">
            <v>282.82499999999999</v>
          </cell>
          <cell r="H51">
            <v>283.23750000000001</v>
          </cell>
          <cell r="I51">
            <v>284.22500000000002</v>
          </cell>
          <cell r="J51">
            <v>294</v>
          </cell>
          <cell r="K51">
            <v>294</v>
          </cell>
          <cell r="L51">
            <v>294</v>
          </cell>
          <cell r="M51">
            <v>294</v>
          </cell>
          <cell r="N51">
            <v>294</v>
          </cell>
          <cell r="O51">
            <v>294</v>
          </cell>
          <cell r="P51">
            <v>294</v>
          </cell>
          <cell r="Q51">
            <v>294.3</v>
          </cell>
          <cell r="R51">
            <v>294.7</v>
          </cell>
          <cell r="S51">
            <v>295.8</v>
          </cell>
          <cell r="T51">
            <v>297.7</v>
          </cell>
          <cell r="U51">
            <v>300.2</v>
          </cell>
          <cell r="V51">
            <v>302.39999999999998</v>
          </cell>
          <cell r="W51">
            <v>302.70239999999995</v>
          </cell>
          <cell r="X51">
            <v>303.00510239999994</v>
          </cell>
          <cell r="Y51">
            <v>303.30810750239993</v>
          </cell>
          <cell r="Z51">
            <v>303.61141560990228</v>
          </cell>
          <cell r="AA51">
            <v>303.91502702551213</v>
          </cell>
          <cell r="AB51">
            <v>304.21894205253761</v>
          </cell>
          <cell r="AC51">
            <v>304.52316099459011</v>
          </cell>
          <cell r="AD51">
            <v>304.82768415558468</v>
          </cell>
          <cell r="AE51">
            <v>305.13251183974023</v>
          </cell>
          <cell r="AF51">
            <v>305.43764435157993</v>
          </cell>
          <cell r="AG51">
            <v>305.7430819959315</v>
          </cell>
          <cell r="AH51">
            <v>306.0488250779274</v>
          </cell>
          <cell r="AI51">
            <v>306.35487390300528</v>
          </cell>
          <cell r="AJ51">
            <v>306.66122877690827</v>
          </cell>
          <cell r="AK51">
            <v>306.96789000568515</v>
          </cell>
          <cell r="AM51">
            <v>290.46562499999999</v>
          </cell>
          <cell r="AN51">
            <v>283.10312499999998</v>
          </cell>
          <cell r="AO51">
            <v>294</v>
          </cell>
          <cell r="AP51">
            <v>294.07499999999999</v>
          </cell>
          <cell r="AQ51">
            <v>297.10000000000002</v>
          </cell>
          <cell r="AR51">
            <v>302.85390247559997</v>
          </cell>
          <cell r="AS51">
            <v>304.06713642063556</v>
          </cell>
          <cell r="AT51">
            <v>305.28523058570909</v>
          </cell>
          <cell r="AU51">
            <v>306.50820444088151</v>
          </cell>
        </row>
        <row r="53">
          <cell r="A53" t="str">
            <v>Unlevered EPS</v>
          </cell>
          <cell r="J53">
            <v>-1.2442067736185383</v>
          </cell>
          <cell r="K53">
            <v>-0.68159302555973844</v>
          </cell>
          <cell r="L53">
            <v>-0.49980563654033044</v>
          </cell>
          <cell r="M53">
            <v>-0.16609105180533751</v>
          </cell>
          <cell r="N53">
            <v>-0.37842793367346939</v>
          </cell>
          <cell r="O53">
            <v>-0.20816326530612245</v>
          </cell>
          <cell r="P53">
            <v>0.15026906284902022</v>
          </cell>
          <cell r="Q53">
            <v>0.4121383203952011</v>
          </cell>
          <cell r="R53">
            <v>-0.33932813030200204</v>
          </cell>
          <cell r="S53">
            <v>7.9783637592968221E-2</v>
          </cell>
          <cell r="T53">
            <v>0.11214180512131468</v>
          </cell>
          <cell r="U53">
            <v>0.20319786808794138</v>
          </cell>
          <cell r="V53">
            <v>-2.8344671201814053E-2</v>
          </cell>
          <cell r="W53">
            <v>7.8214096717585557E-2</v>
          </cell>
          <cell r="X53">
            <v>6.3022041044019081E-2</v>
          </cell>
          <cell r="Y53">
            <v>0.14711594958792035</v>
          </cell>
          <cell r="Z53">
            <v>-3.0723594885246369E-2</v>
          </cell>
          <cell r="AA53">
            <v>3.8115665201431441E-2</v>
          </cell>
          <cell r="AB53">
            <v>7.3080598520780166E-2</v>
          </cell>
          <cell r="AC53">
            <v>0.2147575711401529</v>
          </cell>
          <cell r="AD53">
            <v>3.9456572704038512E-3</v>
          </cell>
          <cell r="AE53">
            <v>6.6562936136295603E-2</v>
          </cell>
          <cell r="AF53">
            <v>6.5694733222805751E-2</v>
          </cell>
          <cell r="AG53">
            <v>0.13133534847080877</v>
          </cell>
          <cell r="AH53">
            <v>3.1706841364146289E-2</v>
          </cell>
          <cell r="AI53">
            <v>7.5817160028799957E-2</v>
          </cell>
          <cell r="AJ53">
            <v>6.6824522912168199E-2</v>
          </cell>
          <cell r="AK53">
            <v>0.12827110220289067</v>
          </cell>
          <cell r="AM53">
            <v>0.71563792464001064</v>
          </cell>
          <cell r="AN53">
            <v>-7.6058834707260905</v>
          </cell>
          <cell r="AO53">
            <v>-2.592857142857143</v>
          </cell>
          <cell r="AP53">
            <v>3.606789651166086</v>
          </cell>
          <cell r="AQ53">
            <v>0.33628407943453381</v>
          </cell>
          <cell r="AR53">
            <v>0.23922566362869066</v>
          </cell>
          <cell r="AS53">
            <v>0.29561578774953495</v>
          </cell>
          <cell r="AT53">
            <v>0.26772923173665364</v>
          </cell>
          <cell r="AU53">
            <v>0.30275991507834671</v>
          </cell>
        </row>
        <row r="54">
          <cell r="A54" t="str">
            <v>Consensus Estimates</v>
          </cell>
        </row>
        <row r="55">
          <cell r="A55" t="str">
            <v>Revenue</v>
          </cell>
          <cell r="T55">
            <v>3955</v>
          </cell>
          <cell r="U55">
            <v>3955</v>
          </cell>
          <cell r="V55">
            <v>3339.2</v>
          </cell>
          <cell r="W55">
            <v>3524.29</v>
          </cell>
          <cell r="X55">
            <v>3769.28</v>
          </cell>
          <cell r="Y55">
            <v>4209.04</v>
          </cell>
          <cell r="AQ55">
            <v>3955</v>
          </cell>
          <cell r="AR55">
            <v>3955</v>
          </cell>
        </row>
        <row r="56">
          <cell r="A56" t="str">
            <v>EPS</v>
          </cell>
          <cell r="T56">
            <v>0.12</v>
          </cell>
          <cell r="U56">
            <v>0.42</v>
          </cell>
          <cell r="V56">
            <v>0.21</v>
          </cell>
          <cell r="W56">
            <v>0.28999999999999998</v>
          </cell>
          <cell r="X56">
            <v>0.4</v>
          </cell>
          <cell r="Y56">
            <v>0.61</v>
          </cell>
          <cell r="AQ56">
            <v>0.14000000000000001</v>
          </cell>
          <cell r="AR56">
            <v>0.26</v>
          </cell>
        </row>
        <row r="59">
          <cell r="A59" t="str">
            <v>Growth Analysis</v>
          </cell>
        </row>
        <row r="60">
          <cell r="A60" t="str">
            <v>Q/Q Revenue Growth</v>
          </cell>
          <cell r="G60">
            <v>5.8061634658329586E-2</v>
          </cell>
          <cell r="H60">
            <v>-9.6876319121992349E-2</v>
          </cell>
          <cell r="I60">
            <v>-0.15774713718158451</v>
          </cell>
          <cell r="J60">
            <v>-0.21587125416204223</v>
          </cell>
          <cell r="K60">
            <v>5.6617126680820196E-3</v>
          </cell>
          <cell r="L60">
            <v>-9.9577762139338444E-2</v>
          </cell>
          <cell r="M60">
            <v>0.10316529894490034</v>
          </cell>
          <cell r="N60">
            <v>-0.12150194828196959</v>
          </cell>
          <cell r="O60">
            <v>5.2016129032258052E-2</v>
          </cell>
          <cell r="P60">
            <v>0.12916826370256795</v>
          </cell>
          <cell r="Q60">
            <v>0.16259334691106586</v>
          </cell>
          <cell r="R60">
            <v>-0.1147445255474453</v>
          </cell>
          <cell r="S60">
            <v>0.10059366754617405</v>
          </cell>
          <cell r="T60">
            <v>-2.3374288282888789E-2</v>
          </cell>
          <cell r="U60">
            <v>5.4311138386007984E-2</v>
          </cell>
          <cell r="V60">
            <v>-0.10419091967403959</v>
          </cell>
          <cell r="W60">
            <v>-8.4045201712527162E-2</v>
          </cell>
          <cell r="X60">
            <v>-8.6655588468507183E-2</v>
          </cell>
          <cell r="Y60">
            <v>-7.0286851920176807E-2</v>
          </cell>
          <cell r="Z60">
            <v>4.3485134037168249E-2</v>
          </cell>
          <cell r="AA60">
            <v>5.5349462930781357E-2</v>
          </cell>
          <cell r="AB60">
            <v>6.034002689652862E-2</v>
          </cell>
          <cell r="AC60">
            <v>6.1242352630700658E-2</v>
          </cell>
          <cell r="AD60">
            <v>-0.25935826821857511</v>
          </cell>
          <cell r="AE60">
            <v>1.0739282012846685E-2</v>
          </cell>
          <cell r="AF60">
            <v>5.2505262995088398E-3</v>
          </cell>
          <cell r="AG60">
            <v>4.9105707765684237E-4</v>
          </cell>
          <cell r="AH60">
            <v>-0.12501940309752935</v>
          </cell>
          <cell r="AI60">
            <v>6.529395387840653E-2</v>
          </cell>
          <cell r="AJ60">
            <v>6.2543479586666839E-2</v>
          </cell>
          <cell r="AK60">
            <v>6.0039413009007392E-2</v>
          </cell>
        </row>
        <row r="61">
          <cell r="A61" t="str">
            <v>Q/Q Oper. Income Growth</v>
          </cell>
          <cell r="G61">
            <v>-0.25384615384615383</v>
          </cell>
          <cell r="H61">
            <v>3.7690721649483949E-2</v>
          </cell>
          <cell r="I61">
            <v>0.70879033539977843</v>
          </cell>
          <cell r="J61">
            <v>1.4534883720930258E-2</v>
          </cell>
          <cell r="K61">
            <v>-0.44985673352435529</v>
          </cell>
          <cell r="L61">
            <v>-0.27604166666666663</v>
          </cell>
          <cell r="M61">
            <v>-0.66906474820143891</v>
          </cell>
          <cell r="N61">
            <v>1.1956521739130435</v>
          </cell>
          <cell r="O61">
            <v>-0.49504950495049505</v>
          </cell>
          <cell r="P61">
            <v>-2.5686274509803919</v>
          </cell>
          <cell r="Q61">
            <v>0.82499999999999996</v>
          </cell>
          <cell r="R61">
            <v>-0.86301369863013699</v>
          </cell>
          <cell r="S61">
            <v>1.9500000000000002</v>
          </cell>
          <cell r="T61">
            <v>5.0847457627118731E-2</v>
          </cell>
          <cell r="U61">
            <v>4.8387096774193505E-2</v>
          </cell>
          <cell r="V61">
            <v>-0.90769230769230769</v>
          </cell>
          <cell r="W61">
            <v>4.6370463786298259</v>
          </cell>
          <cell r="X61">
            <v>-0.1934310343971648</v>
          </cell>
          <cell r="Y61">
            <v>1.3366914669527961</v>
          </cell>
          <cell r="Z61">
            <v>-1.2090481594026758</v>
          </cell>
          <cell r="AA61">
            <v>-2.2418397329198774</v>
          </cell>
          <cell r="AB61">
            <v>0.91925495023378567</v>
          </cell>
          <cell r="AC61">
            <v>1.941578655108668</v>
          </cell>
          <cell r="AD61">
            <v>-0.98160901659156541</v>
          </cell>
          <cell r="AE61">
            <v>15.88679337970278</v>
          </cell>
          <cell r="AF61">
            <v>-1.2056381927380899E-2</v>
          </cell>
          <cell r="AG61">
            <v>1.0011753967156873</v>
          </cell>
          <cell r="AH61">
            <v>-0.75833963533005133</v>
          </cell>
          <cell r="AI61">
            <v>1.3935836533577763</v>
          </cell>
          <cell r="AJ61">
            <v>-0.1177281316040989</v>
          </cell>
          <cell r="AK61">
            <v>0.92144092781413733</v>
          </cell>
        </row>
        <row r="62">
          <cell r="A62" t="str">
            <v>Q/Q EBITDA Growth</v>
          </cell>
          <cell r="K62">
            <v>-0.50488599348534202</v>
          </cell>
          <cell r="L62">
            <v>-0.32894736842105265</v>
          </cell>
          <cell r="M62">
            <v>-0.89215686274509798</v>
          </cell>
          <cell r="N62">
            <v>4.9090909090909092</v>
          </cell>
          <cell r="O62">
            <v>-0.95384615384615379</v>
          </cell>
          <cell r="P62">
            <v>-42.333333333333336</v>
          </cell>
          <cell r="Q62">
            <v>0.55645161290322576</v>
          </cell>
          <cell r="R62">
            <v>-0.69948186528497414</v>
          </cell>
          <cell r="S62">
            <v>0.7068965517241379</v>
          </cell>
          <cell r="T62">
            <v>5.0505050505050608E-2</v>
          </cell>
          <cell r="U62">
            <v>2.8846153846153744E-2</v>
          </cell>
          <cell r="V62">
            <v>-0.58878504672897192</v>
          </cell>
          <cell r="W62">
            <v>0.60618539105462843</v>
          </cell>
          <cell r="X62">
            <v>-9.6883775224350321E-2</v>
          </cell>
          <cell r="Y62">
            <v>0.56488298866615505</v>
          </cell>
          <cell r="Z62">
            <v>-0.77646257607069868</v>
          </cell>
          <cell r="AA62">
            <v>1.3197746730027244</v>
          </cell>
          <cell r="AB62">
            <v>0.28751423050170533</v>
          </cell>
          <cell r="AC62">
            <v>0.92133122553262226</v>
          </cell>
          <cell r="AD62">
            <v>-0.71682658028099255</v>
          </cell>
          <cell r="AE62">
            <v>0.73842146034360612</v>
          </cell>
          <cell r="AF62">
            <v>-1.3020026253388162E-2</v>
          </cell>
          <cell r="AG62">
            <v>0.45389421795734308</v>
          </cell>
          <cell r="AH62">
            <v>-0.4853258444404005</v>
          </cell>
          <cell r="AI62">
            <v>0.40311811063333436</v>
          </cell>
          <cell r="AJ62">
            <v>-6.6706111019449676E-2</v>
          </cell>
          <cell r="AK62">
            <v>0.43618982844788379</v>
          </cell>
        </row>
        <row r="63">
          <cell r="A63" t="str">
            <v>Q/Q Net Income Growth</v>
          </cell>
        </row>
        <row r="64">
          <cell r="A64" t="str">
            <v>Q/Q EPS Growth</v>
          </cell>
        </row>
        <row r="66">
          <cell r="A66" t="str">
            <v>Y/Y Revenue Growth</v>
          </cell>
          <cell r="J66">
            <v>0.63108530594015189</v>
          </cell>
          <cell r="K66">
            <v>0.59983115238497253</v>
          </cell>
          <cell r="L66">
            <v>0.59803692451507362</v>
          </cell>
          <cell r="M66">
            <v>0.78329633740288573</v>
          </cell>
          <cell r="N66">
            <v>0.87756546355272469</v>
          </cell>
          <cell r="O66">
            <v>0.91801548205489092</v>
          </cell>
          <cell r="P66">
            <v>1.1512309495896835</v>
          </cell>
          <cell r="Q66">
            <v>1.2132483173928446</v>
          </cell>
          <cell r="R66">
            <v>1.2225806451612904</v>
          </cell>
          <cell r="S66">
            <v>1.2790341126868532</v>
          </cell>
          <cell r="T66">
            <v>1.106245756958588</v>
          </cell>
          <cell r="U66">
            <v>1.0032116788321168</v>
          </cell>
          <cell r="V66">
            <v>1.0151715039577835</v>
          </cell>
          <cell r="W66">
            <v>0.8448633110964463</v>
          </cell>
          <cell r="X66">
            <v>0.79011966861000305</v>
          </cell>
          <cell r="Y66">
            <v>0.69674370090382554</v>
          </cell>
          <cell r="Z66">
            <v>0.81160339864229836</v>
          </cell>
          <cell r="AA66">
            <v>0.93511733599885083</v>
          </cell>
          <cell r="AB66">
            <v>1.0856171326890989</v>
          </cell>
          <cell r="AC66">
            <v>1.2392025242739255</v>
          </cell>
          <cell r="AD66">
            <v>0.87955743083299343</v>
          </cell>
          <cell r="AE66">
            <v>0.84237807224573558</v>
          </cell>
          <cell r="AF66">
            <v>0.79861268931501439</v>
          </cell>
          <cell r="AG66">
            <v>0.75289574690245409</v>
          </cell>
          <cell r="AH66">
            <v>0.88945726626224453</v>
          </cell>
          <cell r="AI66">
            <v>0.93746573903352237</v>
          </cell>
          <cell r="AJ66">
            <v>0.99089538606138783</v>
          </cell>
          <cell r="AK66">
            <v>1.0498726160151153</v>
          </cell>
          <cell r="AN66">
            <v>-0.26842938433234931</v>
          </cell>
          <cell r="AO66">
            <v>-0.3537633779753202</v>
          </cell>
          <cell r="AP66">
            <v>3.7104072398190135E-2</v>
          </cell>
          <cell r="AQ66">
            <v>0.13996509598603835</v>
          </cell>
          <cell r="AR66">
            <v>-0.16822411011678007</v>
          </cell>
          <cell r="AS66">
            <v>2.7892300764398303E-3</v>
          </cell>
          <cell r="AT66">
            <v>-0.18468812524951506</v>
          </cell>
          <cell r="AU66">
            <v>-3.2720923388854017E-2</v>
          </cell>
        </row>
        <row r="67">
          <cell r="A67" t="str">
            <v>Y/Y Oper. Income Growth</v>
          </cell>
          <cell r="J67">
            <v>0.3423076923076922</v>
          </cell>
          <cell r="K67">
            <v>-1.0309278350515427E-2</v>
          </cell>
          <cell r="L67">
            <v>-0.30952948656811285</v>
          </cell>
          <cell r="M67">
            <v>-0.86627906976744184</v>
          </cell>
          <cell r="N67">
            <v>-0.71060171919770776</v>
          </cell>
          <cell r="O67">
            <v>-0.734375</v>
          </cell>
          <cell r="P67">
            <v>-1.5755395683453237</v>
          </cell>
          <cell r="Q67">
            <v>-4.1739130434782608</v>
          </cell>
          <cell r="R67">
            <v>-1.198019801980198</v>
          </cell>
          <cell r="S67">
            <v>-2.1568627450980395</v>
          </cell>
          <cell r="T67">
            <v>-0.22499999999999998</v>
          </cell>
          <cell r="U67">
            <v>-0.5547945205479452</v>
          </cell>
          <cell r="V67">
            <v>-0.7</v>
          </cell>
          <cell r="W67">
            <v>-0.4267410462410347</v>
          </cell>
          <cell r="X67">
            <v>-0.56000000000000005</v>
          </cell>
          <cell r="Y67">
            <v>-1.9308565869657235E-2</v>
          </cell>
          <cell r="Z67">
            <v>-3.2209605085082864</v>
          </cell>
          <cell r="AA67">
            <v>-0.51072302417672844</v>
          </cell>
          <cell r="AB67">
            <v>0.16424918132373212</v>
          </cell>
          <cell r="AC67">
            <v>0.46563232221484174</v>
          </cell>
          <cell r="AD67">
            <v>-1.1289388043297621</v>
          </cell>
          <cell r="AE67">
            <v>0.75333651325770612</v>
          </cell>
          <cell r="AF67">
            <v>-9.7463513955950098E-2</v>
          </cell>
          <cell r="AG67">
            <v>-0.38599846467717114</v>
          </cell>
          <cell r="AH67">
            <v>7.068075079985805</v>
          </cell>
          <cell r="AI67">
            <v>0.14359264019473383</v>
          </cell>
          <cell r="AJ67">
            <v>2.1272466253479561E-2</v>
          </cell>
          <cell r="AK67">
            <v>-1.9418928330993568E-2</v>
          </cell>
          <cell r="AN67">
            <v>2.2235870967741933</v>
          </cell>
          <cell r="AO67">
            <v>-0.27350016811566347</v>
          </cell>
          <cell r="AP67">
            <v>-1.1019283746556474</v>
          </cell>
          <cell r="AQ67">
            <v>1.7837837837837838</v>
          </cell>
          <cell r="AR67">
            <v>-0.36481931315412663</v>
          </cell>
          <cell r="AS67">
            <v>-1.862596438823072E-2</v>
          </cell>
          <cell r="AT67">
            <v>-9.0705682005314814E-2</v>
          </cell>
          <cell r="AU67">
            <v>0.13537386462337797</v>
          </cell>
        </row>
        <row r="68">
          <cell r="A68" t="str">
            <v>Y/Y EBITDA Growth</v>
          </cell>
          <cell r="N68">
            <v>-0.78827361563517917</v>
          </cell>
          <cell r="O68">
            <v>-0.98026315789473684</v>
          </cell>
          <cell r="P68">
            <v>-2.215686274509804</v>
          </cell>
          <cell r="Q68">
            <v>-18.545454545454547</v>
          </cell>
          <cell r="R68">
            <v>-1.8923076923076922</v>
          </cell>
          <cell r="S68">
            <v>-34</v>
          </cell>
          <cell r="T68">
            <v>-0.16129032258064513</v>
          </cell>
          <cell r="U68">
            <v>-0.44559585492227982</v>
          </cell>
          <cell r="V68">
            <v>-0.24137931034482762</v>
          </cell>
          <cell r="W68">
            <v>-0.28613982619794287</v>
          </cell>
          <cell r="X68">
            <v>-0.38629642487501448</v>
          </cell>
          <cell r="Y68">
            <v>-6.655209702003817E-2</v>
          </cell>
          <cell r="Z68">
            <v>-0.49257550596215127</v>
          </cell>
          <cell r="AA68">
            <v>-0.26713908849754431</v>
          </cell>
          <cell r="AB68">
            <v>4.4792272193163285E-2</v>
          </cell>
          <cell r="AC68">
            <v>0.28277451496288908</v>
          </cell>
          <cell r="AD68">
            <v>0.62499701278349606</v>
          </cell>
          <cell r="AE68">
            <v>0.21776037685612093</v>
          </cell>
          <cell r="AF68">
            <v>-6.6491789911500621E-2</v>
          </cell>
          <cell r="AG68">
            <v>-0.29360322102341552</v>
          </cell>
          <cell r="AH68">
            <v>0.28389227375421999</v>
          </cell>
          <cell r="AI68">
            <v>3.6257629407481007E-2</v>
          </cell>
          <cell r="AJ68">
            <v>-2.0108878942900699E-2</v>
          </cell>
          <cell r="AK68">
            <v>-3.2041228538753241E-2</v>
          </cell>
          <cell r="AN68">
            <v>5.7444516129032248</v>
          </cell>
          <cell r="AO68">
            <v>-0.31604472971809561</v>
          </cell>
          <cell r="AP68">
            <v>-1.4353146853146854</v>
          </cell>
          <cell r="AQ68">
            <v>0.47791164658634533</v>
          </cell>
          <cell r="AR68">
            <v>-0.24354278630908499</v>
          </cell>
          <cell r="AS68">
            <v>-3.3948760167702652E-2</v>
          </cell>
          <cell r="AT68">
            <v>-6.2539478856642683E-2</v>
          </cell>
          <cell r="AU68">
            <v>3.3457890102422727E-2</v>
          </cell>
        </row>
        <row r="69">
          <cell r="A69" t="str">
            <v>Y/Y Net Income Growth</v>
          </cell>
          <cell r="N69">
            <v>-0.64050632911392413</v>
          </cell>
          <cell r="O69">
            <v>-0.59722222222222221</v>
          </cell>
          <cell r="P69">
            <v>-1.2032085561497325</v>
          </cell>
          <cell r="Q69">
            <v>-2.5428571428571427</v>
          </cell>
          <cell r="R69">
            <v>-0.823943661971831</v>
          </cell>
          <cell r="S69">
            <v>-1.2988505747126438</v>
          </cell>
          <cell r="T69">
            <v>-7.8947368421052655E-2</v>
          </cell>
          <cell r="U69">
            <v>-0.43518518518518523</v>
          </cell>
          <cell r="V69">
            <v>-0.6</v>
          </cell>
          <cell r="W69">
            <v>-0.35863096960595109</v>
          </cell>
          <cell r="X69">
            <v>-0.65439999999999998</v>
          </cell>
          <cell r="Y69">
            <v>-0.38325474995195741</v>
          </cell>
          <cell r="Z69">
            <v>0.63280341357348036</v>
          </cell>
          <cell r="AA69">
            <v>-0.72511184893567515</v>
          </cell>
          <cell r="AB69">
            <v>0.25930079088607694</v>
          </cell>
          <cell r="AC69">
            <v>0.55226974228281978</v>
          </cell>
          <cell r="AD69">
            <v>-0.64495086281675895</v>
          </cell>
          <cell r="AE69">
            <v>1.9037387145770635</v>
          </cell>
          <cell r="AF69">
            <v>-0.14225225458923396</v>
          </cell>
          <cell r="AG69">
            <v>-0.43226646999315843</v>
          </cell>
          <cell r="AH69">
            <v>-1.4664003586942462</v>
          </cell>
          <cell r="AI69">
            <v>0.21910800631676364</v>
          </cell>
          <cell r="AJ69">
            <v>3.2669321806156448E-2</v>
          </cell>
          <cell r="AK69">
            <v>-2.3518853350447011E-2</v>
          </cell>
          <cell r="AN69">
            <v>-12.686739393939394</v>
          </cell>
          <cell r="AO69">
            <v>-0.54986537448296746</v>
          </cell>
          <cell r="AP69">
            <v>-0.90437788018433185</v>
          </cell>
          <cell r="AQ69">
            <v>-2.168674698795181</v>
          </cell>
          <cell r="AR69">
            <v>-0.41862829852397365</v>
          </cell>
          <cell r="AS69">
            <v>9.7423184722848388E-2</v>
          </cell>
          <cell r="AT69">
            <v>-0.13174430410428184</v>
          </cell>
          <cell r="AU69">
            <v>0.20591549024796096</v>
          </cell>
        </row>
        <row r="70">
          <cell r="A70" t="str">
            <v>Y/Y EPS Growth</v>
          </cell>
          <cell r="N70">
            <v>-0.64050632911392413</v>
          </cell>
          <cell r="O70">
            <v>-0.59722222222222232</v>
          </cell>
          <cell r="P70">
            <v>-1.2032085561497325</v>
          </cell>
          <cell r="Q70">
            <v>-2.5412844036697244</v>
          </cell>
          <cell r="R70">
            <v>-0.82436184804790735</v>
          </cell>
          <cell r="S70">
            <v>-1.2970320113776783</v>
          </cell>
          <cell r="T70">
            <v>-9.0394781040609606E-2</v>
          </cell>
          <cell r="U70">
            <v>-0.44628580946035967</v>
          </cell>
          <cell r="V70">
            <v>-0.61018518518518516</v>
          </cell>
          <cell r="W70">
            <v>-0.37325584735846273</v>
          </cell>
          <cell r="X70">
            <v>-0.66045086638778661</v>
          </cell>
          <cell r="Y70">
            <v>-0.38957476082976983</v>
          </cell>
          <cell r="Z70">
            <v>0.62628849535431108</v>
          </cell>
          <cell r="AA70">
            <v>-0.72620865814657898</v>
          </cell>
          <cell r="AB70">
            <v>0.25427615558843142</v>
          </cell>
          <cell r="AC70">
            <v>0.54607615501995999</v>
          </cell>
          <cell r="AD70">
            <v>-0.64636751596269582</v>
          </cell>
          <cell r="AE70">
            <v>1.8921527391325959</v>
          </cell>
          <cell r="AF70">
            <v>-0.14567468521840421</v>
          </cell>
          <cell r="AG70">
            <v>-0.43453173811271728</v>
          </cell>
          <cell r="AH70">
            <v>-1.4645394119513471</v>
          </cell>
          <cell r="AI70">
            <v>0.21424374103200083</v>
          </cell>
          <cell r="AJ70">
            <v>2.8548950594849298E-2</v>
          </cell>
          <cell r="AK70">
            <v>-2.7415032621078916E-2</v>
          </cell>
          <cell r="AN70">
            <v>-12.990669697739039</v>
          </cell>
          <cell r="AO70">
            <v>-0.56654925457626992</v>
          </cell>
          <cell r="AP70">
            <v>-0.90440226736102547</v>
          </cell>
          <cell r="AQ70">
            <v>-2.156775537018488</v>
          </cell>
          <cell r="AR70">
            <v>-0.42967374335734887</v>
          </cell>
          <cell r="AS70">
            <v>9.3044444305689478E-2</v>
          </cell>
          <cell r="AT70">
            <v>-0.13520866166567891</v>
          </cell>
          <cell r="AU70">
            <v>0.20110386336570185</v>
          </cell>
        </row>
        <row r="72">
          <cell r="A72" t="str">
            <v>Margins &amp; Costs as a % of Sales</v>
          </cell>
        </row>
        <row r="73">
          <cell r="A73" t="str">
            <v>Selling, G&amp;A</v>
          </cell>
          <cell r="F73">
            <v>0.13394417150513624</v>
          </cell>
          <cell r="G73">
            <v>0.11414140987758549</v>
          </cell>
          <cell r="H73">
            <v>0.12082262210796915</v>
          </cell>
          <cell r="I73">
            <v>0.12866981132075472</v>
          </cell>
          <cell r="J73">
            <v>0.12738853503184713</v>
          </cell>
          <cell r="K73">
            <v>0.11787473610133709</v>
          </cell>
          <cell r="L73">
            <v>0.11957796014067995</v>
          </cell>
          <cell r="M73">
            <v>0.136733970952887</v>
          </cell>
          <cell r="N73">
            <v>0.14032258064516129</v>
          </cell>
          <cell r="O73">
            <v>0.13913376772709851</v>
          </cell>
          <cell r="P73">
            <v>0.12287847929395791</v>
          </cell>
          <cell r="Q73">
            <v>0.12437956204379562</v>
          </cell>
          <cell r="R73">
            <v>0.13060686015831136</v>
          </cell>
          <cell r="S73">
            <v>0.12825891519328739</v>
          </cell>
          <cell r="T73">
            <v>0.12488493402884321</v>
          </cell>
          <cell r="U73">
            <v>0.12456344586728754</v>
          </cell>
          <cell r="V73">
            <v>0.13157894736842105</v>
          </cell>
          <cell r="W73">
            <v>0.14008144606603329</v>
          </cell>
          <cell r="X73">
            <v>0.13593276765079737</v>
          </cell>
          <cell r="Y73">
            <v>0.14192006024955994</v>
          </cell>
          <cell r="Z73">
            <v>0.15472607951725753</v>
          </cell>
          <cell r="AA73">
            <v>0.15081119954829297</v>
          </cell>
          <cell r="AB73">
            <v>0.14608748195479315</v>
          </cell>
          <cell r="AC73">
            <v>0.14488412326913078</v>
          </cell>
          <cell r="AD73">
            <v>0.1518758599445055</v>
          </cell>
          <cell r="AE73">
            <v>0.14640598892636592</v>
          </cell>
          <cell r="AF73">
            <v>0.14373363310960632</v>
          </cell>
          <cell r="AG73">
            <v>0.14525303769782327</v>
          </cell>
          <cell r="AH73">
            <v>0.14770763211186383</v>
          </cell>
          <cell r="AI73">
            <v>0.14445547126036412</v>
          </cell>
          <cell r="AJ73">
            <v>0.14365804685013528</v>
          </cell>
          <cell r="AK73">
            <v>0.14696969640700272</v>
          </cell>
          <cell r="AM73">
            <v>0.11354982244470115</v>
          </cell>
          <cell r="AN73">
            <v>0.12406164103163927</v>
          </cell>
          <cell r="AO73">
            <v>0.12552036199095024</v>
          </cell>
          <cell r="AP73">
            <v>0.13080279232111694</v>
          </cell>
          <cell r="AQ73">
            <v>0.12699020208205755</v>
          </cell>
          <cell r="AR73">
            <v>0.13709498201914311</v>
          </cell>
          <cell r="AS73">
            <v>0.14888318941850756</v>
          </cell>
          <cell r="AT73">
            <v>0.14679740067392408</v>
          </cell>
          <cell r="AU73">
            <v>0.14567589269228523</v>
          </cell>
        </row>
        <row r="74">
          <cell r="A74" t="str">
            <v>R &amp; D expense</v>
          </cell>
          <cell r="F74">
            <v>0.13537248771773114</v>
          </cell>
          <cell r="G74">
            <v>0.12604432249894471</v>
          </cell>
          <cell r="H74">
            <v>0.13211311053984576</v>
          </cell>
          <cell r="I74">
            <v>0.15074195338512764</v>
          </cell>
          <cell r="J74">
            <v>0.14968152866242038</v>
          </cell>
          <cell r="K74">
            <v>0.13089373680506686</v>
          </cell>
          <cell r="L74">
            <v>0.14224306369675654</v>
          </cell>
          <cell r="M74">
            <v>0.13460857244066596</v>
          </cell>
          <cell r="N74">
            <v>0.14314516129032259</v>
          </cell>
          <cell r="O74">
            <v>0.13721732464545802</v>
          </cell>
          <cell r="P74">
            <v>0.12152070604209098</v>
          </cell>
          <cell r="Q74">
            <v>0.10306569343065694</v>
          </cell>
          <cell r="R74">
            <v>0.11279683377308707</v>
          </cell>
          <cell r="S74">
            <v>0.11417440815103386</v>
          </cell>
          <cell r="T74">
            <v>0.11598649892605094</v>
          </cell>
          <cell r="U74">
            <v>0.10768335273573923</v>
          </cell>
          <cell r="V74">
            <v>0.11306042884990253</v>
          </cell>
          <cell r="W74">
            <v>0.12469867044663242</v>
          </cell>
          <cell r="X74">
            <v>0.12624714047174793</v>
          </cell>
          <cell r="Y74">
            <v>0.12268790255218967</v>
          </cell>
          <cell r="Z74">
            <v>0.13294981647408796</v>
          </cell>
          <cell r="AA74">
            <v>0.1342501566072421</v>
          </cell>
          <cell r="AB74">
            <v>0.13567830019388652</v>
          </cell>
          <cell r="AC74">
            <v>0.12525029348032332</v>
          </cell>
          <cell r="AD74">
            <v>0.1305007389152788</v>
          </cell>
          <cell r="AE74">
            <v>0.13032869574987244</v>
          </cell>
          <cell r="AF74">
            <v>0.13349217030818475</v>
          </cell>
          <cell r="AG74">
            <v>0.12556921483223038</v>
          </cell>
          <cell r="AH74">
            <v>0.12691915055537931</v>
          </cell>
          <cell r="AI74">
            <v>0.12859237044438954</v>
          </cell>
          <cell r="AJ74">
            <v>0.13342196980184554</v>
          </cell>
          <cell r="AK74">
            <v>0.127053242221007</v>
          </cell>
          <cell r="AM74">
            <v>0.10687545458434947</v>
          </cell>
          <cell r="AN74">
            <v>0.13521153283817766</v>
          </cell>
          <cell r="AO74">
            <v>0.13927601809954751</v>
          </cell>
          <cell r="AP74">
            <v>0.12425828970331589</v>
          </cell>
          <cell r="AQ74">
            <v>0.11259951010410288</v>
          </cell>
          <cell r="AR74">
            <v>0.12132595569739564</v>
          </cell>
          <cell r="AS74">
            <v>0.13186816729446579</v>
          </cell>
          <cell r="AT74">
            <v>0.12996959879652828</v>
          </cell>
          <cell r="AU74">
            <v>0.12903510240593266</v>
          </cell>
        </row>
        <row r="75">
          <cell r="A75" t="str">
            <v>Operating Margin</v>
          </cell>
          <cell r="F75">
            <v>-5.8061634658329614E-2</v>
          </cell>
          <cell r="G75">
            <v>-4.0945546644153653E-2</v>
          </cell>
          <cell r="H75">
            <v>-4.7046506193035735E-2</v>
          </cell>
          <cell r="I75">
            <v>-9.5449500554938962E-2</v>
          </cell>
          <cell r="J75">
            <v>-0.12349610757254069</v>
          </cell>
          <cell r="K75">
            <v>-6.755805770584096E-2</v>
          </cell>
          <cell r="L75">
            <v>-5.4318093005080108E-2</v>
          </cell>
          <cell r="M75">
            <v>-1.6294721927027984E-2</v>
          </cell>
          <cell r="N75">
            <v>-4.0725806451612903E-2</v>
          </cell>
          <cell r="O75">
            <v>-1.9547719432732848E-2</v>
          </cell>
          <cell r="P75">
            <v>2.7155465037338764E-2</v>
          </cell>
          <cell r="Q75">
            <v>4.2627737226277371E-2</v>
          </cell>
          <cell r="R75">
            <v>6.5963060686015833E-3</v>
          </cell>
          <cell r="S75">
            <v>1.7680551393467185E-2</v>
          </cell>
          <cell r="T75">
            <v>1.9024240564590365E-2</v>
          </cell>
          <cell r="U75">
            <v>1.8917345750873109E-2</v>
          </cell>
          <cell r="V75">
            <v>1.9493177387914229E-3</v>
          </cell>
          <cell r="W75">
            <v>1.199665586205528E-2</v>
          </cell>
          <cell r="X75">
            <v>1.0594174757281553E-2</v>
          </cell>
          <cell r="Y75">
            <v>2.6626834100254196E-2</v>
          </cell>
          <cell r="Z75">
            <v>-5.3343267458377409E-3</v>
          </cell>
          <cell r="AA75">
            <v>6.2769529279544274E-3</v>
          </cell>
          <cell r="AB75">
            <v>1.1361518639092724E-2</v>
          </cell>
          <cell r="AC75">
            <v>3.1492147515153376E-2</v>
          </cell>
          <cell r="AD75">
            <v>7.8198613120828266E-4</v>
          </cell>
          <cell r="AE75">
            <v>1.3064930253041828E-2</v>
          </cell>
          <cell r="AF75">
            <v>1.283999771835073E-2</v>
          </cell>
          <cell r="AG75">
            <v>2.5682475966254063E-2</v>
          </cell>
          <cell r="AH75">
            <v>7.0932275865357814E-3</v>
          </cell>
          <cell r="AI75">
            <v>1.5937604394417118E-2</v>
          </cell>
          <cell r="AJ75">
            <v>1.323362316644869E-2</v>
          </cell>
          <cell r="AK75">
            <v>2.3987433734284899E-2</v>
          </cell>
          <cell r="AM75">
            <v>-1.3263166901980919E-2</v>
          </cell>
          <cell r="AN75">
            <v>-5.8442715948301062E-2</v>
          </cell>
          <cell r="AO75">
            <v>-6.5701357466063343E-2</v>
          </cell>
          <cell r="AP75">
            <v>6.4572425828970329E-3</v>
          </cell>
          <cell r="AQ75">
            <v>1.5768524188609922E-2</v>
          </cell>
          <cell r="AR75">
            <v>1.2041539249320186E-2</v>
          </cell>
          <cell r="AS75">
            <v>1.1784384608101613E-2</v>
          </cell>
          <cell r="AT75">
            <v>1.3142791485148117E-2</v>
          </cell>
          <cell r="AU75">
            <v>1.5426759785511827E-2</v>
          </cell>
        </row>
        <row r="76">
          <cell r="A76" t="str">
            <v>EBITDA Margin</v>
          </cell>
          <cell r="F76">
            <v>0</v>
          </cell>
          <cell r="G76">
            <v>0</v>
          </cell>
          <cell r="H76">
            <v>0</v>
          </cell>
          <cell r="I76">
            <v>0</v>
          </cell>
          <cell r="J76">
            <v>-0.10863411181882519</v>
          </cell>
          <cell r="K76">
            <v>-5.3483462350457422E-2</v>
          </cell>
          <cell r="L76">
            <v>-3.9859320046893319E-2</v>
          </cell>
          <cell r="M76">
            <v>-3.8965639390719092E-3</v>
          </cell>
          <cell r="N76">
            <v>-2.620967741935484E-2</v>
          </cell>
          <cell r="O76">
            <v>-1.1498658489842851E-3</v>
          </cell>
          <cell r="P76">
            <v>4.2090970807875085E-2</v>
          </cell>
          <cell r="Q76">
            <v>5.6350364963503652E-2</v>
          </cell>
          <cell r="R76">
            <v>1.912928759894459E-2</v>
          </cell>
          <cell r="S76">
            <v>2.9667365897512735E-2</v>
          </cell>
          <cell r="T76">
            <v>3.1911629334151578E-2</v>
          </cell>
          <cell r="U76">
            <v>3.1140861466821886E-2</v>
          </cell>
          <cell r="V76">
            <v>1.4294996751137101E-2</v>
          </cell>
          <cell r="W76">
            <v>2.506719216906559E-2</v>
          </cell>
          <cell r="X76">
            <v>2.478647449048485E-2</v>
          </cell>
          <cell r="Y76">
            <v>4.1720322401891101E-2</v>
          </cell>
          <cell r="Z76">
            <v>8.9374089682876766E-3</v>
          </cell>
          <cell r="AA76">
            <v>1.9645411965553812E-2</v>
          </cell>
          <cell r="AB76">
            <v>2.3854373906595207E-2</v>
          </cell>
          <cell r="AC76">
            <v>4.3187263812699529E-2</v>
          </cell>
          <cell r="AD76">
            <v>1.6512012026022566E-2</v>
          </cell>
          <cell r="AE76">
            <v>2.8399842145567754E-2</v>
          </cell>
          <cell r="AF76">
            <v>2.7883671504678211E-2</v>
          </cell>
          <cell r="AG76">
            <v>4.052001113781762E-2</v>
          </cell>
          <cell r="AH76">
            <v>2.3834359972609079E-2</v>
          </cell>
          <cell r="AI76">
            <v>3.1392670549915805E-2</v>
          </cell>
          <cell r="AJ76">
            <v>2.7574012871843481E-2</v>
          </cell>
          <cell r="AK76">
            <v>3.7358532456468314E-2</v>
          </cell>
          <cell r="AM76">
            <v>-5.3052667607923669E-3</v>
          </cell>
          <cell r="AN76">
            <v>-4.8909994736534297E-2</v>
          </cell>
          <cell r="AO76">
            <v>-5.1764705882352942E-2</v>
          </cell>
          <cell r="AP76">
            <v>2.1727748691099478E-2</v>
          </cell>
          <cell r="AQ76">
            <v>2.8169014084507043E-2</v>
          </cell>
          <cell r="AR76">
            <v>2.5618263484143599E-2</v>
          </cell>
          <cell r="AS76">
            <v>2.4679717790069285E-2</v>
          </cell>
          <cell r="AT76">
            <v>2.8377191376281467E-2</v>
          </cell>
          <cell r="AU76">
            <v>3.0318687787096683E-2</v>
          </cell>
        </row>
        <row r="77">
          <cell r="A77" t="str">
            <v>Pre-tax Profit Margin</v>
          </cell>
          <cell r="J77">
            <v>-0.13234253361641896</v>
          </cell>
          <cell r="K77">
            <v>-7.248416608022519E-2</v>
          </cell>
          <cell r="L77">
            <v>-6.8386088315748342E-2</v>
          </cell>
          <cell r="M77">
            <v>-2.3025150549061284E-2</v>
          </cell>
          <cell r="N77">
            <v>-5.1612903225806452E-2</v>
          </cell>
          <cell r="O77">
            <v>-2.8746646224607129E-2</v>
          </cell>
          <cell r="P77">
            <v>2.2742701968771217E-2</v>
          </cell>
          <cell r="Q77">
            <v>3.7956204379562042E-2</v>
          </cell>
          <cell r="R77">
            <v>1.6490765171503958E-3</v>
          </cell>
          <cell r="S77">
            <v>1.947857356907402E-2</v>
          </cell>
          <cell r="T77">
            <v>1.9944768333844738E-2</v>
          </cell>
          <cell r="U77">
            <v>1.8917345750873109E-2</v>
          </cell>
          <cell r="V77">
            <v>2.2742040285899934E-3</v>
          </cell>
          <cell r="W77">
            <v>8.449687273583464E-3</v>
          </cell>
          <cell r="X77">
            <v>6.7106796116504861E-3</v>
          </cell>
          <cell r="Y77">
            <v>2.2449744474651055E-2</v>
          </cell>
          <cell r="Z77">
            <v>-9.3373446033536284E-3</v>
          </cell>
          <cell r="AA77">
            <v>2.483879639795245E-3</v>
          </cell>
          <cell r="AB77">
            <v>7.784295114615398E-3</v>
          </cell>
          <cell r="AC77">
            <v>2.8121359009012629E-2</v>
          </cell>
          <cell r="AD77">
            <v>-3.7691866713735673E-3</v>
          </cell>
          <cell r="AE77">
            <v>8.5621144591227771E-3</v>
          </cell>
          <cell r="AF77">
            <v>8.3607005917979565E-3</v>
          </cell>
          <cell r="AG77">
            <v>2.1205377350663839E-2</v>
          </cell>
          <cell r="AH77">
            <v>1.9764299896066011E-3</v>
          </cell>
          <cell r="AI77">
            <v>1.1134425348576768E-2</v>
          </cell>
          <cell r="AJ77">
            <v>8.7131690503415501E-3</v>
          </cell>
          <cell r="AK77">
            <v>1.9723012939518916E-2</v>
          </cell>
          <cell r="AM77">
            <v>-1.1038377615197022E-2</v>
          </cell>
          <cell r="AN77">
            <v>-5.2418971869699973E-2</v>
          </cell>
          <cell r="AO77">
            <v>-7.4208144796380091E-2</v>
          </cell>
          <cell r="AP77">
            <v>-5.2356020942408382E-4</v>
          </cell>
          <cell r="AQ77">
            <v>1.5309246785058175E-2</v>
          </cell>
          <cell r="AR77">
            <v>9.3727425087160587E-3</v>
          </cell>
          <cell r="AS77">
            <v>8.113524528883552E-3</v>
          </cell>
          <cell r="AT77">
            <v>8.6403916147408874E-3</v>
          </cell>
          <cell r="AU77">
            <v>1.0772053631646336E-2</v>
          </cell>
        </row>
        <row r="78">
          <cell r="A78" t="str">
            <v>Net Margin (pro forma)</v>
          </cell>
          <cell r="J78">
            <v>-0.1397735314932767</v>
          </cell>
          <cell r="K78">
            <v>-7.6002814919071071E-2</v>
          </cell>
          <cell r="L78">
            <v>-7.307542008597108E-2</v>
          </cell>
          <cell r="M78">
            <v>-2.4796315975912149E-2</v>
          </cell>
          <cell r="N78">
            <v>-5.7258064516129033E-2</v>
          </cell>
          <cell r="O78">
            <v>-3.3346109620544268E-2</v>
          </cell>
          <cell r="P78">
            <v>1.2898845892735914E-2</v>
          </cell>
          <cell r="Q78">
            <v>3.1532846715328466E-2</v>
          </cell>
          <cell r="R78">
            <v>-8.2453825857519789E-3</v>
          </cell>
          <cell r="S78">
            <v>7.7914294276296078E-3</v>
          </cell>
          <cell r="T78">
            <v>1.0739490641301013E-2</v>
          </cell>
          <cell r="U78">
            <v>1.7753201396973225E-2</v>
          </cell>
          <cell r="V78">
            <v>-3.2488628979857048E-3</v>
          </cell>
          <cell r="W78">
            <v>5.914781091508425E-3</v>
          </cell>
          <cell r="X78">
            <v>4.6974757281553394E-3</v>
          </cell>
          <cell r="Y78">
            <v>1.5714821132255738E-2</v>
          </cell>
          <cell r="Z78">
            <v>-6.5361412223475393E-3</v>
          </cell>
          <cell r="AA78">
            <v>1.7387157478566716E-3</v>
          </cell>
          <cell r="AB78">
            <v>5.4490065802307785E-3</v>
          </cell>
          <cell r="AC78">
            <v>1.9684951306308842E-2</v>
          </cell>
          <cell r="AD78">
            <v>-2.6384306699614975E-3</v>
          </cell>
          <cell r="AE78">
            <v>5.9934801213859436E-3</v>
          </cell>
          <cell r="AF78">
            <v>5.8524904142585703E-3</v>
          </cell>
          <cell r="AG78">
            <v>1.484376414546469E-2</v>
          </cell>
          <cell r="AH78">
            <v>1.3835009927246208E-3</v>
          </cell>
          <cell r="AI78">
            <v>7.7940977440037369E-3</v>
          </cell>
          <cell r="AJ78">
            <v>6.0992183352390856E-3</v>
          </cell>
          <cell r="AK78">
            <v>1.3806109057663241E-2</v>
          </cell>
          <cell r="AM78">
            <v>7.0594275446027466E-3</v>
          </cell>
          <cell r="AN78">
            <v>-0.11277337856014971</v>
          </cell>
          <cell r="AO78">
            <v>-7.8552036199095024E-2</v>
          </cell>
          <cell r="AP78">
            <v>-7.2425828970331587E-3</v>
          </cell>
          <cell r="AQ78">
            <v>7.424984690753215E-3</v>
          </cell>
          <cell r="AR78">
            <v>5.1897103962735671E-3</v>
          </cell>
          <cell r="AS78">
            <v>5.6794671702184866E-3</v>
          </cell>
          <cell r="AT78">
            <v>6.048274130318625E-3</v>
          </cell>
          <cell r="AU78">
            <v>7.5404375421524528E-3</v>
          </cell>
        </row>
        <row r="80">
          <cell r="A80" t="str">
            <v>Pro Forma Items (income)/expense</v>
          </cell>
        </row>
        <row r="81">
          <cell r="A81" t="str">
            <v xml:space="preserve">    Restructuring charges</v>
          </cell>
          <cell r="F81">
            <v>73</v>
          </cell>
          <cell r="G81">
            <v>7</v>
          </cell>
          <cell r="H81">
            <v>20</v>
          </cell>
          <cell r="I81">
            <v>131</v>
          </cell>
          <cell r="J81">
            <v>137</v>
          </cell>
          <cell r="K81">
            <v>34</v>
          </cell>
          <cell r="L81">
            <v>9</v>
          </cell>
          <cell r="M81">
            <v>21</v>
          </cell>
          <cell r="N81">
            <v>20</v>
          </cell>
          <cell r="O81">
            <v>7</v>
          </cell>
          <cell r="P81">
            <v>18</v>
          </cell>
          <cell r="Q81">
            <v>18</v>
          </cell>
          <cell r="U81">
            <v>30</v>
          </cell>
          <cell r="AM81">
            <v>202</v>
          </cell>
          <cell r="AN81">
            <v>231</v>
          </cell>
          <cell r="AO81">
            <v>201</v>
          </cell>
          <cell r="AP81">
            <v>63</v>
          </cell>
          <cell r="AQ81">
            <v>30</v>
          </cell>
          <cell r="AR81">
            <v>0</v>
          </cell>
          <cell r="AS81">
            <v>0</v>
          </cell>
          <cell r="AT81">
            <v>0</v>
          </cell>
          <cell r="AU81">
            <v>0</v>
          </cell>
        </row>
        <row r="82">
          <cell r="A82" t="str">
            <v xml:space="preserve">    Stock Compensation Expense</v>
          </cell>
          <cell r="F82">
            <v>41</v>
          </cell>
          <cell r="G82">
            <v>41</v>
          </cell>
          <cell r="H82">
            <v>31</v>
          </cell>
          <cell r="I82">
            <v>35</v>
          </cell>
          <cell r="J82">
            <v>41</v>
          </cell>
          <cell r="K82">
            <v>42</v>
          </cell>
          <cell r="L82">
            <v>43</v>
          </cell>
          <cell r="M82">
            <v>40</v>
          </cell>
          <cell r="N82">
            <v>38</v>
          </cell>
          <cell r="O82">
            <v>40</v>
          </cell>
          <cell r="P82">
            <v>42</v>
          </cell>
          <cell r="Q82">
            <v>43</v>
          </cell>
          <cell r="R82">
            <v>40</v>
          </cell>
          <cell r="S82">
            <v>46</v>
          </cell>
          <cell r="T82">
            <v>34</v>
          </cell>
          <cell r="U82">
            <v>36</v>
          </cell>
          <cell r="V82">
            <v>48</v>
          </cell>
          <cell r="W82">
            <v>48</v>
          </cell>
          <cell r="X82">
            <v>48</v>
          </cell>
          <cell r="Y82">
            <v>48</v>
          </cell>
          <cell r="Z82">
            <v>48</v>
          </cell>
          <cell r="AA82">
            <v>48</v>
          </cell>
          <cell r="AB82">
            <v>48</v>
          </cell>
          <cell r="AC82">
            <v>48</v>
          </cell>
          <cell r="AD82">
            <v>48</v>
          </cell>
          <cell r="AE82">
            <v>48</v>
          </cell>
          <cell r="AF82">
            <v>48</v>
          </cell>
          <cell r="AG82">
            <v>48</v>
          </cell>
          <cell r="AH82">
            <v>48</v>
          </cell>
          <cell r="AI82">
            <v>48</v>
          </cell>
          <cell r="AJ82">
            <v>48</v>
          </cell>
          <cell r="AK82">
            <v>48</v>
          </cell>
          <cell r="AM82">
            <v>157</v>
          </cell>
          <cell r="AN82">
            <v>148</v>
          </cell>
          <cell r="AO82">
            <v>166</v>
          </cell>
          <cell r="AP82">
            <v>163</v>
          </cell>
          <cell r="AQ82">
            <v>156</v>
          </cell>
          <cell r="AR82">
            <v>192</v>
          </cell>
          <cell r="AS82">
            <v>192</v>
          </cell>
          <cell r="AT82">
            <v>192</v>
          </cell>
          <cell r="AU82">
            <v>192</v>
          </cell>
        </row>
        <row r="83">
          <cell r="A83" t="str">
            <v xml:space="preserve">    Amortization of Intangibles</v>
          </cell>
          <cell r="F83">
            <v>17</v>
          </cell>
          <cell r="G83">
            <v>16</v>
          </cell>
          <cell r="H83">
            <v>16</v>
          </cell>
          <cell r="I83">
            <v>15</v>
          </cell>
          <cell r="J83">
            <v>15</v>
          </cell>
          <cell r="K83">
            <v>14</v>
          </cell>
          <cell r="L83">
            <v>14</v>
          </cell>
          <cell r="M83">
            <v>14</v>
          </cell>
          <cell r="N83">
            <v>13</v>
          </cell>
          <cell r="O83">
            <v>14</v>
          </cell>
          <cell r="P83">
            <v>14</v>
          </cell>
          <cell r="Q83">
            <v>14</v>
          </cell>
          <cell r="R83">
            <v>16</v>
          </cell>
          <cell r="S83">
            <v>16</v>
          </cell>
          <cell r="T83">
            <v>15</v>
          </cell>
          <cell r="U83">
            <v>12</v>
          </cell>
          <cell r="V83">
            <v>11</v>
          </cell>
          <cell r="W83">
            <v>11</v>
          </cell>
          <cell r="X83">
            <v>11</v>
          </cell>
          <cell r="Y83">
            <v>11</v>
          </cell>
          <cell r="Z83">
            <v>11</v>
          </cell>
          <cell r="AA83">
            <v>11</v>
          </cell>
          <cell r="AB83">
            <v>11</v>
          </cell>
          <cell r="AC83">
            <v>11</v>
          </cell>
          <cell r="AD83">
            <v>11</v>
          </cell>
          <cell r="AE83">
            <v>11</v>
          </cell>
          <cell r="AF83">
            <v>11</v>
          </cell>
          <cell r="AG83">
            <v>11</v>
          </cell>
          <cell r="AH83">
            <v>11</v>
          </cell>
          <cell r="AI83">
            <v>11</v>
          </cell>
          <cell r="AJ83">
            <v>11</v>
          </cell>
          <cell r="AK83">
            <v>11</v>
          </cell>
          <cell r="AM83">
            <v>88</v>
          </cell>
          <cell r="AN83">
            <v>64</v>
          </cell>
          <cell r="AO83">
            <v>57</v>
          </cell>
          <cell r="AP83">
            <v>55</v>
          </cell>
          <cell r="AQ83">
            <v>59</v>
          </cell>
          <cell r="AR83">
            <v>44</v>
          </cell>
          <cell r="AS83">
            <v>44</v>
          </cell>
          <cell r="AT83">
            <v>44</v>
          </cell>
          <cell r="AU83">
            <v>44</v>
          </cell>
        </row>
        <row r="84">
          <cell r="A84" t="str">
            <v xml:space="preserve">    Settlements</v>
          </cell>
          <cell r="H84">
            <v>150</v>
          </cell>
          <cell r="M84">
            <v>75</v>
          </cell>
          <cell r="O84">
            <v>-228</v>
          </cell>
          <cell r="Q84">
            <v>-55</v>
          </cell>
          <cell r="S84">
            <v>20</v>
          </cell>
          <cell r="AM84">
            <v>277</v>
          </cell>
          <cell r="AN84">
            <v>150</v>
          </cell>
          <cell r="AO84">
            <v>75</v>
          </cell>
          <cell r="AP84">
            <v>-283</v>
          </cell>
          <cell r="AQ84">
            <v>20</v>
          </cell>
          <cell r="AR84">
            <v>0</v>
          </cell>
          <cell r="AS84">
            <v>0</v>
          </cell>
          <cell r="AT84">
            <v>0</v>
          </cell>
          <cell r="AU84">
            <v>0</v>
          </cell>
        </row>
        <row r="85">
          <cell r="A85" t="str">
            <v xml:space="preserve">    Other</v>
          </cell>
          <cell r="H85">
            <v>375</v>
          </cell>
          <cell r="I85">
            <v>63</v>
          </cell>
          <cell r="J85">
            <v>30</v>
          </cell>
          <cell r="K85">
            <v>-14</v>
          </cell>
          <cell r="L85">
            <v>0</v>
          </cell>
          <cell r="M85">
            <v>0</v>
          </cell>
          <cell r="N85">
            <v>0</v>
          </cell>
          <cell r="O85">
            <v>0</v>
          </cell>
          <cell r="P85">
            <v>0</v>
          </cell>
          <cell r="Q85">
            <v>10</v>
          </cell>
          <cell r="R85">
            <v>0</v>
          </cell>
          <cell r="S85">
            <v>0</v>
          </cell>
          <cell r="T85">
            <v>18</v>
          </cell>
          <cell r="U85">
            <v>65</v>
          </cell>
          <cell r="V85">
            <v>17</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M85">
            <v>88</v>
          </cell>
          <cell r="AN85">
            <v>438</v>
          </cell>
          <cell r="AO85">
            <v>16</v>
          </cell>
          <cell r="AP85">
            <v>10</v>
          </cell>
          <cell r="AQ85">
            <v>83</v>
          </cell>
          <cell r="AR85">
            <v>17</v>
          </cell>
          <cell r="AS85">
            <v>0</v>
          </cell>
          <cell r="AT85">
            <v>0</v>
          </cell>
          <cell r="AU85">
            <v>0</v>
          </cell>
        </row>
        <row r="86">
          <cell r="A86" t="str">
            <v>Pre-tax Special Items</v>
          </cell>
          <cell r="F86">
            <v>131</v>
          </cell>
          <cell r="G86">
            <v>64</v>
          </cell>
          <cell r="H86">
            <v>592</v>
          </cell>
          <cell r="I86">
            <v>244</v>
          </cell>
          <cell r="J86">
            <v>223</v>
          </cell>
          <cell r="K86">
            <v>76</v>
          </cell>
          <cell r="L86">
            <v>66</v>
          </cell>
          <cell r="M86">
            <v>150</v>
          </cell>
          <cell r="N86">
            <v>71</v>
          </cell>
          <cell r="O86">
            <v>-167</v>
          </cell>
          <cell r="P86">
            <v>74</v>
          </cell>
          <cell r="Q86">
            <v>30</v>
          </cell>
          <cell r="R86">
            <v>56</v>
          </cell>
          <cell r="S86">
            <v>82</v>
          </cell>
          <cell r="T86">
            <v>67</v>
          </cell>
          <cell r="U86">
            <v>143</v>
          </cell>
          <cell r="V86">
            <v>76</v>
          </cell>
          <cell r="W86">
            <v>59</v>
          </cell>
          <cell r="X86">
            <v>59</v>
          </cell>
          <cell r="Y86">
            <v>59</v>
          </cell>
          <cell r="Z86">
            <v>59</v>
          </cell>
          <cell r="AA86">
            <v>59</v>
          </cell>
          <cell r="AB86">
            <v>59</v>
          </cell>
          <cell r="AC86">
            <v>59</v>
          </cell>
          <cell r="AD86">
            <v>59</v>
          </cell>
          <cell r="AE86">
            <v>59</v>
          </cell>
          <cell r="AF86">
            <v>59</v>
          </cell>
          <cell r="AG86">
            <v>59</v>
          </cell>
          <cell r="AH86">
            <v>59</v>
          </cell>
          <cell r="AI86">
            <v>59</v>
          </cell>
          <cell r="AJ86">
            <v>59</v>
          </cell>
          <cell r="AK86">
            <v>59</v>
          </cell>
          <cell r="AM86">
            <v>812</v>
          </cell>
          <cell r="AN86">
            <v>1031</v>
          </cell>
          <cell r="AO86">
            <v>515</v>
          </cell>
          <cell r="AP86">
            <v>8</v>
          </cell>
          <cell r="AQ86">
            <v>348</v>
          </cell>
          <cell r="AR86">
            <v>253</v>
          </cell>
          <cell r="AS86">
            <v>236</v>
          </cell>
          <cell r="AT86">
            <v>236</v>
          </cell>
          <cell r="AU86">
            <v>236</v>
          </cell>
        </row>
        <row r="87">
          <cell r="A87" t="str">
            <v xml:space="preserve">    Income Tax Provision - one-time items</v>
          </cell>
          <cell r="J87">
            <v>-4</v>
          </cell>
          <cell r="K87">
            <v>-21</v>
          </cell>
          <cell r="M87">
            <v>-16</v>
          </cell>
          <cell r="N87">
            <v>-1</v>
          </cell>
          <cell r="P87">
            <v>-2</v>
          </cell>
        </row>
        <row r="88">
          <cell r="A88" t="str">
            <v xml:space="preserve">    Income Tax Provision - stock comp &amp; amort</v>
          </cell>
          <cell r="F88">
            <v>0</v>
          </cell>
          <cell r="G88">
            <v>0</v>
          </cell>
          <cell r="H88">
            <v>0</v>
          </cell>
          <cell r="I88">
            <v>0</v>
          </cell>
          <cell r="J88">
            <v>0</v>
          </cell>
          <cell r="K88">
            <v>0</v>
          </cell>
          <cell r="L88">
            <v>0</v>
          </cell>
          <cell r="M88">
            <v>0</v>
          </cell>
          <cell r="N88">
            <v>0</v>
          </cell>
          <cell r="O88">
            <v>0</v>
          </cell>
          <cell r="R88">
            <v>0</v>
          </cell>
          <cell r="S88">
            <v>0</v>
          </cell>
          <cell r="T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M88">
            <v>0</v>
          </cell>
          <cell r="AN88">
            <v>0</v>
          </cell>
          <cell r="AO88">
            <v>0</v>
          </cell>
          <cell r="AP88">
            <v>0</v>
          </cell>
          <cell r="AQ88">
            <v>0</v>
          </cell>
          <cell r="AR88">
            <v>0</v>
          </cell>
          <cell r="AS88">
            <v>0</v>
          </cell>
          <cell r="AT88">
            <v>0</v>
          </cell>
          <cell r="AU88">
            <v>0</v>
          </cell>
        </row>
        <row r="89">
          <cell r="A89" t="str">
            <v>After-tax Special Items</v>
          </cell>
          <cell r="F89">
            <v>131</v>
          </cell>
          <cell r="G89">
            <v>64</v>
          </cell>
          <cell r="H89">
            <v>592</v>
          </cell>
          <cell r="I89">
            <v>244</v>
          </cell>
          <cell r="J89">
            <v>219</v>
          </cell>
          <cell r="K89">
            <v>55</v>
          </cell>
          <cell r="L89">
            <v>66</v>
          </cell>
          <cell r="M89">
            <v>134</v>
          </cell>
          <cell r="N89">
            <v>70</v>
          </cell>
          <cell r="O89">
            <v>-167</v>
          </cell>
          <cell r="P89">
            <v>72</v>
          </cell>
          <cell r="Q89">
            <v>30</v>
          </cell>
          <cell r="R89">
            <v>56</v>
          </cell>
          <cell r="S89">
            <v>82</v>
          </cell>
          <cell r="T89">
            <v>67</v>
          </cell>
          <cell r="U89">
            <v>143</v>
          </cell>
          <cell r="V89">
            <v>76</v>
          </cell>
          <cell r="W89">
            <v>59</v>
          </cell>
          <cell r="X89">
            <v>59</v>
          </cell>
          <cell r="Y89">
            <v>59</v>
          </cell>
          <cell r="Z89">
            <v>59</v>
          </cell>
          <cell r="AA89">
            <v>59</v>
          </cell>
          <cell r="AB89">
            <v>59</v>
          </cell>
          <cell r="AC89">
            <v>59</v>
          </cell>
          <cell r="AD89">
            <v>59</v>
          </cell>
          <cell r="AE89">
            <v>59</v>
          </cell>
          <cell r="AF89">
            <v>59</v>
          </cell>
          <cell r="AG89">
            <v>59</v>
          </cell>
          <cell r="AH89">
            <v>59</v>
          </cell>
          <cell r="AI89">
            <v>59</v>
          </cell>
          <cell r="AJ89">
            <v>59</v>
          </cell>
          <cell r="AK89">
            <v>59</v>
          </cell>
          <cell r="AM89">
            <v>812</v>
          </cell>
          <cell r="AN89">
            <v>1031</v>
          </cell>
          <cell r="AO89">
            <v>515</v>
          </cell>
          <cell r="AP89">
            <v>8</v>
          </cell>
          <cell r="AQ89">
            <v>348</v>
          </cell>
          <cell r="AR89">
            <v>253</v>
          </cell>
          <cell r="AS89">
            <v>236</v>
          </cell>
          <cell r="AT89">
            <v>236</v>
          </cell>
          <cell r="AU89">
            <v>236</v>
          </cell>
        </row>
        <row r="91">
          <cell r="A91" t="str">
            <v>GAAP Net Income</v>
          </cell>
          <cell r="F91" t="str">
            <v>ND</v>
          </cell>
          <cell r="G91" t="str">
            <v>ND</v>
          </cell>
          <cell r="H91" t="str">
            <v>ND</v>
          </cell>
          <cell r="I91" t="str">
            <v>ND</v>
          </cell>
          <cell r="J91">
            <v>-614</v>
          </cell>
          <cell r="K91">
            <v>-271</v>
          </cell>
          <cell r="L91">
            <v>-253</v>
          </cell>
          <cell r="M91">
            <v>-204</v>
          </cell>
          <cell r="N91">
            <v>-212</v>
          </cell>
          <cell r="O91">
            <v>80</v>
          </cell>
          <cell r="P91">
            <v>-34</v>
          </cell>
          <cell r="Q91">
            <v>78</v>
          </cell>
          <cell r="R91">
            <v>-81</v>
          </cell>
          <cell r="S91">
            <v>-56</v>
          </cell>
          <cell r="T91">
            <v>-32</v>
          </cell>
          <cell r="U91">
            <v>-82</v>
          </cell>
          <cell r="V91">
            <v>-86</v>
          </cell>
          <cell r="W91">
            <v>-42.32440520975473</v>
          </cell>
          <cell r="X91">
            <v>-46.903999999999996</v>
          </cell>
          <cell r="Y91">
            <v>-21.378539747069404</v>
          </cell>
          <cell r="Z91">
            <v>-75.328034135734811</v>
          </cell>
          <cell r="AA91">
            <v>-54.416076580211588</v>
          </cell>
          <cell r="AB91">
            <v>-43.767497633442012</v>
          </cell>
          <cell r="AC91">
            <v>-0.60134558888007916</v>
          </cell>
          <cell r="AD91">
            <v>-64.797254431791146</v>
          </cell>
          <cell r="AE91">
            <v>-45.689484101303904</v>
          </cell>
          <cell r="AF91">
            <v>-45.934355438120726</v>
          </cell>
          <cell r="AG91">
            <v>-25.845125783525276</v>
          </cell>
          <cell r="AH91">
            <v>-56.296158453570797</v>
          </cell>
          <cell r="AI91">
            <v>-42.773043499693017</v>
          </cell>
          <cell r="AJ91">
            <v>-45.507509691323833</v>
          </cell>
          <cell r="AK91">
            <v>-26.624890408075061</v>
          </cell>
          <cell r="AM91">
            <v>-647</v>
          </cell>
          <cell r="AN91">
            <v>-2959.3119999999999</v>
          </cell>
          <cell r="AO91">
            <v>-1383</v>
          </cell>
          <cell r="AP91">
            <v>-91</v>
          </cell>
          <cell r="AQ91">
            <v>-251</v>
          </cell>
          <cell r="AR91">
            <v>-196.60694495682543</v>
          </cell>
          <cell r="AS91">
            <v>-174.1129539382685</v>
          </cell>
          <cell r="AT91">
            <v>-182.26621975474094</v>
          </cell>
          <cell r="AU91">
            <v>-171.20160205266222</v>
          </cell>
        </row>
        <row r="92">
          <cell r="A92" t="str">
            <v xml:space="preserve">    + After tax exited businesses (income)/expense</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M92">
            <v>0</v>
          </cell>
          <cell r="AN92">
            <v>0</v>
          </cell>
          <cell r="AO92">
            <v>0</v>
          </cell>
          <cell r="AP92">
            <v>0</v>
          </cell>
          <cell r="AQ92">
            <v>0</v>
          </cell>
          <cell r="AR92">
            <v>0</v>
          </cell>
          <cell r="AS92">
            <v>0</v>
          </cell>
          <cell r="AT92">
            <v>0</v>
          </cell>
          <cell r="AU92">
            <v>0</v>
          </cell>
        </row>
        <row r="93">
          <cell r="A93" t="str">
            <v>Reported Net Income</v>
          </cell>
          <cell r="F93" t="str">
            <v>ND</v>
          </cell>
          <cell r="G93" t="str">
            <v>ND</v>
          </cell>
          <cell r="H93" t="str">
            <v>ND</v>
          </cell>
          <cell r="I93" t="str">
            <v>ND</v>
          </cell>
          <cell r="J93">
            <v>-614</v>
          </cell>
          <cell r="K93">
            <v>-271</v>
          </cell>
          <cell r="L93">
            <v>-253</v>
          </cell>
          <cell r="M93">
            <v>-204</v>
          </cell>
          <cell r="N93">
            <v>-212</v>
          </cell>
          <cell r="O93">
            <v>80</v>
          </cell>
          <cell r="P93">
            <v>-34</v>
          </cell>
          <cell r="Q93">
            <v>78</v>
          </cell>
          <cell r="R93">
            <v>-81</v>
          </cell>
          <cell r="S93">
            <v>-56</v>
          </cell>
          <cell r="T93">
            <v>-32</v>
          </cell>
          <cell r="U93">
            <v>-82</v>
          </cell>
          <cell r="V93">
            <v>-86</v>
          </cell>
          <cell r="W93">
            <v>-42.32440520975473</v>
          </cell>
          <cell r="X93">
            <v>-46.903999999999996</v>
          </cell>
          <cell r="Y93">
            <v>-21.378539747069404</v>
          </cell>
          <cell r="Z93">
            <v>-75.328034135734811</v>
          </cell>
          <cell r="AA93">
            <v>-54.416076580211588</v>
          </cell>
          <cell r="AB93">
            <v>-43.767497633442012</v>
          </cell>
          <cell r="AC93">
            <v>-0.60134558888007916</v>
          </cell>
          <cell r="AD93">
            <v>-64.797254431791146</v>
          </cell>
          <cell r="AE93">
            <v>-45.689484101303904</v>
          </cell>
          <cell r="AF93">
            <v>-45.934355438120726</v>
          </cell>
          <cell r="AG93">
            <v>-25.845125783525276</v>
          </cell>
          <cell r="AH93">
            <v>-56.296158453570797</v>
          </cell>
          <cell r="AI93">
            <v>-42.773043499693017</v>
          </cell>
          <cell r="AJ93">
            <v>-45.507509691323833</v>
          </cell>
          <cell r="AK93">
            <v>-26.624890408075061</v>
          </cell>
          <cell r="AM93">
            <v>-647</v>
          </cell>
          <cell r="AN93">
            <v>-2959.3119999999999</v>
          </cell>
          <cell r="AO93">
            <v>-1383</v>
          </cell>
          <cell r="AP93">
            <v>-91</v>
          </cell>
          <cell r="AQ93">
            <v>-251</v>
          </cell>
          <cell r="AR93">
            <v>-196.60694495682543</v>
          </cell>
          <cell r="AS93">
            <v>-174.1129539382685</v>
          </cell>
          <cell r="AT93">
            <v>-182.26621975474094</v>
          </cell>
          <cell r="AU93">
            <v>-171.20160205266222</v>
          </cell>
        </row>
        <row r="94">
          <cell r="A94" t="str">
            <v xml:space="preserve">    + After tax special items (income)/expense</v>
          </cell>
          <cell r="F94">
            <v>131</v>
          </cell>
          <cell r="G94">
            <v>64</v>
          </cell>
          <cell r="H94">
            <v>592</v>
          </cell>
          <cell r="I94">
            <v>244</v>
          </cell>
          <cell r="J94">
            <v>219</v>
          </cell>
          <cell r="K94">
            <v>55</v>
          </cell>
          <cell r="L94">
            <v>66</v>
          </cell>
          <cell r="M94">
            <v>134</v>
          </cell>
          <cell r="N94">
            <v>70</v>
          </cell>
          <cell r="O94">
            <v>-167</v>
          </cell>
          <cell r="P94">
            <v>72</v>
          </cell>
          <cell r="Q94">
            <v>30</v>
          </cell>
          <cell r="R94">
            <v>56</v>
          </cell>
          <cell r="S94">
            <v>82</v>
          </cell>
          <cell r="T94">
            <v>67</v>
          </cell>
          <cell r="U94">
            <v>143</v>
          </cell>
          <cell r="V94">
            <v>76</v>
          </cell>
          <cell r="W94">
            <v>59</v>
          </cell>
          <cell r="X94">
            <v>59</v>
          </cell>
          <cell r="Y94">
            <v>59</v>
          </cell>
          <cell r="Z94">
            <v>59</v>
          </cell>
          <cell r="AA94">
            <v>59</v>
          </cell>
          <cell r="AB94">
            <v>59</v>
          </cell>
          <cell r="AC94">
            <v>59</v>
          </cell>
          <cell r="AD94">
            <v>59</v>
          </cell>
          <cell r="AE94">
            <v>59</v>
          </cell>
          <cell r="AF94">
            <v>59</v>
          </cell>
          <cell r="AG94">
            <v>59</v>
          </cell>
          <cell r="AH94">
            <v>59</v>
          </cell>
          <cell r="AI94">
            <v>59</v>
          </cell>
          <cell r="AJ94">
            <v>59</v>
          </cell>
          <cell r="AK94">
            <v>59</v>
          </cell>
          <cell r="AM94">
            <v>812</v>
          </cell>
          <cell r="AN94">
            <v>1031</v>
          </cell>
          <cell r="AO94">
            <v>515</v>
          </cell>
          <cell r="AP94">
            <v>8</v>
          </cell>
          <cell r="AQ94">
            <v>348</v>
          </cell>
          <cell r="AR94">
            <v>253</v>
          </cell>
          <cell r="AS94">
            <v>236</v>
          </cell>
          <cell r="AT94">
            <v>236</v>
          </cell>
          <cell r="AU94">
            <v>236</v>
          </cell>
        </row>
        <row r="95">
          <cell r="A95" t="str">
            <v>Recurring Net Income</v>
          </cell>
          <cell r="F95" t="str">
            <v>ND</v>
          </cell>
          <cell r="G95" t="str">
            <v>ND</v>
          </cell>
          <cell r="H95" t="str">
            <v>ND</v>
          </cell>
          <cell r="I95" t="str">
            <v>ND</v>
          </cell>
          <cell r="J95">
            <v>-395</v>
          </cell>
          <cell r="K95">
            <v>-216</v>
          </cell>
          <cell r="L95">
            <v>-187</v>
          </cell>
          <cell r="M95">
            <v>-70</v>
          </cell>
          <cell r="N95">
            <v>-142</v>
          </cell>
          <cell r="O95">
            <v>-87</v>
          </cell>
          <cell r="P95">
            <v>38</v>
          </cell>
          <cell r="Q95">
            <v>108</v>
          </cell>
          <cell r="R95">
            <v>-25</v>
          </cell>
          <cell r="S95">
            <v>26</v>
          </cell>
          <cell r="T95">
            <v>35</v>
          </cell>
          <cell r="U95">
            <v>61</v>
          </cell>
          <cell r="V95">
            <v>-10</v>
          </cell>
          <cell r="W95">
            <v>16.67559479024527</v>
          </cell>
          <cell r="X95">
            <v>12.096</v>
          </cell>
          <cell r="Y95">
            <v>37.621460252930596</v>
          </cell>
          <cell r="Z95">
            <v>-16.328034135734804</v>
          </cell>
          <cell r="AA95">
            <v>4.5839234197884107</v>
          </cell>
          <cell r="AB95">
            <v>15.232502366557988</v>
          </cell>
          <cell r="AC95">
            <v>58.398654411119921</v>
          </cell>
          <cell r="AD95">
            <v>-5.7972544317911492</v>
          </cell>
          <cell r="AE95">
            <v>13.310515898696096</v>
          </cell>
          <cell r="AF95">
            <v>13.065644561879273</v>
          </cell>
          <cell r="AG95">
            <v>33.154874216474724</v>
          </cell>
          <cell r="AH95">
            <v>2.7038415464292003</v>
          </cell>
          <cell r="AI95">
            <v>16.226956500306983</v>
          </cell>
          <cell r="AJ95">
            <v>13.492490308676164</v>
          </cell>
          <cell r="AK95">
            <v>32.375109591924939</v>
          </cell>
          <cell r="AM95">
            <v>165</v>
          </cell>
          <cell r="AN95">
            <v>-1928.3119999999999</v>
          </cell>
          <cell r="AO95">
            <v>-868</v>
          </cell>
          <cell r="AP95">
            <v>-83</v>
          </cell>
          <cell r="AQ95">
            <v>97</v>
          </cell>
          <cell r="AR95">
            <v>56.393055043174556</v>
          </cell>
          <cell r="AS95">
            <v>61.887046061731503</v>
          </cell>
          <cell r="AT95">
            <v>53.733780245259048</v>
          </cell>
          <cell r="AU95">
            <v>64.798397947337762</v>
          </cell>
        </row>
        <row r="97">
          <cell r="A97" t="str">
            <v>GAAP EPS</v>
          </cell>
          <cell r="F97" t="str">
            <v>ND</v>
          </cell>
          <cell r="G97" t="str">
            <v>ND</v>
          </cell>
          <cell r="H97" t="str">
            <v>ND</v>
          </cell>
          <cell r="I97" t="str">
            <v>ND</v>
          </cell>
          <cell r="J97">
            <v>-2.0884353741496597</v>
          </cell>
          <cell r="K97">
            <v>-0.92176870748299322</v>
          </cell>
          <cell r="L97">
            <v>-0.86054421768707479</v>
          </cell>
          <cell r="M97">
            <v>-0.69387755102040816</v>
          </cell>
          <cell r="N97">
            <v>-0.72108843537414968</v>
          </cell>
          <cell r="O97">
            <v>0.27210884353741499</v>
          </cell>
          <cell r="P97">
            <v>-0.11564625850340136</v>
          </cell>
          <cell r="Q97">
            <v>0.26503567787971455</v>
          </cell>
          <cell r="R97">
            <v>-0.27485578554462164</v>
          </cell>
          <cell r="S97">
            <v>-0.18931710615280595</v>
          </cell>
          <cell r="T97">
            <v>-0.10749076251259658</v>
          </cell>
          <cell r="U97">
            <v>-0.2731512325116589</v>
          </cell>
          <cell r="V97">
            <v>-0.28439153439153442</v>
          </cell>
          <cell r="W97">
            <v>-0.13982183560406108</v>
          </cell>
          <cell r="X97">
            <v>-0.15479607316342012</v>
          </cell>
          <cell r="Y97">
            <v>-7.0484564105825112E-2</v>
          </cell>
          <cell r="Z97">
            <v>-0.24810672544842871</v>
          </cell>
          <cell r="AA97">
            <v>-0.17905029939715233</v>
          </cell>
          <cell r="AB97">
            <v>-0.14386841706222064</v>
          </cell>
          <cell r="AC97">
            <v>-1.9747121595482262E-3</v>
          </cell>
          <cell r="AD97">
            <v>-0.21257011026176512</v>
          </cell>
          <cell r="AE97">
            <v>-0.14973653192780928</v>
          </cell>
          <cell r="AF97">
            <v>-0.15038865145661973</v>
          </cell>
          <cell r="AG97">
            <v>-8.4532168691454468E-2</v>
          </cell>
          <cell r="AH97">
            <v>-0.18394502393282</v>
          </cell>
          <cell r="AI97">
            <v>-0.13961926883929826</v>
          </cell>
          <cell r="AJ97">
            <v>-0.14839668474826959</v>
          </cell>
          <cell r="AK97">
            <v>-8.6735099256088175E-2</v>
          </cell>
          <cell r="AM97">
            <v>-2.2274580684031027</v>
          </cell>
          <cell r="AN97">
            <v>-10.453123751283211</v>
          </cell>
          <cell r="AO97">
            <v>-4.704081632653061</v>
          </cell>
          <cell r="AP97">
            <v>-0.30944486950607841</v>
          </cell>
          <cell r="AQ97">
            <v>-0.84483338943116792</v>
          </cell>
          <cell r="AR97">
            <v>-0.64918082068519978</v>
          </cell>
          <cell r="AS97">
            <v>-0.57261352209206484</v>
          </cell>
          <cell r="AT97">
            <v>-0.59703582582443193</v>
          </cell>
          <cell r="AU97">
            <v>-0.55855471263798795</v>
          </cell>
        </row>
        <row r="98">
          <cell r="A98" t="str">
            <v xml:space="preserve">    + Per share impact of exited businesses (income)/expense</v>
          </cell>
          <cell r="F98" t="str">
            <v>ND</v>
          </cell>
          <cell r="G98" t="str">
            <v>ND</v>
          </cell>
          <cell r="H98" t="str">
            <v>ND</v>
          </cell>
          <cell r="I98" t="str">
            <v>ND</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M98">
            <v>0</v>
          </cell>
          <cell r="AN98">
            <v>0</v>
          </cell>
          <cell r="AO98">
            <v>0</v>
          </cell>
          <cell r="AP98">
            <v>0</v>
          </cell>
          <cell r="AQ98">
            <v>0</v>
          </cell>
          <cell r="AR98">
            <v>0</v>
          </cell>
          <cell r="AS98">
            <v>0</v>
          </cell>
          <cell r="AT98">
            <v>0</v>
          </cell>
          <cell r="AU98">
            <v>0</v>
          </cell>
        </row>
        <row r="99">
          <cell r="A99" t="str">
            <v>Reported EPS</v>
          </cell>
          <cell r="F99" t="str">
            <v>ND</v>
          </cell>
          <cell r="G99" t="str">
            <v>ND</v>
          </cell>
          <cell r="H99" t="str">
            <v>ND</v>
          </cell>
          <cell r="I99" t="str">
            <v>ND</v>
          </cell>
          <cell r="J99">
            <v>-2.0884353741496597</v>
          </cell>
          <cell r="K99">
            <v>-0.92176870748299322</v>
          </cell>
          <cell r="L99">
            <v>-0.86054421768707479</v>
          </cell>
          <cell r="M99">
            <v>-0.69387755102040816</v>
          </cell>
          <cell r="N99">
            <v>-0.72108843537414968</v>
          </cell>
          <cell r="O99">
            <v>0.27210884353741499</v>
          </cell>
          <cell r="P99">
            <v>-0.11564625850340136</v>
          </cell>
          <cell r="Q99">
            <v>0.26503567787971455</v>
          </cell>
          <cell r="R99">
            <v>-0.27485578554462164</v>
          </cell>
          <cell r="S99">
            <v>-0.18931710615280595</v>
          </cell>
          <cell r="T99">
            <v>-0.10749076251259658</v>
          </cell>
          <cell r="U99">
            <v>-0.2731512325116589</v>
          </cell>
          <cell r="V99">
            <v>-0.28439153439153442</v>
          </cell>
          <cell r="W99">
            <v>-0.13982183560406108</v>
          </cell>
          <cell r="X99">
            <v>-0.15479607316342012</v>
          </cell>
          <cell r="Y99">
            <v>-7.0484564105825112E-2</v>
          </cell>
          <cell r="Z99">
            <v>-0.24810672544842871</v>
          </cell>
          <cell r="AA99">
            <v>-0.17905029939715233</v>
          </cell>
          <cell r="AB99">
            <v>-0.14386841706222064</v>
          </cell>
          <cell r="AC99">
            <v>-1.9747121595482262E-3</v>
          </cell>
          <cell r="AD99">
            <v>-0.21257011026176512</v>
          </cell>
          <cell r="AE99">
            <v>-0.14973653192780928</v>
          </cell>
          <cell r="AF99">
            <v>-0.15038865145661973</v>
          </cell>
          <cell r="AG99">
            <v>-8.4532168691454468E-2</v>
          </cell>
          <cell r="AH99">
            <v>-0.18394502393282</v>
          </cell>
          <cell r="AI99">
            <v>-0.13961926883929826</v>
          </cell>
          <cell r="AJ99">
            <v>-0.14839668474826959</v>
          </cell>
          <cell r="AK99">
            <v>-8.6735099256088175E-2</v>
          </cell>
          <cell r="AM99">
            <v>-2.2274580684031027</v>
          </cell>
          <cell r="AN99">
            <v>-10.453123751283211</v>
          </cell>
          <cell r="AO99">
            <v>-4.704081632653061</v>
          </cell>
          <cell r="AP99">
            <v>-0.30944486950607841</v>
          </cell>
          <cell r="AQ99">
            <v>-0.84483338943116792</v>
          </cell>
          <cell r="AR99">
            <v>-0.64918082068519978</v>
          </cell>
          <cell r="AS99">
            <v>-0.57261352209206484</v>
          </cell>
          <cell r="AT99">
            <v>-0.59703582582443193</v>
          </cell>
          <cell r="AU99">
            <v>-0.55855471263798795</v>
          </cell>
        </row>
        <row r="100">
          <cell r="A100" t="str">
            <v xml:space="preserve">    + Per Share impact of special Items (income)/expense</v>
          </cell>
          <cell r="F100" t="str">
            <v>ND</v>
          </cell>
          <cell r="G100" t="str">
            <v>ND</v>
          </cell>
          <cell r="H100" t="str">
            <v>ND</v>
          </cell>
          <cell r="I100" t="str">
            <v>ND</v>
          </cell>
          <cell r="J100">
            <v>0.74489795918367352</v>
          </cell>
          <cell r="K100">
            <v>0.1870748299319728</v>
          </cell>
          <cell r="L100">
            <v>0.22448979591836735</v>
          </cell>
          <cell r="M100">
            <v>0.45578231292517007</v>
          </cell>
          <cell r="N100">
            <v>0.23809523809523808</v>
          </cell>
          <cell r="O100">
            <v>-0.56802721088435371</v>
          </cell>
          <cell r="P100">
            <v>0.24489795918367346</v>
          </cell>
          <cell r="Q100">
            <v>0.1019367991845056</v>
          </cell>
          <cell r="R100">
            <v>0.19002375296912113</v>
          </cell>
          <cell r="S100">
            <v>0.27721433400946582</v>
          </cell>
          <cell r="T100">
            <v>0.22505878401074908</v>
          </cell>
          <cell r="U100">
            <v>0.47634910059960028</v>
          </cell>
          <cell r="V100">
            <v>0.25132275132275134</v>
          </cell>
          <cell r="W100">
            <v>0.19491090919662352</v>
          </cell>
          <cell r="X100">
            <v>0.19471619300361989</v>
          </cell>
          <cell r="Y100">
            <v>0.19452167133228762</v>
          </cell>
          <cell r="Z100">
            <v>0.19432734398829934</v>
          </cell>
          <cell r="AA100">
            <v>0.19413321077752185</v>
          </cell>
          <cell r="AB100">
            <v>0.19393927150601586</v>
          </cell>
          <cell r="AC100">
            <v>0.19374552598003586</v>
          </cell>
          <cell r="AD100">
            <v>0.19355197400602983</v>
          </cell>
          <cell r="AE100">
            <v>0.19335861539063923</v>
          </cell>
          <cell r="AF100">
            <v>0.19316544994069854</v>
          </cell>
          <cell r="AG100">
            <v>0.19297247746323531</v>
          </cell>
          <cell r="AH100">
            <v>0.19277969776546985</v>
          </cell>
          <cell r="AI100">
            <v>0.19258711065481507</v>
          </cell>
          <cell r="AJ100">
            <v>0.19239471593887622</v>
          </cell>
          <cell r="AK100">
            <v>0.19220251342545078</v>
          </cell>
          <cell r="AM100">
            <v>2.7955115170684999</v>
          </cell>
          <cell r="AN100">
            <v>3.6417824776748757</v>
          </cell>
          <cell r="AO100">
            <v>1.7517006802721089</v>
          </cell>
          <cell r="AP100">
            <v>2.7203944571962936E-2</v>
          </cell>
          <cell r="AQ100">
            <v>1.1713227869404239</v>
          </cell>
          <cell r="AR100">
            <v>0.83538629660016828</v>
          </cell>
          <cell r="AS100">
            <v>0.77614438304021804</v>
          </cell>
          <cell r="AT100">
            <v>0.77304755145612192</v>
          </cell>
          <cell r="AU100">
            <v>0.76996307629187477</v>
          </cell>
        </row>
        <row r="101">
          <cell r="A101" t="str">
            <v>Recurring EPS</v>
          </cell>
          <cell r="F101" t="str">
            <v>ND</v>
          </cell>
          <cell r="G101" t="str">
            <v>ND</v>
          </cell>
          <cell r="H101" t="str">
            <v>ND</v>
          </cell>
          <cell r="I101" t="str">
            <v>ND</v>
          </cell>
          <cell r="J101">
            <v>-1.3435374149659864</v>
          </cell>
          <cell r="K101">
            <v>-0.73469387755102045</v>
          </cell>
          <cell r="L101">
            <v>-0.63605442176870752</v>
          </cell>
          <cell r="M101">
            <v>-0.23809523809523808</v>
          </cell>
          <cell r="N101">
            <v>-0.48299319727891155</v>
          </cell>
          <cell r="O101">
            <v>-0.29591836734693877</v>
          </cell>
          <cell r="P101">
            <v>0.12925170068027211</v>
          </cell>
          <cell r="Q101">
            <v>0.36697247706422015</v>
          </cell>
          <cell r="R101">
            <v>-8.483203257550051E-2</v>
          </cell>
          <cell r="S101">
            <v>8.7897227856659904E-2</v>
          </cell>
          <cell r="T101">
            <v>0.1175680214981525</v>
          </cell>
          <cell r="U101">
            <v>0.20319786808794138</v>
          </cell>
          <cell r="V101">
            <v>-3.3068783068783074E-2</v>
          </cell>
          <cell r="W101">
            <v>5.5089073592562439E-2</v>
          </cell>
          <cell r="X101">
            <v>3.9920119840199768E-2</v>
          </cell>
          <cell r="Y101">
            <v>0.1240371072264625</v>
          </cell>
          <cell r="Z101">
            <v>-5.3779381460129345E-2</v>
          </cell>
          <cell r="AA101">
            <v>1.5082911380369532E-2</v>
          </cell>
          <cell r="AB101">
            <v>5.0070854443795235E-2</v>
          </cell>
          <cell r="AC101">
            <v>0.19177081382048763</v>
          </cell>
          <cell r="AD101">
            <v>-1.9018136255735285E-2</v>
          </cell>
          <cell r="AE101">
            <v>4.3622083462829947E-2</v>
          </cell>
          <cell r="AF101">
            <v>4.277679848407883E-2</v>
          </cell>
          <cell r="AG101">
            <v>0.10844030877178085</v>
          </cell>
          <cell r="AH101">
            <v>8.8346738326498617E-3</v>
          </cell>
          <cell r="AI101">
            <v>5.2967841815516808E-2</v>
          </cell>
          <cell r="AJ101">
            <v>4.3998031190606621E-2</v>
          </cell>
          <cell r="AK101">
            <v>0.1054674141693626</v>
          </cell>
          <cell r="AM101">
            <v>0.5680534486653972</v>
          </cell>
          <cell r="AN101">
            <v>-6.8113412736083365</v>
          </cell>
          <cell r="AO101">
            <v>-2.9523809523809526</v>
          </cell>
          <cell r="AP101">
            <v>-0.28224092493411546</v>
          </cell>
          <cell r="AQ101">
            <v>0.3264893975092561</v>
          </cell>
          <cell r="AR101">
            <v>0.18620547591496853</v>
          </cell>
          <cell r="AS101">
            <v>0.2035308609481532</v>
          </cell>
          <cell r="AT101">
            <v>0.17601172563169001</v>
          </cell>
          <cell r="AU101">
            <v>0.21140836365388679</v>
          </cell>
        </row>
        <row r="103">
          <cell r="A103" t="str">
            <v>Stock Compensation Expense &amp; Amortization</v>
          </cell>
        </row>
        <row r="104">
          <cell r="A104" t="str">
            <v>COGs</v>
          </cell>
          <cell r="F104">
            <v>4</v>
          </cell>
          <cell r="G104">
            <v>4</v>
          </cell>
          <cell r="H104">
            <v>3</v>
          </cell>
          <cell r="I104">
            <v>4</v>
          </cell>
          <cell r="J104">
            <v>4</v>
          </cell>
          <cell r="K104">
            <v>4</v>
          </cell>
          <cell r="L104">
            <v>4</v>
          </cell>
          <cell r="M104">
            <v>3</v>
          </cell>
          <cell r="N104">
            <v>3</v>
          </cell>
          <cell r="O104">
            <v>4</v>
          </cell>
          <cell r="P104">
            <v>4</v>
          </cell>
          <cell r="Q104">
            <v>4</v>
          </cell>
          <cell r="R104">
            <v>4</v>
          </cell>
          <cell r="S104">
            <v>4</v>
          </cell>
          <cell r="T104">
            <v>3</v>
          </cell>
          <cell r="U104">
            <v>4</v>
          </cell>
          <cell r="V104">
            <v>5</v>
          </cell>
          <cell r="W104">
            <v>5</v>
          </cell>
          <cell r="X104">
            <v>5</v>
          </cell>
          <cell r="Y104">
            <v>5</v>
          </cell>
          <cell r="Z104">
            <v>5</v>
          </cell>
          <cell r="AA104">
            <v>5</v>
          </cell>
          <cell r="AB104">
            <v>5</v>
          </cell>
          <cell r="AC104">
            <v>5</v>
          </cell>
          <cell r="AD104">
            <v>5</v>
          </cell>
          <cell r="AE104">
            <v>5</v>
          </cell>
          <cell r="AF104">
            <v>5</v>
          </cell>
          <cell r="AG104">
            <v>5</v>
          </cell>
          <cell r="AH104">
            <v>5</v>
          </cell>
          <cell r="AI104">
            <v>5</v>
          </cell>
          <cell r="AJ104">
            <v>5</v>
          </cell>
          <cell r="AK104">
            <v>5</v>
          </cell>
          <cell r="AM104">
            <v>15</v>
          </cell>
          <cell r="AN104">
            <v>15</v>
          </cell>
          <cell r="AO104">
            <v>15</v>
          </cell>
          <cell r="AP104">
            <v>15</v>
          </cell>
          <cell r="AQ104">
            <v>15</v>
          </cell>
          <cell r="AR104">
            <v>20</v>
          </cell>
          <cell r="AS104">
            <v>20</v>
          </cell>
          <cell r="AT104">
            <v>20</v>
          </cell>
          <cell r="AU104">
            <v>20</v>
          </cell>
        </row>
        <row r="105">
          <cell r="A105" t="str">
            <v>SG&amp;A</v>
          </cell>
          <cell r="F105">
            <v>24.198</v>
          </cell>
          <cell r="G105">
            <v>24.198</v>
          </cell>
          <cell r="H105">
            <v>18.312000000000001</v>
          </cell>
          <cell r="I105">
            <v>20.274000000000001</v>
          </cell>
          <cell r="J105">
            <v>23</v>
          </cell>
          <cell r="K105">
            <v>26</v>
          </cell>
          <cell r="L105">
            <v>26</v>
          </cell>
          <cell r="M105">
            <v>24</v>
          </cell>
          <cell r="N105">
            <v>23</v>
          </cell>
          <cell r="O105">
            <v>22</v>
          </cell>
          <cell r="P105">
            <v>23</v>
          </cell>
          <cell r="Q105">
            <v>25</v>
          </cell>
          <cell r="R105">
            <v>21</v>
          </cell>
          <cell r="S105">
            <v>28</v>
          </cell>
          <cell r="T105">
            <v>17</v>
          </cell>
          <cell r="U105">
            <v>18</v>
          </cell>
          <cell r="V105">
            <v>29</v>
          </cell>
          <cell r="W105">
            <v>29</v>
          </cell>
          <cell r="X105">
            <v>29</v>
          </cell>
          <cell r="Y105">
            <v>29</v>
          </cell>
          <cell r="Z105">
            <v>29</v>
          </cell>
          <cell r="AA105">
            <v>29</v>
          </cell>
          <cell r="AB105">
            <v>29</v>
          </cell>
          <cell r="AC105">
            <v>29</v>
          </cell>
          <cell r="AD105">
            <v>29</v>
          </cell>
          <cell r="AE105">
            <v>29</v>
          </cell>
          <cell r="AF105">
            <v>29</v>
          </cell>
          <cell r="AG105">
            <v>29</v>
          </cell>
          <cell r="AH105">
            <v>29</v>
          </cell>
          <cell r="AI105">
            <v>29</v>
          </cell>
          <cell r="AJ105">
            <v>29</v>
          </cell>
          <cell r="AK105">
            <v>29</v>
          </cell>
          <cell r="AM105">
            <v>99</v>
          </cell>
          <cell r="AN105">
            <v>86.981999999999999</v>
          </cell>
          <cell r="AO105">
            <v>99</v>
          </cell>
          <cell r="AP105">
            <v>93</v>
          </cell>
          <cell r="AQ105">
            <v>84</v>
          </cell>
          <cell r="AR105">
            <v>116</v>
          </cell>
          <cell r="AS105">
            <v>116</v>
          </cell>
          <cell r="AT105">
            <v>116</v>
          </cell>
          <cell r="AU105">
            <v>116</v>
          </cell>
        </row>
        <row r="106">
          <cell r="A106" t="str">
            <v>R&amp;D</v>
          </cell>
          <cell r="F106">
            <v>12.802</v>
          </cell>
          <cell r="G106">
            <v>12.802</v>
          </cell>
          <cell r="H106">
            <v>9.6879999999999988</v>
          </cell>
          <cell r="I106">
            <v>10.725999999999999</v>
          </cell>
          <cell r="J106">
            <v>14</v>
          </cell>
          <cell r="K106">
            <v>12</v>
          </cell>
          <cell r="L106">
            <v>13</v>
          </cell>
          <cell r="M106">
            <v>13</v>
          </cell>
          <cell r="N106">
            <v>12</v>
          </cell>
          <cell r="O106">
            <v>14</v>
          </cell>
          <cell r="P106">
            <v>15</v>
          </cell>
          <cell r="Q106">
            <v>14</v>
          </cell>
          <cell r="R106">
            <v>15</v>
          </cell>
          <cell r="S106">
            <v>14</v>
          </cell>
          <cell r="T106">
            <v>14</v>
          </cell>
          <cell r="U106">
            <v>14</v>
          </cell>
          <cell r="V106">
            <v>14</v>
          </cell>
          <cell r="W106">
            <v>14</v>
          </cell>
          <cell r="X106">
            <v>14</v>
          </cell>
          <cell r="Y106">
            <v>14</v>
          </cell>
          <cell r="Z106">
            <v>14</v>
          </cell>
          <cell r="AA106">
            <v>14</v>
          </cell>
          <cell r="AB106">
            <v>14</v>
          </cell>
          <cell r="AC106">
            <v>14</v>
          </cell>
          <cell r="AD106">
            <v>14</v>
          </cell>
          <cell r="AE106">
            <v>14</v>
          </cell>
          <cell r="AF106">
            <v>14</v>
          </cell>
          <cell r="AG106">
            <v>14</v>
          </cell>
          <cell r="AH106">
            <v>14</v>
          </cell>
          <cell r="AI106">
            <v>14</v>
          </cell>
          <cell r="AJ106">
            <v>14</v>
          </cell>
          <cell r="AK106">
            <v>14</v>
          </cell>
          <cell r="AM106">
            <v>52</v>
          </cell>
          <cell r="AN106">
            <v>46.018000000000001</v>
          </cell>
          <cell r="AO106">
            <v>52</v>
          </cell>
          <cell r="AP106">
            <v>55</v>
          </cell>
          <cell r="AQ106">
            <v>57</v>
          </cell>
          <cell r="AR106">
            <v>56</v>
          </cell>
          <cell r="AS106">
            <v>56</v>
          </cell>
          <cell r="AT106">
            <v>56</v>
          </cell>
          <cell r="AU106">
            <v>56</v>
          </cell>
        </row>
        <row r="107">
          <cell r="A107" t="str">
            <v>Pre-Tax Stock Comp</v>
          </cell>
          <cell r="F107">
            <v>41</v>
          </cell>
          <cell r="G107">
            <v>41</v>
          </cell>
          <cell r="H107">
            <v>31</v>
          </cell>
          <cell r="I107">
            <v>35</v>
          </cell>
          <cell r="J107">
            <v>41</v>
          </cell>
          <cell r="K107">
            <v>42</v>
          </cell>
          <cell r="L107">
            <v>43</v>
          </cell>
          <cell r="M107">
            <v>40</v>
          </cell>
          <cell r="N107">
            <v>38</v>
          </cell>
          <cell r="O107">
            <v>40</v>
          </cell>
          <cell r="P107">
            <v>42</v>
          </cell>
          <cell r="Q107">
            <v>43</v>
          </cell>
          <cell r="R107">
            <v>40</v>
          </cell>
          <cell r="S107">
            <v>46</v>
          </cell>
          <cell r="T107">
            <v>34</v>
          </cell>
          <cell r="U107">
            <v>36</v>
          </cell>
          <cell r="V107">
            <v>48</v>
          </cell>
          <cell r="W107">
            <v>48</v>
          </cell>
          <cell r="X107">
            <v>48</v>
          </cell>
          <cell r="Y107">
            <v>48</v>
          </cell>
          <cell r="Z107">
            <v>48</v>
          </cell>
          <cell r="AA107">
            <v>48</v>
          </cell>
          <cell r="AB107">
            <v>48</v>
          </cell>
          <cell r="AC107">
            <v>48</v>
          </cell>
          <cell r="AD107">
            <v>48</v>
          </cell>
          <cell r="AE107">
            <v>48</v>
          </cell>
          <cell r="AF107">
            <v>48</v>
          </cell>
          <cell r="AG107">
            <v>48</v>
          </cell>
          <cell r="AH107">
            <v>48</v>
          </cell>
          <cell r="AI107">
            <v>48</v>
          </cell>
          <cell r="AJ107">
            <v>48</v>
          </cell>
          <cell r="AK107">
            <v>48</v>
          </cell>
          <cell r="AM107">
            <v>166</v>
          </cell>
          <cell r="AN107">
            <v>148</v>
          </cell>
          <cell r="AO107">
            <v>166</v>
          </cell>
          <cell r="AP107">
            <v>163</v>
          </cell>
          <cell r="AQ107">
            <v>156</v>
          </cell>
          <cell r="AR107">
            <v>192</v>
          </cell>
          <cell r="AS107">
            <v>192</v>
          </cell>
          <cell r="AT107">
            <v>192</v>
          </cell>
          <cell r="AU107">
            <v>192</v>
          </cell>
        </row>
        <row r="108">
          <cell r="A108" t="str">
            <v>Tax Impact</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N108">
            <v>0</v>
          </cell>
          <cell r="AO108">
            <v>0</v>
          </cell>
          <cell r="AP108">
            <v>0</v>
          </cell>
          <cell r="AQ108">
            <v>0</v>
          </cell>
          <cell r="AR108">
            <v>0</v>
          </cell>
          <cell r="AS108">
            <v>0</v>
          </cell>
          <cell r="AT108">
            <v>0</v>
          </cell>
          <cell r="AU108">
            <v>0</v>
          </cell>
        </row>
        <row r="109">
          <cell r="A109" t="str">
            <v>After-Tax Stock Comp</v>
          </cell>
          <cell r="F109">
            <v>41</v>
          </cell>
          <cell r="G109">
            <v>41</v>
          </cell>
          <cell r="H109">
            <v>31</v>
          </cell>
          <cell r="I109">
            <v>35</v>
          </cell>
          <cell r="J109">
            <v>41</v>
          </cell>
          <cell r="K109">
            <v>42</v>
          </cell>
          <cell r="L109">
            <v>43</v>
          </cell>
          <cell r="M109">
            <v>40</v>
          </cell>
          <cell r="N109">
            <v>38</v>
          </cell>
          <cell r="O109">
            <v>40</v>
          </cell>
          <cell r="P109">
            <v>42</v>
          </cell>
          <cell r="Q109">
            <v>43</v>
          </cell>
          <cell r="R109">
            <v>40</v>
          </cell>
          <cell r="S109">
            <v>46</v>
          </cell>
          <cell r="T109">
            <v>34</v>
          </cell>
          <cell r="U109">
            <v>36</v>
          </cell>
          <cell r="V109">
            <v>48</v>
          </cell>
          <cell r="W109">
            <v>48</v>
          </cell>
          <cell r="X109">
            <v>48</v>
          </cell>
          <cell r="Y109">
            <v>48</v>
          </cell>
          <cell r="Z109">
            <v>48</v>
          </cell>
          <cell r="AA109">
            <v>48</v>
          </cell>
          <cell r="AB109">
            <v>48</v>
          </cell>
          <cell r="AC109">
            <v>48</v>
          </cell>
          <cell r="AD109">
            <v>48</v>
          </cell>
          <cell r="AE109">
            <v>48</v>
          </cell>
          <cell r="AF109">
            <v>48</v>
          </cell>
          <cell r="AG109">
            <v>48</v>
          </cell>
          <cell r="AH109">
            <v>48</v>
          </cell>
          <cell r="AI109">
            <v>48</v>
          </cell>
          <cell r="AJ109">
            <v>48</v>
          </cell>
          <cell r="AK109">
            <v>48</v>
          </cell>
          <cell r="AM109">
            <v>166</v>
          </cell>
          <cell r="AN109">
            <v>148</v>
          </cell>
          <cell r="AO109">
            <v>166</v>
          </cell>
          <cell r="AP109">
            <v>163</v>
          </cell>
          <cell r="AQ109">
            <v>156</v>
          </cell>
          <cell r="AR109">
            <v>192</v>
          </cell>
          <cell r="AS109">
            <v>192</v>
          </cell>
          <cell r="AT109">
            <v>192</v>
          </cell>
          <cell r="AU109">
            <v>192</v>
          </cell>
        </row>
        <row r="111">
          <cell r="A111" t="str">
            <v>Amortization of Intangibles</v>
          </cell>
          <cell r="F111">
            <v>17</v>
          </cell>
          <cell r="G111">
            <v>16</v>
          </cell>
          <cell r="H111">
            <v>16</v>
          </cell>
          <cell r="I111">
            <v>15</v>
          </cell>
          <cell r="J111">
            <v>15</v>
          </cell>
          <cell r="K111">
            <v>14</v>
          </cell>
          <cell r="L111">
            <v>14</v>
          </cell>
          <cell r="M111">
            <v>14</v>
          </cell>
          <cell r="N111">
            <v>13</v>
          </cell>
          <cell r="O111">
            <v>14</v>
          </cell>
          <cell r="P111">
            <v>14</v>
          </cell>
          <cell r="Q111">
            <v>14</v>
          </cell>
          <cell r="R111">
            <v>16</v>
          </cell>
          <cell r="S111">
            <v>16</v>
          </cell>
          <cell r="T111">
            <v>15</v>
          </cell>
          <cell r="U111">
            <v>12</v>
          </cell>
          <cell r="V111">
            <v>11</v>
          </cell>
          <cell r="W111">
            <v>11</v>
          </cell>
          <cell r="X111">
            <v>11</v>
          </cell>
          <cell r="Y111">
            <v>11</v>
          </cell>
          <cell r="Z111">
            <v>11</v>
          </cell>
          <cell r="AA111">
            <v>11</v>
          </cell>
          <cell r="AB111">
            <v>11</v>
          </cell>
          <cell r="AC111">
            <v>11</v>
          </cell>
          <cell r="AD111">
            <v>11</v>
          </cell>
          <cell r="AE111">
            <v>11</v>
          </cell>
          <cell r="AF111">
            <v>11</v>
          </cell>
          <cell r="AG111">
            <v>11</v>
          </cell>
          <cell r="AH111">
            <v>11</v>
          </cell>
          <cell r="AI111">
            <v>11</v>
          </cell>
          <cell r="AJ111">
            <v>11</v>
          </cell>
          <cell r="AK111">
            <v>11</v>
          </cell>
          <cell r="AM111">
            <v>88</v>
          </cell>
          <cell r="AN111">
            <v>64</v>
          </cell>
          <cell r="AO111">
            <v>57</v>
          </cell>
          <cell r="AP111">
            <v>55</v>
          </cell>
          <cell r="AQ111">
            <v>59</v>
          </cell>
          <cell r="AR111">
            <v>44</v>
          </cell>
          <cell r="AS111">
            <v>44</v>
          </cell>
          <cell r="AT111">
            <v>44</v>
          </cell>
          <cell r="AU111">
            <v>44</v>
          </cell>
        </row>
        <row r="112">
          <cell r="A112" t="str">
            <v>Tax Impact</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O112">
            <v>0</v>
          </cell>
          <cell r="AP112">
            <v>0</v>
          </cell>
          <cell r="AQ112">
            <v>0</v>
          </cell>
          <cell r="AR112">
            <v>0</v>
          </cell>
          <cell r="AS112">
            <v>0</v>
          </cell>
          <cell r="AT112">
            <v>0</v>
          </cell>
          <cell r="AU112">
            <v>0</v>
          </cell>
        </row>
        <row r="113">
          <cell r="A113" t="str">
            <v>After-Tax Amortization of Intangibles</v>
          </cell>
          <cell r="F113">
            <v>17</v>
          </cell>
          <cell r="G113">
            <v>16</v>
          </cell>
          <cell r="H113">
            <v>16</v>
          </cell>
          <cell r="I113">
            <v>15</v>
          </cell>
          <cell r="J113">
            <v>15</v>
          </cell>
          <cell r="K113">
            <v>14</v>
          </cell>
          <cell r="L113">
            <v>14</v>
          </cell>
          <cell r="M113">
            <v>14</v>
          </cell>
          <cell r="N113">
            <v>13</v>
          </cell>
          <cell r="O113">
            <v>14</v>
          </cell>
          <cell r="P113">
            <v>14</v>
          </cell>
          <cell r="Q113">
            <v>14</v>
          </cell>
          <cell r="R113">
            <v>16</v>
          </cell>
          <cell r="S113">
            <v>16</v>
          </cell>
          <cell r="T113">
            <v>15</v>
          </cell>
          <cell r="U113">
            <v>12</v>
          </cell>
          <cell r="V113">
            <v>11</v>
          </cell>
          <cell r="W113">
            <v>11</v>
          </cell>
          <cell r="X113">
            <v>11</v>
          </cell>
          <cell r="Y113">
            <v>11</v>
          </cell>
          <cell r="Z113">
            <v>11</v>
          </cell>
          <cell r="AA113">
            <v>11</v>
          </cell>
          <cell r="AB113">
            <v>11</v>
          </cell>
          <cell r="AC113">
            <v>11</v>
          </cell>
          <cell r="AD113">
            <v>11</v>
          </cell>
          <cell r="AE113">
            <v>11</v>
          </cell>
          <cell r="AF113">
            <v>11</v>
          </cell>
          <cell r="AG113">
            <v>11</v>
          </cell>
          <cell r="AH113">
            <v>11</v>
          </cell>
          <cell r="AI113">
            <v>11</v>
          </cell>
          <cell r="AJ113">
            <v>11</v>
          </cell>
          <cell r="AK113">
            <v>11</v>
          </cell>
          <cell r="AM113">
            <v>88</v>
          </cell>
          <cell r="AN113">
            <v>64</v>
          </cell>
          <cell r="AO113">
            <v>57</v>
          </cell>
          <cell r="AP113">
            <v>55</v>
          </cell>
          <cell r="AQ113">
            <v>59</v>
          </cell>
          <cell r="AR113">
            <v>44</v>
          </cell>
          <cell r="AS113">
            <v>44</v>
          </cell>
          <cell r="AT113">
            <v>44</v>
          </cell>
          <cell r="AU113">
            <v>44</v>
          </cell>
        </row>
        <row r="115">
          <cell r="A115" t="str">
            <v>Costs as a % of Operating expense</v>
          </cell>
        </row>
        <row r="116">
          <cell r="A116" t="str">
            <v>Selling, G&amp;A</v>
          </cell>
          <cell r="J116">
            <v>0.45977011494252873</v>
          </cell>
          <cell r="K116">
            <v>0.47383309759547382</v>
          </cell>
          <cell r="L116">
            <v>0.45671641791044776</v>
          </cell>
          <cell r="M116">
            <v>0.50391644908616184</v>
          </cell>
          <cell r="N116">
            <v>0.49502133712660029</v>
          </cell>
          <cell r="O116">
            <v>0.50346740638002774</v>
          </cell>
          <cell r="P116">
            <v>0.50277777777777777</v>
          </cell>
          <cell r="Q116">
            <v>0.54685494223363285</v>
          </cell>
          <cell r="R116">
            <v>0.53585926928281458</v>
          </cell>
          <cell r="S116">
            <v>0.52904820766378247</v>
          </cell>
          <cell r="T116">
            <v>0.51847133757961783</v>
          </cell>
          <cell r="U116">
            <v>0.53634085213032578</v>
          </cell>
          <cell r="V116">
            <v>0.53784860557768921</v>
          </cell>
          <cell r="W116">
            <v>0.52904820766378247</v>
          </cell>
          <cell r="X116">
            <v>0.51847133757961783</v>
          </cell>
          <cell r="Y116">
            <v>0.53634085213032578</v>
          </cell>
          <cell r="Z116">
            <v>0.53784860557768921</v>
          </cell>
          <cell r="AA116">
            <v>0.52904820766378247</v>
          </cell>
          <cell r="AB116">
            <v>0.51847133757961783</v>
          </cell>
          <cell r="AC116">
            <v>0.53634085213032578</v>
          </cell>
          <cell r="AD116">
            <v>0.53784860557768921</v>
          </cell>
          <cell r="AE116">
            <v>0.52904820766378247</v>
          </cell>
          <cell r="AF116">
            <v>0.51847133757961783</v>
          </cell>
          <cell r="AG116">
            <v>0.53634085213032578</v>
          </cell>
          <cell r="AH116">
            <v>0.53784860557768921</v>
          </cell>
          <cell r="AI116">
            <v>0.52904820766378247</v>
          </cell>
          <cell r="AJ116">
            <v>0.51847133757961783</v>
          </cell>
          <cell r="AK116">
            <v>0.53634085213032578</v>
          </cell>
        </row>
        <row r="117">
          <cell r="A117" t="str">
            <v>R &amp; D expense</v>
          </cell>
          <cell r="J117">
            <v>0.54022988505747127</v>
          </cell>
          <cell r="K117">
            <v>0.52616690240452613</v>
          </cell>
          <cell r="L117">
            <v>0.54328358208955219</v>
          </cell>
          <cell r="M117">
            <v>0.4960835509138381</v>
          </cell>
          <cell r="N117">
            <v>0.50497866287339976</v>
          </cell>
          <cell r="O117">
            <v>0.49653259361997226</v>
          </cell>
          <cell r="P117">
            <v>0.49722222222222223</v>
          </cell>
          <cell r="Q117">
            <v>0.45314505776636715</v>
          </cell>
          <cell r="R117">
            <v>0.46278755074424899</v>
          </cell>
          <cell r="S117">
            <v>0.47095179233621753</v>
          </cell>
          <cell r="T117">
            <v>0.48152866242038217</v>
          </cell>
          <cell r="U117">
            <v>0.46365914786967416</v>
          </cell>
          <cell r="V117">
            <v>0.46215139442231074</v>
          </cell>
          <cell r="W117">
            <v>0.47095179233621753</v>
          </cell>
          <cell r="X117">
            <v>0.48152866242038217</v>
          </cell>
          <cell r="Y117">
            <v>0.46365914786967416</v>
          </cell>
          <cell r="Z117">
            <v>0.46215139442231074</v>
          </cell>
          <cell r="AA117">
            <v>0.47095179233621753</v>
          </cell>
          <cell r="AB117">
            <v>0.48152866242038217</v>
          </cell>
          <cell r="AC117">
            <v>0.46365914786967416</v>
          </cell>
          <cell r="AD117">
            <v>0.46215139442231074</v>
          </cell>
          <cell r="AE117">
            <v>0.47095179233621753</v>
          </cell>
          <cell r="AF117">
            <v>0.48152866242038217</v>
          </cell>
          <cell r="AG117">
            <v>0.46365914786967416</v>
          </cell>
          <cell r="AH117">
            <v>0.46215139442231074</v>
          </cell>
          <cell r="AI117">
            <v>0.47095179233621753</v>
          </cell>
          <cell r="AJ117">
            <v>0.48152866242038217</v>
          </cell>
          <cell r="AK117">
            <v>0.46365914786967416</v>
          </cell>
        </row>
        <row r="118">
          <cell r="A118" t="str">
            <v>Amort of Intang &amp; IPR&amp;D</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row>
        <row r="119">
          <cell r="A119" t="str">
            <v>Other</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row>
        <row r="120">
          <cell r="A120" t="str">
            <v>Total operating expense</v>
          </cell>
          <cell r="J120">
            <v>1</v>
          </cell>
          <cell r="K120">
            <v>1</v>
          </cell>
          <cell r="L120">
            <v>1</v>
          </cell>
          <cell r="M120">
            <v>1</v>
          </cell>
          <cell r="N120">
            <v>1</v>
          </cell>
          <cell r="O120">
            <v>1</v>
          </cell>
          <cell r="P120">
            <v>1</v>
          </cell>
          <cell r="Q120">
            <v>1</v>
          </cell>
          <cell r="R120">
            <v>1</v>
          </cell>
          <cell r="S120">
            <v>1</v>
          </cell>
          <cell r="T120">
            <v>1</v>
          </cell>
          <cell r="U120">
            <v>1</v>
          </cell>
          <cell r="V120">
            <v>1</v>
          </cell>
          <cell r="W120">
            <v>1</v>
          </cell>
          <cell r="X120">
            <v>1</v>
          </cell>
          <cell r="Y120">
            <v>1</v>
          </cell>
          <cell r="Z120">
            <v>1</v>
          </cell>
          <cell r="AA120">
            <v>1</v>
          </cell>
          <cell r="AB120">
            <v>1</v>
          </cell>
          <cell r="AC120">
            <v>1</v>
          </cell>
          <cell r="AD120">
            <v>1</v>
          </cell>
          <cell r="AE120">
            <v>1</v>
          </cell>
          <cell r="AF120">
            <v>1</v>
          </cell>
          <cell r="AG120">
            <v>1</v>
          </cell>
          <cell r="AH120">
            <v>1</v>
          </cell>
          <cell r="AI120">
            <v>1</v>
          </cell>
          <cell r="AJ120">
            <v>1</v>
          </cell>
          <cell r="AK120">
            <v>1</v>
          </cell>
        </row>
        <row r="122">
          <cell r="A122" t="str">
            <v>Other items</v>
          </cell>
        </row>
        <row r="123">
          <cell r="A123" t="str">
            <v>Employees</v>
          </cell>
        </row>
        <row r="124">
          <cell r="A124" t="str">
            <v>Revenue per employee</v>
          </cell>
        </row>
        <row r="126">
          <cell r="A126" t="str">
            <v>Street Estimates</v>
          </cell>
        </row>
        <row r="127">
          <cell r="A127">
            <v>40742</v>
          </cell>
        </row>
        <row r="128">
          <cell r="A128" t="str">
            <v>Revenue</v>
          </cell>
          <cell r="S128">
            <v>3125.97</v>
          </cell>
          <cell r="T128">
            <v>3370.15</v>
          </cell>
          <cell r="U128">
            <v>3850.71</v>
          </cell>
          <cell r="V128">
            <v>3346.31</v>
          </cell>
          <cell r="W128">
            <v>3529.92</v>
          </cell>
          <cell r="X128">
            <v>3770.51</v>
          </cell>
          <cell r="Y128">
            <v>4263.2299999999996</v>
          </cell>
          <cell r="Z128">
            <v>3857</v>
          </cell>
          <cell r="AA128">
            <v>3973.8</v>
          </cell>
          <cell r="AB128">
            <v>4136.3999999999996</v>
          </cell>
          <cell r="AC128">
            <v>4729.6899999999996</v>
          </cell>
          <cell r="AQ128">
            <v>13363.04</v>
          </cell>
          <cell r="AR128">
            <v>14971.63</v>
          </cell>
          <cell r="AS128">
            <v>16216.62</v>
          </cell>
        </row>
        <row r="129">
          <cell r="A129" t="str">
            <v>EPS</v>
          </cell>
          <cell r="S129">
            <v>0.06</v>
          </cell>
          <cell r="T129">
            <v>0.25</v>
          </cell>
          <cell r="U129">
            <v>0.49</v>
          </cell>
          <cell r="V129">
            <v>0.21</v>
          </cell>
          <cell r="W129">
            <v>0.28999999999999998</v>
          </cell>
          <cell r="X129">
            <v>0.4</v>
          </cell>
          <cell r="Y129">
            <v>0.61</v>
          </cell>
          <cell r="Z129">
            <v>0.51</v>
          </cell>
          <cell r="AA129">
            <v>0.64</v>
          </cell>
          <cell r="AB129">
            <v>0.72</v>
          </cell>
          <cell r="AC129">
            <v>0.96</v>
          </cell>
          <cell r="AQ129">
            <v>0.75</v>
          </cell>
          <cell r="AR129">
            <v>1.6</v>
          </cell>
          <cell r="AS129">
            <v>2.34</v>
          </cell>
        </row>
        <row r="131">
          <cell r="A131">
            <v>40667</v>
          </cell>
        </row>
        <row r="132">
          <cell r="A132" t="str">
            <v>Revenue</v>
          </cell>
          <cell r="S132">
            <v>3121.49</v>
          </cell>
          <cell r="T132">
            <v>3889.04</v>
          </cell>
          <cell r="U132">
            <v>3873.43</v>
          </cell>
          <cell r="V132">
            <v>3339.2</v>
          </cell>
          <cell r="W132">
            <v>3524.29</v>
          </cell>
          <cell r="X132">
            <v>3769.28</v>
          </cell>
          <cell r="Y132">
            <v>4209.04</v>
          </cell>
          <cell r="AQ132">
            <v>13416.2</v>
          </cell>
          <cell r="AR132">
            <v>15111.76</v>
          </cell>
        </row>
        <row r="133">
          <cell r="A133" t="str">
            <v>EPS</v>
          </cell>
          <cell r="S133">
            <v>7.0000000000000007E-2</v>
          </cell>
          <cell r="T133">
            <v>0.28000000000000003</v>
          </cell>
          <cell r="U133">
            <v>0.52</v>
          </cell>
          <cell r="V133">
            <v>0.21</v>
          </cell>
          <cell r="W133">
            <v>0.28999999999999998</v>
          </cell>
          <cell r="X133">
            <v>0.4</v>
          </cell>
          <cell r="Y133">
            <v>0.61</v>
          </cell>
          <cell r="AQ133">
            <v>0.81</v>
          </cell>
          <cell r="AR133">
            <v>1.69</v>
          </cell>
        </row>
        <row r="135">
          <cell r="A135">
            <v>40561</v>
          </cell>
        </row>
        <row r="136">
          <cell r="A136" t="str">
            <v>Revenue</v>
          </cell>
          <cell r="Q136">
            <v>3415</v>
          </cell>
          <cell r="R136">
            <v>2840</v>
          </cell>
          <cell r="S136">
            <v>3152</v>
          </cell>
          <cell r="T136">
            <v>3437</v>
          </cell>
          <cell r="U136">
            <v>3991</v>
          </cell>
          <cell r="V136">
            <v>3432.5</v>
          </cell>
          <cell r="W136">
            <v>3649.6</v>
          </cell>
          <cell r="X136">
            <v>3893</v>
          </cell>
          <cell r="Y136">
            <v>4416</v>
          </cell>
          <cell r="AP136">
            <v>11459</v>
          </cell>
          <cell r="AQ136">
            <v>13321</v>
          </cell>
          <cell r="AR136">
            <v>15097</v>
          </cell>
        </row>
        <row r="137">
          <cell r="A137" t="str">
            <v>EPS</v>
          </cell>
          <cell r="Q137">
            <v>0.36</v>
          </cell>
          <cell r="R137">
            <v>0</v>
          </cell>
          <cell r="S137">
            <v>0.19</v>
          </cell>
          <cell r="T137">
            <v>0.34</v>
          </cell>
          <cell r="U137">
            <v>0.59</v>
          </cell>
          <cell r="V137">
            <v>0.25</v>
          </cell>
          <cell r="W137">
            <v>0.37</v>
          </cell>
          <cell r="X137">
            <v>0.5</v>
          </cell>
          <cell r="Y137">
            <v>0.76</v>
          </cell>
          <cell r="AP137">
            <v>-0.27</v>
          </cell>
          <cell r="AQ137">
            <v>1.1399999999999999</v>
          </cell>
          <cell r="AR137">
            <v>2.0299999999999998</v>
          </cell>
        </row>
        <row r="140">
          <cell r="A140" t="str">
            <v>Period end shares</v>
          </cell>
          <cell r="J140">
            <v>294</v>
          </cell>
          <cell r="K140">
            <v>294</v>
          </cell>
          <cell r="L140">
            <v>294</v>
          </cell>
          <cell r="M140">
            <v>294</v>
          </cell>
          <cell r="N140">
            <v>294</v>
          </cell>
          <cell r="O140">
            <v>294</v>
          </cell>
          <cell r="P140">
            <v>294</v>
          </cell>
          <cell r="Q140">
            <v>294.3</v>
          </cell>
          <cell r="R140">
            <v>294.7</v>
          </cell>
          <cell r="S140">
            <v>295.8</v>
          </cell>
          <cell r="T140">
            <v>297.7</v>
          </cell>
          <cell r="U140">
            <v>300.2</v>
          </cell>
          <cell r="V140">
            <v>302.39999999999998</v>
          </cell>
          <cell r="W140">
            <v>302.70239999999995</v>
          </cell>
          <cell r="X140">
            <v>303.00510239999994</v>
          </cell>
          <cell r="Y140">
            <v>303.30810750239993</v>
          </cell>
          <cell r="Z140">
            <v>303.61141560990228</v>
          </cell>
          <cell r="AA140">
            <v>303.91502702551213</v>
          </cell>
          <cell r="AB140">
            <v>304.21894205253761</v>
          </cell>
          <cell r="AC140">
            <v>304.52316099459011</v>
          </cell>
          <cell r="AD140">
            <v>304.82768415558468</v>
          </cell>
          <cell r="AE140">
            <v>305.13251183974023</v>
          </cell>
          <cell r="AF140">
            <v>305.43764435157993</v>
          </cell>
          <cell r="AG140">
            <v>305.7430819959315</v>
          </cell>
          <cell r="AH140">
            <v>306.0488250779274</v>
          </cell>
          <cell r="AI140">
            <v>306.35487390300528</v>
          </cell>
          <cell r="AJ140">
            <v>306.66122877690827</v>
          </cell>
          <cell r="AK140">
            <v>306.96789000568515</v>
          </cell>
          <cell r="AN140">
            <v>283.10312499999998</v>
          </cell>
          <cell r="AO140">
            <v>294</v>
          </cell>
          <cell r="AP140">
            <v>294.07499999999999</v>
          </cell>
          <cell r="AQ140">
            <v>297.10000000000002</v>
          </cell>
          <cell r="AR140">
            <v>302.85390247559997</v>
          </cell>
          <cell r="AS140">
            <v>304.06713642063556</v>
          </cell>
          <cell r="AT140">
            <v>305.28523058570909</v>
          </cell>
          <cell r="AU140">
            <v>306.50820444088151</v>
          </cell>
        </row>
        <row r="141">
          <cell r="A141" t="str">
            <v>Net income</v>
          </cell>
          <cell r="J141">
            <v>-611</v>
          </cell>
          <cell r="K141">
            <v>-270</v>
          </cell>
          <cell r="L141">
            <v>-251</v>
          </cell>
          <cell r="M141">
            <v>-203</v>
          </cell>
          <cell r="N141">
            <v>-211</v>
          </cell>
          <cell r="O141">
            <v>77</v>
          </cell>
          <cell r="P141">
            <v>-35</v>
          </cell>
          <cell r="Q141">
            <v>78</v>
          </cell>
          <cell r="R141">
            <v>-81</v>
          </cell>
          <cell r="S141">
            <v>-56</v>
          </cell>
          <cell r="T141">
            <v>-32</v>
          </cell>
          <cell r="U141">
            <v>-82</v>
          </cell>
          <cell r="V141">
            <v>-86</v>
          </cell>
          <cell r="W141">
            <v>-42.32440520975473</v>
          </cell>
          <cell r="X141">
            <v>-46.903999999999996</v>
          </cell>
          <cell r="Y141">
            <v>-21.378539747069404</v>
          </cell>
          <cell r="Z141">
            <v>-75.328034135734811</v>
          </cell>
          <cell r="AA141">
            <v>-54.416076580211588</v>
          </cell>
          <cell r="AB141">
            <v>-43.767497633442012</v>
          </cell>
          <cell r="AC141">
            <v>-0.60134558888007916</v>
          </cell>
          <cell r="AD141">
            <v>-64.797254431791146</v>
          </cell>
          <cell r="AE141">
            <v>-45.689484101303904</v>
          </cell>
          <cell r="AF141">
            <v>-45.934355438120726</v>
          </cell>
          <cell r="AG141">
            <v>-25.845125783525276</v>
          </cell>
          <cell r="AH141">
            <v>-56.296158453570797</v>
          </cell>
          <cell r="AI141">
            <v>-42.773043499693017</v>
          </cell>
          <cell r="AJ141">
            <v>-45.507509691323833</v>
          </cell>
          <cell r="AK141">
            <v>-26.624890408075061</v>
          </cell>
          <cell r="AN141">
            <v>-2962.3119999999999</v>
          </cell>
          <cell r="AO141">
            <v>-1376</v>
          </cell>
          <cell r="AP141">
            <v>-94</v>
          </cell>
          <cell r="AQ141">
            <v>-251</v>
          </cell>
          <cell r="AR141">
            <v>-196.60694495682543</v>
          </cell>
          <cell r="AS141">
            <v>-174.1129539382685</v>
          </cell>
          <cell r="AT141">
            <v>-182.26621975474094</v>
          </cell>
          <cell r="AU141">
            <v>-171.20160205266222</v>
          </cell>
        </row>
        <row r="149">
          <cell r="A149" t="str">
            <v>Motorola Mobility Segment Build</v>
          </cell>
          <cell r="B149">
            <v>39172</v>
          </cell>
          <cell r="C149">
            <v>39262</v>
          </cell>
          <cell r="D149">
            <v>39352</v>
          </cell>
          <cell r="E149">
            <v>39442</v>
          </cell>
          <cell r="F149">
            <v>39532</v>
          </cell>
          <cell r="G149">
            <v>39622</v>
          </cell>
          <cell r="H149">
            <v>39712</v>
          </cell>
          <cell r="I149">
            <v>39802</v>
          </cell>
          <cell r="J149">
            <v>39892</v>
          </cell>
          <cell r="K149">
            <v>39982</v>
          </cell>
          <cell r="L149">
            <v>40072</v>
          </cell>
          <cell r="M149">
            <v>40162</v>
          </cell>
          <cell r="N149">
            <v>40252</v>
          </cell>
          <cell r="O149">
            <v>40342</v>
          </cell>
          <cell r="P149">
            <v>40432</v>
          </cell>
          <cell r="Q149">
            <v>40522</v>
          </cell>
          <cell r="R149">
            <v>40612</v>
          </cell>
          <cell r="S149">
            <v>40702</v>
          </cell>
          <cell r="T149">
            <v>40792</v>
          </cell>
          <cell r="U149">
            <v>40882</v>
          </cell>
          <cell r="V149">
            <v>40972</v>
          </cell>
          <cell r="W149">
            <v>41062</v>
          </cell>
          <cell r="X149">
            <v>41153</v>
          </cell>
          <cell r="Y149">
            <v>41244</v>
          </cell>
          <cell r="Z149">
            <v>41337</v>
          </cell>
          <cell r="AA149">
            <v>41427</v>
          </cell>
          <cell r="AB149">
            <v>41518</v>
          </cell>
          <cell r="AC149">
            <v>41609</v>
          </cell>
          <cell r="AD149">
            <v>41702</v>
          </cell>
          <cell r="AE149">
            <v>41792</v>
          </cell>
          <cell r="AF149">
            <v>41883</v>
          </cell>
          <cell r="AG149">
            <v>41974</v>
          </cell>
          <cell r="AH149">
            <v>42067</v>
          </cell>
          <cell r="AI149">
            <v>42157</v>
          </cell>
          <cell r="AJ149">
            <v>42248</v>
          </cell>
          <cell r="AK149">
            <v>42339</v>
          </cell>
          <cell r="AM149" t="str">
            <v>2007A</v>
          </cell>
          <cell r="AN149" t="str">
            <v>2008A</v>
          </cell>
          <cell r="AO149" t="str">
            <v>2009A</v>
          </cell>
          <cell r="AP149" t="str">
            <v>2010A</v>
          </cell>
          <cell r="AQ149" t="str">
            <v>2011E</v>
          </cell>
          <cell r="AR149" t="str">
            <v>2012E</v>
          </cell>
          <cell r="AS149" t="str">
            <v>2013E</v>
          </cell>
          <cell r="AT149" t="str">
            <v>2014E</v>
          </cell>
          <cell r="AU149" t="str">
            <v>2015E</v>
          </cell>
        </row>
        <row r="150">
          <cell r="B150" t="str">
            <v>Q1-07A</v>
          </cell>
          <cell r="C150" t="str">
            <v>Q2-07A</v>
          </cell>
          <cell r="D150" t="str">
            <v>Q3-07A</v>
          </cell>
          <cell r="E150" t="str">
            <v>Q4-07A</v>
          </cell>
          <cell r="F150" t="str">
            <v>Q1-08A</v>
          </cell>
          <cell r="G150" t="str">
            <v>Q2-08A</v>
          </cell>
          <cell r="H150" t="str">
            <v>Q3-08A</v>
          </cell>
          <cell r="I150" t="str">
            <v>Q4-08A</v>
          </cell>
          <cell r="J150" t="str">
            <v>Q1-09A</v>
          </cell>
          <cell r="K150" t="str">
            <v>Q2-09A</v>
          </cell>
          <cell r="L150" t="str">
            <v>Q3-09A</v>
          </cell>
          <cell r="M150" t="str">
            <v>Q4-09A</v>
          </cell>
          <cell r="N150" t="str">
            <v>Q1-10A</v>
          </cell>
          <cell r="O150" t="str">
            <v>Q2-10A</v>
          </cell>
          <cell r="P150" t="str">
            <v>Q3-10A</v>
          </cell>
          <cell r="Q150" t="str">
            <v>Q4-10A</v>
          </cell>
          <cell r="R150" t="str">
            <v>Q1-11</v>
          </cell>
          <cell r="S150" t="str">
            <v>Q2-11</v>
          </cell>
          <cell r="T150" t="str">
            <v>Q3-11</v>
          </cell>
          <cell r="U150" t="str">
            <v>Q4-11</v>
          </cell>
          <cell r="V150" t="str">
            <v>Q1-12</v>
          </cell>
          <cell r="W150" t="str">
            <v>Q2-12</v>
          </cell>
          <cell r="X150" t="str">
            <v>Q3-12</v>
          </cell>
          <cell r="Y150" t="str">
            <v>Q4-12E</v>
          </cell>
          <cell r="Z150" t="str">
            <v>Q1-13E</v>
          </cell>
          <cell r="AA150" t="str">
            <v>Q2-13E</v>
          </cell>
          <cell r="AB150" t="str">
            <v>Q3-13E</v>
          </cell>
          <cell r="AC150" t="str">
            <v>Q4-13E</v>
          </cell>
          <cell r="AD150" t="str">
            <v>Q1-14E</v>
          </cell>
          <cell r="AE150" t="str">
            <v>Q2-14E</v>
          </cell>
          <cell r="AF150" t="str">
            <v>Q3-14E</v>
          </cell>
          <cell r="AG150" t="str">
            <v>Q4-14E</v>
          </cell>
          <cell r="AH150" t="str">
            <v>Q1-15E</v>
          </cell>
          <cell r="AI150" t="str">
            <v>Q2-15E</v>
          </cell>
          <cell r="AJ150" t="str">
            <v>Q3-15E</v>
          </cell>
          <cell r="AK150" t="str">
            <v>Q4-15E</v>
          </cell>
        </row>
        <row r="151">
          <cell r="A151" t="str">
            <v>Product Revenue Breakdown</v>
          </cell>
        </row>
        <row r="152">
          <cell r="A152" t="str">
            <v>Mobile Devices</v>
          </cell>
          <cell r="B152">
            <v>5408</v>
          </cell>
          <cell r="C152">
            <v>4273</v>
          </cell>
          <cell r="D152">
            <v>4496</v>
          </cell>
          <cell r="E152">
            <v>4811</v>
          </cell>
          <cell r="F152">
            <v>3299</v>
          </cell>
          <cell r="G152">
            <v>3334</v>
          </cell>
          <cell r="H152">
            <v>3116</v>
          </cell>
          <cell r="I152">
            <v>2350</v>
          </cell>
          <cell r="J152">
            <v>1801</v>
          </cell>
          <cell r="K152">
            <v>1829</v>
          </cell>
          <cell r="L152">
            <v>1692</v>
          </cell>
          <cell r="M152">
            <v>1824</v>
          </cell>
          <cell r="N152">
            <v>1642</v>
          </cell>
          <cell r="O152">
            <v>1723</v>
          </cell>
          <cell r="P152">
            <v>2034</v>
          </cell>
          <cell r="Q152">
            <v>2420</v>
          </cell>
          <cell r="R152">
            <v>2128</v>
          </cell>
          <cell r="S152">
            <v>2430</v>
          </cell>
          <cell r="T152">
            <v>2434</v>
          </cell>
          <cell r="U152">
            <v>2539</v>
          </cell>
          <cell r="V152">
            <v>2194</v>
          </cell>
          <cell r="W152">
            <v>1912.3088691288415</v>
          </cell>
          <cell r="X152">
            <v>1778</v>
          </cell>
          <cell r="Y152">
            <v>1597.011356305545</v>
          </cell>
          <cell r="Z152">
            <v>1701.1152610209942</v>
          </cell>
          <cell r="AA152">
            <v>1839.3845990576949</v>
          </cell>
          <cell r="AB152">
            <v>1998.4641166744295</v>
          </cell>
          <cell r="AC152">
            <v>2169.6649158742753</v>
          </cell>
          <cell r="AD152">
            <v>1400.2358409083186</v>
          </cell>
          <cell r="AE152">
            <v>1423.8325762525672</v>
          </cell>
          <cell r="AF152">
            <v>1435.4931161009874</v>
          </cell>
          <cell r="AG152">
            <v>1436.5893976464683</v>
          </cell>
          <cell r="AH152">
            <v>1157.3473843877371</v>
          </cell>
          <cell r="AI152">
            <v>1284.9544523663344</v>
          </cell>
          <cell r="AJ152">
            <v>1415.1671281582783</v>
          </cell>
          <cell r="AK152">
            <v>1547.9843440107234</v>
          </cell>
          <cell r="AM152">
            <v>19142</v>
          </cell>
          <cell r="AN152">
            <v>12187</v>
          </cell>
          <cell r="AO152">
            <v>7146</v>
          </cell>
          <cell r="AP152">
            <v>7819</v>
          </cell>
          <cell r="AQ152">
            <v>9531</v>
          </cell>
          <cell r="AR152">
            <v>7481.320225434386</v>
          </cell>
          <cell r="AS152">
            <v>7708.6288926273937</v>
          </cell>
          <cell r="AT152">
            <v>5696.1509309083413</v>
          </cell>
          <cell r="AU152">
            <v>5405.4533089230736</v>
          </cell>
        </row>
        <row r="153">
          <cell r="A153" t="str">
            <v>Home</v>
          </cell>
          <cell r="B153">
            <v>1036</v>
          </cell>
          <cell r="C153">
            <v>1124</v>
          </cell>
          <cell r="D153">
            <v>956</v>
          </cell>
          <cell r="E153">
            <v>1115</v>
          </cell>
          <cell r="F153">
            <v>1162</v>
          </cell>
          <cell r="G153">
            <v>1376</v>
          </cell>
          <cell r="H153">
            <v>1138</v>
          </cell>
          <cell r="I153">
            <v>1236</v>
          </cell>
          <cell r="J153">
            <v>1025</v>
          </cell>
          <cell r="K153">
            <v>1013</v>
          </cell>
          <cell r="L153">
            <v>867</v>
          </cell>
          <cell r="M153">
            <v>999</v>
          </cell>
          <cell r="N153">
            <v>838</v>
          </cell>
          <cell r="O153">
            <v>886</v>
          </cell>
          <cell r="P153">
            <v>912</v>
          </cell>
          <cell r="Q153">
            <v>1005</v>
          </cell>
          <cell r="R153">
            <v>904</v>
          </cell>
          <cell r="S153">
            <v>907</v>
          </cell>
          <cell r="T153">
            <v>825</v>
          </cell>
          <cell r="U153">
            <v>897</v>
          </cell>
          <cell r="V153">
            <v>884</v>
          </cell>
          <cell r="W153">
            <v>907</v>
          </cell>
          <cell r="X153">
            <v>797</v>
          </cell>
          <cell r="Y153">
            <v>797</v>
          </cell>
          <cell r="Z153">
            <v>797</v>
          </cell>
          <cell r="AA153">
            <v>797</v>
          </cell>
          <cell r="AB153">
            <v>797</v>
          </cell>
          <cell r="AC153">
            <v>797</v>
          </cell>
          <cell r="AD153">
            <v>797</v>
          </cell>
          <cell r="AE153">
            <v>797</v>
          </cell>
          <cell r="AF153">
            <v>797</v>
          </cell>
          <cell r="AG153">
            <v>797</v>
          </cell>
          <cell r="AH153">
            <v>797</v>
          </cell>
          <cell r="AI153">
            <v>797</v>
          </cell>
          <cell r="AJ153">
            <v>797</v>
          </cell>
          <cell r="AK153">
            <v>797</v>
          </cell>
          <cell r="AM153">
            <v>4231</v>
          </cell>
          <cell r="AN153">
            <v>4912</v>
          </cell>
          <cell r="AO153">
            <v>3904</v>
          </cell>
          <cell r="AP153">
            <v>3641</v>
          </cell>
          <cell r="AQ153">
            <v>3533</v>
          </cell>
          <cell r="AR153">
            <v>3385</v>
          </cell>
          <cell r="AS153">
            <v>3188</v>
          </cell>
          <cell r="AT153">
            <v>3188</v>
          </cell>
          <cell r="AU153">
            <v>3188</v>
          </cell>
        </row>
        <row r="154">
          <cell r="A154" t="str">
            <v>Total Motorola Mobility</v>
          </cell>
          <cell r="B154">
            <v>6444</v>
          </cell>
          <cell r="C154">
            <v>5397</v>
          </cell>
          <cell r="D154">
            <v>5452</v>
          </cell>
          <cell r="E154">
            <v>5926</v>
          </cell>
          <cell r="F154">
            <v>4461</v>
          </cell>
          <cell r="G154">
            <v>4710</v>
          </cell>
          <cell r="H154">
            <v>4254</v>
          </cell>
          <cell r="I154">
            <v>3586</v>
          </cell>
          <cell r="J154">
            <v>2826</v>
          </cell>
          <cell r="K154">
            <v>2842</v>
          </cell>
          <cell r="L154">
            <v>2559</v>
          </cell>
          <cell r="M154">
            <v>2823</v>
          </cell>
          <cell r="N154">
            <v>2480</v>
          </cell>
          <cell r="O154">
            <v>2609</v>
          </cell>
          <cell r="P154">
            <v>2946</v>
          </cell>
          <cell r="Q154">
            <v>3425</v>
          </cell>
          <cell r="R154">
            <v>3032</v>
          </cell>
          <cell r="S154">
            <v>3337</v>
          </cell>
          <cell r="T154">
            <v>3259</v>
          </cell>
          <cell r="U154">
            <v>3436</v>
          </cell>
          <cell r="V154">
            <v>3078</v>
          </cell>
          <cell r="W154">
            <v>2819.3088691288413</v>
          </cell>
          <cell r="X154">
            <v>2575</v>
          </cell>
          <cell r="Y154">
            <v>2394.0113563055447</v>
          </cell>
          <cell r="Z154">
            <v>2498.1152610209942</v>
          </cell>
          <cell r="AA154">
            <v>2636.3845990576947</v>
          </cell>
          <cell r="AB154">
            <v>2795.4641166744295</v>
          </cell>
          <cell r="AC154">
            <v>2966.6649158742753</v>
          </cell>
          <cell r="AD154">
            <v>2197.2358409083186</v>
          </cell>
          <cell r="AE154">
            <v>2220.8325762525674</v>
          </cell>
          <cell r="AF154">
            <v>2232.4931161009872</v>
          </cell>
          <cell r="AG154">
            <v>2233.5893976464686</v>
          </cell>
          <cell r="AH154">
            <v>1954.3473843877371</v>
          </cell>
          <cell r="AI154">
            <v>2081.9544523663344</v>
          </cell>
          <cell r="AJ154">
            <v>2212.1671281582785</v>
          </cell>
          <cell r="AK154">
            <v>2344.9843440107234</v>
          </cell>
          <cell r="AM154">
            <v>23373</v>
          </cell>
          <cell r="AN154">
            <v>17099</v>
          </cell>
          <cell r="AO154">
            <v>11050</v>
          </cell>
          <cell r="AP154">
            <v>11460</v>
          </cell>
          <cell r="AQ154">
            <v>13064</v>
          </cell>
          <cell r="AR154">
            <v>10866.320225434385</v>
          </cell>
          <cell r="AS154">
            <v>10896.628892627394</v>
          </cell>
          <cell r="AT154">
            <v>8884.1509309083413</v>
          </cell>
          <cell r="AU154">
            <v>8593.4533089230736</v>
          </cell>
        </row>
        <row r="156">
          <cell r="A156" t="str">
            <v>Quarter/Quarter Growth</v>
          </cell>
        </row>
        <row r="157">
          <cell r="A157" t="str">
            <v>Mobile Devices</v>
          </cell>
          <cell r="B157">
            <v>-0.30719959005892905</v>
          </cell>
          <cell r="C157">
            <v>-0.20987426035502954</v>
          </cell>
          <cell r="D157">
            <v>5.2188158202667978E-2</v>
          </cell>
          <cell r="E157">
            <v>7.0062277580071219E-2</v>
          </cell>
          <cell r="F157">
            <v>-0.31427977551444608</v>
          </cell>
          <cell r="G157">
            <v>1.0609275538041807E-2</v>
          </cell>
          <cell r="H157">
            <v>-6.538692261547685E-2</v>
          </cell>
          <cell r="I157">
            <v>-0.24582798459563548</v>
          </cell>
          <cell r="J157">
            <v>-0.23361702127659578</v>
          </cell>
          <cell r="K157">
            <v>1.5546918378678498E-2</v>
          </cell>
          <cell r="L157">
            <v>-7.4904319300164057E-2</v>
          </cell>
          <cell r="M157">
            <v>7.8014184397163122E-2</v>
          </cell>
          <cell r="N157">
            <v>-9.9780701754385914E-2</v>
          </cell>
          <cell r="O157">
            <v>4.9330085261875656E-2</v>
          </cell>
          <cell r="P157">
            <v>0.18049912942542079</v>
          </cell>
          <cell r="Q157">
            <v>0.18977384464110125</v>
          </cell>
          <cell r="R157">
            <v>-0.12066115702479341</v>
          </cell>
          <cell r="S157">
            <v>0.14191729323308278</v>
          </cell>
          <cell r="T157">
            <v>1.6460905349793276E-3</v>
          </cell>
          <cell r="U157">
            <v>4.3138866064092118E-2</v>
          </cell>
          <cell r="V157">
            <v>-0.13588026782197715</v>
          </cell>
          <cell r="W157">
            <v>-0.1283915819832081</v>
          </cell>
          <cell r="X157">
            <v>-7.0233878688240492E-2</v>
          </cell>
          <cell r="Y157">
            <v>-0.10179338790464287</v>
          </cell>
          <cell r="Z157">
            <v>6.5186702839908905E-2</v>
          </cell>
          <cell r="AA157">
            <v>8.1281581092695898E-2</v>
          </cell>
          <cell r="AB157">
            <v>8.648518515281145E-2</v>
          </cell>
          <cell r="AC157">
            <v>8.5666186233423369E-2</v>
          </cell>
          <cell r="AD157">
            <v>-0.35463037141655218</v>
          </cell>
          <cell r="AE157">
            <v>1.6851972114170222E-2</v>
          </cell>
          <cell r="AF157">
            <v>8.1895442223340886E-3</v>
          </cell>
          <cell r="AG157">
            <v>7.6369683224863927E-4</v>
          </cell>
          <cell r="AH157">
            <v>-0.19437844502834778</v>
          </cell>
          <cell r="AI157">
            <v>0.11025822471280255</v>
          </cell>
          <cell r="AJ157">
            <v>0.10133641356092271</v>
          </cell>
          <cell r="AK157">
            <v>9.3852671680761501E-2</v>
          </cell>
        </row>
        <row r="158">
          <cell r="A158" t="str">
            <v>Home</v>
          </cell>
          <cell r="B158">
            <v>5.7142857142857162E-2</v>
          </cell>
          <cell r="C158">
            <v>8.4942084942084994E-2</v>
          </cell>
          <cell r="D158">
            <v>-0.14946619217081847</v>
          </cell>
          <cell r="E158">
            <v>0.16631799163179917</v>
          </cell>
          <cell r="F158">
            <v>4.2152466367713082E-2</v>
          </cell>
          <cell r="G158">
            <v>0.18416523235800342</v>
          </cell>
          <cell r="H158">
            <v>-0.17296511627906974</v>
          </cell>
          <cell r="I158">
            <v>8.6115992970122957E-2</v>
          </cell>
          <cell r="J158">
            <v>-0.17071197411003236</v>
          </cell>
          <cell r="K158">
            <v>-1.1707317073170742E-2</v>
          </cell>
          <cell r="L158">
            <v>-0.14412635735439294</v>
          </cell>
          <cell r="M158">
            <v>0.15224913494809678</v>
          </cell>
          <cell r="N158">
            <v>-0.16116116116116119</v>
          </cell>
          <cell r="O158">
            <v>5.7279236276849721E-2</v>
          </cell>
          <cell r="P158">
            <v>2.9345372460496622E-2</v>
          </cell>
          <cell r="Q158">
            <v>0.10197368421052633</v>
          </cell>
          <cell r="R158">
            <v>-0.10049751243781091</v>
          </cell>
          <cell r="S158">
            <v>3.3185840707965486E-3</v>
          </cell>
          <cell r="T158">
            <v>-9.0407938257993425E-2</v>
          </cell>
          <cell r="U158">
            <v>8.7272727272727169E-2</v>
          </cell>
          <cell r="V158">
            <v>-1.4492753623188359E-2</v>
          </cell>
          <cell r="W158">
            <v>2.601809954751122E-2</v>
          </cell>
          <cell r="X158">
            <v>-0.12127894156560093</v>
          </cell>
          <cell r="Y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A159" t="str">
            <v>Total Motorola Mobility</v>
          </cell>
          <cell r="B159">
            <v>-0.26656043705895738</v>
          </cell>
          <cell r="C159">
            <v>-0.16247672253258849</v>
          </cell>
          <cell r="D159">
            <v>1.0190846766722217E-2</v>
          </cell>
          <cell r="E159">
            <v>8.6940572267057981E-2</v>
          </cell>
          <cell r="F159">
            <v>-0.24721565980425242</v>
          </cell>
          <cell r="G159">
            <v>5.5817081371889676E-2</v>
          </cell>
          <cell r="H159">
            <v>-9.68152866242038E-2</v>
          </cell>
          <cell r="I159">
            <v>-0.15702867889045602</v>
          </cell>
          <cell r="J159">
            <v>-0.21193530395984383</v>
          </cell>
          <cell r="K159">
            <v>5.6617126680820196E-3</v>
          </cell>
          <cell r="L159">
            <v>-9.9577762139338444E-2</v>
          </cell>
          <cell r="M159">
            <v>0.10316529894490034</v>
          </cell>
          <cell r="N159">
            <v>-0.12150194828196959</v>
          </cell>
          <cell r="O159">
            <v>5.2016129032258052E-2</v>
          </cell>
          <cell r="P159">
            <v>0.12916826370256795</v>
          </cell>
          <cell r="Q159">
            <v>0.16259334691106586</v>
          </cell>
          <cell r="R159">
            <v>-0.1147445255474453</v>
          </cell>
          <cell r="S159">
            <v>0.10059366754617405</v>
          </cell>
          <cell r="T159">
            <v>-2.3374288282888789E-2</v>
          </cell>
          <cell r="U159">
            <v>5.4311138386007984E-2</v>
          </cell>
          <cell r="V159">
            <v>-0.10419091967403959</v>
          </cell>
          <cell r="W159">
            <v>-8.4045201712527162E-2</v>
          </cell>
          <cell r="X159">
            <v>-8.6655588468507183E-2</v>
          </cell>
          <cell r="Y159">
            <v>-7.0286851920176807E-2</v>
          </cell>
          <cell r="Z159">
            <v>4.3485134037168249E-2</v>
          </cell>
          <cell r="AA159">
            <v>5.5349462930781357E-2</v>
          </cell>
          <cell r="AB159">
            <v>6.034002689652862E-2</v>
          </cell>
          <cell r="AC159">
            <v>6.1242352630700658E-2</v>
          </cell>
          <cell r="AD159">
            <v>-0.25935826821857511</v>
          </cell>
          <cell r="AE159">
            <v>1.0739282012846685E-2</v>
          </cell>
          <cell r="AF159">
            <v>5.2505262995088398E-3</v>
          </cell>
          <cell r="AG159">
            <v>4.9105707765684237E-4</v>
          </cell>
          <cell r="AH159">
            <v>-0.12501940309752935</v>
          </cell>
          <cell r="AI159">
            <v>6.529395387840653E-2</v>
          </cell>
          <cell r="AJ159">
            <v>6.2543479586666839E-2</v>
          </cell>
          <cell r="AK159">
            <v>6.0039413009007392E-2</v>
          </cell>
        </row>
        <row r="161">
          <cell r="A161" t="str">
            <v>Year/Year Growth</v>
          </cell>
        </row>
        <row r="162">
          <cell r="A162" t="str">
            <v>Mobile Devices</v>
          </cell>
          <cell r="B162">
            <v>-0.15539590816804627</v>
          </cell>
          <cell r="C162">
            <v>-0.40154061624649862</v>
          </cell>
          <cell r="D162">
            <v>-0.36081887972704008</v>
          </cell>
          <cell r="E162">
            <v>-0.38367922111196517</v>
          </cell>
          <cell r="F162">
            <v>-0.38997781065088755</v>
          </cell>
          <cell r="G162">
            <v>-0.21975193072782584</v>
          </cell>
          <cell r="H162">
            <v>-0.30693950177935947</v>
          </cell>
          <cell r="I162">
            <v>-0.51153606318852629</v>
          </cell>
          <cell r="J162">
            <v>-0.45407699302819038</v>
          </cell>
          <cell r="K162">
            <v>-0.45140971805638874</v>
          </cell>
          <cell r="L162">
            <v>-0.45699614890885754</v>
          </cell>
          <cell r="M162">
            <v>-0.22382978723404257</v>
          </cell>
          <cell r="N162">
            <v>-8.8284286507495868E-2</v>
          </cell>
          <cell r="O162">
            <v>-5.795516675779111E-2</v>
          </cell>
          <cell r="P162">
            <v>0.2021276595744681</v>
          </cell>
          <cell r="Q162">
            <v>0.32675438596491224</v>
          </cell>
          <cell r="R162">
            <v>0.2959805115712546</v>
          </cell>
          <cell r="S162">
            <v>0.41033081834010443</v>
          </cell>
          <cell r="T162">
            <v>0.19665683382497545</v>
          </cell>
          <cell r="U162">
            <v>4.9173553719008334E-2</v>
          </cell>
          <cell r="V162">
            <v>3.1015037593985051E-2</v>
          </cell>
          <cell r="W162">
            <v>-0.21304161764245211</v>
          </cell>
          <cell r="X162">
            <v>-0.2695152013147083</v>
          </cell>
          <cell r="Y162">
            <v>-0.37100773678395238</v>
          </cell>
          <cell r="Z162">
            <v>-0.22465120281631989</v>
          </cell>
          <cell r="AA162">
            <v>-3.8134148331575468E-2</v>
          </cell>
          <cell r="AB162">
            <v>0.12399556618359364</v>
          </cell>
          <cell r="AC162">
            <v>0.35857826389756031</v>
          </cell>
          <cell r="AD162">
            <v>-0.17687185989507292</v>
          </cell>
          <cell r="AE162">
            <v>-0.22591905087060771</v>
          </cell>
          <cell r="AF162">
            <v>-0.28170183085912059</v>
          </cell>
          <cell r="AG162">
            <v>-0.33787499298361068</v>
          </cell>
          <cell r="AH162">
            <v>-0.17346253354222263</v>
          </cell>
          <cell r="AI162">
            <v>-9.7538240241525243E-2</v>
          </cell>
          <cell r="AJ162">
            <v>-1.415958579997767E-2</v>
          </cell>
          <cell r="AK162">
            <v>7.7541256079677989E-2</v>
          </cell>
          <cell r="AN162">
            <v>-0.36333716435064256</v>
          </cell>
          <cell r="AO162">
            <v>-0.41363748256338717</v>
          </cell>
          <cell r="AP162">
            <v>9.4178561432969543E-2</v>
          </cell>
          <cell r="AQ162">
            <v>0.21895383041309624</v>
          </cell>
          <cell r="AR162">
            <v>-0.21505401055142315</v>
          </cell>
          <cell r="AS162">
            <v>3.0383496541188215E-2</v>
          </cell>
          <cell r="AT162">
            <v>-0.26106821196747521</v>
          </cell>
          <cell r="AU162">
            <v>-5.1034044833308423E-2</v>
          </cell>
        </row>
        <row r="163">
          <cell r="A163" t="str">
            <v>Home</v>
          </cell>
          <cell r="B163">
            <v>0.41530054644808745</v>
          </cell>
          <cell r="C163">
            <v>0.39975093399750938</v>
          </cell>
          <cell r="D163">
            <v>0.17733990147783252</v>
          </cell>
          <cell r="E163">
            <v>0.13775510204081631</v>
          </cell>
          <cell r="F163">
            <v>0.12162162162162171</v>
          </cell>
          <cell r="G163">
            <v>0.22419928825622781</v>
          </cell>
          <cell r="H163">
            <v>0.19037656903765687</v>
          </cell>
          <cell r="I163">
            <v>0.10852017937219727</v>
          </cell>
          <cell r="J163">
            <v>-0.11790017211703963</v>
          </cell>
          <cell r="K163">
            <v>-0.26380813953488369</v>
          </cell>
          <cell r="L163">
            <v>-0.23813708260105448</v>
          </cell>
          <cell r="M163">
            <v>-0.19174757281553401</v>
          </cell>
          <cell r="N163">
            <v>-0.18243902439024395</v>
          </cell>
          <cell r="O163">
            <v>-0.12537018756169793</v>
          </cell>
          <cell r="P163">
            <v>5.1903114186851118E-2</v>
          </cell>
          <cell r="Q163">
            <v>6.0060060060060927E-3</v>
          </cell>
          <cell r="R163">
            <v>7.8758949880668228E-2</v>
          </cell>
          <cell r="S163">
            <v>2.3702031602708784E-2</v>
          </cell>
          <cell r="T163">
            <v>-9.539473684210531E-2</v>
          </cell>
          <cell r="U163">
            <v>-0.10746268656716418</v>
          </cell>
          <cell r="V163">
            <v>-2.2123893805309769E-2</v>
          </cell>
          <cell r="W163">
            <v>0</v>
          </cell>
          <cell r="X163">
            <v>-3.3939393939393936E-2</v>
          </cell>
          <cell r="Y163">
            <v>-0.11148272017837235</v>
          </cell>
          <cell r="Z163">
            <v>-9.8416289592760164E-2</v>
          </cell>
          <cell r="AA163">
            <v>-0.12127894156560093</v>
          </cell>
          <cell r="AB163">
            <v>0</v>
          </cell>
          <cell r="AC163">
            <v>0</v>
          </cell>
          <cell r="AD163">
            <v>0</v>
          </cell>
          <cell r="AE163">
            <v>0</v>
          </cell>
          <cell r="AF163">
            <v>0</v>
          </cell>
          <cell r="AG163">
            <v>0</v>
          </cell>
          <cell r="AH163">
            <v>0</v>
          </cell>
          <cell r="AI163">
            <v>0</v>
          </cell>
          <cell r="AJ163">
            <v>0</v>
          </cell>
          <cell r="AK163">
            <v>0</v>
          </cell>
          <cell r="AN163">
            <v>0.16095485700779966</v>
          </cell>
          <cell r="AO163">
            <v>-0.2052117263843648</v>
          </cell>
          <cell r="AP163">
            <v>-6.7366803278688492E-2</v>
          </cell>
          <cell r="AQ163">
            <v>-2.9662180719582487E-2</v>
          </cell>
          <cell r="AR163">
            <v>-4.1890744409849967E-2</v>
          </cell>
          <cell r="AS163">
            <v>-5.8197932053175805E-2</v>
          </cell>
          <cell r="AT163">
            <v>0</v>
          </cell>
          <cell r="AU163">
            <v>0</v>
          </cell>
        </row>
        <row r="164">
          <cell r="A164" t="str">
            <v>Total Motorola Mobility</v>
          </cell>
          <cell r="B164">
            <v>-9.6846531184302753E-2</v>
          </cell>
          <cell r="C164">
            <v>-0.32053380334886061</v>
          </cell>
          <cell r="D164">
            <v>-0.30512362987509556</v>
          </cell>
          <cell r="E164">
            <v>-0.32551786933758253</v>
          </cell>
          <cell r="F164">
            <v>-0.30772811918063314</v>
          </cell>
          <cell r="G164">
            <v>-0.1272929405225125</v>
          </cell>
          <cell r="H164">
            <v>-0.21973587674247985</v>
          </cell>
          <cell r="I164">
            <v>-0.39487006412419845</v>
          </cell>
          <cell r="J164">
            <v>-0.36650975117686613</v>
          </cell>
          <cell r="K164">
            <v>-0.39660297239915077</v>
          </cell>
          <cell r="L164">
            <v>-0.39844851904090273</v>
          </cell>
          <cell r="M164">
            <v>-0.21277189068600111</v>
          </cell>
          <cell r="N164">
            <v>-0.12243453644727531</v>
          </cell>
          <cell r="O164">
            <v>-8.1984517945109081E-2</v>
          </cell>
          <cell r="P164">
            <v>0.15123094958968353</v>
          </cell>
          <cell r="Q164">
            <v>0.21324831739284456</v>
          </cell>
          <cell r="R164">
            <v>0.22258064516129039</v>
          </cell>
          <cell r="S164">
            <v>0.27903411268685319</v>
          </cell>
          <cell r="T164">
            <v>0.10624575695858796</v>
          </cell>
          <cell r="U164">
            <v>3.2116788321168155E-3</v>
          </cell>
          <cell r="V164">
            <v>1.517150395778355E-2</v>
          </cell>
          <cell r="W164">
            <v>-0.1551366889035537</v>
          </cell>
          <cell r="X164">
            <v>-0.20988033138999695</v>
          </cell>
          <cell r="Y164">
            <v>-0.30325629909617446</v>
          </cell>
          <cell r="Z164">
            <v>-0.18839660135770164</v>
          </cell>
          <cell r="AA164">
            <v>-6.4882664001149171E-2</v>
          </cell>
          <cell r="AB164">
            <v>8.5617132689098874E-2</v>
          </cell>
          <cell r="AC164">
            <v>0.23920252427392552</v>
          </cell>
          <cell r="AD164">
            <v>-0.12044256916700657</v>
          </cell>
          <cell r="AE164">
            <v>-0.15762192775426442</v>
          </cell>
          <cell r="AF164">
            <v>-0.20138731068498561</v>
          </cell>
          <cell r="AG164">
            <v>-0.24710425309754591</v>
          </cell>
          <cell r="AH164">
            <v>-0.11054273373775547</v>
          </cell>
          <cell r="AI164">
            <v>-6.2534260966477628E-2</v>
          </cell>
          <cell r="AJ164">
            <v>-9.1046139386121716E-3</v>
          </cell>
          <cell r="AK164">
            <v>4.9872616015115279E-2</v>
          </cell>
          <cell r="AN164">
            <v>-0.26842938433234931</v>
          </cell>
          <cell r="AO164">
            <v>-0.3537633779753202</v>
          </cell>
          <cell r="AP164">
            <v>3.7104072398190135E-2</v>
          </cell>
          <cell r="AQ164">
            <v>0.13996509598603835</v>
          </cell>
          <cell r="AR164">
            <v>-0.16822411011678007</v>
          </cell>
          <cell r="AS164">
            <v>2.7892300764398303E-3</v>
          </cell>
          <cell r="AT164">
            <v>-0.18468812524951506</v>
          </cell>
          <cell r="AU164">
            <v>-3.2720923388854017E-2</v>
          </cell>
        </row>
        <row r="166">
          <cell r="A166" t="str">
            <v>Revenue Contribution</v>
          </cell>
        </row>
        <row r="167">
          <cell r="A167" t="str">
            <v>Mobile Devices</v>
          </cell>
          <cell r="B167">
            <v>0.83923029174425823</v>
          </cell>
          <cell r="C167">
            <v>0.79173614971280337</v>
          </cell>
          <cell r="D167">
            <v>0.82465150403521648</v>
          </cell>
          <cell r="E167">
            <v>0.81184610192372597</v>
          </cell>
          <cell r="F167">
            <v>0.73952028693118133</v>
          </cell>
          <cell r="G167">
            <v>0.70785562632696386</v>
          </cell>
          <cell r="H167">
            <v>0.73248707099200749</v>
          </cell>
          <cell r="I167">
            <v>0.65532626882320133</v>
          </cell>
          <cell r="J167">
            <v>0.63729653220099081</v>
          </cell>
          <cell r="K167">
            <v>0.64356087262491202</v>
          </cell>
          <cell r="L167">
            <v>0.66119577960140685</v>
          </cell>
          <cell r="M167">
            <v>0.64612114771519658</v>
          </cell>
          <cell r="N167">
            <v>0.6620967741935484</v>
          </cell>
          <cell r="O167">
            <v>0.66040628593330775</v>
          </cell>
          <cell r="P167">
            <v>0.69042769857433806</v>
          </cell>
          <cell r="Q167">
            <v>0.70656934306569341</v>
          </cell>
          <cell r="R167">
            <v>0.70184696569920846</v>
          </cell>
          <cell r="S167">
            <v>0.7281989811207672</v>
          </cell>
          <cell r="T167">
            <v>0.74685486345504759</v>
          </cell>
          <cell r="U167">
            <v>0.73894062863795107</v>
          </cell>
          <cell r="V167">
            <v>0.71280051981806369</v>
          </cell>
          <cell r="W167">
            <v>0.67828994902560635</v>
          </cell>
          <cell r="X167">
            <v>0.69048543689320385</v>
          </cell>
          <cell r="Y167">
            <v>0.66708595683942962</v>
          </cell>
          <cell r="Z167">
            <v>0.68095947675598389</v>
          </cell>
          <cell r="AA167">
            <v>0.69769205893371322</v>
          </cell>
          <cell r="AB167">
            <v>0.71489528509915701</v>
          </cell>
          <cell r="AC167">
            <v>0.73134815606058279</v>
          </cell>
          <cell r="AD167">
            <v>0.63727152763422656</v>
          </cell>
          <cell r="AE167">
            <v>0.64112558122465135</v>
          </cell>
          <cell r="AF167">
            <v>0.64300001901374404</v>
          </cell>
          <cell r="AG167">
            <v>0.64317524033745932</v>
          </cell>
          <cell r="AH167">
            <v>0.5921912315247444</v>
          </cell>
          <cell r="AI167">
            <v>0.61718663004652408</v>
          </cell>
          <cell r="AJ167">
            <v>0.63971980694626085</v>
          </cell>
          <cell r="AK167">
            <v>0.660125662657151</v>
          </cell>
          <cell r="AM167">
            <v>0.81897916399264103</v>
          </cell>
          <cell r="AN167">
            <v>0.71273173869816953</v>
          </cell>
          <cell r="AO167">
            <v>0.64669683257918553</v>
          </cell>
          <cell r="AP167">
            <v>0.68228621291448521</v>
          </cell>
          <cell r="AQ167">
            <v>0.72956215554194737</v>
          </cell>
          <cell r="AR167">
            <v>0.68848700113982864</v>
          </cell>
          <cell r="AS167">
            <v>0.70743245168632063</v>
          </cell>
          <cell r="AT167">
            <v>0.64115873032854365</v>
          </cell>
          <cell r="AU167">
            <v>0.62901991953692038</v>
          </cell>
        </row>
        <row r="168">
          <cell r="A168" t="str">
            <v>Home</v>
          </cell>
          <cell r="B168">
            <v>0.16076970825574177</v>
          </cell>
          <cell r="C168">
            <v>0.2082638502871966</v>
          </cell>
          <cell r="D168">
            <v>0.17534849596478358</v>
          </cell>
          <cell r="E168">
            <v>0.18815389807627406</v>
          </cell>
          <cell r="F168">
            <v>0.26047971306881867</v>
          </cell>
          <cell r="G168">
            <v>0.29214437367303608</v>
          </cell>
          <cell r="H168">
            <v>0.26751292900799245</v>
          </cell>
          <cell r="I168">
            <v>0.34467373117679867</v>
          </cell>
          <cell r="J168">
            <v>0.36270346779900919</v>
          </cell>
          <cell r="K168">
            <v>0.35643912737508798</v>
          </cell>
          <cell r="L168">
            <v>0.3388042203985932</v>
          </cell>
          <cell r="M168">
            <v>0.35387885228480342</v>
          </cell>
          <cell r="N168">
            <v>0.3379032258064516</v>
          </cell>
          <cell r="O168">
            <v>0.3395937140666922</v>
          </cell>
          <cell r="P168">
            <v>0.30957230142566189</v>
          </cell>
          <cell r="Q168">
            <v>0.29343065693430659</v>
          </cell>
          <cell r="R168">
            <v>0.29815303430079154</v>
          </cell>
          <cell r="S168">
            <v>0.27180101887923286</v>
          </cell>
          <cell r="T168">
            <v>0.25314513654495246</v>
          </cell>
          <cell r="U168">
            <v>0.26105937136204888</v>
          </cell>
          <cell r="V168">
            <v>0.28719948018193631</v>
          </cell>
          <cell r="W168">
            <v>0.32171005097439376</v>
          </cell>
          <cell r="X168">
            <v>0.30951456310679609</v>
          </cell>
          <cell r="Y168">
            <v>0.33291404316057049</v>
          </cell>
          <cell r="Z168">
            <v>0.31904052324401616</v>
          </cell>
          <cell r="AA168">
            <v>0.30230794106628689</v>
          </cell>
          <cell r="AB168">
            <v>0.28510471490084294</v>
          </cell>
          <cell r="AC168">
            <v>0.26865184393941716</v>
          </cell>
          <cell r="AD168">
            <v>0.36272847236577344</v>
          </cell>
          <cell r="AE168">
            <v>0.35887441877534854</v>
          </cell>
          <cell r="AF168">
            <v>0.35699998098625607</v>
          </cell>
          <cell r="AG168">
            <v>0.35682475966254062</v>
          </cell>
          <cell r="AH168">
            <v>0.4078087684752556</v>
          </cell>
          <cell r="AI168">
            <v>0.38281336995347598</v>
          </cell>
          <cell r="AJ168">
            <v>0.36028019305373904</v>
          </cell>
          <cell r="AK168">
            <v>0.339874337342849</v>
          </cell>
          <cell r="AM168">
            <v>0.18102083600735891</v>
          </cell>
          <cell r="AN168">
            <v>0.28726826130183053</v>
          </cell>
          <cell r="AO168">
            <v>0.35330316742081447</v>
          </cell>
          <cell r="AP168">
            <v>0.31771378708551484</v>
          </cell>
          <cell r="AQ168">
            <v>0.27043784445805269</v>
          </cell>
          <cell r="AR168">
            <v>0.31151299886017148</v>
          </cell>
          <cell r="AS168">
            <v>0.29256754831367943</v>
          </cell>
          <cell r="AT168">
            <v>0.35884126967145635</v>
          </cell>
          <cell r="AU168">
            <v>0.37098008046307968</v>
          </cell>
        </row>
        <row r="169">
          <cell r="A169" t="str">
            <v>Total Motorola Mobility</v>
          </cell>
          <cell r="B169">
            <v>1</v>
          </cell>
          <cell r="C169">
            <v>1</v>
          </cell>
          <cell r="D169">
            <v>1</v>
          </cell>
          <cell r="E169">
            <v>1</v>
          </cell>
          <cell r="F169">
            <v>1</v>
          </cell>
          <cell r="G169">
            <v>1</v>
          </cell>
          <cell r="H169">
            <v>1</v>
          </cell>
          <cell r="I169">
            <v>1</v>
          </cell>
          <cell r="J169">
            <v>1</v>
          </cell>
          <cell r="K169">
            <v>1</v>
          </cell>
          <cell r="L169">
            <v>1</v>
          </cell>
          <cell r="M169">
            <v>1</v>
          </cell>
          <cell r="N169">
            <v>1</v>
          </cell>
          <cell r="O169">
            <v>1</v>
          </cell>
          <cell r="P169">
            <v>1</v>
          </cell>
          <cell r="Q169">
            <v>1</v>
          </cell>
          <cell r="R169">
            <v>1</v>
          </cell>
          <cell r="S169">
            <v>1</v>
          </cell>
          <cell r="T169">
            <v>1</v>
          </cell>
          <cell r="U169">
            <v>1</v>
          </cell>
          <cell r="V169">
            <v>1</v>
          </cell>
          <cell r="W169">
            <v>1</v>
          </cell>
          <cell r="X169">
            <v>1</v>
          </cell>
          <cell r="Y169">
            <v>1</v>
          </cell>
          <cell r="Z169">
            <v>1</v>
          </cell>
          <cell r="AA169">
            <v>1</v>
          </cell>
          <cell r="AB169">
            <v>1</v>
          </cell>
          <cell r="AC169">
            <v>1</v>
          </cell>
          <cell r="AD169">
            <v>1</v>
          </cell>
          <cell r="AE169">
            <v>0.99999999999999989</v>
          </cell>
          <cell r="AF169">
            <v>1</v>
          </cell>
          <cell r="AG169">
            <v>1</v>
          </cell>
          <cell r="AH169">
            <v>1</v>
          </cell>
          <cell r="AI169">
            <v>1</v>
          </cell>
          <cell r="AJ169">
            <v>0.99999999999999989</v>
          </cell>
          <cell r="AK169">
            <v>1</v>
          </cell>
          <cell r="AM169">
            <v>1</v>
          </cell>
          <cell r="AN169">
            <v>1</v>
          </cell>
          <cell r="AO169">
            <v>1</v>
          </cell>
          <cell r="AP169">
            <v>1</v>
          </cell>
          <cell r="AQ169">
            <v>1</v>
          </cell>
          <cell r="AR169">
            <v>1</v>
          </cell>
          <cell r="AS169">
            <v>1</v>
          </cell>
          <cell r="AT169">
            <v>1</v>
          </cell>
          <cell r="AU169">
            <v>1</v>
          </cell>
        </row>
        <row r="171">
          <cell r="A171" t="str">
            <v>Product Operating Income Breakdown</v>
          </cell>
        </row>
        <row r="172">
          <cell r="A172" t="str">
            <v>Mobile Devices</v>
          </cell>
          <cell r="B172">
            <v>-229</v>
          </cell>
          <cell r="C172">
            <v>-301</v>
          </cell>
          <cell r="D172">
            <v>-153</v>
          </cell>
          <cell r="E172">
            <v>-100</v>
          </cell>
          <cell r="F172">
            <v>-366</v>
          </cell>
          <cell r="G172">
            <v>-355</v>
          </cell>
          <cell r="H172">
            <v>-307</v>
          </cell>
          <cell r="I172">
            <v>-481</v>
          </cell>
          <cell r="J172">
            <v>-385</v>
          </cell>
          <cell r="K172">
            <v>-238</v>
          </cell>
          <cell r="L172">
            <v>-183</v>
          </cell>
          <cell r="M172">
            <v>-117</v>
          </cell>
          <cell r="N172">
            <v>-148</v>
          </cell>
          <cell r="O172">
            <v>-109</v>
          </cell>
          <cell r="P172">
            <v>3</v>
          </cell>
          <cell r="Q172">
            <v>56</v>
          </cell>
          <cell r="R172">
            <v>-61</v>
          </cell>
          <cell r="S172">
            <v>-31</v>
          </cell>
          <cell r="T172">
            <v>-15</v>
          </cell>
          <cell r="U172">
            <v>-19</v>
          </cell>
          <cell r="V172">
            <v>-85</v>
          </cell>
          <cell r="W172">
            <v>-47.80772172822104</v>
          </cell>
          <cell r="X172">
            <v>-44.45</v>
          </cell>
          <cell r="Y172">
            <v>-7.9850567815277254</v>
          </cell>
          <cell r="Z172">
            <v>-85.055763051049723</v>
          </cell>
          <cell r="AA172">
            <v>-55.181537971730847</v>
          </cell>
          <cell r="AB172">
            <v>-39.969282333488593</v>
          </cell>
          <cell r="AC172">
            <v>21.696649158742748</v>
          </cell>
          <cell r="AD172">
            <v>-70.01179204541593</v>
          </cell>
          <cell r="AE172">
            <v>-42.714977287577014</v>
          </cell>
          <cell r="AF172">
            <v>-43.064793483029618</v>
          </cell>
          <cell r="AG172">
            <v>-14.365893976464683</v>
          </cell>
          <cell r="AH172">
            <v>-57.867369219386859</v>
          </cell>
          <cell r="AI172">
            <v>-38.548633570990027</v>
          </cell>
          <cell r="AJ172">
            <v>-42.455013844748343</v>
          </cell>
          <cell r="AK172">
            <v>-15.479843440107233</v>
          </cell>
          <cell r="AM172">
            <v>-698</v>
          </cell>
          <cell r="AN172">
            <v>-1477</v>
          </cell>
          <cell r="AO172">
            <v>-923</v>
          </cell>
          <cell r="AP172">
            <v>-198</v>
          </cell>
          <cell r="AQ172">
            <v>-126</v>
          </cell>
          <cell r="AR172">
            <v>-185.24277850974877</v>
          </cell>
          <cell r="AS172">
            <v>-158.50993419752641</v>
          </cell>
          <cell r="AT172">
            <v>-170.15745679248727</v>
          </cell>
          <cell r="AU172">
            <v>-154.35086007523248</v>
          </cell>
        </row>
        <row r="173">
          <cell r="A173" t="str">
            <v>Home</v>
          </cell>
          <cell r="B173">
            <v>109</v>
          </cell>
          <cell r="C173">
            <v>117</v>
          </cell>
          <cell r="D173">
            <v>59</v>
          </cell>
          <cell r="E173">
            <v>101</v>
          </cell>
          <cell r="F173">
            <v>96</v>
          </cell>
          <cell r="G173">
            <v>143</v>
          </cell>
          <cell r="H173">
            <v>92</v>
          </cell>
          <cell r="I173">
            <v>123</v>
          </cell>
          <cell r="J173">
            <v>36</v>
          </cell>
          <cell r="K173">
            <v>47</v>
          </cell>
          <cell r="L173">
            <v>44</v>
          </cell>
          <cell r="M173">
            <v>71</v>
          </cell>
          <cell r="N173">
            <v>47</v>
          </cell>
          <cell r="O173">
            <v>58</v>
          </cell>
          <cell r="P173">
            <v>77</v>
          </cell>
          <cell r="Q173">
            <v>90</v>
          </cell>
          <cell r="R173">
            <v>81</v>
          </cell>
          <cell r="S173">
            <v>90</v>
          </cell>
          <cell r="T173">
            <v>77</v>
          </cell>
          <cell r="U173">
            <v>84</v>
          </cell>
          <cell r="V173">
            <v>91</v>
          </cell>
          <cell r="W173">
            <v>81.63</v>
          </cell>
          <cell r="X173">
            <v>71.73</v>
          </cell>
          <cell r="Y173">
            <v>71.73</v>
          </cell>
          <cell r="Z173">
            <v>71.73</v>
          </cell>
          <cell r="AA173">
            <v>71.73</v>
          </cell>
          <cell r="AB173">
            <v>71.73</v>
          </cell>
          <cell r="AC173">
            <v>71.73</v>
          </cell>
          <cell r="AD173">
            <v>71.73</v>
          </cell>
          <cell r="AE173">
            <v>71.73</v>
          </cell>
          <cell r="AF173">
            <v>71.73</v>
          </cell>
          <cell r="AG173">
            <v>71.73</v>
          </cell>
          <cell r="AH173">
            <v>71.73</v>
          </cell>
          <cell r="AI173">
            <v>71.73</v>
          </cell>
          <cell r="AJ173">
            <v>71.73</v>
          </cell>
          <cell r="AK173">
            <v>71.73</v>
          </cell>
          <cell r="AM173">
            <v>379</v>
          </cell>
          <cell r="AN173">
            <v>465</v>
          </cell>
          <cell r="AO173">
            <v>198</v>
          </cell>
          <cell r="AP173">
            <v>272</v>
          </cell>
          <cell r="AQ173">
            <v>332</v>
          </cell>
          <cell r="AR173">
            <v>316.09000000000003</v>
          </cell>
          <cell r="AS173">
            <v>286.92</v>
          </cell>
          <cell r="AT173">
            <v>286.92</v>
          </cell>
          <cell r="AU173">
            <v>286.92</v>
          </cell>
        </row>
        <row r="174">
          <cell r="A174" t="str">
            <v>Total Motorola Mobility</v>
          </cell>
          <cell r="B174">
            <v>-120</v>
          </cell>
          <cell r="C174">
            <v>-184</v>
          </cell>
          <cell r="D174">
            <v>-94</v>
          </cell>
          <cell r="E174">
            <v>1</v>
          </cell>
          <cell r="F174">
            <v>-270</v>
          </cell>
          <cell r="G174">
            <v>-212</v>
          </cell>
          <cell r="H174">
            <v>-215</v>
          </cell>
          <cell r="I174">
            <v>-358</v>
          </cell>
          <cell r="J174">
            <v>-349</v>
          </cell>
          <cell r="K174">
            <v>-191</v>
          </cell>
          <cell r="L174">
            <v>-139</v>
          </cell>
          <cell r="M174">
            <v>-46</v>
          </cell>
          <cell r="N174">
            <v>-101</v>
          </cell>
          <cell r="O174">
            <v>-51</v>
          </cell>
          <cell r="P174">
            <v>80</v>
          </cell>
          <cell r="Q174">
            <v>146</v>
          </cell>
          <cell r="R174">
            <v>20</v>
          </cell>
          <cell r="S174">
            <v>59</v>
          </cell>
          <cell r="T174">
            <v>62</v>
          </cell>
          <cell r="U174">
            <v>65</v>
          </cell>
          <cell r="V174">
            <v>6</v>
          </cell>
          <cell r="W174">
            <v>33.822278271778956</v>
          </cell>
          <cell r="X174">
            <v>27.28</v>
          </cell>
          <cell r="Y174">
            <v>63.74494321847228</v>
          </cell>
          <cell r="Z174">
            <v>-13.325763051049719</v>
          </cell>
          <cell r="AA174">
            <v>16.548462028269157</v>
          </cell>
          <cell r="AB174">
            <v>31.760717666511411</v>
          </cell>
          <cell r="AC174">
            <v>93.426649158742748</v>
          </cell>
          <cell r="AD174">
            <v>1.7182079545840736</v>
          </cell>
          <cell r="AE174">
            <v>29.01502271242299</v>
          </cell>
          <cell r="AF174">
            <v>28.665206516970386</v>
          </cell>
          <cell r="AG174">
            <v>57.364106023535321</v>
          </cell>
          <cell r="AH174">
            <v>13.862630780613145</v>
          </cell>
          <cell r="AI174">
            <v>33.181366429009977</v>
          </cell>
          <cell r="AJ174">
            <v>29.274986155251661</v>
          </cell>
          <cell r="AK174">
            <v>56.250156559892773</v>
          </cell>
          <cell r="AM174">
            <v>-319</v>
          </cell>
          <cell r="AN174">
            <v>-1012</v>
          </cell>
          <cell r="AO174">
            <v>-725</v>
          </cell>
          <cell r="AP174">
            <v>74</v>
          </cell>
          <cell r="AQ174">
            <v>206</v>
          </cell>
          <cell r="AR174">
            <v>130.84722149025126</v>
          </cell>
          <cell r="AS174">
            <v>128.41006580247361</v>
          </cell>
          <cell r="AT174">
            <v>116.76254320751275</v>
          </cell>
          <cell r="AU174">
            <v>132.56913992476754</v>
          </cell>
        </row>
        <row r="176">
          <cell r="A176" t="str">
            <v>Quarter/Quarter Growth</v>
          </cell>
        </row>
        <row r="177">
          <cell r="A177" t="str">
            <v>Mobile Devices</v>
          </cell>
          <cell r="B177">
            <v>-1.6715542521994133</v>
          </cell>
          <cell r="C177">
            <v>0.31441048034934505</v>
          </cell>
          <cell r="D177">
            <v>-0.49169435215946844</v>
          </cell>
          <cell r="E177">
            <v>-0.34640522875816993</v>
          </cell>
          <cell r="F177">
            <v>2.66</v>
          </cell>
          <cell r="G177">
            <v>-3.0054644808743203E-2</v>
          </cell>
          <cell r="H177">
            <v>-0.13521126760563384</v>
          </cell>
          <cell r="I177">
            <v>0.5667752442996743</v>
          </cell>
          <cell r="J177">
            <v>-0.1995841995841996</v>
          </cell>
          <cell r="K177">
            <v>-0.38181818181818183</v>
          </cell>
          <cell r="L177">
            <v>-0.23109243697478987</v>
          </cell>
          <cell r="M177">
            <v>-0.36065573770491799</v>
          </cell>
          <cell r="N177">
            <v>0.2649572649572649</v>
          </cell>
          <cell r="O177">
            <v>-0.26351351351351349</v>
          </cell>
          <cell r="P177">
            <v>-1.0275229357798166</v>
          </cell>
          <cell r="Q177">
            <v>17.666666666666668</v>
          </cell>
          <cell r="R177">
            <v>-2.0892857142857144</v>
          </cell>
          <cell r="S177">
            <v>-0.49180327868852458</v>
          </cell>
          <cell r="T177">
            <v>-0.5161290322580645</v>
          </cell>
          <cell r="U177">
            <v>0.26666666666666661</v>
          </cell>
          <cell r="V177">
            <v>3.4736842105263159</v>
          </cell>
          <cell r="W177">
            <v>-0.43755621496210539</v>
          </cell>
          <cell r="X177">
            <v>-7.0233878688240492E-2</v>
          </cell>
          <cell r="Y177">
            <v>-0.82035867758092862</v>
          </cell>
          <cell r="Z177">
            <v>9.6518670283990886</v>
          </cell>
          <cell r="AA177">
            <v>-0.35123105134438248</v>
          </cell>
          <cell r="AB177">
            <v>-0.27567654323145896</v>
          </cell>
          <cell r="AC177">
            <v>-1.5428330931167116</v>
          </cell>
          <cell r="AD177">
            <v>-4.2268481429172393</v>
          </cell>
          <cell r="AE177">
            <v>-0.38988881673149789</v>
          </cell>
          <cell r="AF177">
            <v>8.1895442223340886E-3</v>
          </cell>
          <cell r="AG177">
            <v>-0.66641210105591719</v>
          </cell>
          <cell r="AH177">
            <v>3.0281077748582614</v>
          </cell>
          <cell r="AI177">
            <v>-0.3338450651723186</v>
          </cell>
          <cell r="AJ177">
            <v>0.10133641356092271</v>
          </cell>
          <cell r="AK177">
            <v>-0.63538244277307943</v>
          </cell>
        </row>
        <row r="178">
          <cell r="A178" t="str">
            <v>Home</v>
          </cell>
          <cell r="C178">
            <v>7.3394495412844041E-2</v>
          </cell>
          <cell r="D178">
            <v>-0.49572649572649574</v>
          </cell>
          <cell r="E178">
            <v>0.71186440677966112</v>
          </cell>
          <cell r="F178">
            <v>-4.9504950495049549E-2</v>
          </cell>
          <cell r="G178">
            <v>0.48958333333333326</v>
          </cell>
          <cell r="H178">
            <v>-0.35664335664335667</v>
          </cell>
          <cell r="I178">
            <v>0.33695652173913038</v>
          </cell>
          <cell r="J178">
            <v>-0.70731707317073167</v>
          </cell>
          <cell r="K178">
            <v>0.30555555555555558</v>
          </cell>
          <cell r="L178">
            <v>-6.3829787234042534E-2</v>
          </cell>
          <cell r="M178">
            <v>0.61363636363636354</v>
          </cell>
          <cell r="N178">
            <v>-0.3380281690140845</v>
          </cell>
          <cell r="O178">
            <v>0.23404255319148937</v>
          </cell>
          <cell r="P178">
            <v>0.32758620689655182</v>
          </cell>
          <cell r="Q178">
            <v>0.16883116883116878</v>
          </cell>
          <cell r="R178">
            <v>-9.9999999999999978E-2</v>
          </cell>
          <cell r="S178">
            <v>0.11111111111111116</v>
          </cell>
          <cell r="T178">
            <v>-0.14444444444444449</v>
          </cell>
          <cell r="U178">
            <v>9.0909090909090828E-2</v>
          </cell>
          <cell r="V178">
            <v>8.3333333333333259E-2</v>
          </cell>
          <cell r="W178">
            <v>-0.10296703296703302</v>
          </cell>
          <cell r="X178">
            <v>-0.12127894156560082</v>
          </cell>
          <cell r="Y178">
            <v>0</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Total Motorola Mobility</v>
          </cell>
          <cell r="B179">
            <v>-1.3519061583577714</v>
          </cell>
          <cell r="C179">
            <v>0.53333333333333344</v>
          </cell>
          <cell r="D179">
            <v>-0.48913043478260865</v>
          </cell>
          <cell r="E179">
            <v>-1.0106382978723405</v>
          </cell>
          <cell r="F179">
            <v>-271</v>
          </cell>
          <cell r="G179">
            <v>-0.21481481481481479</v>
          </cell>
          <cell r="H179">
            <v>1.4150943396226356E-2</v>
          </cell>
          <cell r="I179">
            <v>0.66511627906976734</v>
          </cell>
          <cell r="J179">
            <v>-2.5139664804469275E-2</v>
          </cell>
          <cell r="K179">
            <v>-0.45272206303724927</v>
          </cell>
          <cell r="L179">
            <v>-0.27225130890052351</v>
          </cell>
          <cell r="M179">
            <v>-0.66906474820143891</v>
          </cell>
          <cell r="N179">
            <v>1.1956521739130435</v>
          </cell>
          <cell r="O179">
            <v>-0.49504950495049505</v>
          </cell>
          <cell r="P179">
            <v>-2.5686274509803919</v>
          </cell>
          <cell r="Q179">
            <v>0.82499999999999996</v>
          </cell>
          <cell r="R179">
            <v>-0.86301369863013699</v>
          </cell>
          <cell r="S179">
            <v>1.9500000000000002</v>
          </cell>
          <cell r="T179">
            <v>5.0847457627118731E-2</v>
          </cell>
          <cell r="U179">
            <v>4.8387096774193505E-2</v>
          </cell>
          <cell r="V179">
            <v>-0.90769230769230769</v>
          </cell>
          <cell r="W179">
            <v>4.6370463786298259</v>
          </cell>
          <cell r="X179">
            <v>-0.1934310343971648</v>
          </cell>
          <cell r="Y179">
            <v>1.3366914669527961</v>
          </cell>
          <cell r="Z179">
            <v>-1.2090481594026758</v>
          </cell>
          <cell r="AA179">
            <v>-2.2418397329198774</v>
          </cell>
          <cell r="AB179">
            <v>0.91925495023378567</v>
          </cell>
          <cell r="AC179">
            <v>1.941578655108668</v>
          </cell>
          <cell r="AD179">
            <v>-0.98160901659156541</v>
          </cell>
          <cell r="AE179">
            <v>15.88679337970278</v>
          </cell>
          <cell r="AF179">
            <v>-1.2056381927380899E-2</v>
          </cell>
          <cell r="AG179">
            <v>1.0011753967156873</v>
          </cell>
          <cell r="AH179">
            <v>-0.75833963533005133</v>
          </cell>
          <cell r="AI179">
            <v>1.3935836533577763</v>
          </cell>
          <cell r="AJ179">
            <v>-0.1177281316040989</v>
          </cell>
          <cell r="AK179">
            <v>0.92144092781413733</v>
          </cell>
        </row>
        <row r="181">
          <cell r="A181" t="str">
            <v>Year/Year Growth</v>
          </cell>
        </row>
        <row r="182">
          <cell r="A182" t="str">
            <v>Mobile Devices</v>
          </cell>
          <cell r="B182">
            <v>-1.3266761768901569</v>
          </cell>
          <cell r="C182">
            <v>-1.3743781094527363</v>
          </cell>
          <cell r="D182">
            <v>-1.1814946619217082</v>
          </cell>
          <cell r="E182">
            <v>-1.2932551319648093</v>
          </cell>
          <cell r="F182">
            <v>0.59825327510917026</v>
          </cell>
          <cell r="G182">
            <v>0.17940199335548179</v>
          </cell>
          <cell r="H182">
            <v>1.0065359477124183</v>
          </cell>
          <cell r="I182">
            <v>3.8099999999999996</v>
          </cell>
          <cell r="J182">
            <v>5.1912568306010876E-2</v>
          </cell>
          <cell r="K182">
            <v>-0.3295774647887324</v>
          </cell>
          <cell r="L182">
            <v>-0.40390879478827357</v>
          </cell>
          <cell r="M182">
            <v>-0.7567567567567568</v>
          </cell>
          <cell r="N182">
            <v>-0.61558441558441557</v>
          </cell>
          <cell r="O182">
            <v>-0.54201680672268915</v>
          </cell>
          <cell r="P182">
            <v>-1.0163934426229508</v>
          </cell>
          <cell r="Q182">
            <v>-1.4786324786324787</v>
          </cell>
          <cell r="R182">
            <v>-0.58783783783783783</v>
          </cell>
          <cell r="S182">
            <v>-0.71559633027522929</v>
          </cell>
          <cell r="T182">
            <v>-6</v>
          </cell>
          <cell r="U182">
            <v>-1.3392857142857144</v>
          </cell>
          <cell r="V182">
            <v>0.39344262295081966</v>
          </cell>
          <cell r="W182">
            <v>0.54218457187809799</v>
          </cell>
          <cell r="X182">
            <v>1.9633333333333334</v>
          </cell>
          <cell r="Y182">
            <v>-0.57973385360380392</v>
          </cell>
          <cell r="Z182">
            <v>6.5603589470253354E-4</v>
          </cell>
          <cell r="AA182">
            <v>0.15423902200210948</v>
          </cell>
          <cell r="AB182">
            <v>-0.10080354705312511</v>
          </cell>
          <cell r="AC182">
            <v>-3.7171565277951197</v>
          </cell>
          <cell r="AD182">
            <v>-0.17687185989507304</v>
          </cell>
          <cell r="AE182">
            <v>-0.22591905087060771</v>
          </cell>
          <cell r="AF182">
            <v>7.7447253711318886E-2</v>
          </cell>
          <cell r="AG182">
            <v>-1.6621250070163895</v>
          </cell>
          <cell r="AH182">
            <v>-0.17346253354222252</v>
          </cell>
          <cell r="AI182">
            <v>-9.7538240241525354E-2</v>
          </cell>
          <cell r="AJ182">
            <v>-1.4159585799977559E-2</v>
          </cell>
          <cell r="AK182">
            <v>7.7541256079677989E-2</v>
          </cell>
          <cell r="AN182">
            <v>1.1160458452722062</v>
          </cell>
          <cell r="AO182">
            <v>-0.37508463100880163</v>
          </cell>
          <cell r="AP182">
            <v>-0.78548212351029256</v>
          </cell>
          <cell r="AQ182">
            <v>-0.36363636363636365</v>
          </cell>
          <cell r="AR182">
            <v>0.47018078182340295</v>
          </cell>
          <cell r="AS182">
            <v>-0.14431247753507159</v>
          </cell>
          <cell r="AT182">
            <v>7.3481341430918556E-2</v>
          </cell>
          <cell r="AU182">
            <v>-9.2893940795856333E-2</v>
          </cell>
        </row>
        <row r="183">
          <cell r="A183" t="str">
            <v>Home</v>
          </cell>
          <cell r="F183">
            <v>-0.11926605504587151</v>
          </cell>
          <cell r="G183">
            <v>0.22222222222222232</v>
          </cell>
          <cell r="H183">
            <v>0.55932203389830515</v>
          </cell>
          <cell r="I183">
            <v>0.21782178217821779</v>
          </cell>
          <cell r="J183">
            <v>-0.625</v>
          </cell>
          <cell r="K183">
            <v>-0.67132867132867136</v>
          </cell>
          <cell r="L183">
            <v>-0.52173913043478259</v>
          </cell>
          <cell r="M183">
            <v>-0.42276422764227639</v>
          </cell>
          <cell r="N183">
            <v>0.30555555555555558</v>
          </cell>
          <cell r="O183">
            <v>0.23404255319148937</v>
          </cell>
          <cell r="P183">
            <v>0.75</v>
          </cell>
          <cell r="Q183">
            <v>0.26760563380281699</v>
          </cell>
          <cell r="R183">
            <v>0.72340425531914887</v>
          </cell>
          <cell r="S183">
            <v>0.55172413793103448</v>
          </cell>
          <cell r="T183">
            <v>0</v>
          </cell>
          <cell r="U183">
            <v>-6.6666666666666652E-2</v>
          </cell>
          <cell r="V183">
            <v>0.12345679012345689</v>
          </cell>
          <cell r="W183">
            <v>-9.3000000000000083E-2</v>
          </cell>
          <cell r="X183">
            <v>-6.8441558441558414E-2</v>
          </cell>
          <cell r="Y183">
            <v>-0.14607142857142852</v>
          </cell>
          <cell r="Z183">
            <v>-0.21175824175824176</v>
          </cell>
          <cell r="AA183">
            <v>-0.12127894156560082</v>
          </cell>
          <cell r="AB183">
            <v>0</v>
          </cell>
          <cell r="AC183">
            <v>0</v>
          </cell>
          <cell r="AD183">
            <v>0</v>
          </cell>
          <cell r="AE183">
            <v>0</v>
          </cell>
          <cell r="AF183">
            <v>0</v>
          </cell>
          <cell r="AG183">
            <v>0</v>
          </cell>
          <cell r="AH183">
            <v>0</v>
          </cell>
          <cell r="AI183">
            <v>0</v>
          </cell>
          <cell r="AJ183">
            <v>0</v>
          </cell>
          <cell r="AK183">
            <v>0</v>
          </cell>
          <cell r="AN183">
            <v>0.22691292875989455</v>
          </cell>
          <cell r="AO183">
            <v>-0.5741935483870968</v>
          </cell>
          <cell r="AP183">
            <v>0.3737373737373737</v>
          </cell>
          <cell r="AQ183">
            <v>0.22058823529411775</v>
          </cell>
          <cell r="AR183">
            <v>-4.7921686746987824E-2</v>
          </cell>
          <cell r="AS183">
            <v>-9.2283843209212568E-2</v>
          </cell>
          <cell r="AT183">
            <v>0</v>
          </cell>
          <cell r="AU183">
            <v>0</v>
          </cell>
        </row>
        <row r="184">
          <cell r="A184" t="str">
            <v>Total Motorola Mobility</v>
          </cell>
          <cell r="B184">
            <v>-1.1711840228245363</v>
          </cell>
          <cell r="C184">
            <v>-1.2288557213930349</v>
          </cell>
          <cell r="D184">
            <v>-1.1115065243179123</v>
          </cell>
          <cell r="E184">
            <v>-0.99706744868035191</v>
          </cell>
          <cell r="F184">
            <v>1.25</v>
          </cell>
          <cell r="G184">
            <v>0.15217391304347827</v>
          </cell>
          <cell r="H184">
            <v>1.2872340425531914</v>
          </cell>
          <cell r="I184">
            <v>-359</v>
          </cell>
          <cell r="J184">
            <v>0.29259259259259252</v>
          </cell>
          <cell r="K184">
            <v>-9.9056603773584939E-2</v>
          </cell>
          <cell r="L184">
            <v>-0.35348837209302331</v>
          </cell>
          <cell r="M184">
            <v>-0.87150837988826813</v>
          </cell>
          <cell r="N184">
            <v>-0.71060171919770776</v>
          </cell>
          <cell r="O184">
            <v>-0.73298429319371727</v>
          </cell>
          <cell r="P184">
            <v>-1.5755395683453237</v>
          </cell>
          <cell r="Q184">
            <v>-4.1739130434782608</v>
          </cell>
          <cell r="R184">
            <v>-1.198019801980198</v>
          </cell>
          <cell r="S184">
            <v>-2.1568627450980395</v>
          </cell>
          <cell r="T184">
            <v>-0.22499999999999998</v>
          </cell>
          <cell r="U184">
            <v>-0.5547945205479452</v>
          </cell>
          <cell r="V184">
            <v>-0.7</v>
          </cell>
          <cell r="W184">
            <v>-0.4267410462410347</v>
          </cell>
          <cell r="X184">
            <v>-0.56000000000000005</v>
          </cell>
          <cell r="Y184">
            <v>-1.9308565869657235E-2</v>
          </cell>
          <cell r="Z184">
            <v>-3.2209605085082864</v>
          </cell>
          <cell r="AA184">
            <v>-0.51072302417672844</v>
          </cell>
          <cell r="AB184">
            <v>0.16424918132373212</v>
          </cell>
          <cell r="AC184">
            <v>0.46563232221484174</v>
          </cell>
          <cell r="AD184">
            <v>-1.1289388043297621</v>
          </cell>
          <cell r="AE184">
            <v>0.75333651325770612</v>
          </cell>
          <cell r="AF184">
            <v>-9.7463513955950098E-2</v>
          </cell>
          <cell r="AG184">
            <v>-0.38599846467717114</v>
          </cell>
          <cell r="AH184">
            <v>7.068075079985805</v>
          </cell>
          <cell r="AI184">
            <v>0.14359264019473383</v>
          </cell>
          <cell r="AJ184">
            <v>2.1272466253479561E-2</v>
          </cell>
          <cell r="AK184">
            <v>-1.9418928330993568E-2</v>
          </cell>
          <cell r="AN184">
            <v>2.1724137931034484</v>
          </cell>
          <cell r="AO184">
            <v>-0.28359683794466406</v>
          </cell>
          <cell r="AP184">
            <v>-1.1020689655172413</v>
          </cell>
          <cell r="AQ184">
            <v>1.7837837837837838</v>
          </cell>
          <cell r="AR184">
            <v>-0.36481931315412008</v>
          </cell>
          <cell r="AS184">
            <v>-1.8625964388240601E-2</v>
          </cell>
          <cell r="AT184">
            <v>-9.0705682005315924E-2</v>
          </cell>
          <cell r="AU184">
            <v>0.13537386462337486</v>
          </cell>
        </row>
        <row r="186">
          <cell r="A186" t="str">
            <v>Operating Income Margin</v>
          </cell>
        </row>
        <row r="187">
          <cell r="A187" t="str">
            <v>Mobile Devices</v>
          </cell>
          <cell r="B187">
            <v>-4.2344674556213019E-2</v>
          </cell>
          <cell r="C187">
            <v>-7.0442312192838752E-2</v>
          </cell>
          <cell r="D187">
            <v>-3.4030249110320286E-2</v>
          </cell>
          <cell r="E187">
            <v>-2.0785699438786116E-2</v>
          </cell>
          <cell r="F187">
            <v>-0.11094270991209458</v>
          </cell>
          <cell r="G187">
            <v>-0.10647870425914817</v>
          </cell>
          <cell r="H187">
            <v>-9.8523748395378696E-2</v>
          </cell>
          <cell r="I187">
            <v>-0.2046808510638298</v>
          </cell>
          <cell r="J187">
            <v>-0.21377012770682954</v>
          </cell>
          <cell r="K187">
            <v>-0.13012575177692728</v>
          </cell>
          <cell r="L187">
            <v>-0.10815602836879433</v>
          </cell>
          <cell r="M187">
            <v>-6.4144736842105268E-2</v>
          </cell>
          <cell r="N187">
            <v>-9.0133982947624841E-2</v>
          </cell>
          <cell r="O187">
            <v>-6.32617527568195E-2</v>
          </cell>
          <cell r="P187">
            <v>1.4749262536873156E-3</v>
          </cell>
          <cell r="Q187">
            <v>2.3140495867768594E-2</v>
          </cell>
          <cell r="R187">
            <v>-2.8665413533834585E-2</v>
          </cell>
          <cell r="S187">
            <v>-1.2757201646090535E-2</v>
          </cell>
          <cell r="T187">
            <v>-6.162695152013147E-3</v>
          </cell>
          <cell r="U187">
            <v>-7.4832611264277274E-3</v>
          </cell>
          <cell r="V187">
            <v>-3.8742023701002735E-2</v>
          </cell>
          <cell r="W187">
            <v>-2.5000000000000001E-2</v>
          </cell>
          <cell r="X187">
            <v>-2.5000000000000001E-2</v>
          </cell>
          <cell r="Y187">
            <v>-5.0000000000000001E-3</v>
          </cell>
          <cell r="Z187">
            <v>-5.000000000000001E-2</v>
          </cell>
          <cell r="AA187">
            <v>-0.03</v>
          </cell>
          <cell r="AB187">
            <v>-0.02</v>
          </cell>
          <cell r="AC187">
            <v>9.9999999999999985E-3</v>
          </cell>
          <cell r="AD187">
            <v>-0.05</v>
          </cell>
          <cell r="AE187">
            <v>-0.03</v>
          </cell>
          <cell r="AF187">
            <v>-2.9999999999999995E-2</v>
          </cell>
          <cell r="AG187">
            <v>-0.01</v>
          </cell>
          <cell r="AH187">
            <v>-0.05</v>
          </cell>
          <cell r="AI187">
            <v>-2.9999999999999995E-2</v>
          </cell>
          <cell r="AJ187">
            <v>-2.9999999999999995E-2</v>
          </cell>
          <cell r="AK187">
            <v>-0.01</v>
          </cell>
          <cell r="AM187">
            <v>-3.6464319297879008E-2</v>
          </cell>
          <cell r="AN187">
            <v>-0.12119471568064331</v>
          </cell>
          <cell r="AO187">
            <v>-0.12916316820598936</v>
          </cell>
          <cell r="AP187">
            <v>-2.5322931321140812E-2</v>
          </cell>
          <cell r="AQ187">
            <v>-1.3220018885741265E-2</v>
          </cell>
          <cell r="AR187">
            <v>-2.476070705809055E-2</v>
          </cell>
          <cell r="AS187">
            <v>-2.05626624923048E-2</v>
          </cell>
          <cell r="AT187">
            <v>-2.9872357466720598E-2</v>
          </cell>
          <cell r="AU187">
            <v>-2.8554656058250874E-2</v>
          </cell>
        </row>
        <row r="188">
          <cell r="A188" t="str">
            <v>Home</v>
          </cell>
          <cell r="B188">
            <v>0.10521235521235521</v>
          </cell>
          <cell r="C188">
            <v>0.10409252669039146</v>
          </cell>
          <cell r="D188">
            <v>6.1715481171548119E-2</v>
          </cell>
          <cell r="E188">
            <v>9.0582959641255609E-2</v>
          </cell>
          <cell r="F188">
            <v>8.2616179001721177E-2</v>
          </cell>
          <cell r="G188">
            <v>0.10392441860465117</v>
          </cell>
          <cell r="H188">
            <v>8.0843585237258347E-2</v>
          </cell>
          <cell r="I188">
            <v>9.9514563106796114E-2</v>
          </cell>
          <cell r="J188">
            <v>3.5121951219512199E-2</v>
          </cell>
          <cell r="K188">
            <v>4.6396841066140178E-2</v>
          </cell>
          <cell r="L188">
            <v>5.0749711649365627E-2</v>
          </cell>
          <cell r="M188">
            <v>7.1071071071071065E-2</v>
          </cell>
          <cell r="N188">
            <v>5.6085918854415273E-2</v>
          </cell>
          <cell r="O188">
            <v>6.5462753950338598E-2</v>
          </cell>
          <cell r="P188">
            <v>8.4429824561403508E-2</v>
          </cell>
          <cell r="Q188">
            <v>8.9552238805970144E-2</v>
          </cell>
          <cell r="R188">
            <v>8.9601769911504425E-2</v>
          </cell>
          <cell r="S188">
            <v>9.9228224917309815E-2</v>
          </cell>
          <cell r="T188">
            <v>9.3333333333333338E-2</v>
          </cell>
          <cell r="U188">
            <v>9.3645484949832769E-2</v>
          </cell>
          <cell r="V188">
            <v>0.10294117647058823</v>
          </cell>
          <cell r="W188">
            <v>0.09</v>
          </cell>
          <cell r="X188">
            <v>9.0000000000000011E-2</v>
          </cell>
          <cell r="Y188">
            <v>9.0000000000000011E-2</v>
          </cell>
          <cell r="Z188">
            <v>9.0000000000000011E-2</v>
          </cell>
          <cell r="AA188">
            <v>9.0000000000000011E-2</v>
          </cell>
          <cell r="AB188">
            <v>9.0000000000000011E-2</v>
          </cell>
          <cell r="AC188">
            <v>9.0000000000000011E-2</v>
          </cell>
          <cell r="AD188">
            <v>9.0000000000000011E-2</v>
          </cell>
          <cell r="AE188">
            <v>9.0000000000000011E-2</v>
          </cell>
          <cell r="AF188">
            <v>9.0000000000000011E-2</v>
          </cell>
          <cell r="AG188">
            <v>9.0000000000000011E-2</v>
          </cell>
          <cell r="AH188">
            <v>9.0000000000000011E-2</v>
          </cell>
          <cell r="AI188">
            <v>9.0000000000000011E-2</v>
          </cell>
          <cell r="AJ188">
            <v>9.0000000000000011E-2</v>
          </cell>
          <cell r="AK188">
            <v>9.0000000000000011E-2</v>
          </cell>
          <cell r="AM188">
            <v>8.9576932167336323E-2</v>
          </cell>
          <cell r="AN188">
            <v>9.4666123778501629E-2</v>
          </cell>
          <cell r="AO188">
            <v>5.0717213114754099E-2</v>
          </cell>
          <cell r="AP188">
            <v>7.4704751441911563E-2</v>
          </cell>
          <cell r="AQ188">
            <v>9.3971129351825639E-2</v>
          </cell>
          <cell r="AR188">
            <v>9.3379615952732656E-2</v>
          </cell>
          <cell r="AS188">
            <v>9.0000000000000011E-2</v>
          </cell>
          <cell r="AT188">
            <v>9.0000000000000011E-2</v>
          </cell>
          <cell r="AU188">
            <v>9.0000000000000011E-2</v>
          </cell>
        </row>
        <row r="189">
          <cell r="A189" t="str">
            <v>Total Motorola Mobility</v>
          </cell>
          <cell r="B189">
            <v>-1.86219739292365E-2</v>
          </cell>
          <cell r="C189">
            <v>-3.4093014637761716E-2</v>
          </cell>
          <cell r="D189">
            <v>-1.7241379310344827E-2</v>
          </cell>
          <cell r="E189">
            <v>1.6874789065136686E-4</v>
          </cell>
          <cell r="F189">
            <v>-6.0524546065904503E-2</v>
          </cell>
          <cell r="G189">
            <v>-4.5010615711252651E-2</v>
          </cell>
          <cell r="H189">
            <v>-5.0540667606958155E-2</v>
          </cell>
          <cell r="I189">
            <v>-9.9832682654768551E-2</v>
          </cell>
          <cell r="J189">
            <v>-0.12349610757254069</v>
          </cell>
          <cell r="K189">
            <v>-6.7206192821956362E-2</v>
          </cell>
          <cell r="L189">
            <v>-5.4318093005080108E-2</v>
          </cell>
          <cell r="M189">
            <v>-1.6294721927027984E-2</v>
          </cell>
          <cell r="N189">
            <v>-4.0725806451612903E-2</v>
          </cell>
          <cell r="O189">
            <v>-1.9547719432732848E-2</v>
          </cell>
          <cell r="P189">
            <v>2.7155465037338764E-2</v>
          </cell>
          <cell r="Q189">
            <v>4.2627737226277371E-2</v>
          </cell>
          <cell r="R189">
            <v>6.5963060686015833E-3</v>
          </cell>
          <cell r="S189">
            <v>1.7680551393467185E-2</v>
          </cell>
          <cell r="T189">
            <v>1.9024240564590365E-2</v>
          </cell>
          <cell r="U189">
            <v>1.8917345750873109E-2</v>
          </cell>
          <cell r="V189">
            <v>1.9493177387914229E-3</v>
          </cell>
          <cell r="W189">
            <v>1.199665586205528E-2</v>
          </cell>
          <cell r="X189">
            <v>1.0594174757281553E-2</v>
          </cell>
          <cell r="Y189">
            <v>2.6626834100254196E-2</v>
          </cell>
          <cell r="Z189">
            <v>-5.3343267458377409E-3</v>
          </cell>
          <cell r="AA189">
            <v>6.2769529279544274E-3</v>
          </cell>
          <cell r="AB189">
            <v>1.1361518639092724E-2</v>
          </cell>
          <cell r="AC189">
            <v>3.1492147515153376E-2</v>
          </cell>
          <cell r="AD189">
            <v>7.8198613120828266E-4</v>
          </cell>
          <cell r="AE189">
            <v>1.3064930253041828E-2</v>
          </cell>
          <cell r="AF189">
            <v>1.283999771835073E-2</v>
          </cell>
          <cell r="AG189">
            <v>2.5682475966254063E-2</v>
          </cell>
          <cell r="AH189">
            <v>7.0932275865357814E-3</v>
          </cell>
          <cell r="AI189">
            <v>1.5937604394417118E-2</v>
          </cell>
          <cell r="AJ189">
            <v>1.323362316644869E-2</v>
          </cell>
          <cell r="AK189">
            <v>2.3987433734284899E-2</v>
          </cell>
          <cell r="AM189">
            <v>-1.3648226586231977E-2</v>
          </cell>
          <cell r="AN189">
            <v>-5.9184747646061173E-2</v>
          </cell>
          <cell r="AO189">
            <v>-6.561085972850679E-2</v>
          </cell>
          <cell r="AP189">
            <v>6.4572425828970329E-3</v>
          </cell>
          <cell r="AQ189">
            <v>1.5768524188609922E-2</v>
          </cell>
          <cell r="AR189">
            <v>1.204153924932031E-2</v>
          </cell>
          <cell r="AS189">
            <v>1.1784384608101616E-2</v>
          </cell>
          <cell r="AT189">
            <v>1.3142791485148105E-2</v>
          </cell>
          <cell r="AU189">
            <v>1.5426759785511772E-2</v>
          </cell>
        </row>
        <row r="191">
          <cell r="A191" t="str">
            <v>Segment forecast</v>
          </cell>
        </row>
        <row r="192">
          <cell r="A192" t="str">
            <v>Mobile Devices Handset Forecast (Millions)</v>
          </cell>
        </row>
        <row r="194">
          <cell r="A194" t="str">
            <v>Geographic forecast</v>
          </cell>
        </row>
        <row r="195">
          <cell r="A195" t="str">
            <v>Global Market by Geography (MS estimates)</v>
          </cell>
        </row>
        <row r="196">
          <cell r="A196" t="str">
            <v>North America</v>
          </cell>
          <cell r="B196">
            <v>38</v>
          </cell>
          <cell r="C196">
            <v>40</v>
          </cell>
          <cell r="D196">
            <v>42</v>
          </cell>
          <cell r="E196">
            <v>50</v>
          </cell>
          <cell r="F196">
            <v>41.934100000000001</v>
          </cell>
          <cell r="G196">
            <v>44</v>
          </cell>
          <cell r="H196">
            <v>47.5</v>
          </cell>
          <cell r="I196">
            <v>43.096762999999982</v>
          </cell>
          <cell r="J196">
            <v>39.5</v>
          </cell>
          <cell r="K196">
            <v>42.2</v>
          </cell>
          <cell r="L196">
            <v>44</v>
          </cell>
          <cell r="M196">
            <v>49</v>
          </cell>
          <cell r="N196">
            <v>41.27036481529656</v>
          </cell>
          <cell r="O196">
            <v>43.06472850291815</v>
          </cell>
          <cell r="P196">
            <v>43.753770224328974</v>
          </cell>
          <cell r="Q196">
            <v>51.347505219615272</v>
          </cell>
          <cell r="R196">
            <v>41.885997199556606</v>
          </cell>
          <cell r="S196">
            <v>44.118599557106108</v>
          </cell>
          <cell r="T196">
            <v>46.207690445431709</v>
          </cell>
          <cell r="U196">
            <v>50.92957321764888</v>
          </cell>
          <cell r="AM196">
            <v>170</v>
          </cell>
          <cell r="AN196">
            <v>176.53086299999998</v>
          </cell>
          <cell r="AO196">
            <v>174.7</v>
          </cell>
          <cell r="AP196">
            <v>179.43636876215896</v>
          </cell>
          <cell r="AQ196">
            <v>186.18332954082715</v>
          </cell>
          <cell r="AR196">
            <v>189.17854309943039</v>
          </cell>
          <cell r="AS196">
            <v>191.5188693684286</v>
          </cell>
          <cell r="AT196">
            <v>0</v>
          </cell>
          <cell r="AU196">
            <v>0</v>
          </cell>
        </row>
        <row r="197">
          <cell r="A197" t="str">
            <v>Latin America (plug)</v>
          </cell>
          <cell r="B197">
            <v>24.000000000000043</v>
          </cell>
          <cell r="C197">
            <v>33.999999999999986</v>
          </cell>
          <cell r="D197">
            <v>30.999999999999972</v>
          </cell>
          <cell r="E197">
            <v>41.999999999999972</v>
          </cell>
          <cell r="F197">
            <v>30</v>
          </cell>
          <cell r="G197">
            <v>39</v>
          </cell>
          <cell r="H197">
            <v>33.998149997621155</v>
          </cell>
          <cell r="I197">
            <v>38.722449398371225</v>
          </cell>
          <cell r="J197">
            <v>23.999999999999943</v>
          </cell>
          <cell r="K197">
            <v>29.499999999999943</v>
          </cell>
          <cell r="L197">
            <v>31.299999999999997</v>
          </cell>
          <cell r="M197">
            <v>38.500000000000014</v>
          </cell>
          <cell r="N197">
            <v>25.9439896337759</v>
          </cell>
          <cell r="O197">
            <v>31.132787560531106</v>
          </cell>
          <cell r="P197">
            <v>33.676006641639134</v>
          </cell>
          <cell r="Q197">
            <v>38.967164332933464</v>
          </cell>
          <cell r="R197">
            <v>27.93771409785257</v>
          </cell>
          <cell r="S197">
            <v>35.930749446979704</v>
          </cell>
          <cell r="T197">
            <v>34.984379420970626</v>
          </cell>
          <cell r="U197">
            <v>47.372451831352251</v>
          </cell>
          <cell r="V197">
            <v>379.11552345672357</v>
          </cell>
          <cell r="W197">
            <v>389.80798499637706</v>
          </cell>
          <cell r="X197">
            <v>402.81415587017295</v>
          </cell>
          <cell r="Y197">
            <v>451.68937129446067</v>
          </cell>
          <cell r="Z197">
            <v>0</v>
          </cell>
          <cell r="AA197">
            <v>0</v>
          </cell>
          <cell r="AB197">
            <v>0</v>
          </cell>
          <cell r="AC197">
            <v>0</v>
          </cell>
          <cell r="AD197">
            <v>0</v>
          </cell>
          <cell r="AE197">
            <v>0</v>
          </cell>
          <cell r="AF197">
            <v>0</v>
          </cell>
          <cell r="AG197">
            <v>0</v>
          </cell>
          <cell r="AH197">
            <v>0</v>
          </cell>
          <cell r="AI197">
            <v>0</v>
          </cell>
          <cell r="AJ197">
            <v>0</v>
          </cell>
          <cell r="AK197">
            <v>0</v>
          </cell>
          <cell r="AM197">
            <v>130.99999999999997</v>
          </cell>
          <cell r="AN197">
            <v>141.72059939599239</v>
          </cell>
          <cell r="AO197">
            <v>123.2999999999999</v>
          </cell>
          <cell r="AP197">
            <v>129.7199481688796</v>
          </cell>
          <cell r="AQ197">
            <v>274.82996253609167</v>
          </cell>
          <cell r="AR197">
            <v>291.73059352336213</v>
          </cell>
          <cell r="AS197">
            <v>304.41795554546832</v>
          </cell>
          <cell r="AT197">
            <v>0</v>
          </cell>
          <cell r="AU197">
            <v>0</v>
          </cell>
        </row>
        <row r="198">
          <cell r="A198" t="str">
            <v xml:space="preserve">    Western Europe</v>
          </cell>
          <cell r="B198">
            <v>39</v>
          </cell>
          <cell r="C198">
            <v>38.5</v>
          </cell>
          <cell r="D198">
            <v>40</v>
          </cell>
          <cell r="E198">
            <v>49.545305370000051</v>
          </cell>
          <cell r="F198">
            <v>37</v>
          </cell>
          <cell r="G198">
            <v>41.625</v>
          </cell>
          <cell r="H198">
            <v>43.548499999999997</v>
          </cell>
          <cell r="I198">
            <v>41.55683664</v>
          </cell>
          <cell r="J198">
            <v>32</v>
          </cell>
          <cell r="K198">
            <v>31</v>
          </cell>
          <cell r="L198">
            <v>34.299999999999997</v>
          </cell>
          <cell r="M198">
            <v>40.154862080965955</v>
          </cell>
          <cell r="N198">
            <v>31.778149520761499</v>
          </cell>
          <cell r="O198">
            <v>32.789272460058456</v>
          </cell>
          <cell r="P198">
            <v>43.918452968477368</v>
          </cell>
          <cell r="Q198">
            <v>40.960259235982207</v>
          </cell>
          <cell r="R198">
            <v>32.626893270096218</v>
          </cell>
          <cell r="S198">
            <v>33.601437227498451</v>
          </cell>
          <cell r="T198">
            <v>37.939692968398568</v>
          </cell>
          <cell r="U198">
            <v>46.267132761128522</v>
          </cell>
          <cell r="AM198">
            <v>167.04530537000005</v>
          </cell>
          <cell r="AN198">
            <v>163.73033663999999</v>
          </cell>
          <cell r="AO198">
            <v>137.45486208096594</v>
          </cell>
          <cell r="AP198">
            <v>149.44613418527953</v>
          </cell>
          <cell r="AQ198">
            <v>150.43515622712175</v>
          </cell>
          <cell r="AR198">
            <v>151.13736497428977</v>
          </cell>
          <cell r="AS198">
            <v>151.68289153001805</v>
          </cell>
          <cell r="AT198">
            <v>0</v>
          </cell>
          <cell r="AU198">
            <v>0</v>
          </cell>
        </row>
        <row r="199">
          <cell r="A199" t="str">
            <v xml:space="preserve">    E. Eur, ME, Africa</v>
          </cell>
          <cell r="B199">
            <v>44.548226410385851</v>
          </cell>
          <cell r="C199">
            <v>47.592398938829106</v>
          </cell>
          <cell r="D199">
            <v>51.257464742521194</v>
          </cell>
          <cell r="E199">
            <v>56.516456024294278</v>
          </cell>
          <cell r="F199">
            <v>52.757389651032021</v>
          </cell>
          <cell r="G199">
            <v>53.937903734785387</v>
          </cell>
          <cell r="H199">
            <v>56.944354245880625</v>
          </cell>
          <cell r="I199">
            <v>64.008039557937479</v>
          </cell>
          <cell r="J199">
            <v>48.094997795888638</v>
          </cell>
          <cell r="K199">
            <v>49.077272727272728</v>
          </cell>
          <cell r="L199">
            <v>53.209452898567832</v>
          </cell>
          <cell r="M199">
            <v>61.226704545454552</v>
          </cell>
          <cell r="N199">
            <v>52.422562256499219</v>
          </cell>
          <cell r="O199">
            <v>53.82972488941099</v>
          </cell>
          <cell r="P199">
            <v>58.506359388922817</v>
          </cell>
          <cell r="Q199">
            <v>69.283635593040785</v>
          </cell>
          <cell r="R199">
            <v>57.060333460157288</v>
          </cell>
          <cell r="S199">
            <v>59.245918709982746</v>
          </cell>
          <cell r="T199">
            <v>63.594295991346613</v>
          </cell>
          <cell r="U199">
            <v>76.441319453765047</v>
          </cell>
          <cell r="AM199">
            <v>199.91454611603044</v>
          </cell>
          <cell r="AN199">
            <v>227.64768718963552</v>
          </cell>
          <cell r="AO199">
            <v>211.60842796718373</v>
          </cell>
          <cell r="AP199">
            <v>234.04228212787382</v>
          </cell>
          <cell r="AQ199">
            <v>237.74470859535981</v>
          </cell>
          <cell r="AR199">
            <v>261.37229332589936</v>
          </cell>
          <cell r="AS199">
            <v>290.6465991219539</v>
          </cell>
          <cell r="AT199">
            <v>0</v>
          </cell>
          <cell r="AU199">
            <v>0</v>
          </cell>
        </row>
        <row r="200">
          <cell r="A200" t="str">
            <v>Total EMEA</v>
          </cell>
          <cell r="B200">
            <v>83.548226410385851</v>
          </cell>
          <cell r="C200">
            <v>86.092398938829106</v>
          </cell>
          <cell r="D200">
            <v>91.257464742521194</v>
          </cell>
          <cell r="E200">
            <v>106.06176139429434</v>
          </cell>
          <cell r="F200">
            <v>89.757389651032014</v>
          </cell>
          <cell r="G200">
            <v>95.56290373478538</v>
          </cell>
          <cell r="H200">
            <v>100.49285424588062</v>
          </cell>
          <cell r="I200">
            <v>105.56487619793748</v>
          </cell>
          <cell r="J200">
            <v>80.094997795888645</v>
          </cell>
          <cell r="K200">
            <v>80.077272727272728</v>
          </cell>
          <cell r="L200">
            <v>87.509452898567829</v>
          </cell>
          <cell r="M200">
            <v>101.38156662642051</v>
          </cell>
          <cell r="N200">
            <v>84.200711777260722</v>
          </cell>
          <cell r="O200">
            <v>86.618997349469453</v>
          </cell>
          <cell r="P200">
            <v>102.42481235740019</v>
          </cell>
          <cell r="Q200">
            <v>110.24389482902299</v>
          </cell>
          <cell r="R200">
            <v>89.687226730253514</v>
          </cell>
          <cell r="S200">
            <v>92.847355937481197</v>
          </cell>
          <cell r="T200">
            <v>101.53398895974519</v>
          </cell>
          <cell r="U200">
            <v>122.70845221489357</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M200">
            <v>366.95985148603052</v>
          </cell>
          <cell r="AN200">
            <v>391.37802382963548</v>
          </cell>
          <cell r="AO200">
            <v>349.06329004814972</v>
          </cell>
          <cell r="AP200">
            <v>383.48841631315338</v>
          </cell>
          <cell r="AQ200">
            <v>388.17986482248159</v>
          </cell>
          <cell r="AR200">
            <v>412.50965830018913</v>
          </cell>
          <cell r="AS200">
            <v>442.32949065197192</v>
          </cell>
          <cell r="AT200">
            <v>0</v>
          </cell>
          <cell r="AU200">
            <v>0</v>
          </cell>
        </row>
        <row r="201">
          <cell r="A201" t="str">
            <v xml:space="preserve">    China</v>
          </cell>
          <cell r="B201">
            <v>50.248110073878948</v>
          </cell>
          <cell r="C201">
            <v>46.971972746980512</v>
          </cell>
          <cell r="D201">
            <v>52.567219067125947</v>
          </cell>
          <cell r="E201">
            <v>57.886968706212073</v>
          </cell>
          <cell r="F201">
            <v>63.078901734104065</v>
          </cell>
          <cell r="G201">
            <v>59.038201878960038</v>
          </cell>
          <cell r="H201">
            <v>64.799435028248581</v>
          </cell>
          <cell r="I201">
            <v>57.783590304514135</v>
          </cell>
          <cell r="J201">
            <v>63.942546583850927</v>
          </cell>
          <cell r="K201">
            <v>56.85</v>
          </cell>
          <cell r="L201">
            <v>64.088304093567245</v>
          </cell>
          <cell r="M201">
            <v>73.331249999999997</v>
          </cell>
          <cell r="N201">
            <v>74.678254300077171</v>
          </cell>
          <cell r="O201">
            <v>71.163724544255558</v>
          </cell>
          <cell r="P201">
            <v>78.338683403528719</v>
          </cell>
          <cell r="Q201">
            <v>77.121958014678626</v>
          </cell>
          <cell r="R201">
            <v>79.445009882635972</v>
          </cell>
          <cell r="S201">
            <v>73.701607697990326</v>
          </cell>
          <cell r="T201">
            <v>81.881563079374345</v>
          </cell>
          <cell r="U201">
            <v>79.949214172523853</v>
          </cell>
          <cell r="AM201">
            <v>207.67427059419748</v>
          </cell>
          <cell r="AN201">
            <v>244.7001289458268</v>
          </cell>
          <cell r="AO201">
            <v>258.21210067741816</v>
          </cell>
          <cell r="AP201">
            <v>301.30262026254007</v>
          </cell>
          <cell r="AQ201">
            <v>239.52755119820435</v>
          </cell>
          <cell r="AR201">
            <v>273.10055747008528</v>
          </cell>
          <cell r="AS201">
            <v>291.23165395584311</v>
          </cell>
          <cell r="AT201">
            <v>0</v>
          </cell>
          <cell r="AU201">
            <v>0</v>
          </cell>
        </row>
        <row r="202">
          <cell r="A202" t="str">
            <v xml:space="preserve">    Japan</v>
          </cell>
          <cell r="B202">
            <v>14.528582146666665</v>
          </cell>
          <cell r="C202">
            <v>12.042250743333335</v>
          </cell>
          <cell r="D202">
            <v>13.316694799999997</v>
          </cell>
          <cell r="E202">
            <v>12.366834566666668</v>
          </cell>
          <cell r="F202">
            <v>13.389995959999998</v>
          </cell>
          <cell r="G202">
            <v>9.8285642499999994</v>
          </cell>
          <cell r="H202">
            <v>10.2276957262</v>
          </cell>
          <cell r="I202">
            <v>8.9359136150000005</v>
          </cell>
          <cell r="J202">
            <v>10.535846877849998</v>
          </cell>
          <cell r="K202">
            <v>8.7675883757000044</v>
          </cell>
          <cell r="L202">
            <v>9.3010670969999989</v>
          </cell>
          <cell r="M202">
            <v>8.6134608200000002</v>
          </cell>
          <cell r="N202">
            <v>10.889572643399999</v>
          </cell>
          <cell r="O202">
            <v>9.3428432795000003</v>
          </cell>
          <cell r="P202">
            <v>7.6074290391516808</v>
          </cell>
          <cell r="Q202">
            <v>7.1857318987081911</v>
          </cell>
          <cell r="R202">
            <v>9.9094548258191253</v>
          </cell>
          <cell r="S202">
            <v>8.0469168863165628</v>
          </cell>
          <cell r="T202">
            <v>8.0351846512075564</v>
          </cell>
          <cell r="U202">
            <v>7.3747665872504982</v>
          </cell>
          <cell r="AM202">
            <v>52.254362256666667</v>
          </cell>
          <cell r="AN202">
            <v>42.382169551200008</v>
          </cell>
          <cell r="AO202">
            <v>37.21796317055</v>
          </cell>
          <cell r="AP202">
            <v>35.02557686075987</v>
          </cell>
          <cell r="AQ202">
            <v>38.868240104111052</v>
          </cell>
          <cell r="AR202">
            <v>41.964516668675373</v>
          </cell>
          <cell r="AS202">
            <v>45.163464470112935</v>
          </cell>
          <cell r="AT202">
            <v>0</v>
          </cell>
          <cell r="AU202">
            <v>0</v>
          </cell>
        </row>
        <row r="203">
          <cell r="A203" t="str">
            <v xml:space="preserve">    Asia Pacific ex. China &amp; Japan</v>
          </cell>
          <cell r="B203">
            <v>53.632913349750879</v>
          </cell>
          <cell r="C203">
            <v>56.071549499329009</v>
          </cell>
          <cell r="D203">
            <v>67.903826459361312</v>
          </cell>
          <cell r="E203">
            <v>79.069073403594103</v>
          </cell>
          <cell r="F203">
            <v>77.625990366088629</v>
          </cell>
          <cell r="G203">
            <v>76.887380161677953</v>
          </cell>
          <cell r="H203">
            <v>76.830917702448232</v>
          </cell>
          <cell r="I203">
            <v>77.067080753985863</v>
          </cell>
          <cell r="J203">
            <v>74.33229813664596</v>
          </cell>
          <cell r="K203">
            <v>76.254545454545465</v>
          </cell>
          <cell r="L203">
            <v>83.675438596491233</v>
          </cell>
          <cell r="M203">
            <v>90.553409090909099</v>
          </cell>
          <cell r="N203">
            <v>87.57184633271757</v>
          </cell>
          <cell r="O203">
            <v>92.392859023811639</v>
          </cell>
          <cell r="P203">
            <v>98.199298333951305</v>
          </cell>
          <cell r="Q203">
            <v>112.14079542731399</v>
          </cell>
          <cell r="R203">
            <v>100.22494852771163</v>
          </cell>
          <cell r="S203">
            <v>103.09056133265427</v>
          </cell>
          <cell r="T203">
            <v>107.74823240189525</v>
          </cell>
          <cell r="U203">
            <v>120.56112369968012</v>
          </cell>
          <cell r="AM203">
            <v>256.67736271203535</v>
          </cell>
          <cell r="AN203">
            <v>308.41136898420069</v>
          </cell>
          <cell r="AO203">
            <v>324.81569127859177</v>
          </cell>
          <cell r="AP203">
            <v>390.30479911779452</v>
          </cell>
          <cell r="AQ203">
            <v>388.52381460261563</v>
          </cell>
          <cell r="AR203">
            <v>427.39254257349631</v>
          </cell>
          <cell r="AS203">
            <v>464.55742050134336</v>
          </cell>
          <cell r="AT203">
            <v>0</v>
          </cell>
          <cell r="AU203">
            <v>0</v>
          </cell>
        </row>
        <row r="204">
          <cell r="A204" t="str">
            <v>Total Asia-Pacific</v>
          </cell>
          <cell r="B204">
            <v>118.40960557029649</v>
          </cell>
          <cell r="C204">
            <v>115.08577298964286</v>
          </cell>
          <cell r="D204">
            <v>133.78774032648727</v>
          </cell>
          <cell r="E204">
            <v>149.32287667647284</v>
          </cell>
          <cell r="F204">
            <v>154.09488806019269</v>
          </cell>
          <cell r="G204">
            <v>145.754146290638</v>
          </cell>
          <cell r="H204">
            <v>151.85804845689682</v>
          </cell>
          <cell r="I204">
            <v>143.78658467349999</v>
          </cell>
          <cell r="J204">
            <v>148.81069159834689</v>
          </cell>
          <cell r="K204">
            <v>141.87213383024547</v>
          </cell>
          <cell r="L204">
            <v>157.06480978705849</v>
          </cell>
          <cell r="M204">
            <v>172.49811991090911</v>
          </cell>
          <cell r="N204">
            <v>173.13967327619474</v>
          </cell>
          <cell r="O204">
            <v>172.89942684756721</v>
          </cell>
          <cell r="P204">
            <v>184.14541077663171</v>
          </cell>
          <cell r="Q204">
            <v>196.44848534070081</v>
          </cell>
          <cell r="R204">
            <v>189.57941323616672</v>
          </cell>
          <cell r="S204">
            <v>184.83908591696115</v>
          </cell>
          <cell r="T204">
            <v>197.66498013247715</v>
          </cell>
          <cell r="U204">
            <v>207.88510445945445</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M204">
            <v>516.60599556289947</v>
          </cell>
          <cell r="AN204">
            <v>595.49366748122748</v>
          </cell>
          <cell r="AO204">
            <v>620.24575512655997</v>
          </cell>
          <cell r="AP204">
            <v>726.63299624109447</v>
          </cell>
          <cell r="AQ204">
            <v>666.91960590493102</v>
          </cell>
          <cell r="AR204">
            <v>742.45761671225694</v>
          </cell>
          <cell r="AS204">
            <v>800.95253892729943</v>
          </cell>
          <cell r="AT204">
            <v>0</v>
          </cell>
          <cell r="AU204">
            <v>0</v>
          </cell>
        </row>
        <row r="205">
          <cell r="A205" t="str">
            <v>Total Handsets</v>
          </cell>
          <cell r="B205">
            <v>263.95783198068239</v>
          </cell>
          <cell r="C205">
            <v>275.17817192847195</v>
          </cell>
          <cell r="D205">
            <v>298.04520506900843</v>
          </cell>
          <cell r="E205">
            <v>347.38463807076715</v>
          </cell>
          <cell r="F205">
            <v>315.7863777112247</v>
          </cell>
          <cell r="G205">
            <v>324.31705002542338</v>
          </cell>
          <cell r="H205">
            <v>333.8490527003986</v>
          </cell>
          <cell r="I205">
            <v>331.17067326980867</v>
          </cell>
          <cell r="J205">
            <v>292.40568939423548</v>
          </cell>
          <cell r="K205">
            <v>293.64940655751815</v>
          </cell>
          <cell r="L205">
            <v>319.87426268562632</v>
          </cell>
          <cell r="M205">
            <v>361.37968653732963</v>
          </cell>
          <cell r="N205">
            <v>324.55473950252792</v>
          </cell>
          <cell r="O205">
            <v>333.71594026048592</v>
          </cell>
          <cell r="P205">
            <v>364</v>
          </cell>
          <cell r="Q205">
            <v>397.00704972227254</v>
          </cell>
          <cell r="R205">
            <v>349.0903512638294</v>
          </cell>
          <cell r="S205">
            <v>357.73579085852816</v>
          </cell>
          <cell r="T205">
            <v>380.39103895862468</v>
          </cell>
          <cell r="U205">
            <v>428.89558172334915</v>
          </cell>
          <cell r="V205">
            <v>379.11552345672357</v>
          </cell>
          <cell r="W205">
            <v>389.80798499637706</v>
          </cell>
          <cell r="X205">
            <v>402.81415587017295</v>
          </cell>
          <cell r="Y205">
            <v>451.68937129446067</v>
          </cell>
          <cell r="Z205">
            <v>0</v>
          </cell>
          <cell r="AA205">
            <v>0</v>
          </cell>
          <cell r="AB205">
            <v>0</v>
          </cell>
          <cell r="AC205">
            <v>0</v>
          </cell>
          <cell r="AD205">
            <v>0</v>
          </cell>
          <cell r="AE205">
            <v>0</v>
          </cell>
          <cell r="AF205">
            <v>0</v>
          </cell>
          <cell r="AG205">
            <v>0</v>
          </cell>
          <cell r="AH205">
            <v>0</v>
          </cell>
          <cell r="AI205">
            <v>0</v>
          </cell>
          <cell r="AJ205">
            <v>0</v>
          </cell>
          <cell r="AK205">
            <v>0</v>
          </cell>
          <cell r="AM205">
            <v>1184.56584704893</v>
          </cell>
          <cell r="AN205">
            <v>1305.1231537068554</v>
          </cell>
          <cell r="AO205">
            <v>1267.3090451747096</v>
          </cell>
          <cell r="AP205">
            <v>1419.2777294852863</v>
          </cell>
          <cell r="AQ205">
            <v>1516.1127628043314</v>
          </cell>
          <cell r="AR205">
            <v>1635.8764116352386</v>
          </cell>
          <cell r="AS205">
            <v>1739.2188544931682</v>
          </cell>
          <cell r="AT205">
            <v>0</v>
          </cell>
          <cell r="AU205">
            <v>0</v>
          </cell>
        </row>
        <row r="207">
          <cell r="A207" t="str">
            <v>Motorola Shipments by Geography</v>
          </cell>
        </row>
        <row r="208">
          <cell r="A208" t="str">
            <v>North America</v>
          </cell>
          <cell r="B208">
            <v>13.8</v>
          </cell>
          <cell r="C208">
            <v>10.65</v>
          </cell>
          <cell r="D208">
            <v>12</v>
          </cell>
          <cell r="E208">
            <v>16</v>
          </cell>
          <cell r="F208">
            <v>12</v>
          </cell>
          <cell r="G208">
            <v>13.5</v>
          </cell>
          <cell r="H208">
            <v>12.7</v>
          </cell>
          <cell r="I208">
            <v>9.8000000000000007</v>
          </cell>
          <cell r="J208">
            <v>8.3789999999999996</v>
          </cell>
          <cell r="K208">
            <v>7.6220000000000008</v>
          </cell>
          <cell r="L208">
            <v>7.0039999999999996</v>
          </cell>
          <cell r="M208">
            <v>8.2799999999999994</v>
          </cell>
          <cell r="AM208">
            <v>52.45</v>
          </cell>
          <cell r="AN208">
            <v>48</v>
          </cell>
          <cell r="AO208">
            <v>31.285000000000004</v>
          </cell>
        </row>
        <row r="209">
          <cell r="A209" t="str">
            <v>Latin America</v>
          </cell>
          <cell r="B209">
            <v>5.98</v>
          </cell>
          <cell r="C209">
            <v>5.3250000000000002</v>
          </cell>
          <cell r="D209">
            <v>6.5</v>
          </cell>
          <cell r="E209">
            <v>8</v>
          </cell>
          <cell r="F209">
            <v>7</v>
          </cell>
          <cell r="G209">
            <v>7.8</v>
          </cell>
          <cell r="H209">
            <v>5.9</v>
          </cell>
          <cell r="I209">
            <v>5</v>
          </cell>
          <cell r="J209">
            <v>3.0869999999999997</v>
          </cell>
          <cell r="K209">
            <v>3.8480000000000003</v>
          </cell>
          <cell r="L209">
            <v>3.536</v>
          </cell>
          <cell r="M209">
            <v>1.92</v>
          </cell>
          <cell r="AM209">
            <v>25.805</v>
          </cell>
          <cell r="AN209">
            <v>25.700000000000003</v>
          </cell>
          <cell r="AO209">
            <v>12.391</v>
          </cell>
        </row>
        <row r="210">
          <cell r="A210" t="str">
            <v xml:space="preserve">    Western Europe</v>
          </cell>
          <cell r="B210">
            <v>5.3</v>
          </cell>
          <cell r="C210">
            <v>4.1890000000000001</v>
          </cell>
          <cell r="D210">
            <v>4</v>
          </cell>
          <cell r="E210">
            <v>3</v>
          </cell>
          <cell r="F210">
            <v>1.4</v>
          </cell>
          <cell r="G210">
            <v>1</v>
          </cell>
          <cell r="H210">
            <v>0.6</v>
          </cell>
          <cell r="I210">
            <v>0.6</v>
          </cell>
          <cell r="J210">
            <v>0.29399999999999998</v>
          </cell>
          <cell r="K210">
            <v>0.29600000000000004</v>
          </cell>
          <cell r="L210">
            <v>0.27200000000000002</v>
          </cell>
          <cell r="M210">
            <v>0.36</v>
          </cell>
          <cell r="AM210">
            <v>16.489000000000001</v>
          </cell>
          <cell r="AN210">
            <v>3.6</v>
          </cell>
          <cell r="AO210">
            <v>1.222</v>
          </cell>
        </row>
        <row r="211">
          <cell r="A211" t="str">
            <v xml:space="preserve">    E. Eur, ME, Africa</v>
          </cell>
          <cell r="B211">
            <v>5.52</v>
          </cell>
          <cell r="C211">
            <v>4.26</v>
          </cell>
          <cell r="D211">
            <v>4</v>
          </cell>
          <cell r="E211">
            <v>3</v>
          </cell>
          <cell r="F211">
            <v>2.5</v>
          </cell>
          <cell r="G211">
            <v>2</v>
          </cell>
          <cell r="H211">
            <v>1.4</v>
          </cell>
          <cell r="I211">
            <v>0.8</v>
          </cell>
          <cell r="J211">
            <v>0.44099999999999995</v>
          </cell>
          <cell r="K211">
            <v>0.44400000000000001</v>
          </cell>
          <cell r="L211">
            <v>0.40799999999999997</v>
          </cell>
          <cell r="M211">
            <v>0</v>
          </cell>
          <cell r="AM211">
            <v>16.78</v>
          </cell>
          <cell r="AN211">
            <v>6.7</v>
          </cell>
          <cell r="AO211">
            <v>1.2929999999999999</v>
          </cell>
        </row>
        <row r="212">
          <cell r="A212" t="str">
            <v>EMEA</v>
          </cell>
          <cell r="B212">
            <v>10.82</v>
          </cell>
          <cell r="C212">
            <v>8.4489999999999998</v>
          </cell>
          <cell r="D212">
            <v>8</v>
          </cell>
          <cell r="E212">
            <v>6</v>
          </cell>
          <cell r="F212">
            <v>3.9</v>
          </cell>
          <cell r="G212">
            <v>3</v>
          </cell>
          <cell r="H212">
            <v>2</v>
          </cell>
          <cell r="I212">
            <v>1.4</v>
          </cell>
          <cell r="J212">
            <v>0.73499999999999988</v>
          </cell>
          <cell r="K212">
            <v>0.7400000000000001</v>
          </cell>
          <cell r="L212">
            <v>0.68</v>
          </cell>
          <cell r="M212">
            <v>0.36</v>
          </cell>
          <cell r="AM212">
            <v>33.268999999999998</v>
          </cell>
          <cell r="AN212">
            <v>10.3</v>
          </cell>
          <cell r="AO212">
            <v>2.5150000000000001</v>
          </cell>
        </row>
        <row r="213">
          <cell r="A213" t="str">
            <v xml:space="preserve">    China</v>
          </cell>
          <cell r="B213">
            <v>6.9</v>
          </cell>
          <cell r="C213">
            <v>5.3250000000000002</v>
          </cell>
          <cell r="D213">
            <v>5</v>
          </cell>
          <cell r="E213">
            <v>4.8</v>
          </cell>
          <cell r="F213">
            <v>2.2999999999999998</v>
          </cell>
          <cell r="G213">
            <v>2</v>
          </cell>
          <cell r="H213">
            <v>2.2999999999999998</v>
          </cell>
          <cell r="I213">
            <v>1.33</v>
          </cell>
          <cell r="J213">
            <v>1.47</v>
          </cell>
          <cell r="K213">
            <v>1.4800000000000002</v>
          </cell>
          <cell r="L213">
            <v>1.36</v>
          </cell>
          <cell r="M213">
            <v>1.2</v>
          </cell>
          <cell r="AM213">
            <v>22.025000000000002</v>
          </cell>
          <cell r="AN213">
            <v>7.93</v>
          </cell>
          <cell r="AO213">
            <v>5.5100000000000007</v>
          </cell>
        </row>
        <row r="214">
          <cell r="A214" t="str">
            <v xml:space="preserve">    Japan</v>
          </cell>
          <cell r="B214">
            <v>0.36799999999999999</v>
          </cell>
          <cell r="C214">
            <v>0.28400000000000003</v>
          </cell>
          <cell r="D214">
            <v>0.28800000000000003</v>
          </cell>
          <cell r="E214">
            <v>0.2</v>
          </cell>
          <cell r="F214">
            <v>0.36799999999999999</v>
          </cell>
          <cell r="G214">
            <v>0.14499999999999999</v>
          </cell>
          <cell r="H214">
            <v>0.1</v>
          </cell>
          <cell r="I214">
            <v>9.5000000000000001E-2</v>
          </cell>
          <cell r="J214">
            <v>7.3499999999999996E-2</v>
          </cell>
          <cell r="K214">
            <v>7.400000000000001E-2</v>
          </cell>
          <cell r="L214">
            <v>6.8000000000000005E-2</v>
          </cell>
          <cell r="M214">
            <v>0.06</v>
          </cell>
          <cell r="AM214">
            <v>1.1400000000000001</v>
          </cell>
          <cell r="AN214">
            <v>0.70799999999999996</v>
          </cell>
          <cell r="AO214">
            <v>0.27550000000000002</v>
          </cell>
        </row>
        <row r="215">
          <cell r="A215" t="str">
            <v xml:space="preserve">    Asia Pacific ex. China &amp; Japan</v>
          </cell>
          <cell r="B215">
            <v>7.5440000000000005</v>
          </cell>
          <cell r="C215">
            <v>5.4669999999999996</v>
          </cell>
          <cell r="D215">
            <v>5.411999999999999</v>
          </cell>
          <cell r="E215">
            <v>5.9000000000000012</v>
          </cell>
          <cell r="F215">
            <v>1.8319999999999999</v>
          </cell>
          <cell r="G215">
            <v>1.6549999999999998</v>
          </cell>
          <cell r="H215">
            <v>2.4000000000000004</v>
          </cell>
          <cell r="I215">
            <v>1.5749999999999997</v>
          </cell>
          <cell r="J215">
            <v>0.95550000000000002</v>
          </cell>
          <cell r="K215">
            <v>1.0360000000000003</v>
          </cell>
          <cell r="L215">
            <v>0.95200000000000007</v>
          </cell>
          <cell r="M215">
            <v>0.17999999999999994</v>
          </cell>
          <cell r="AM215">
            <v>24.323</v>
          </cell>
          <cell r="AN215">
            <v>7.4619999999999997</v>
          </cell>
          <cell r="AO215">
            <v>3.1234999999999999</v>
          </cell>
        </row>
        <row r="216">
          <cell r="A216" t="str">
            <v>Asia Pacific</v>
          </cell>
          <cell r="B216">
            <v>14.812000000000001</v>
          </cell>
          <cell r="C216">
            <v>11.076000000000001</v>
          </cell>
          <cell r="D216">
            <v>10.7</v>
          </cell>
          <cell r="E216">
            <v>10.9</v>
          </cell>
          <cell r="F216">
            <v>4.5</v>
          </cell>
          <cell r="G216">
            <v>3.8</v>
          </cell>
          <cell r="H216">
            <v>4.8</v>
          </cell>
          <cell r="I216">
            <v>3</v>
          </cell>
          <cell r="J216">
            <v>2.4990000000000001</v>
          </cell>
          <cell r="K216">
            <v>2.5900000000000003</v>
          </cell>
          <cell r="L216">
            <v>2.3800000000000003</v>
          </cell>
          <cell r="M216">
            <v>1.44</v>
          </cell>
          <cell r="AM216">
            <v>47.488</v>
          </cell>
          <cell r="AN216">
            <v>16.100000000000001</v>
          </cell>
          <cell r="AO216">
            <v>8.9090000000000007</v>
          </cell>
        </row>
        <row r="217">
          <cell r="A217" t="str">
            <v>Total MOT Handsets</v>
          </cell>
          <cell r="B217">
            <v>45.4</v>
          </cell>
          <cell r="C217">
            <v>35.5</v>
          </cell>
          <cell r="D217">
            <v>37.200000000000003</v>
          </cell>
          <cell r="E217">
            <v>40.9</v>
          </cell>
          <cell r="F217">
            <v>27.4</v>
          </cell>
          <cell r="G217">
            <v>28.1</v>
          </cell>
          <cell r="H217">
            <v>25.4</v>
          </cell>
          <cell r="I217">
            <v>19.2</v>
          </cell>
          <cell r="J217">
            <v>14.7</v>
          </cell>
          <cell r="K217">
            <v>14.8</v>
          </cell>
          <cell r="L217">
            <v>13.6</v>
          </cell>
          <cell r="M217">
            <v>12</v>
          </cell>
          <cell r="AM217">
            <v>159</v>
          </cell>
          <cell r="AN217">
            <v>100.10000000000001</v>
          </cell>
          <cell r="AO217">
            <v>55.1</v>
          </cell>
        </row>
        <row r="219">
          <cell r="A219" t="str">
            <v>% Change y/y</v>
          </cell>
        </row>
        <row r="220">
          <cell r="A220" t="str">
            <v>North America</v>
          </cell>
          <cell r="B220">
            <v>7.8125E-2</v>
          </cell>
          <cell r="C220">
            <v>-0.39830508474576265</v>
          </cell>
          <cell r="D220">
            <v>-0.24528301886792458</v>
          </cell>
          <cell r="E220">
            <v>-0.13043478260869557</v>
          </cell>
          <cell r="F220">
            <v>-0.13043478260869568</v>
          </cell>
          <cell r="G220">
            <v>0.26760563380281677</v>
          </cell>
          <cell r="H220">
            <v>5.8333333333333348E-2</v>
          </cell>
          <cell r="I220">
            <v>-0.38749999999999996</v>
          </cell>
          <cell r="J220">
            <v>-0.30175000000000007</v>
          </cell>
          <cell r="K220">
            <v>-0.43540740740740735</v>
          </cell>
          <cell r="L220">
            <v>-0.44850393700787405</v>
          </cell>
          <cell r="M220">
            <v>-0.15510204081632661</v>
          </cell>
          <cell r="AN220">
            <v>-8.4842707340324175E-2</v>
          </cell>
          <cell r="AO220">
            <v>-0.34822916666666659</v>
          </cell>
        </row>
        <row r="221">
          <cell r="A221" t="str">
            <v>Latin America</v>
          </cell>
          <cell r="B221">
            <v>-0.1694444444444444</v>
          </cell>
          <cell r="C221">
            <v>-0.37352941176470589</v>
          </cell>
          <cell r="D221">
            <v>-0.27777777777777779</v>
          </cell>
          <cell r="E221">
            <v>-0.12087912087912089</v>
          </cell>
          <cell r="F221">
            <v>0.17056856187290959</v>
          </cell>
          <cell r="G221">
            <v>0.46478873239436602</v>
          </cell>
          <cell r="H221">
            <v>-9.2307692307692202E-2</v>
          </cell>
          <cell r="I221">
            <v>-0.375</v>
          </cell>
          <cell r="J221">
            <v>-0.55900000000000005</v>
          </cell>
          <cell r="K221">
            <v>-0.5066666666666666</v>
          </cell>
          <cell r="L221">
            <v>-0.40067796610169493</v>
          </cell>
          <cell r="M221">
            <v>-0.61599999999999999</v>
          </cell>
          <cell r="AN221">
            <v>-4.0689788800618576E-3</v>
          </cell>
          <cell r="AO221">
            <v>-0.51785992217898835</v>
          </cell>
        </row>
        <row r="222">
          <cell r="A222" t="str">
            <v>Western Europe</v>
          </cell>
          <cell r="B222">
            <v>-0.22058823529411764</v>
          </cell>
          <cell r="C222">
            <v>-0.32435483870967741</v>
          </cell>
          <cell r="D222">
            <v>-0.31034482758620685</v>
          </cell>
          <cell r="E222">
            <v>-0.63855421686746994</v>
          </cell>
          <cell r="F222">
            <v>-0.73584905660377364</v>
          </cell>
          <cell r="G222">
            <v>-0.76127954165671996</v>
          </cell>
          <cell r="H222">
            <v>-0.85</v>
          </cell>
          <cell r="I222">
            <v>-0.8</v>
          </cell>
          <cell r="J222">
            <v>-0.79</v>
          </cell>
          <cell r="K222">
            <v>-0.70399999999999996</v>
          </cell>
          <cell r="L222">
            <v>-0.54666666666666663</v>
          </cell>
          <cell r="M222">
            <v>-0.4</v>
          </cell>
          <cell r="AN222">
            <v>-0.78167263023834077</v>
          </cell>
          <cell r="AO222">
            <v>-0.66055555555555556</v>
          </cell>
        </row>
        <row r="223">
          <cell r="A223" t="str">
            <v>E. Eur, ME, Africa</v>
          </cell>
          <cell r="B223">
            <v>-0.18823529411764706</v>
          </cell>
          <cell r="C223">
            <v>-0.28999999999999998</v>
          </cell>
          <cell r="D223">
            <v>-0.34426229508196715</v>
          </cell>
          <cell r="E223">
            <v>-0.5714285714285714</v>
          </cell>
          <cell r="F223">
            <v>-0.54710144927536231</v>
          </cell>
          <cell r="G223">
            <v>-0.53051643192488263</v>
          </cell>
          <cell r="H223">
            <v>-0.65</v>
          </cell>
          <cell r="I223">
            <v>-0.73333333333333339</v>
          </cell>
          <cell r="J223">
            <v>-0.8236</v>
          </cell>
          <cell r="K223">
            <v>-0.77800000000000002</v>
          </cell>
          <cell r="L223">
            <v>-0.70857142857142863</v>
          </cell>
          <cell r="M223">
            <v>-1</v>
          </cell>
          <cell r="AN223">
            <v>-0.600715137067938</v>
          </cell>
          <cell r="AO223">
            <v>-0.80701492537313435</v>
          </cell>
        </row>
        <row r="224">
          <cell r="A224" t="str">
            <v>EMEA</v>
          </cell>
          <cell r="B224">
            <v>-0.20441176470588229</v>
          </cell>
          <cell r="C224">
            <v>-0.30745901639344264</v>
          </cell>
          <cell r="D224">
            <v>-0.32773109243697474</v>
          </cell>
          <cell r="E224">
            <v>-0.60784313725490202</v>
          </cell>
          <cell r="F224">
            <v>-0.63955637707948243</v>
          </cell>
          <cell r="G224">
            <v>-0.64492839389276835</v>
          </cell>
          <cell r="H224">
            <v>-0.75</v>
          </cell>
          <cell r="I224">
            <v>-0.76666666666666672</v>
          </cell>
          <cell r="J224">
            <v>-0.81153846153846154</v>
          </cell>
          <cell r="K224">
            <v>-0.7533333333333333</v>
          </cell>
          <cell r="L224">
            <v>-0.65999999999999992</v>
          </cell>
          <cell r="M224">
            <v>-0.74285714285714288</v>
          </cell>
          <cell r="AN224">
            <v>-0.69040247678018574</v>
          </cell>
          <cell r="AO224">
            <v>-0.75582524271844664</v>
          </cell>
        </row>
        <row r="225">
          <cell r="A225" t="str">
            <v>China</v>
          </cell>
          <cell r="B225">
            <v>0.18965517241379315</v>
          </cell>
          <cell r="C225">
            <v>-0.18076923076923079</v>
          </cell>
          <cell r="D225">
            <v>-0.43181818181818188</v>
          </cell>
          <cell r="E225">
            <v>-0.54285714285714293</v>
          </cell>
          <cell r="F225">
            <v>-0.66666666666666674</v>
          </cell>
          <cell r="G225">
            <v>-0.62441314553990612</v>
          </cell>
          <cell r="H225">
            <v>-0.54</v>
          </cell>
          <cell r="I225">
            <v>-0.72291666666666665</v>
          </cell>
          <cell r="J225">
            <v>-0.36086956521739122</v>
          </cell>
          <cell r="K225">
            <v>-0.2599999999999999</v>
          </cell>
          <cell r="L225">
            <v>-0.4086956521739129</v>
          </cell>
          <cell r="M225">
            <v>-9.7744360902255689E-2</v>
          </cell>
          <cell r="AN225">
            <v>-0.63995459704880819</v>
          </cell>
          <cell r="AO225">
            <v>-0.30517023959646894</v>
          </cell>
        </row>
        <row r="226">
          <cell r="A226" t="str">
            <v>Japan</v>
          </cell>
          <cell r="B226" t="str">
            <v>NM</v>
          </cell>
          <cell r="C226">
            <v>1.84</v>
          </cell>
          <cell r="D226">
            <v>4.2363636363636372</v>
          </cell>
          <cell r="E226">
            <v>-0.75</v>
          </cell>
          <cell r="F226">
            <v>0</v>
          </cell>
          <cell r="G226">
            <v>-0.48943661971830998</v>
          </cell>
          <cell r="H226">
            <v>-0.65277777777777779</v>
          </cell>
          <cell r="I226">
            <v>-0.52500000000000002</v>
          </cell>
          <cell r="J226">
            <v>-0.80027173913043481</v>
          </cell>
          <cell r="K226">
            <v>-0.48965517241379297</v>
          </cell>
          <cell r="L226">
            <v>-0.31999999999999995</v>
          </cell>
          <cell r="M226">
            <v>-0.36842105263157898</v>
          </cell>
          <cell r="AN226">
            <v>-0.3789473684210527</v>
          </cell>
          <cell r="AO226">
            <v>-0.61087570621468923</v>
          </cell>
        </row>
        <row r="227">
          <cell r="A227" t="str">
            <v>Asia Pacific ex. China &amp; Japan</v>
          </cell>
          <cell r="B227">
            <v>0.12597014925373129</v>
          </cell>
          <cell r="C227">
            <v>-0.20768115942028997</v>
          </cell>
          <cell r="D227">
            <v>-0.32728402734617767</v>
          </cell>
          <cell r="E227">
            <v>-0.4913793103448274</v>
          </cell>
          <cell r="F227">
            <v>-0.75715800636267239</v>
          </cell>
          <cell r="G227">
            <v>-0.69727455642948599</v>
          </cell>
          <cell r="H227">
            <v>-0.55654101995565397</v>
          </cell>
          <cell r="I227">
            <v>-0.73305084745762716</v>
          </cell>
          <cell r="J227">
            <v>-0.4784388646288209</v>
          </cell>
          <cell r="K227">
            <v>-0.37401812688821734</v>
          </cell>
          <cell r="L227">
            <v>-0.60333333333333339</v>
          </cell>
          <cell r="M227">
            <v>-0.88571428571428568</v>
          </cell>
          <cell r="AN227">
            <v>-0.69321218599679324</v>
          </cell>
          <cell r="AO227">
            <v>-0.58141248994907535</v>
          </cell>
        </row>
        <row r="228">
          <cell r="A228" t="str">
            <v>Asia Pacific</v>
          </cell>
          <cell r="B228">
            <v>0.18496000000000001</v>
          </cell>
          <cell r="C228">
            <v>-0.17955555555555547</v>
          </cell>
          <cell r="D228">
            <v>-0.36686390532544377</v>
          </cell>
          <cell r="E228">
            <v>-0.52401746724890819</v>
          </cell>
          <cell r="F228">
            <v>-0.69619227653254123</v>
          </cell>
          <cell r="G228">
            <v>-0.6569158540989527</v>
          </cell>
          <cell r="H228">
            <v>-0.55140186915887845</v>
          </cell>
          <cell r="I228">
            <v>-0.72477064220183485</v>
          </cell>
          <cell r="J228">
            <v>-0.44466666666666665</v>
          </cell>
          <cell r="K228">
            <v>-0.31842105263157883</v>
          </cell>
          <cell r="L228">
            <v>-0.50416666666666665</v>
          </cell>
          <cell r="M228">
            <v>-0.52</v>
          </cell>
          <cell r="AN228">
            <v>-0.66096698113207542</v>
          </cell>
          <cell r="AO228">
            <v>-0.44664596273291923</v>
          </cell>
        </row>
        <row r="229">
          <cell r="A229" t="str">
            <v>Total MOT</v>
          </cell>
          <cell r="B229">
            <v>-1.5184381778741929E-2</v>
          </cell>
          <cell r="C229">
            <v>-0.31599229287090558</v>
          </cell>
          <cell r="D229">
            <v>-0.30726256983240219</v>
          </cell>
          <cell r="E229">
            <v>-0.37747336377473373</v>
          </cell>
          <cell r="F229">
            <v>-0.3964757709251101</v>
          </cell>
          <cell r="G229">
            <v>-0.20845070422535206</v>
          </cell>
          <cell r="H229">
            <v>-0.31720430107526887</v>
          </cell>
          <cell r="I229">
            <v>-0.53056234718826412</v>
          </cell>
          <cell r="J229">
            <v>-0.46350364963503654</v>
          </cell>
          <cell r="K229">
            <v>-0.4733096085409253</v>
          </cell>
          <cell r="L229">
            <v>-0.46456692913385822</v>
          </cell>
          <cell r="M229">
            <v>-0.375</v>
          </cell>
          <cell r="AN229">
            <v>-0.37044025157232696</v>
          </cell>
          <cell r="AO229">
            <v>-0.44955044955044954</v>
          </cell>
        </row>
        <row r="231">
          <cell r="A231" t="str">
            <v>% Market Share</v>
          </cell>
        </row>
        <row r="232">
          <cell r="A232" t="str">
            <v>North America</v>
          </cell>
          <cell r="B232">
            <v>0.36315789473684212</v>
          </cell>
          <cell r="C232">
            <v>0.26624999999999999</v>
          </cell>
          <cell r="D232">
            <v>0.2857142857142857</v>
          </cell>
          <cell r="E232">
            <v>0.32</v>
          </cell>
          <cell r="F232">
            <v>0.28616328954240106</v>
          </cell>
          <cell r="G232">
            <v>0.30681818181818182</v>
          </cell>
          <cell r="H232">
            <v>0.26736842105263159</v>
          </cell>
          <cell r="I232">
            <v>0.22739526864233411</v>
          </cell>
          <cell r="J232">
            <v>0.212126582278481</v>
          </cell>
          <cell r="K232">
            <v>0.18061611374407582</v>
          </cell>
          <cell r="L232">
            <v>0.15918181818181817</v>
          </cell>
          <cell r="M232">
            <v>0.16897959183673469</v>
          </cell>
          <cell r="AM232">
            <v>0.30852941176470589</v>
          </cell>
          <cell r="AN232">
            <v>0.27190712821700763</v>
          </cell>
          <cell r="AO232">
            <v>0.17907842014882661</v>
          </cell>
        </row>
        <row r="233">
          <cell r="A233" t="str">
            <v>Latin America</v>
          </cell>
          <cell r="B233">
            <v>0.24916666666666623</v>
          </cell>
          <cell r="C233">
            <v>0.15661764705882361</v>
          </cell>
          <cell r="D233">
            <v>0.20967741935483891</v>
          </cell>
          <cell r="E233">
            <v>0.1904761904761906</v>
          </cell>
          <cell r="F233">
            <v>0.23333333333333334</v>
          </cell>
          <cell r="G233">
            <v>0.19999999999999998</v>
          </cell>
          <cell r="H233">
            <v>0.17353885433215696</v>
          </cell>
          <cell r="I233">
            <v>0.12912406311286481</v>
          </cell>
          <cell r="J233">
            <v>0.12862500000000029</v>
          </cell>
          <cell r="K233">
            <v>0.13044067796610195</v>
          </cell>
          <cell r="L233">
            <v>0.11297124600638979</v>
          </cell>
          <cell r="M233">
            <v>4.9870129870129849E-2</v>
          </cell>
          <cell r="AM233">
            <v>0.19698473282442752</v>
          </cell>
          <cell r="AN233">
            <v>0.18134272723607145</v>
          </cell>
          <cell r="AO233">
            <v>0.10049472830494736</v>
          </cell>
        </row>
        <row r="234">
          <cell r="A234" t="str">
            <v>Western Europe</v>
          </cell>
          <cell r="B234">
            <v>0.13589743589743589</v>
          </cell>
          <cell r="C234">
            <v>0.10880519480519481</v>
          </cell>
          <cell r="D234">
            <v>0.1</v>
          </cell>
          <cell r="E234">
            <v>6.0550641026354761E-2</v>
          </cell>
          <cell r="F234">
            <v>3.7837837837837833E-2</v>
          </cell>
          <cell r="G234">
            <v>2.4024024024024024E-2</v>
          </cell>
          <cell r="H234">
            <v>1.3777742057705777E-2</v>
          </cell>
          <cell r="I234">
            <v>1.4438057573960711E-2</v>
          </cell>
          <cell r="J234">
            <v>9.1874999999999995E-3</v>
          </cell>
          <cell r="K234">
            <v>9.5483870967741948E-3</v>
          </cell>
          <cell r="L234">
            <v>7.9300291545189514E-3</v>
          </cell>
          <cell r="M234">
            <v>8.9652904117592698E-3</v>
          </cell>
          <cell r="AM234">
            <v>9.8709748014033608E-2</v>
          </cell>
          <cell r="AN234">
            <v>2.1987373103100952E-2</v>
          </cell>
          <cell r="AO234">
            <v>8.8901911616643819E-3</v>
          </cell>
        </row>
        <row r="235">
          <cell r="A235" t="str">
            <v>E. Eur, ME, Africa</v>
          </cell>
          <cell r="B235">
            <v>0.12391065693948888</v>
          </cell>
          <cell r="C235">
            <v>8.9510091842090411E-2</v>
          </cell>
          <cell r="D235">
            <v>7.8037414064331512E-2</v>
          </cell>
          <cell r="E235">
            <v>5.3081884658698592E-2</v>
          </cell>
          <cell r="F235">
            <v>4.7386726609039038E-2</v>
          </cell>
          <cell r="G235">
            <v>3.707967610002183E-2</v>
          </cell>
          <cell r="H235">
            <v>2.4585404796319672E-2</v>
          </cell>
          <cell r="I235">
            <v>1.2498429971064377E-2</v>
          </cell>
          <cell r="J235">
            <v>9.1693527437420631E-3</v>
          </cell>
          <cell r="K235">
            <v>9.0469574881911641E-3</v>
          </cell>
          <cell r="L235">
            <v>7.6678104692743717E-3</v>
          </cell>
          <cell r="M235">
            <v>0</v>
          </cell>
          <cell r="AM235">
            <v>8.3935863227585686E-2</v>
          </cell>
          <cell r="AN235">
            <v>2.9431443309234032E-2</v>
          </cell>
          <cell r="AO235">
            <v>6.1103426381510602E-3</v>
          </cell>
        </row>
        <row r="236">
          <cell r="A236" t="str">
            <v>EMEA</v>
          </cell>
          <cell r="B236">
            <v>0.12950604058131113</v>
          </cell>
          <cell r="C236">
            <v>9.8138745163823746E-2</v>
          </cell>
          <cell r="D236">
            <v>8.7664061483316874E-2</v>
          </cell>
          <cell r="E236">
            <v>5.6570812337298916E-2</v>
          </cell>
          <cell r="F236">
            <v>4.345046146242465E-2</v>
          </cell>
          <cell r="G236">
            <v>3.1392934734652531E-2</v>
          </cell>
          <cell r="H236">
            <v>1.990191257884372E-2</v>
          </cell>
          <cell r="I236">
            <v>1.3261986850389098E-2</v>
          </cell>
          <cell r="J236">
            <v>9.1766030367220787E-3</v>
          </cell>
          <cell r="K236">
            <v>9.2410739626497141E-3</v>
          </cell>
          <cell r="L236">
            <v>7.7705890903944719E-3</v>
          </cell>
          <cell r="M236">
            <v>3.5509413789841979E-3</v>
          </cell>
          <cell r="AM236">
            <v>9.066114416951819E-2</v>
          </cell>
          <cell r="AN236">
            <v>2.631726712505332E-2</v>
          </cell>
          <cell r="AO236">
            <v>7.2049971214477506E-3</v>
          </cell>
        </row>
        <row r="237">
          <cell r="A237" t="str">
            <v>China</v>
          </cell>
          <cell r="B237">
            <v>0.13731859745282055</v>
          </cell>
          <cell r="C237">
            <v>0.11336547495425994</v>
          </cell>
          <cell r="D237">
            <v>9.511631181431203E-2</v>
          </cell>
          <cell r="E237">
            <v>8.292021688613474E-2</v>
          </cell>
          <cell r="F237">
            <v>3.646227085080158E-2</v>
          </cell>
          <cell r="G237">
            <v>3.3876370491438657E-2</v>
          </cell>
          <cell r="H237">
            <v>3.5494136623218098E-2</v>
          </cell>
          <cell r="I237">
            <v>2.3016915234775549E-2</v>
          </cell>
          <cell r="J237">
            <v>2.2989387794749752E-2</v>
          </cell>
          <cell r="K237">
            <v>2.6033421284080916E-2</v>
          </cell>
          <cell r="L237">
            <v>2.1220720679617857E-2</v>
          </cell>
          <cell r="M237">
            <v>1.6364101252876503E-2</v>
          </cell>
          <cell r="AM237">
            <v>0.10605550671723603</v>
          </cell>
          <cell r="AN237">
            <v>3.240701193809175E-2</v>
          </cell>
          <cell r="AO237">
            <v>2.1339046410081258E-2</v>
          </cell>
        </row>
        <row r="238">
          <cell r="A238" t="str">
            <v>Japan</v>
          </cell>
          <cell r="B238">
            <v>2.5329381510530352E-2</v>
          </cell>
          <cell r="C238">
            <v>2.3583631171043683E-2</v>
          </cell>
          <cell r="D238">
            <v>2.1626988102182842E-2</v>
          </cell>
          <cell r="E238">
            <v>1.6172287170322163E-2</v>
          </cell>
          <cell r="F238">
            <v>2.7483204707404559E-2</v>
          </cell>
          <cell r="G238">
            <v>1.4752917751949375E-2</v>
          </cell>
          <cell r="H238">
            <v>9.7773733866400436E-3</v>
          </cell>
          <cell r="I238">
            <v>1.06312576523268E-2</v>
          </cell>
          <cell r="J238">
            <v>6.9761833910591915E-3</v>
          </cell>
          <cell r="K238">
            <v>8.4401772561650233E-3</v>
          </cell>
          <cell r="L238">
            <v>7.3109890823100264E-3</v>
          </cell>
          <cell r="M238">
            <v>6.965841170448372E-3</v>
          </cell>
          <cell r="AM238">
            <v>2.1816360410265224E-2</v>
          </cell>
          <cell r="AN238">
            <v>1.6705138210178144E-2</v>
          </cell>
          <cell r="AO238">
            <v>7.4023395299074E-3</v>
          </cell>
        </row>
        <row r="239">
          <cell r="A239" t="str">
            <v>Asia Pacific ex. China &amp; Japan</v>
          </cell>
          <cell r="B239">
            <v>0.14065989573984314</v>
          </cell>
          <cell r="C239">
            <v>9.7500426665851667E-2</v>
          </cell>
          <cell r="D239">
            <v>7.9700957695498079E-2</v>
          </cell>
          <cell r="E239">
            <v>7.4618302024161767E-2</v>
          </cell>
          <cell r="F239">
            <v>2.3600343021199247E-2</v>
          </cell>
          <cell r="G239">
            <v>2.1524988841080079E-2</v>
          </cell>
          <cell r="H239">
            <v>3.1237424617193189E-2</v>
          </cell>
          <cell r="I239">
            <v>2.0436741402308035E-2</v>
          </cell>
          <cell r="J239">
            <v>1.2854439105911846E-2</v>
          </cell>
          <cell r="K239">
            <v>1.3586075345732E-2</v>
          </cell>
          <cell r="L239">
            <v>1.1377293217318377E-2</v>
          </cell>
          <cell r="M239">
            <v>1.9877771782097447E-3</v>
          </cell>
          <cell r="AM239">
            <v>9.4760986099455199E-2</v>
          </cell>
          <cell r="AN239">
            <v>2.4194957613194418E-2</v>
          </cell>
          <cell r="AO239">
            <v>9.6162226267603543E-3</v>
          </cell>
        </row>
        <row r="240">
          <cell r="A240" t="str">
            <v>Asia Pacific</v>
          </cell>
          <cell r="B240">
            <v>0.12509120293628989</v>
          </cell>
          <cell r="C240">
            <v>9.6241261732645134E-2</v>
          </cell>
          <cell r="D240">
            <v>7.9977432714599908E-2</v>
          </cell>
          <cell r="E240">
            <v>7.299618278595213E-2</v>
          </cell>
          <cell r="F240">
            <v>2.9202785742264245E-2</v>
          </cell>
          <cell r="G240">
            <v>2.6071299491012005E-2</v>
          </cell>
          <cell r="H240">
            <v>3.1608466253683125E-2</v>
          </cell>
          <cell r="I240">
            <v>2.0864255221112453E-2</v>
          </cell>
          <cell r="J240">
            <v>1.6793148215082692E-2</v>
          </cell>
          <cell r="K240">
            <v>1.8255875414540657E-2</v>
          </cell>
          <cell r="L240">
            <v>1.5152980500385152E-2</v>
          </cell>
          <cell r="M240">
            <v>8.3479170714656093E-3</v>
          </cell>
          <cell r="AM240">
            <v>9.1923052399453017E-2</v>
          </cell>
          <cell r="AN240">
            <v>2.7036391617896664E-2</v>
          </cell>
          <cell r="AO240">
            <v>1.4363661381579526E-2</v>
          </cell>
        </row>
        <row r="241">
          <cell r="A241" t="str">
            <v>Total MOT</v>
          </cell>
          <cell r="B241">
            <v>0.17199716962110287</v>
          </cell>
          <cell r="C241">
            <v>0.12900732551282318</v>
          </cell>
          <cell r="D241">
            <v>0.12481328123157302</v>
          </cell>
          <cell r="E241">
            <v>0.11773692765213208</v>
          </cell>
          <cell r="F241">
            <v>8.6767517327984031E-2</v>
          </cell>
          <cell r="G241">
            <v>8.6643610003844157E-2</v>
          </cell>
          <cell r="H241">
            <v>7.608228867072557E-2</v>
          </cell>
          <cell r="I241">
            <v>5.7976148100401186E-2</v>
          </cell>
          <cell r="J241">
            <v>5.0272619628070059E-2</v>
          </cell>
          <cell r="K241">
            <v>5.0400238071317445E-2</v>
          </cell>
          <cell r="L241">
            <v>4.2516706051359099E-2</v>
          </cell>
          <cell r="M241">
            <v>3.3206072303016483E-2</v>
          </cell>
          <cell r="AM241">
            <v>0.13422639222303384</v>
          </cell>
          <cell r="AN241">
            <v>7.6697742826562054E-2</v>
          </cell>
          <cell r="AO241">
            <v>4.3477950551835592E-2</v>
          </cell>
        </row>
        <row r="243">
          <cell r="A243" t="str">
            <v>% Contribution of Motorola Shipments</v>
          </cell>
        </row>
        <row r="244">
          <cell r="A244" t="str">
            <v>North America</v>
          </cell>
          <cell r="B244">
            <v>0.30396475770925113</v>
          </cell>
          <cell r="C244">
            <v>0.3</v>
          </cell>
          <cell r="D244">
            <v>0.32258064516129031</v>
          </cell>
          <cell r="E244">
            <v>0.39119804400977998</v>
          </cell>
          <cell r="F244">
            <v>0.43795620437956206</v>
          </cell>
          <cell r="G244">
            <v>0.48042704626334515</v>
          </cell>
          <cell r="H244">
            <v>0.5</v>
          </cell>
          <cell r="I244">
            <v>0.51041666666666674</v>
          </cell>
          <cell r="J244">
            <v>0.56999999999999995</v>
          </cell>
          <cell r="K244">
            <v>0.51500000000000001</v>
          </cell>
          <cell r="L244">
            <v>0.51500000000000001</v>
          </cell>
          <cell r="M244">
            <v>0.69</v>
          </cell>
          <cell r="AM244">
            <v>0.32987421383647803</v>
          </cell>
          <cell r="AN244">
            <v>0.47952047952047949</v>
          </cell>
          <cell r="AO244">
            <v>0.56778584392014519</v>
          </cell>
        </row>
        <row r="245">
          <cell r="A245" t="str">
            <v>Latin America</v>
          </cell>
          <cell r="B245">
            <v>0.13171806167400882</v>
          </cell>
          <cell r="C245">
            <v>0.15</v>
          </cell>
          <cell r="D245">
            <v>0.17473118279569891</v>
          </cell>
          <cell r="E245">
            <v>0.19559902200488999</v>
          </cell>
          <cell r="F245">
            <v>0.25547445255474455</v>
          </cell>
          <cell r="G245">
            <v>0.27758007117437722</v>
          </cell>
          <cell r="H245">
            <v>0.23228346456692917</v>
          </cell>
          <cell r="I245">
            <v>0.26041666666666669</v>
          </cell>
          <cell r="J245">
            <v>0.21</v>
          </cell>
          <cell r="K245">
            <v>0.26</v>
          </cell>
          <cell r="L245">
            <v>0.26</v>
          </cell>
          <cell r="M245">
            <v>0.16</v>
          </cell>
          <cell r="AM245">
            <v>0.16229559748427672</v>
          </cell>
          <cell r="AN245">
            <v>0.25674325674325676</v>
          </cell>
          <cell r="AO245">
            <v>0.22488203266787657</v>
          </cell>
        </row>
        <row r="246">
          <cell r="A246" t="str">
            <v xml:space="preserve">    Western Europe</v>
          </cell>
          <cell r="B246">
            <v>0.11674008810572688</v>
          </cell>
          <cell r="C246">
            <v>0.11800000000000001</v>
          </cell>
          <cell r="D246">
            <v>0.1075268817204301</v>
          </cell>
          <cell r="E246">
            <v>7.3349633251833746E-2</v>
          </cell>
          <cell r="F246">
            <v>5.1094890510948905E-2</v>
          </cell>
          <cell r="G246">
            <v>3.5587188612099641E-2</v>
          </cell>
          <cell r="H246">
            <v>2.3622047244094488E-2</v>
          </cell>
          <cell r="I246">
            <v>3.125E-2</v>
          </cell>
          <cell r="J246">
            <v>0.02</v>
          </cell>
          <cell r="K246">
            <v>0.02</v>
          </cell>
          <cell r="L246">
            <v>0.02</v>
          </cell>
          <cell r="M246">
            <v>0.03</v>
          </cell>
          <cell r="AM246">
            <v>0.10370440251572327</v>
          </cell>
          <cell r="AN246">
            <v>3.5964035964035961E-2</v>
          </cell>
          <cell r="AO246">
            <v>2.2177858439201451E-2</v>
          </cell>
        </row>
        <row r="247">
          <cell r="A247" t="str">
            <v xml:space="preserve">    E. Eur, ME, Africa</v>
          </cell>
          <cell r="B247">
            <v>0.12158590308370043</v>
          </cell>
          <cell r="C247">
            <v>0.12</v>
          </cell>
          <cell r="D247">
            <v>0.1075268817204301</v>
          </cell>
          <cell r="E247">
            <v>7.3349633251833746E-2</v>
          </cell>
          <cell r="F247">
            <v>9.1240875912408759E-2</v>
          </cell>
          <cell r="G247">
            <v>7.1174377224199281E-2</v>
          </cell>
          <cell r="H247">
            <v>5.5118110236220472E-2</v>
          </cell>
          <cell r="I247">
            <v>4.1666666666666671E-2</v>
          </cell>
          <cell r="J247">
            <v>0.03</v>
          </cell>
          <cell r="K247">
            <v>0.03</v>
          </cell>
          <cell r="L247">
            <v>0.03</v>
          </cell>
          <cell r="M247">
            <v>0</v>
          </cell>
          <cell r="AM247">
            <v>0.10553459119496857</v>
          </cell>
          <cell r="AN247">
            <v>6.6933066933066929E-2</v>
          </cell>
          <cell r="AO247">
            <v>2.3466424682395643E-2</v>
          </cell>
        </row>
        <row r="248">
          <cell r="A248" t="str">
            <v>EMEA</v>
          </cell>
          <cell r="B248">
            <v>0.23832599118942732</v>
          </cell>
          <cell r="C248">
            <v>0.23799999999999999</v>
          </cell>
          <cell r="D248">
            <v>0.21505376344086019</v>
          </cell>
          <cell r="E248">
            <v>0.14669926650366749</v>
          </cell>
          <cell r="F248">
            <v>0.14233576642335766</v>
          </cell>
          <cell r="G248">
            <v>0.10676156583629892</v>
          </cell>
          <cell r="H248">
            <v>7.874015748031496E-2</v>
          </cell>
          <cell r="I248">
            <v>7.2916666666666671E-2</v>
          </cell>
          <cell r="J248">
            <v>4.9999999999999996E-2</v>
          </cell>
          <cell r="K248">
            <v>0.05</v>
          </cell>
          <cell r="L248">
            <v>0.05</v>
          </cell>
          <cell r="M248">
            <v>0.03</v>
          </cell>
          <cell r="AM248">
            <v>0.20923899371069182</v>
          </cell>
          <cell r="AN248">
            <v>0.1028971028971029</v>
          </cell>
          <cell r="AO248">
            <v>4.5644283121597094E-2</v>
          </cell>
        </row>
        <row r="249">
          <cell r="A249" t="str">
            <v xml:space="preserve">    China</v>
          </cell>
          <cell r="B249">
            <v>0.15198237885462557</v>
          </cell>
          <cell r="C249">
            <v>0.15</v>
          </cell>
          <cell r="D249">
            <v>0.13440860215053763</v>
          </cell>
          <cell r="E249">
            <v>0.11735941320293398</v>
          </cell>
          <cell r="F249">
            <v>8.3941605839416053E-2</v>
          </cell>
          <cell r="G249">
            <v>7.1174377224199281E-2</v>
          </cell>
          <cell r="H249">
            <v>9.0551181102362197E-2</v>
          </cell>
          <cell r="I249">
            <v>6.9270833333333337E-2</v>
          </cell>
          <cell r="J249">
            <v>0.1</v>
          </cell>
          <cell r="K249">
            <v>0.1</v>
          </cell>
          <cell r="L249">
            <v>0.1</v>
          </cell>
          <cell r="M249">
            <v>9.9999999999999992E-2</v>
          </cell>
          <cell r="AM249">
            <v>0.13852201257861638</v>
          </cell>
          <cell r="AN249">
            <v>7.9220779220779206E-2</v>
          </cell>
          <cell r="AO249">
            <v>0.1</v>
          </cell>
        </row>
        <row r="250">
          <cell r="A250" t="str">
            <v xml:space="preserve">    Japan</v>
          </cell>
          <cell r="B250">
            <v>8.1057268722466956E-3</v>
          </cell>
          <cell r="C250">
            <v>8.0000000000000002E-3</v>
          </cell>
          <cell r="D250">
            <v>7.7419354838709677E-3</v>
          </cell>
          <cell r="E250">
            <v>4.8899755501222502E-3</v>
          </cell>
          <cell r="F250">
            <v>1.343065693430657E-2</v>
          </cell>
          <cell r="G250">
            <v>5.1601423487544476E-3</v>
          </cell>
          <cell r="H250">
            <v>3.9370078740157488E-3</v>
          </cell>
          <cell r="I250">
            <v>4.9479166666666673E-3</v>
          </cell>
          <cell r="J250">
            <v>5.0000000000000001E-3</v>
          </cell>
          <cell r="K250">
            <v>5.0000000000000001E-3</v>
          </cell>
          <cell r="L250">
            <v>5.0000000000000001E-3</v>
          </cell>
          <cell r="M250">
            <v>5.0000000000000001E-3</v>
          </cell>
          <cell r="AM250">
            <v>7.1698113207547178E-3</v>
          </cell>
          <cell r="AN250">
            <v>7.0729270729270721E-3</v>
          </cell>
          <cell r="AO250">
            <v>5.0000000000000001E-3</v>
          </cell>
        </row>
        <row r="251">
          <cell r="A251" t="str">
            <v xml:space="preserve">    Asia Pacific ex. China &amp; Japan</v>
          </cell>
          <cell r="B251">
            <v>0.16616740088105728</v>
          </cell>
          <cell r="C251">
            <v>0.154</v>
          </cell>
          <cell r="D251">
            <v>0.1454838709677419</v>
          </cell>
          <cell r="E251">
            <v>0.14425427872860638</v>
          </cell>
          <cell r="F251">
            <v>6.6861313868613131E-2</v>
          </cell>
          <cell r="G251">
            <v>5.8896797153024899E-2</v>
          </cell>
          <cell r="H251">
            <v>9.4488188976377965E-2</v>
          </cell>
          <cell r="I251">
            <v>8.2031249999999986E-2</v>
          </cell>
          <cell r="J251">
            <v>6.5000000000000002E-2</v>
          </cell>
          <cell r="K251">
            <v>7.0000000000000007E-2</v>
          </cell>
          <cell r="L251">
            <v>7.0000000000000007E-2</v>
          </cell>
          <cell r="M251">
            <v>1.4999999999999994E-2</v>
          </cell>
          <cell r="AM251">
            <v>0.15297484276729559</v>
          </cell>
          <cell r="AN251">
            <v>7.454545454545454E-2</v>
          </cell>
          <cell r="AO251">
            <v>5.6687840290381125E-2</v>
          </cell>
        </row>
        <row r="252">
          <cell r="A252" t="str">
            <v>Asia Pacific</v>
          </cell>
          <cell r="B252">
            <v>0.32625550660792957</v>
          </cell>
          <cell r="C252">
            <v>0.312</v>
          </cell>
          <cell r="D252">
            <v>0.2876344086021505</v>
          </cell>
          <cell r="E252">
            <v>0.2665036674816626</v>
          </cell>
          <cell r="F252">
            <v>0.16423357664233579</v>
          </cell>
          <cell r="G252">
            <v>0.13523131672597863</v>
          </cell>
          <cell r="H252">
            <v>0.1889763779527559</v>
          </cell>
          <cell r="I252">
            <v>0.15625</v>
          </cell>
          <cell r="J252">
            <v>0.17</v>
          </cell>
          <cell r="K252">
            <v>0.17500000000000002</v>
          </cell>
          <cell r="L252">
            <v>0.17500000000000002</v>
          </cell>
          <cell r="M252">
            <v>0.12</v>
          </cell>
          <cell r="AM252">
            <v>0.29866666666666669</v>
          </cell>
          <cell r="AN252">
            <v>0.16083916083916083</v>
          </cell>
          <cell r="AO252">
            <v>0.16168784029038114</v>
          </cell>
        </row>
        <row r="253">
          <cell r="A253" t="str">
            <v>Total MOT</v>
          </cell>
          <cell r="B253">
            <v>1.0002643171806169</v>
          </cell>
          <cell r="C253">
            <v>1</v>
          </cell>
          <cell r="D253">
            <v>1</v>
          </cell>
          <cell r="E253">
            <v>1</v>
          </cell>
          <cell r="F253">
            <v>1</v>
          </cell>
          <cell r="G253">
            <v>0.99999999999999989</v>
          </cell>
          <cell r="H253">
            <v>1</v>
          </cell>
          <cell r="I253">
            <v>1</v>
          </cell>
          <cell r="J253">
            <v>1</v>
          </cell>
          <cell r="K253">
            <v>1</v>
          </cell>
          <cell r="L253">
            <v>1</v>
          </cell>
          <cell r="M253">
            <v>1</v>
          </cell>
          <cell r="AM253">
            <v>1.0000754716981133</v>
          </cell>
          <cell r="AN253">
            <v>1</v>
          </cell>
          <cell r="AO253">
            <v>1</v>
          </cell>
        </row>
        <row r="255">
          <cell r="A255" t="str">
            <v>Technology forecast</v>
          </cell>
        </row>
        <row r="256">
          <cell r="A256" t="str">
            <v>Global Market by Technology</v>
          </cell>
        </row>
        <row r="257">
          <cell r="A257" t="str">
            <v>Analog</v>
          </cell>
          <cell r="B257">
            <v>0</v>
          </cell>
          <cell r="C257">
            <v>0</v>
          </cell>
          <cell r="D257">
            <v>0</v>
          </cell>
          <cell r="E257">
            <v>0</v>
          </cell>
          <cell r="F257">
            <v>0</v>
          </cell>
          <cell r="G257">
            <v>0</v>
          </cell>
          <cell r="H257">
            <v>0</v>
          </cell>
          <cell r="I257">
            <v>0</v>
          </cell>
          <cell r="J257">
            <v>0</v>
          </cell>
          <cell r="K257">
            <v>0</v>
          </cell>
          <cell r="L257">
            <v>0</v>
          </cell>
          <cell r="M257">
            <v>0</v>
          </cell>
          <cell r="AM257">
            <v>0</v>
          </cell>
          <cell r="AN257">
            <v>0</v>
          </cell>
          <cell r="AO257">
            <v>0</v>
          </cell>
        </row>
        <row r="258">
          <cell r="A258" t="str">
            <v>GSM (including GPRS &amp; EDGE)</v>
          </cell>
          <cell r="B258">
            <v>164.25690688019122</v>
          </cell>
          <cell r="C258">
            <v>168.8897095358673</v>
          </cell>
          <cell r="D258">
            <v>186.99572147251999</v>
          </cell>
          <cell r="E258">
            <v>220.24110899229368</v>
          </cell>
          <cell r="F258">
            <v>185.12671291737703</v>
          </cell>
          <cell r="G258">
            <v>180.89999866391452</v>
          </cell>
          <cell r="H258">
            <v>181.69298811979351</v>
          </cell>
          <cell r="I258">
            <v>173.89073077884439</v>
          </cell>
          <cell r="J258">
            <v>141.89020240172417</v>
          </cell>
          <cell r="K258">
            <v>119.6264625664618</v>
          </cell>
          <cell r="L258">
            <v>118.68008252863513</v>
          </cell>
          <cell r="M258">
            <v>146.31368169764798</v>
          </cell>
          <cell r="AM258">
            <v>740.38344688087216</v>
          </cell>
          <cell r="AN258">
            <v>721.61043047992951</v>
          </cell>
          <cell r="AO258">
            <v>526.51042919446911</v>
          </cell>
        </row>
        <row r="259">
          <cell r="A259" t="str">
            <v>WCDMA</v>
          </cell>
          <cell r="B259">
            <v>36.747065487499995</v>
          </cell>
          <cell r="C259">
            <v>40.814147864747085</v>
          </cell>
          <cell r="D259">
            <v>43.794800000000002</v>
          </cell>
          <cell r="E259">
            <v>54.413763766880777</v>
          </cell>
          <cell r="F259">
            <v>52.711692758511326</v>
          </cell>
          <cell r="G259">
            <v>63.5</v>
          </cell>
          <cell r="H259">
            <v>68.099999999999994</v>
          </cell>
          <cell r="I259">
            <v>79.688307241488658</v>
          </cell>
          <cell r="J259">
            <v>65</v>
          </cell>
          <cell r="K259">
            <v>78</v>
          </cell>
          <cell r="L259">
            <v>91</v>
          </cell>
          <cell r="M259">
            <v>101</v>
          </cell>
          <cell r="AM259">
            <v>175.76977711912787</v>
          </cell>
          <cell r="AN259">
            <v>264</v>
          </cell>
          <cell r="AO259">
            <v>335</v>
          </cell>
        </row>
        <row r="260">
          <cell r="A260" t="str">
            <v>CDMA</v>
          </cell>
          <cell r="B260">
            <v>48.943600872308799</v>
          </cell>
          <cell r="C260">
            <v>48.481440359385623</v>
          </cell>
          <cell r="D260">
            <v>51.173590927480021</v>
          </cell>
          <cell r="E260">
            <v>57.601367840825532</v>
          </cell>
          <cell r="F260">
            <v>54.246776042779985</v>
          </cell>
          <cell r="G260">
            <v>55.8</v>
          </cell>
          <cell r="H260">
            <v>57.3</v>
          </cell>
          <cell r="I260">
            <v>48.653223957220035</v>
          </cell>
          <cell r="J260">
            <v>45</v>
          </cell>
          <cell r="K260">
            <v>55</v>
          </cell>
          <cell r="L260">
            <v>57</v>
          </cell>
          <cell r="M260">
            <v>60</v>
          </cell>
          <cell r="AM260">
            <v>206.19999999999996</v>
          </cell>
          <cell r="AN260">
            <v>216.00000000000003</v>
          </cell>
          <cell r="AO260">
            <v>217</v>
          </cell>
        </row>
        <row r="261">
          <cell r="A261" t="str">
            <v>TDMA</v>
          </cell>
          <cell r="B261">
            <v>0.11577999999999999</v>
          </cell>
          <cell r="C261">
            <v>0.127358</v>
          </cell>
          <cell r="D261">
            <v>0.13893599999999998</v>
          </cell>
          <cell r="E261">
            <v>0.19682599999999997</v>
          </cell>
          <cell r="F261">
            <v>0.14472499999999999</v>
          </cell>
          <cell r="G261">
            <v>8.6834999999999996E-2</v>
          </cell>
          <cell r="H261">
            <v>5.7889999999999997E-2</v>
          </cell>
          <cell r="I261">
            <v>0</v>
          </cell>
          <cell r="J261">
            <v>7.2362499999999996E-2</v>
          </cell>
          <cell r="K261">
            <v>4.3417499999999998E-2</v>
          </cell>
          <cell r="L261">
            <v>2.8944999999999999E-2</v>
          </cell>
          <cell r="M261">
            <v>0</v>
          </cell>
          <cell r="AM261">
            <v>0.57889999999999997</v>
          </cell>
          <cell r="AN261">
            <v>0.28944999999999999</v>
          </cell>
          <cell r="AO261">
            <v>0.14472499999999999</v>
          </cell>
        </row>
        <row r="262">
          <cell r="A262" t="str">
            <v>PDC (plug)</v>
          </cell>
          <cell r="B262">
            <v>9.8944787406823878</v>
          </cell>
          <cell r="C262">
            <v>12.56551616847193</v>
          </cell>
          <cell r="D262">
            <v>11.442156669008426</v>
          </cell>
          <cell r="E262">
            <v>9.93157147076721</v>
          </cell>
          <cell r="F262">
            <v>18.55647099255637</v>
          </cell>
          <cell r="G262">
            <v>19.030216361508849</v>
          </cell>
          <cell r="H262">
            <v>21.698174580605098</v>
          </cell>
          <cell r="I262">
            <v>23.93841129225558</v>
          </cell>
          <cell r="J262">
            <v>36.443124492511316</v>
          </cell>
          <cell r="K262">
            <v>35.979526491056376</v>
          </cell>
          <cell r="L262">
            <v>50.165235156991173</v>
          </cell>
          <cell r="M262">
            <v>51.566004839681653</v>
          </cell>
          <cell r="AM262">
            <v>43.833723048929954</v>
          </cell>
          <cell r="AN262">
            <v>83.223273226925897</v>
          </cell>
          <cell r="AO262">
            <v>174.15389098024053</v>
          </cell>
        </row>
        <row r="263">
          <cell r="A263" t="str">
            <v>iDEN</v>
          </cell>
          <cell r="B263">
            <v>4</v>
          </cell>
          <cell r="C263">
            <v>4.3</v>
          </cell>
          <cell r="D263">
            <v>4.5</v>
          </cell>
          <cell r="E263">
            <v>5</v>
          </cell>
          <cell r="F263">
            <v>5</v>
          </cell>
          <cell r="G263">
            <v>5</v>
          </cell>
          <cell r="H263">
            <v>5</v>
          </cell>
          <cell r="I263">
            <v>5</v>
          </cell>
          <cell r="J263">
            <v>4</v>
          </cell>
          <cell r="K263">
            <v>5</v>
          </cell>
          <cell r="L263">
            <v>3</v>
          </cell>
          <cell r="M263">
            <v>2.5</v>
          </cell>
          <cell r="AM263">
            <v>17.8</v>
          </cell>
          <cell r="AN263">
            <v>20</v>
          </cell>
          <cell r="AO263">
            <v>14.5</v>
          </cell>
        </row>
        <row r="264">
          <cell r="A264" t="str">
            <v>Total Handsets</v>
          </cell>
          <cell r="B264">
            <v>263.95783198068239</v>
          </cell>
          <cell r="C264">
            <v>275.17817192847195</v>
          </cell>
          <cell r="D264">
            <v>298.04520506900843</v>
          </cell>
          <cell r="E264">
            <v>347.38463807076715</v>
          </cell>
          <cell r="F264">
            <v>315.7863777112247</v>
          </cell>
          <cell r="G264">
            <v>324.31705002542338</v>
          </cell>
          <cell r="H264">
            <v>333.8490527003986</v>
          </cell>
          <cell r="I264">
            <v>331.17067326980867</v>
          </cell>
          <cell r="J264">
            <v>292.40568939423548</v>
          </cell>
          <cell r="K264">
            <v>293.64940655751815</v>
          </cell>
          <cell r="L264">
            <v>319.87426268562632</v>
          </cell>
          <cell r="M264">
            <v>361.37968653732963</v>
          </cell>
          <cell r="AM264">
            <v>1184.56584704893</v>
          </cell>
          <cell r="AN264">
            <v>1305.1231537068554</v>
          </cell>
          <cell r="AO264">
            <v>1267.3090451747096</v>
          </cell>
        </row>
        <row r="266">
          <cell r="A266" t="str">
            <v>Motorola Shipments by Technology</v>
          </cell>
        </row>
        <row r="267">
          <cell r="A267" t="str">
            <v>Analog</v>
          </cell>
          <cell r="B267">
            <v>0</v>
          </cell>
          <cell r="C267">
            <v>0</v>
          </cell>
          <cell r="D267">
            <v>0</v>
          </cell>
          <cell r="E267">
            <v>0</v>
          </cell>
          <cell r="F267">
            <v>0</v>
          </cell>
          <cell r="G267">
            <v>0</v>
          </cell>
          <cell r="H267">
            <v>0</v>
          </cell>
          <cell r="I267">
            <v>0</v>
          </cell>
          <cell r="J267">
            <v>0</v>
          </cell>
          <cell r="K267">
            <v>0</v>
          </cell>
          <cell r="L267">
            <v>0</v>
          </cell>
          <cell r="M267">
            <v>0</v>
          </cell>
          <cell r="AM267">
            <v>0</v>
          </cell>
          <cell r="AN267">
            <v>0</v>
          </cell>
          <cell r="AO267">
            <v>0</v>
          </cell>
        </row>
        <row r="268">
          <cell r="A268" t="str">
            <v>GSM (including GPRS &amp; EDGE)</v>
          </cell>
          <cell r="B268">
            <v>31.601999999999997</v>
          </cell>
          <cell r="C268">
            <v>22.963999999999999</v>
          </cell>
          <cell r="D268">
            <v>24.167999999999999</v>
          </cell>
          <cell r="E268">
            <v>26.002200000000002</v>
          </cell>
          <cell r="F268">
            <v>14.399999999999999</v>
          </cell>
          <cell r="G268">
            <v>13.900000000000002</v>
          </cell>
          <cell r="H268">
            <v>11.867000000000001</v>
          </cell>
          <cell r="I268">
            <v>8.0819999999999972</v>
          </cell>
          <cell r="J268">
            <v>6.4708100000000002</v>
          </cell>
          <cell r="K268">
            <v>4.797600000000001</v>
          </cell>
          <cell r="L268">
            <v>5.84</v>
          </cell>
          <cell r="M268">
            <v>5.2039999999999997</v>
          </cell>
          <cell r="AM268">
            <v>104.7362</v>
          </cell>
          <cell r="AN268">
            <v>48.248999999999995</v>
          </cell>
          <cell r="AO268">
            <v>22.31241</v>
          </cell>
        </row>
        <row r="269">
          <cell r="A269" t="str">
            <v>WCDMA</v>
          </cell>
          <cell r="B269">
            <v>1.9779999999999998</v>
          </cell>
          <cell r="C269">
            <v>2.2010000000000001</v>
          </cell>
          <cell r="D269">
            <v>2.34</v>
          </cell>
          <cell r="E269">
            <v>2.863</v>
          </cell>
          <cell r="F269">
            <v>2</v>
          </cell>
          <cell r="G269">
            <v>2.2000000000000002</v>
          </cell>
          <cell r="H269">
            <v>2.4380000000000002</v>
          </cell>
          <cell r="I269">
            <v>1.71</v>
          </cell>
          <cell r="J269">
            <v>1.2754699999999999</v>
          </cell>
          <cell r="K269">
            <v>1.7464</v>
          </cell>
          <cell r="L269">
            <v>1.6727999999999998</v>
          </cell>
          <cell r="M269">
            <v>1.476</v>
          </cell>
          <cell r="AM269">
            <v>9.3819999999999997</v>
          </cell>
          <cell r="AN269">
            <v>8.347999999999999</v>
          </cell>
          <cell r="AO269">
            <v>6.1706699999999994</v>
          </cell>
        </row>
        <row r="270">
          <cell r="A270" t="str">
            <v>CDMA</v>
          </cell>
          <cell r="B270">
            <v>7.82</v>
          </cell>
          <cell r="C270">
            <v>6.0350000000000001</v>
          </cell>
          <cell r="D270">
            <v>6.1919999999999993</v>
          </cell>
          <cell r="E270">
            <v>7.0347999999999988</v>
          </cell>
          <cell r="F270">
            <v>6</v>
          </cell>
          <cell r="G270">
            <v>7</v>
          </cell>
          <cell r="H270">
            <v>6.0949999999999998</v>
          </cell>
          <cell r="I270">
            <v>4.4080000000000004</v>
          </cell>
          <cell r="J270">
            <v>2.9537199999999997</v>
          </cell>
          <cell r="K270">
            <v>3.2560000000000002</v>
          </cell>
          <cell r="L270">
            <v>3.0872000000000002</v>
          </cell>
          <cell r="M270">
            <v>2.82</v>
          </cell>
          <cell r="AM270">
            <v>27.081800000000001</v>
          </cell>
          <cell r="AN270">
            <v>23.503</v>
          </cell>
          <cell r="AO270">
            <v>12.11692</v>
          </cell>
        </row>
        <row r="271">
          <cell r="A271" t="str">
            <v>TDMA</v>
          </cell>
          <cell r="B271">
            <v>0</v>
          </cell>
          <cell r="C271">
            <v>0</v>
          </cell>
          <cell r="D271">
            <v>0</v>
          </cell>
          <cell r="E271">
            <v>0</v>
          </cell>
          <cell r="F271">
            <v>0</v>
          </cell>
          <cell r="G271">
            <v>0</v>
          </cell>
          <cell r="H271">
            <v>0</v>
          </cell>
          <cell r="I271">
            <v>0</v>
          </cell>
          <cell r="J271">
            <v>0</v>
          </cell>
          <cell r="K271">
            <v>0</v>
          </cell>
          <cell r="L271">
            <v>0</v>
          </cell>
          <cell r="M271">
            <v>0</v>
          </cell>
          <cell r="AM271">
            <v>0</v>
          </cell>
          <cell r="AN271">
            <v>0</v>
          </cell>
          <cell r="AO271">
            <v>0</v>
          </cell>
        </row>
        <row r="272">
          <cell r="A272" t="str">
            <v>PDC</v>
          </cell>
          <cell r="B272">
            <v>0</v>
          </cell>
          <cell r="C272">
            <v>0</v>
          </cell>
          <cell r="D272">
            <v>0</v>
          </cell>
          <cell r="E272">
            <v>0</v>
          </cell>
          <cell r="F272">
            <v>0</v>
          </cell>
          <cell r="G272">
            <v>0</v>
          </cell>
          <cell r="H272">
            <v>0</v>
          </cell>
          <cell r="I272">
            <v>0</v>
          </cell>
          <cell r="J272">
            <v>0</v>
          </cell>
          <cell r="K272">
            <v>0</v>
          </cell>
          <cell r="L272">
            <v>0</v>
          </cell>
          <cell r="M272">
            <v>0</v>
          </cell>
          <cell r="AM272">
            <v>0</v>
          </cell>
          <cell r="AN272">
            <v>0</v>
          </cell>
          <cell r="AO272">
            <v>0</v>
          </cell>
        </row>
        <row r="273">
          <cell r="A273" t="str">
            <v>iDEN</v>
          </cell>
          <cell r="B273">
            <v>4</v>
          </cell>
          <cell r="C273">
            <v>4.3</v>
          </cell>
          <cell r="D273">
            <v>4.5</v>
          </cell>
          <cell r="E273">
            <v>5</v>
          </cell>
          <cell r="F273">
            <v>5</v>
          </cell>
          <cell r="G273">
            <v>5</v>
          </cell>
          <cell r="H273">
            <v>5</v>
          </cell>
          <cell r="I273">
            <v>5</v>
          </cell>
          <cell r="J273">
            <v>4</v>
          </cell>
          <cell r="K273">
            <v>5</v>
          </cell>
          <cell r="L273">
            <v>3</v>
          </cell>
          <cell r="M273">
            <v>2.5</v>
          </cell>
          <cell r="N273">
            <v>2.5</v>
          </cell>
          <cell r="O273">
            <v>2.5</v>
          </cell>
          <cell r="P273">
            <v>2</v>
          </cell>
          <cell r="Q273">
            <v>2.2000000000000002</v>
          </cell>
          <cell r="AM273">
            <v>17.8</v>
          </cell>
          <cell r="AN273">
            <v>20</v>
          </cell>
          <cell r="AO273">
            <v>14.5</v>
          </cell>
          <cell r="AP273">
            <v>9.1999999999999993</v>
          </cell>
        </row>
        <row r="274">
          <cell r="A274" t="str">
            <v>Total MOT Handsets</v>
          </cell>
          <cell r="B274">
            <v>45.4</v>
          </cell>
          <cell r="C274">
            <v>35.5</v>
          </cell>
          <cell r="D274">
            <v>37.200000000000003</v>
          </cell>
          <cell r="E274">
            <v>40.9</v>
          </cell>
          <cell r="F274">
            <v>27.4</v>
          </cell>
          <cell r="G274">
            <v>28.1</v>
          </cell>
          <cell r="H274">
            <v>25.4</v>
          </cell>
          <cell r="I274">
            <v>19.2</v>
          </cell>
          <cell r="J274">
            <v>14.7</v>
          </cell>
          <cell r="K274">
            <v>14.8</v>
          </cell>
          <cell r="L274">
            <v>13.6</v>
          </cell>
          <cell r="M274">
            <v>12</v>
          </cell>
          <cell r="N274">
            <v>8.5</v>
          </cell>
          <cell r="O274">
            <v>8.3000000000000007</v>
          </cell>
          <cell r="P274">
            <v>9.1</v>
          </cell>
          <cell r="Q274">
            <v>11.3</v>
          </cell>
          <cell r="AM274">
            <v>159</v>
          </cell>
          <cell r="AN274">
            <v>100.10000000000001</v>
          </cell>
          <cell r="AO274">
            <v>55.1</v>
          </cell>
          <cell r="AP274">
            <v>37.200000000000003</v>
          </cell>
        </row>
        <row r="276">
          <cell r="A276" t="str">
            <v>% Change, y/y</v>
          </cell>
        </row>
        <row r="277">
          <cell r="A277" t="str">
            <v>Analog</v>
          </cell>
          <cell r="B277" t="str">
            <v>NM</v>
          </cell>
          <cell r="C277" t="str">
            <v>NM</v>
          </cell>
          <cell r="D277" t="str">
            <v>NM</v>
          </cell>
          <cell r="E277" t="str">
            <v>NM</v>
          </cell>
          <cell r="F277" t="str">
            <v>NM</v>
          </cell>
          <cell r="G277" t="str">
            <v>NM</v>
          </cell>
          <cell r="H277" t="str">
            <v>NM</v>
          </cell>
          <cell r="AM277" t="str">
            <v>NM</v>
          </cell>
          <cell r="AN277" t="str">
            <v>NM</v>
          </cell>
          <cell r="AO277" t="str">
            <v>NM</v>
          </cell>
          <cell r="AP277" t="str">
            <v>NM</v>
          </cell>
        </row>
        <row r="278">
          <cell r="A278" t="str">
            <v>GSM (including GPRS)</v>
          </cell>
          <cell r="B278">
            <v>-5.7022647927670089E-2</v>
          </cell>
          <cell r="C278">
            <v>-0.37898209746335665</v>
          </cell>
          <cell r="D278">
            <v>-0.37574583494769465</v>
          </cell>
          <cell r="E278">
            <v>-0.45715657620041761</v>
          </cell>
          <cell r="F278">
            <v>-0.54433263717486235</v>
          </cell>
          <cell r="G278">
            <v>-0.39470475526911675</v>
          </cell>
          <cell r="H278">
            <v>-0.50897881496193309</v>
          </cell>
          <cell r="AM278" t="str">
            <v>NM</v>
          </cell>
          <cell r="AN278">
            <v>-0.53932833156062565</v>
          </cell>
          <cell r="AO278">
            <v>-0.53755704781446245</v>
          </cell>
          <cell r="AP278">
            <v>-1</v>
          </cell>
        </row>
        <row r="279">
          <cell r="A279" t="str">
            <v>WCDMA</v>
          </cell>
          <cell r="B279">
            <v>0.1635294117647057</v>
          </cell>
          <cell r="C279">
            <v>0.22277777777777774</v>
          </cell>
          <cell r="D279">
            <v>0.46250000000000002</v>
          </cell>
          <cell r="E279">
            <v>-4.5666666666666633E-2</v>
          </cell>
          <cell r="F279">
            <v>1.1122345803842304E-2</v>
          </cell>
          <cell r="G279">
            <v>-4.5433893684687643E-4</v>
          </cell>
          <cell r="H279">
            <v>4.1880341880341954E-2</v>
          </cell>
          <cell r="AM279" t="str">
            <v>NM</v>
          </cell>
          <cell r="AN279">
            <v>-0.11021104242165858</v>
          </cell>
          <cell r="AO279">
            <v>-0.26082055582175367</v>
          </cell>
          <cell r="AP279">
            <v>-1</v>
          </cell>
        </row>
        <row r="280">
          <cell r="A280" t="str">
            <v>CDMA</v>
          </cell>
          <cell r="B280">
            <v>0.2412698412698413</v>
          </cell>
          <cell r="C280">
            <v>-0.27324181117533719</v>
          </cell>
          <cell r="D280">
            <v>-0.32585737615677746</v>
          </cell>
          <cell r="E280">
            <v>-0.37745132743362841</v>
          </cell>
          <cell r="F280">
            <v>-0.23273657289002558</v>
          </cell>
          <cell r="G280">
            <v>0.15990057995028994</v>
          </cell>
          <cell r="H280">
            <v>-1.5665374677002464E-2</v>
          </cell>
          <cell r="AM280" t="str">
            <v>NM</v>
          </cell>
          <cell r="AN280">
            <v>-0.13214778929022442</v>
          </cell>
          <cell r="AO280">
            <v>-0.48445219759179681</v>
          </cell>
          <cell r="AP280">
            <v>-1</v>
          </cell>
        </row>
        <row r="281">
          <cell r="A281" t="str">
            <v>TDMA</v>
          </cell>
          <cell r="B281" t="str">
            <v>NM</v>
          </cell>
          <cell r="C281" t="str">
            <v>NM</v>
          </cell>
          <cell r="D281" t="str">
            <v>NM</v>
          </cell>
          <cell r="E281" t="str">
            <v>NM</v>
          </cell>
          <cell r="F281" t="str">
            <v>NM</v>
          </cell>
          <cell r="G281" t="str">
            <v>NM</v>
          </cell>
          <cell r="H281" t="str">
            <v>NM</v>
          </cell>
          <cell r="AM281" t="str">
            <v>NM</v>
          </cell>
          <cell r="AN281" t="str">
            <v>NM</v>
          </cell>
          <cell r="AO281" t="str">
            <v>NM</v>
          </cell>
          <cell r="AP281" t="str">
            <v>NM</v>
          </cell>
        </row>
        <row r="282">
          <cell r="A282" t="str">
            <v>PDC</v>
          </cell>
          <cell r="B282" t="str">
            <v>NM</v>
          </cell>
          <cell r="C282" t="str">
            <v>NM</v>
          </cell>
          <cell r="D282" t="str">
            <v>NM</v>
          </cell>
          <cell r="E282" t="str">
            <v>NM</v>
          </cell>
          <cell r="F282" t="str">
            <v>NM</v>
          </cell>
          <cell r="G282" t="str">
            <v>NM</v>
          </cell>
          <cell r="H282" t="str">
            <v>NM</v>
          </cell>
          <cell r="AM282" t="str">
            <v>NM</v>
          </cell>
          <cell r="AN282" t="str">
            <v>NM</v>
          </cell>
          <cell r="AO282" t="str">
            <v>NM</v>
          </cell>
          <cell r="AP282" t="str">
            <v>NM</v>
          </cell>
        </row>
        <row r="283">
          <cell r="A283" t="str">
            <v>iDEN</v>
          </cell>
          <cell r="B283">
            <v>-0.12797035099193366</v>
          </cell>
          <cell r="C283">
            <v>-0.10751349107513486</v>
          </cell>
          <cell r="D283">
            <v>7.1428571428571397E-2</v>
          </cell>
          <cell r="E283">
            <v>0.4285714285714286</v>
          </cell>
          <cell r="F283">
            <v>0.25</v>
          </cell>
          <cell r="G283">
            <v>0.16279069767441867</v>
          </cell>
          <cell r="H283">
            <v>0.11111111111111116</v>
          </cell>
          <cell r="AM283" t="str">
            <v>NM</v>
          </cell>
          <cell r="AN283">
            <v>0.12359550561797739</v>
          </cell>
          <cell r="AO283">
            <v>-0.27500000000000002</v>
          </cell>
          <cell r="AP283">
            <v>-0.36551724137931041</v>
          </cell>
        </row>
        <row r="284">
          <cell r="A284" t="str">
            <v>Total MOT</v>
          </cell>
          <cell r="B284">
            <v>-1.5184381778741929E-2</v>
          </cell>
          <cell r="C284">
            <v>-0.31599229287090558</v>
          </cell>
          <cell r="D284">
            <v>-0.30726256983240219</v>
          </cell>
          <cell r="E284">
            <v>-0.37747336377473373</v>
          </cell>
          <cell r="F284">
            <v>-0.3964757709251101</v>
          </cell>
          <cell r="G284">
            <v>-0.20845070422535206</v>
          </cell>
          <cell r="H284">
            <v>-0.31720430107526887</v>
          </cell>
          <cell r="AM284" t="str">
            <v>NM</v>
          </cell>
          <cell r="AN284">
            <v>-0.37044025157232696</v>
          </cell>
          <cell r="AO284">
            <v>-0.44955044955044954</v>
          </cell>
          <cell r="AP284">
            <v>-0.32486388384754983</v>
          </cell>
        </row>
        <row r="286">
          <cell r="A286" t="str">
            <v>% Market Share</v>
          </cell>
        </row>
        <row r="287">
          <cell r="A287" t="str">
            <v>Analog</v>
          </cell>
          <cell r="B287" t="str">
            <v>NM</v>
          </cell>
          <cell r="C287" t="str">
            <v>NM</v>
          </cell>
          <cell r="D287" t="str">
            <v>NM</v>
          </cell>
          <cell r="E287" t="str">
            <v>NM</v>
          </cell>
          <cell r="F287" t="str">
            <v>NM</v>
          </cell>
          <cell r="G287" t="str">
            <v>NM</v>
          </cell>
          <cell r="H287" t="str">
            <v>NM</v>
          </cell>
          <cell r="I287" t="str">
            <v>NM</v>
          </cell>
          <cell r="J287" t="str">
            <v>NM</v>
          </cell>
          <cell r="K287" t="str">
            <v>NM</v>
          </cell>
          <cell r="L287" t="str">
            <v>NM</v>
          </cell>
          <cell r="M287" t="str">
            <v>NM</v>
          </cell>
          <cell r="AM287" t="str">
            <v>NM</v>
          </cell>
          <cell r="AN287" t="str">
            <v>NM</v>
          </cell>
          <cell r="AO287" t="str">
            <v>NM</v>
          </cell>
          <cell r="AP287" t="str">
            <v>NM</v>
          </cell>
          <cell r="AQ287" t="str">
            <v>NM</v>
          </cell>
          <cell r="AR287" t="str">
            <v>NM</v>
          </cell>
          <cell r="AS287" t="str">
            <v>NM</v>
          </cell>
          <cell r="AT287" t="str">
            <v>NM</v>
          </cell>
          <cell r="AU287" t="str">
            <v>NM</v>
          </cell>
        </row>
        <row r="288">
          <cell r="A288" t="str">
            <v>GSM (including GPRS &amp; EDGE)</v>
          </cell>
          <cell r="B288">
            <v>0.19239373613098934</v>
          </cell>
          <cell r="C288">
            <v>0.13597039193866994</v>
          </cell>
          <cell r="D288">
            <v>0.12924359878229413</v>
          </cell>
          <cell r="E288">
            <v>0.11806242766835064</v>
          </cell>
          <cell r="F288">
            <v>7.7784560494123772E-2</v>
          </cell>
          <cell r="G288">
            <v>7.6838032629420572E-2</v>
          </cell>
          <cell r="H288">
            <v>6.5313472593537134E-2</v>
          </cell>
          <cell r="I288">
            <v>4.6477462966549664E-2</v>
          </cell>
          <cell r="J288">
            <v>4.5604346815149591E-2</v>
          </cell>
          <cell r="K288">
            <v>4.0104838821381696E-2</v>
          </cell>
          <cell r="L288">
            <v>4.9207919943861894E-2</v>
          </cell>
          <cell r="M288">
            <v>3.5567418847089645E-2</v>
          </cell>
          <cell r="AM288">
            <v>0.14146210378046456</v>
          </cell>
          <cell r="AN288">
            <v>6.6862947044585397E-2</v>
          </cell>
          <cell r="AO288">
            <v>4.2377906994428796E-2</v>
          </cell>
          <cell r="AP288" t="str">
            <v>NM</v>
          </cell>
          <cell r="AQ288" t="str">
            <v>NM</v>
          </cell>
          <cell r="AR288" t="str">
            <v>NM</v>
          </cell>
          <cell r="AS288" t="str">
            <v>NM</v>
          </cell>
          <cell r="AT288" t="str">
            <v>NM</v>
          </cell>
          <cell r="AU288" t="str">
            <v>NM</v>
          </cell>
        </row>
        <row r="289">
          <cell r="A289" t="str">
            <v>WCDMA</v>
          </cell>
          <cell r="B289">
            <v>5.3827427408396536E-2</v>
          </cell>
          <cell r="C289">
            <v>5.3927378498598945E-2</v>
          </cell>
          <cell r="D289">
            <v>5.3431000940750949E-2</v>
          </cell>
          <cell r="E289">
            <v>5.2615364235152944E-2</v>
          </cell>
          <cell r="F289">
            <v>3.7942245739718938E-2</v>
          </cell>
          <cell r="G289">
            <v>3.4645669291338582E-2</v>
          </cell>
          <cell r="H289">
            <v>3.5800293685756247E-2</v>
          </cell>
          <cell r="I289">
            <v>2.145860615181585E-2</v>
          </cell>
          <cell r="J289">
            <v>1.9622615384615384E-2</v>
          </cell>
          <cell r="K289">
            <v>2.2389743589743587E-2</v>
          </cell>
          <cell r="L289">
            <v>1.8382417582417581E-2</v>
          </cell>
          <cell r="M289">
            <v>1.4613861386138613E-2</v>
          </cell>
          <cell r="AM289">
            <v>5.337663933909044E-2</v>
          </cell>
          <cell r="AN289">
            <v>3.1621212121212119E-2</v>
          </cell>
          <cell r="AO289">
            <v>1.8419910447761194E-2</v>
          </cell>
          <cell r="AP289" t="str">
            <v>NM</v>
          </cell>
          <cell r="AQ289" t="str">
            <v>NM</v>
          </cell>
          <cell r="AR289" t="str">
            <v>NM</v>
          </cell>
          <cell r="AS289" t="str">
            <v>NM</v>
          </cell>
          <cell r="AT289" t="str">
            <v>NM</v>
          </cell>
          <cell r="AU289" t="str">
            <v>NM</v>
          </cell>
        </row>
        <row r="290">
          <cell r="A290" t="str">
            <v>CDMA</v>
          </cell>
          <cell r="B290">
            <v>0.15977573902668005</v>
          </cell>
          <cell r="C290">
            <v>0.1244806250652508</v>
          </cell>
          <cell r="D290">
            <v>0.12099991202053634</v>
          </cell>
          <cell r="E290">
            <v>0.12212904421714124</v>
          </cell>
          <cell r="F290">
            <v>0.11060565138964741</v>
          </cell>
          <cell r="G290">
            <v>0.12544802867383514</v>
          </cell>
          <cell r="H290">
            <v>0.10636998254799301</v>
          </cell>
          <cell r="I290">
            <v>9.0600368104606616E-2</v>
          </cell>
          <cell r="J290">
            <v>6.5638222222222209E-2</v>
          </cell>
          <cell r="K290">
            <v>5.9200000000000003E-2</v>
          </cell>
          <cell r="L290">
            <v>5.4161403508771931E-2</v>
          </cell>
          <cell r="M290">
            <v>4.7E-2</v>
          </cell>
          <cell r="AM290">
            <v>0.13133753637245396</v>
          </cell>
          <cell r="AN290">
            <v>0.10881018518518518</v>
          </cell>
          <cell r="AO290">
            <v>5.5838341013824885E-2</v>
          </cell>
          <cell r="AP290" t="str">
            <v>NM</v>
          </cell>
          <cell r="AQ290" t="str">
            <v>NM</v>
          </cell>
          <cell r="AR290" t="str">
            <v>NM</v>
          </cell>
          <cell r="AS290" t="str">
            <v>NM</v>
          </cell>
          <cell r="AT290" t="str">
            <v>NM</v>
          </cell>
          <cell r="AU290" t="str">
            <v>NM</v>
          </cell>
        </row>
        <row r="291">
          <cell r="A291" t="str">
            <v>TDMA</v>
          </cell>
          <cell r="B291">
            <v>0</v>
          </cell>
          <cell r="C291">
            <v>0</v>
          </cell>
          <cell r="D291">
            <v>0</v>
          </cell>
          <cell r="E291">
            <v>0</v>
          </cell>
          <cell r="F291">
            <v>0</v>
          </cell>
          <cell r="G291">
            <v>0</v>
          </cell>
          <cell r="H291">
            <v>0</v>
          </cell>
          <cell r="I291" t="str">
            <v>NM</v>
          </cell>
          <cell r="J291">
            <v>0</v>
          </cell>
          <cell r="K291">
            <v>0</v>
          </cell>
          <cell r="L291">
            <v>0</v>
          </cell>
          <cell r="M291" t="str">
            <v>NM</v>
          </cell>
          <cell r="AM291">
            <v>0</v>
          </cell>
          <cell r="AN291">
            <v>0</v>
          </cell>
          <cell r="AO291">
            <v>0</v>
          </cell>
          <cell r="AP291" t="str">
            <v>NM</v>
          </cell>
          <cell r="AQ291" t="str">
            <v>NM</v>
          </cell>
          <cell r="AR291" t="str">
            <v>NM</v>
          </cell>
          <cell r="AS291" t="str">
            <v>NM</v>
          </cell>
          <cell r="AT291" t="str">
            <v>NM</v>
          </cell>
          <cell r="AU291" t="str">
            <v>NM</v>
          </cell>
        </row>
        <row r="292">
          <cell r="A292" t="str">
            <v>PDC</v>
          </cell>
          <cell r="B292">
            <v>0</v>
          </cell>
          <cell r="C292">
            <v>0</v>
          </cell>
          <cell r="D292">
            <v>0</v>
          </cell>
          <cell r="E292">
            <v>0</v>
          </cell>
          <cell r="F292">
            <v>0</v>
          </cell>
          <cell r="G292">
            <v>0</v>
          </cell>
          <cell r="H292">
            <v>0</v>
          </cell>
          <cell r="I292">
            <v>0</v>
          </cell>
          <cell r="J292">
            <v>0</v>
          </cell>
          <cell r="K292">
            <v>0</v>
          </cell>
          <cell r="L292">
            <v>0</v>
          </cell>
          <cell r="M292">
            <v>0</v>
          </cell>
          <cell r="AM292">
            <v>0</v>
          </cell>
          <cell r="AN292">
            <v>0</v>
          </cell>
          <cell r="AO292">
            <v>0</v>
          </cell>
          <cell r="AP292" t="str">
            <v>NM</v>
          </cell>
          <cell r="AQ292" t="str">
            <v>NM</v>
          </cell>
          <cell r="AR292" t="str">
            <v>NM</v>
          </cell>
          <cell r="AS292" t="str">
            <v>NM</v>
          </cell>
          <cell r="AT292" t="str">
            <v>NM</v>
          </cell>
          <cell r="AU292" t="str">
            <v>NM</v>
          </cell>
        </row>
        <row r="293">
          <cell r="A293" t="str">
            <v>iDEN</v>
          </cell>
          <cell r="B293">
            <v>1</v>
          </cell>
          <cell r="C293">
            <v>1</v>
          </cell>
          <cell r="D293">
            <v>1</v>
          </cell>
          <cell r="E293">
            <v>1</v>
          </cell>
          <cell r="F293">
            <v>1</v>
          </cell>
          <cell r="G293">
            <v>1</v>
          </cell>
          <cell r="H293">
            <v>1</v>
          </cell>
          <cell r="I293">
            <v>1</v>
          </cell>
          <cell r="J293">
            <v>1</v>
          </cell>
          <cell r="K293">
            <v>1</v>
          </cell>
          <cell r="L293">
            <v>1</v>
          </cell>
          <cell r="M293">
            <v>1</v>
          </cell>
          <cell r="AM293">
            <v>1</v>
          </cell>
          <cell r="AN293">
            <v>1</v>
          </cell>
          <cell r="AO293">
            <v>1</v>
          </cell>
          <cell r="AP293" t="str">
            <v>NM</v>
          </cell>
          <cell r="AQ293" t="str">
            <v>NM</v>
          </cell>
          <cell r="AR293" t="str">
            <v>NM</v>
          </cell>
          <cell r="AS293" t="str">
            <v>NM</v>
          </cell>
          <cell r="AT293" t="str">
            <v>NM</v>
          </cell>
          <cell r="AU293" t="str">
            <v>NM</v>
          </cell>
        </row>
        <row r="294">
          <cell r="A294" t="str">
            <v>Total MOT</v>
          </cell>
          <cell r="B294">
            <v>0.17199716962110287</v>
          </cell>
          <cell r="C294">
            <v>0.12900732551282318</v>
          </cell>
          <cell r="D294">
            <v>0.12481328123157302</v>
          </cell>
          <cell r="E294">
            <v>0.11773692765213208</v>
          </cell>
          <cell r="F294">
            <v>8.6767517327984031E-2</v>
          </cell>
          <cell r="G294">
            <v>8.6643610003844157E-2</v>
          </cell>
          <cell r="H294">
            <v>7.608228867072557E-2</v>
          </cell>
          <cell r="I294">
            <v>5.7976148100401186E-2</v>
          </cell>
          <cell r="J294">
            <v>5.0272619628070059E-2</v>
          </cell>
          <cell r="K294">
            <v>5.0400238071317445E-2</v>
          </cell>
          <cell r="L294">
            <v>4.2516706051359099E-2</v>
          </cell>
          <cell r="M294">
            <v>3.3206072303016483E-2</v>
          </cell>
          <cell r="AM294">
            <v>0.13422639222303384</v>
          </cell>
          <cell r="AN294">
            <v>7.6697742826562054E-2</v>
          </cell>
          <cell r="AO294">
            <v>4.3477950551835592E-2</v>
          </cell>
          <cell r="AP294" t="str">
            <v>NM</v>
          </cell>
          <cell r="AQ294" t="str">
            <v>NM</v>
          </cell>
          <cell r="AR294" t="str">
            <v>NM</v>
          </cell>
          <cell r="AS294" t="str">
            <v>NM</v>
          </cell>
          <cell r="AT294" t="str">
            <v>NM</v>
          </cell>
          <cell r="AU294" t="str">
            <v>NM</v>
          </cell>
        </row>
        <row r="296">
          <cell r="A296" t="str">
            <v>% Contribution of Motorola Shipments</v>
          </cell>
        </row>
        <row r="297">
          <cell r="A297" t="str">
            <v>Analog</v>
          </cell>
          <cell r="B297">
            <v>0</v>
          </cell>
          <cell r="C297">
            <v>0</v>
          </cell>
          <cell r="D297">
            <v>0</v>
          </cell>
          <cell r="E297">
            <v>0</v>
          </cell>
          <cell r="F297">
            <v>0</v>
          </cell>
          <cell r="G297">
            <v>0</v>
          </cell>
          <cell r="H297">
            <v>0</v>
          </cell>
          <cell r="I297">
            <v>0</v>
          </cell>
          <cell r="J297">
            <v>0</v>
          </cell>
          <cell r="K297">
            <v>0</v>
          </cell>
          <cell r="L297">
            <v>0</v>
          </cell>
          <cell r="M297">
            <v>0</v>
          </cell>
          <cell r="AM297">
            <v>0</v>
          </cell>
          <cell r="AN297">
            <v>0</v>
          </cell>
          <cell r="AO297">
            <v>0</v>
          </cell>
          <cell r="AP297">
            <v>0</v>
          </cell>
          <cell r="AQ297">
            <v>0</v>
          </cell>
          <cell r="AR297">
            <v>0</v>
          </cell>
          <cell r="AS297">
            <v>0</v>
          </cell>
          <cell r="AT297">
            <v>0</v>
          </cell>
          <cell r="AU297">
            <v>0</v>
          </cell>
        </row>
        <row r="298">
          <cell r="A298" t="str">
            <v>GSM (including GPRS &amp; EDGE)</v>
          </cell>
          <cell r="B298">
            <v>0.69607929515418498</v>
          </cell>
          <cell r="C298">
            <v>0.64687323943661967</v>
          </cell>
          <cell r="D298">
            <v>0.64967741935483869</v>
          </cell>
          <cell r="E298">
            <v>0.63575061124694388</v>
          </cell>
          <cell r="F298">
            <v>0.52554744525547448</v>
          </cell>
          <cell r="G298">
            <v>0.49466192170818513</v>
          </cell>
          <cell r="H298">
            <v>0.46720472440944888</v>
          </cell>
          <cell r="I298">
            <v>0.42093749999999985</v>
          </cell>
          <cell r="J298">
            <v>0.44019115646258505</v>
          </cell>
          <cell r="K298">
            <v>0.3241621621621622</v>
          </cell>
          <cell r="L298">
            <v>0.42941176470588238</v>
          </cell>
          <cell r="M298">
            <v>0.43366666666666664</v>
          </cell>
          <cell r="AM298">
            <v>0.65871823899371063</v>
          </cell>
          <cell r="AN298">
            <v>0.48200799200799194</v>
          </cell>
          <cell r="AO298">
            <v>0.40494392014519054</v>
          </cell>
          <cell r="AP298">
            <v>0</v>
          </cell>
          <cell r="AQ298">
            <v>0</v>
          </cell>
          <cell r="AR298">
            <v>0</v>
          </cell>
          <cell r="AS298">
            <v>0</v>
          </cell>
          <cell r="AT298">
            <v>0</v>
          </cell>
          <cell r="AU298">
            <v>0</v>
          </cell>
        </row>
        <row r="299">
          <cell r="A299" t="str">
            <v>WCDMA</v>
          </cell>
          <cell r="B299">
            <v>4.3568281938325987E-2</v>
          </cell>
          <cell r="C299">
            <v>6.2E-2</v>
          </cell>
          <cell r="D299">
            <v>6.2903225806451607E-2</v>
          </cell>
          <cell r="E299">
            <v>7.0000000000000007E-2</v>
          </cell>
          <cell r="F299">
            <v>7.2992700729927015E-2</v>
          </cell>
          <cell r="G299">
            <v>7.8291814946619215E-2</v>
          </cell>
          <cell r="H299">
            <v>9.598425196850395E-2</v>
          </cell>
          <cell r="I299">
            <v>8.9062500000000003E-2</v>
          </cell>
          <cell r="J299">
            <v>8.6766666666666659E-2</v>
          </cell>
          <cell r="K299">
            <v>0.11799999999999999</v>
          </cell>
          <cell r="L299">
            <v>0.123</v>
          </cell>
          <cell r="M299">
            <v>0.123</v>
          </cell>
          <cell r="AM299">
            <v>5.9006289308176099E-2</v>
          </cell>
          <cell r="AN299">
            <v>8.3396603396603375E-2</v>
          </cell>
          <cell r="AO299">
            <v>0.11199038112522684</v>
          </cell>
          <cell r="AP299">
            <v>0</v>
          </cell>
          <cell r="AQ299">
            <v>0</v>
          </cell>
          <cell r="AR299">
            <v>0</v>
          </cell>
          <cell r="AS299">
            <v>0</v>
          </cell>
          <cell r="AT299">
            <v>0</v>
          </cell>
          <cell r="AU299">
            <v>0</v>
          </cell>
        </row>
        <row r="300">
          <cell r="A300" t="str">
            <v>CDMA</v>
          </cell>
          <cell r="B300">
            <v>0.17224669603524231</v>
          </cell>
          <cell r="C300">
            <v>0.17</v>
          </cell>
          <cell r="D300">
            <v>0.16645161290322577</v>
          </cell>
          <cell r="E300">
            <v>0.17199999999999999</v>
          </cell>
          <cell r="F300">
            <v>0.21897810218978103</v>
          </cell>
          <cell r="G300">
            <v>0.24911032028469748</v>
          </cell>
          <cell r="H300">
            <v>0.23996062992125985</v>
          </cell>
          <cell r="I300">
            <v>0.22958333333333336</v>
          </cell>
          <cell r="J300">
            <v>0.20093333333333332</v>
          </cell>
          <cell r="K300">
            <v>0.22</v>
          </cell>
          <cell r="L300">
            <v>0.22700000000000001</v>
          </cell>
          <cell r="M300">
            <v>0.23499999999999999</v>
          </cell>
          <cell r="AM300">
            <v>0.17032578616352201</v>
          </cell>
          <cell r="AN300">
            <v>0.23479520479520477</v>
          </cell>
          <cell r="AO300">
            <v>0.21990780399274049</v>
          </cell>
          <cell r="AP300">
            <v>0</v>
          </cell>
          <cell r="AQ300">
            <v>0</v>
          </cell>
          <cell r="AR300">
            <v>0</v>
          </cell>
          <cell r="AS300">
            <v>0</v>
          </cell>
          <cell r="AT300">
            <v>0</v>
          </cell>
          <cell r="AU300">
            <v>0</v>
          </cell>
        </row>
        <row r="301">
          <cell r="A301" t="str">
            <v>TDMA</v>
          </cell>
          <cell r="B301">
            <v>0</v>
          </cell>
          <cell r="C301">
            <v>0</v>
          </cell>
          <cell r="D301">
            <v>0</v>
          </cell>
          <cell r="E301">
            <v>0</v>
          </cell>
          <cell r="F301">
            <v>0</v>
          </cell>
          <cell r="G301">
            <v>0</v>
          </cell>
          <cell r="H301">
            <v>0</v>
          </cell>
          <cell r="I301">
            <v>0</v>
          </cell>
          <cell r="J301">
            <v>0</v>
          </cell>
          <cell r="K301">
            <v>0</v>
          </cell>
          <cell r="L301">
            <v>0</v>
          </cell>
          <cell r="M301">
            <v>0</v>
          </cell>
          <cell r="AM301">
            <v>0</v>
          </cell>
          <cell r="AN301">
            <v>0</v>
          </cell>
          <cell r="AO301">
            <v>0</v>
          </cell>
          <cell r="AP301">
            <v>0</v>
          </cell>
          <cell r="AQ301">
            <v>0</v>
          </cell>
          <cell r="AR301">
            <v>0</v>
          </cell>
          <cell r="AS301">
            <v>0</v>
          </cell>
          <cell r="AT301">
            <v>0</v>
          </cell>
          <cell r="AU301">
            <v>0</v>
          </cell>
        </row>
        <row r="302">
          <cell r="A302" t="str">
            <v>PDC</v>
          </cell>
          <cell r="B302">
            <v>0</v>
          </cell>
          <cell r="C302">
            <v>0</v>
          </cell>
          <cell r="D302">
            <v>0</v>
          </cell>
          <cell r="E302">
            <v>0</v>
          </cell>
          <cell r="F302">
            <v>0</v>
          </cell>
          <cell r="G302">
            <v>0</v>
          </cell>
          <cell r="H302">
            <v>0</v>
          </cell>
          <cell r="I302">
            <v>0</v>
          </cell>
          <cell r="J302">
            <v>0</v>
          </cell>
          <cell r="K302">
            <v>0</v>
          </cell>
          <cell r="L302">
            <v>0</v>
          </cell>
          <cell r="M302">
            <v>0</v>
          </cell>
          <cell r="AM302">
            <v>0</v>
          </cell>
          <cell r="AN302">
            <v>0</v>
          </cell>
          <cell r="AO302">
            <v>0</v>
          </cell>
          <cell r="AP302">
            <v>0</v>
          </cell>
          <cell r="AQ302">
            <v>0</v>
          </cell>
          <cell r="AR302">
            <v>0</v>
          </cell>
          <cell r="AS302">
            <v>0</v>
          </cell>
          <cell r="AT302">
            <v>0</v>
          </cell>
          <cell r="AU302">
            <v>0</v>
          </cell>
        </row>
        <row r="303">
          <cell r="A303" t="str">
            <v>iDEN</v>
          </cell>
          <cell r="B303">
            <v>8.8105726872246701E-2</v>
          </cell>
          <cell r="C303">
            <v>0.12112676056338027</v>
          </cell>
          <cell r="D303">
            <v>0.12096774193548386</v>
          </cell>
          <cell r="E303">
            <v>0.12224938875305624</v>
          </cell>
          <cell r="F303">
            <v>0.18248175182481752</v>
          </cell>
          <cell r="G303">
            <v>0.1779359430604982</v>
          </cell>
          <cell r="H303">
            <v>0.19685039370078741</v>
          </cell>
          <cell r="I303">
            <v>0.26041666666666669</v>
          </cell>
          <cell r="J303">
            <v>0.27210884353741499</v>
          </cell>
          <cell r="K303">
            <v>0.33783783783783783</v>
          </cell>
          <cell r="L303">
            <v>0.22058823529411764</v>
          </cell>
          <cell r="M303">
            <v>0.20833333333333334</v>
          </cell>
          <cell r="AM303">
            <v>0.1119496855345912</v>
          </cell>
          <cell r="AN303">
            <v>0.19980019980019978</v>
          </cell>
          <cell r="AO303">
            <v>0.26315789473684209</v>
          </cell>
          <cell r="AP303">
            <v>0.24731182795698922</v>
          </cell>
          <cell r="AQ303">
            <v>0</v>
          </cell>
          <cell r="AR303">
            <v>0</v>
          </cell>
          <cell r="AS303">
            <v>0</v>
          </cell>
          <cell r="AT303">
            <v>0</v>
          </cell>
          <cell r="AU303">
            <v>0</v>
          </cell>
        </row>
        <row r="304">
          <cell r="A304" t="str">
            <v>Total MOT</v>
          </cell>
          <cell r="B304">
            <v>1</v>
          </cell>
          <cell r="C304">
            <v>1</v>
          </cell>
          <cell r="D304">
            <v>0.99999999999999989</v>
          </cell>
          <cell r="E304">
            <v>1</v>
          </cell>
          <cell r="F304">
            <v>1</v>
          </cell>
          <cell r="G304">
            <v>1</v>
          </cell>
          <cell r="H304">
            <v>1.0000000000000002</v>
          </cell>
          <cell r="I304">
            <v>1</v>
          </cell>
          <cell r="J304">
            <v>1</v>
          </cell>
          <cell r="K304">
            <v>1</v>
          </cell>
          <cell r="L304">
            <v>1</v>
          </cell>
          <cell r="M304">
            <v>1</v>
          </cell>
          <cell r="AM304">
            <v>1</v>
          </cell>
          <cell r="AN304">
            <v>1</v>
          </cell>
          <cell r="AO304">
            <v>1</v>
          </cell>
          <cell r="AP304">
            <v>1</v>
          </cell>
          <cell r="AQ304">
            <v>0</v>
          </cell>
          <cell r="AR304">
            <v>0</v>
          </cell>
          <cell r="AS304">
            <v>0</v>
          </cell>
          <cell r="AT304">
            <v>0</v>
          </cell>
          <cell r="AU304">
            <v>0</v>
          </cell>
        </row>
        <row r="306">
          <cell r="A306" t="str">
            <v>% Smartphone Revenue by Geography</v>
          </cell>
        </row>
        <row r="307">
          <cell r="A307" t="str">
            <v>North America</v>
          </cell>
          <cell r="N307">
            <v>0.33</v>
          </cell>
        </row>
        <row r="309">
          <cell r="A309" t="str">
            <v>% Smartphone Units by Geography</v>
          </cell>
        </row>
        <row r="310">
          <cell r="A310" t="str">
            <v>North America</v>
          </cell>
          <cell r="N310">
            <v>0.75</v>
          </cell>
          <cell r="P310">
            <v>0.75</v>
          </cell>
          <cell r="Q310">
            <v>0.7</v>
          </cell>
          <cell r="R310">
            <v>0.5</v>
          </cell>
          <cell r="S310">
            <v>0.4</v>
          </cell>
        </row>
        <row r="311">
          <cell r="A311" t="str">
            <v>International</v>
          </cell>
          <cell r="N311">
            <v>0.25</v>
          </cell>
          <cell r="P311">
            <v>0.25</v>
          </cell>
          <cell r="Q311">
            <v>0.3</v>
          </cell>
          <cell r="R311">
            <v>0.5</v>
          </cell>
          <cell r="S311">
            <v>0.6</v>
          </cell>
        </row>
        <row r="312">
          <cell r="A312" t="str">
            <v>Total</v>
          </cell>
          <cell r="Q312">
            <v>1</v>
          </cell>
          <cell r="R312">
            <v>1</v>
          </cell>
          <cell r="S312">
            <v>1</v>
          </cell>
        </row>
        <row r="314">
          <cell r="A314" t="str">
            <v>Smartphone Units</v>
          </cell>
        </row>
        <row r="315">
          <cell r="A315" t="str">
            <v>North America</v>
          </cell>
          <cell r="N315">
            <v>1.7249999999999999</v>
          </cell>
          <cell r="O315">
            <v>0</v>
          </cell>
          <cell r="P315">
            <v>2.8499999999999996</v>
          </cell>
          <cell r="Q315">
            <v>3.43</v>
          </cell>
          <cell r="R315">
            <v>2.0499999999999998</v>
          </cell>
          <cell r="S315">
            <v>1.7600000000000002</v>
          </cell>
        </row>
        <row r="316">
          <cell r="A316" t="str">
            <v>International</v>
          </cell>
          <cell r="N316">
            <v>0.57499999999999996</v>
          </cell>
          <cell r="O316">
            <v>2.7</v>
          </cell>
          <cell r="P316">
            <v>0.95000000000000018</v>
          </cell>
          <cell r="Q316">
            <v>1.4700000000000002</v>
          </cell>
          <cell r="R316">
            <v>2.0499999999999998</v>
          </cell>
          <cell r="S316">
            <v>2.64</v>
          </cell>
        </row>
        <row r="317">
          <cell r="A317" t="str">
            <v xml:space="preserve">   China</v>
          </cell>
          <cell r="R317">
            <v>1</v>
          </cell>
          <cell r="S317">
            <v>1.07</v>
          </cell>
          <cell r="AP317">
            <v>2</v>
          </cell>
        </row>
        <row r="318">
          <cell r="A318" t="str">
            <v xml:space="preserve">   Other International</v>
          </cell>
          <cell r="R318">
            <v>1.0499999999999998</v>
          </cell>
          <cell r="S318">
            <v>1.57</v>
          </cell>
        </row>
        <row r="320">
          <cell r="A320" t="str">
            <v>Unit Chg q/q</v>
          </cell>
        </row>
        <row r="321">
          <cell r="A321" t="str">
            <v>North America</v>
          </cell>
          <cell r="Q321">
            <v>0.20350877192982475</v>
          </cell>
          <cell r="R321">
            <v>-0.40233236151603502</v>
          </cell>
          <cell r="S321">
            <v>-0.14146341463414613</v>
          </cell>
        </row>
        <row r="322">
          <cell r="A322" t="str">
            <v>International</v>
          </cell>
          <cell r="Q322">
            <v>0.5473684210526315</v>
          </cell>
          <cell r="R322">
            <v>0.39455782312925147</v>
          </cell>
        </row>
        <row r="324">
          <cell r="A324" t="str">
            <v>Global Handset Market - MS Estimate (M)</v>
          </cell>
          <cell r="B324">
            <v>263.95783198068239</v>
          </cell>
          <cell r="C324">
            <v>275.17817192847195</v>
          </cell>
          <cell r="D324">
            <v>298.04520506900843</v>
          </cell>
          <cell r="E324">
            <v>347.38463807076715</v>
          </cell>
          <cell r="F324">
            <v>315.7863777112247</v>
          </cell>
          <cell r="G324">
            <v>324.31705002542338</v>
          </cell>
          <cell r="H324">
            <v>333.8490527003986</v>
          </cell>
          <cell r="I324">
            <v>331.17067326980867</v>
          </cell>
          <cell r="J324">
            <v>292.40568939423548</v>
          </cell>
          <cell r="K324">
            <v>293.64940655751815</v>
          </cell>
          <cell r="L324">
            <v>319.87426268562632</v>
          </cell>
          <cell r="M324">
            <v>361.37968653732963</v>
          </cell>
          <cell r="N324">
            <v>324.55473950252792</v>
          </cell>
          <cell r="O324">
            <v>333.71594026048592</v>
          </cell>
          <cell r="P324">
            <v>364</v>
          </cell>
          <cell r="Q324">
            <v>397.00704972227254</v>
          </cell>
          <cell r="R324">
            <v>349.0903512638294</v>
          </cell>
          <cell r="S324">
            <v>357.73579085852816</v>
          </cell>
          <cell r="T324">
            <v>380.39103895862468</v>
          </cell>
          <cell r="U324">
            <v>428.89558172334915</v>
          </cell>
          <cell r="V324">
            <v>379.11552345672357</v>
          </cell>
          <cell r="W324">
            <v>389.80798499637706</v>
          </cell>
          <cell r="X324">
            <v>402.81415587017295</v>
          </cell>
          <cell r="Y324">
            <v>451.68937129446067</v>
          </cell>
          <cell r="AM324">
            <v>1184.56584704893</v>
          </cell>
          <cell r="AN324">
            <v>1305.1231537068554</v>
          </cell>
          <cell r="AO324">
            <v>1267.3090451747096</v>
          </cell>
          <cell r="AP324">
            <v>1419.2777294852863</v>
          </cell>
          <cell r="AQ324">
            <v>1516.1127628043314</v>
          </cell>
          <cell r="AR324">
            <v>1635.8764116352386</v>
          </cell>
          <cell r="AS324">
            <v>1739.2188544931682</v>
          </cell>
        </row>
        <row r="325">
          <cell r="A325" t="str">
            <v xml:space="preserve">    Q/Q growth</v>
          </cell>
          <cell r="B325">
            <v>-9.8641325459316032E-2</v>
          </cell>
          <cell r="C325">
            <v>4.2508077383400789E-2</v>
          </cell>
          <cell r="D325">
            <v>8.3099008109118522E-2</v>
          </cell>
          <cell r="E325">
            <v>0.16554345502835655</v>
          </cell>
          <cell r="F325">
            <v>-9.0960442393268504E-2</v>
          </cell>
          <cell r="G325">
            <v>2.7014060505167414E-2</v>
          </cell>
          <cell r="H325">
            <v>2.9391000794525057E-2</v>
          </cell>
          <cell r="I325">
            <v>-8.0227258664518075E-3</v>
          </cell>
          <cell r="J325">
            <v>-0.11705439824374453</v>
          </cell>
          <cell r="K325">
            <v>4.2533959098376428E-3</v>
          </cell>
          <cell r="L325">
            <v>8.9306688665047318E-2</v>
          </cell>
          <cell r="M325">
            <v>0.12975543422352498</v>
          </cell>
          <cell r="N325">
            <v>-0.10190098781603152</v>
          </cell>
          <cell r="O325">
            <v>2.8226981901420256E-2</v>
          </cell>
          <cell r="P325">
            <v>9.0748016759030214E-2</v>
          </cell>
          <cell r="Q325">
            <v>9.06787080282212E-2</v>
          </cell>
          <cell r="R325">
            <v>-0.12069483021010186</v>
          </cell>
          <cell r="S325">
            <v>2.4765621746345223E-2</v>
          </cell>
          <cell r="T325">
            <v>6.3329554042457659E-2</v>
          </cell>
          <cell r="U325">
            <v>0.12751231705539823</v>
          </cell>
        </row>
        <row r="326">
          <cell r="A326" t="str">
            <v xml:space="preserve">    Y/Y growth</v>
          </cell>
          <cell r="B326">
            <v>0.23439067740744002</v>
          </cell>
          <cell r="C326">
            <v>0.16587224532933242</v>
          </cell>
          <cell r="D326">
            <v>0.17613664776941107</v>
          </cell>
          <cell r="E326">
            <v>0.18624310018646195</v>
          </cell>
          <cell r="F326">
            <v>0.19635161170112725</v>
          </cell>
          <cell r="G326">
            <v>0.17857113357713672</v>
          </cell>
          <cell r="H326">
            <v>0.12012891676314763</v>
          </cell>
          <cell r="I326">
            <v>-4.6674386325786466E-2</v>
          </cell>
          <cell r="J326">
            <v>-7.403957221476487E-2</v>
          </cell>
          <cell r="K326">
            <v>-9.456068826939934E-2</v>
          </cell>
          <cell r="L326">
            <v>-4.1859606614829792E-2</v>
          </cell>
          <cell r="M326">
            <v>9.1218865998165644E-2</v>
          </cell>
          <cell r="N326">
            <v>0.1099467324828538</v>
          </cell>
          <cell r="O326">
            <v>0.13644343495419187</v>
          </cell>
          <cell r="P326">
            <v>0.13794713255108193</v>
          </cell>
          <cell r="Q326">
            <v>9.8587066490420039E-2</v>
          </cell>
          <cell r="R326">
            <v>7.559776140970631E-2</v>
          </cell>
          <cell r="S326">
            <v>7.1976935172150425E-2</v>
          </cell>
          <cell r="T326">
            <v>4.503032680940855E-2</v>
          </cell>
          <cell r="U326">
            <v>8.0322331866359287E-2</v>
          </cell>
          <cell r="AN326">
            <v>0.10177341087307723</v>
          </cell>
          <cell r="AO326">
            <v>-2.8973594120022206E-2</v>
          </cell>
          <cell r="AP326">
            <v>0.1199144635550411</v>
          </cell>
          <cell r="AQ326">
            <v>6.8228389206221873E-2</v>
          </cell>
          <cell r="AR326">
            <v>7.8993892650426778E-2</v>
          </cell>
          <cell r="AS326">
            <v>6.317252460082079E-2</v>
          </cell>
        </row>
        <row r="327">
          <cell r="A327" t="str">
            <v xml:space="preserve">    % contribution to full year</v>
          </cell>
          <cell r="B327">
            <v>0.22283086469044491</v>
          </cell>
          <cell r="C327">
            <v>0.23230297633011648</v>
          </cell>
          <cell r="D327">
            <v>0.25160712324394519</v>
          </cell>
          <cell r="E327">
            <v>0.29325903573549339</v>
          </cell>
          <cell r="F327">
            <v>0.24195906479347748</v>
          </cell>
          <cell r="G327">
            <v>0.24849536160958222</v>
          </cell>
          <cell r="H327">
            <v>0.25579888898008524</v>
          </cell>
          <cell r="I327">
            <v>0.25374668461685507</v>
          </cell>
          <cell r="J327">
            <v>0.23072958447473624</v>
          </cell>
          <cell r="K327">
            <v>0.23171096874561961</v>
          </cell>
          <cell r="L327">
            <v>0.25240430809166114</v>
          </cell>
          <cell r="M327">
            <v>0.28515513868798303</v>
          </cell>
          <cell r="N327">
            <v>0.2286759897375622</v>
          </cell>
          <cell r="O327">
            <v>0.23513082276117372</v>
          </cell>
          <cell r="P327">
            <v>0.25646847860566929</v>
          </cell>
          <cell r="Q327">
            <v>0.27972470889559486</v>
          </cell>
          <cell r="R327">
            <v>0.24596338264987089</v>
          </cell>
          <cell r="S327">
            <v>0.25205481874802915</v>
          </cell>
          <cell r="T327">
            <v>0.26801733801359434</v>
          </cell>
          <cell r="U327">
            <v>0.3021928497947276</v>
          </cell>
        </row>
        <row r="328">
          <cell r="A328" t="str">
            <v>Global Handset Market (MOT estimates) (M)</v>
          </cell>
          <cell r="B328">
            <v>260</v>
          </cell>
          <cell r="C328">
            <v>263</v>
          </cell>
          <cell r="D328">
            <v>285</v>
          </cell>
          <cell r="E328">
            <v>330</v>
          </cell>
          <cell r="F328">
            <v>292</v>
          </cell>
          <cell r="G328">
            <v>308</v>
          </cell>
          <cell r="H328">
            <v>302</v>
          </cell>
          <cell r="I328">
            <v>295.38461538461536</v>
          </cell>
          <cell r="J328">
            <v>245</v>
          </cell>
          <cell r="K328">
            <v>269.09090909090912</v>
          </cell>
          <cell r="L328">
            <v>289.36170212765956</v>
          </cell>
          <cell r="M328">
            <v>324.32432432432432</v>
          </cell>
          <cell r="AM328">
            <v>1138</v>
          </cell>
          <cell r="AN328">
            <v>1197.3846153846152</v>
          </cell>
        </row>
        <row r="329">
          <cell r="A329" t="str">
            <v xml:space="preserve">    Q/Q growth</v>
          </cell>
          <cell r="B329">
            <v>-9.0909090909090939E-2</v>
          </cell>
          <cell r="C329">
            <v>1.1538461538461497E-2</v>
          </cell>
          <cell r="D329">
            <v>8.365019011406849E-2</v>
          </cell>
          <cell r="E329">
            <v>0.15789473684210531</v>
          </cell>
          <cell r="F329">
            <v>-0.11515151515151512</v>
          </cell>
          <cell r="G329">
            <v>5.4794520547945202E-2</v>
          </cell>
          <cell r="H329">
            <v>-1.9480519480519431E-2</v>
          </cell>
          <cell r="I329">
            <v>-2.1905247070810097E-2</v>
          </cell>
          <cell r="J329">
            <v>-0.17057291666666663</v>
          </cell>
          <cell r="K329">
            <v>9.8330241187384093E-2</v>
          </cell>
          <cell r="L329">
            <v>7.5330649798734717E-2</v>
          </cell>
          <cell r="M329">
            <v>0.12082670906200321</v>
          </cell>
        </row>
        <row r="330">
          <cell r="A330" t="str">
            <v xml:space="preserve">    Y/Y growth</v>
          </cell>
          <cell r="B330">
            <v>0.1711711711711712</v>
          </cell>
          <cell r="C330">
            <v>0.11914893617021272</v>
          </cell>
          <cell r="D330">
            <v>0.1875</v>
          </cell>
          <cell r="E330">
            <v>0.15384615384615374</v>
          </cell>
          <cell r="F330">
            <v>0.12307692307692308</v>
          </cell>
          <cell r="G330">
            <v>0.17110266159695819</v>
          </cell>
          <cell r="H330">
            <v>5.9649122807017507E-2</v>
          </cell>
          <cell r="I330">
            <v>-0.10489510489510501</v>
          </cell>
          <cell r="J330">
            <v>-0.16095890410958902</v>
          </cell>
          <cell r="K330">
            <v>-0.12632821723730803</v>
          </cell>
          <cell r="L330">
            <v>-4.1848668451458404E-2</v>
          </cell>
          <cell r="M330">
            <v>9.7972972972973027E-2</v>
          </cell>
          <cell r="AN330">
            <v>5.2183317561173226E-2</v>
          </cell>
        </row>
        <row r="331">
          <cell r="A331" t="str">
            <v xml:space="preserve">    % contribution to full year</v>
          </cell>
          <cell r="B331">
            <v>0.22847100175746923</v>
          </cell>
          <cell r="C331">
            <v>0.23110720562390158</v>
          </cell>
          <cell r="D331">
            <v>0.25043936731107208</v>
          </cell>
          <cell r="E331">
            <v>0.28998242530755713</v>
          </cell>
          <cell r="F331">
            <v>0.24386483361171787</v>
          </cell>
          <cell r="G331">
            <v>0.25722729024797641</v>
          </cell>
          <cell r="H331">
            <v>0.25221636900937944</v>
          </cell>
          <cell r="I331">
            <v>0.24669150713092639</v>
          </cell>
        </row>
        <row r="332">
          <cell r="A332" t="str">
            <v>MMI Handsets</v>
          </cell>
          <cell r="B332">
            <v>45.4</v>
          </cell>
          <cell r="C332">
            <v>35.5</v>
          </cell>
          <cell r="D332">
            <v>37.200000000000003</v>
          </cell>
          <cell r="E332">
            <v>40.9</v>
          </cell>
          <cell r="F332">
            <v>27.4</v>
          </cell>
          <cell r="G332">
            <v>28.1</v>
          </cell>
          <cell r="H332">
            <v>25.4</v>
          </cell>
          <cell r="I332">
            <v>19.2</v>
          </cell>
          <cell r="J332">
            <v>14.7</v>
          </cell>
          <cell r="K332">
            <v>14.8</v>
          </cell>
          <cell r="L332">
            <v>13.6</v>
          </cell>
          <cell r="M332">
            <v>12</v>
          </cell>
          <cell r="N332">
            <v>8.5</v>
          </cell>
          <cell r="O332">
            <v>8.3000000000000007</v>
          </cell>
          <cell r="P332">
            <v>9.1</v>
          </cell>
          <cell r="Q332">
            <v>11.3</v>
          </cell>
          <cell r="R332">
            <v>9.3000000000000007</v>
          </cell>
          <cell r="S332">
            <v>11</v>
          </cell>
          <cell r="T332">
            <v>11.6</v>
          </cell>
          <cell r="U332">
            <v>10.5</v>
          </cell>
        </row>
        <row r="333">
          <cell r="A333" t="str">
            <v xml:space="preserve">    Q/Q growth</v>
          </cell>
          <cell r="F333">
            <v>-0.33007334963325186</v>
          </cell>
          <cell r="G333">
            <v>2.5547445255474477E-2</v>
          </cell>
          <cell r="H333">
            <v>-9.6085409252669174E-2</v>
          </cell>
          <cell r="I333">
            <v>-0.24409448818897639</v>
          </cell>
          <cell r="J333">
            <v>-0.234375</v>
          </cell>
          <cell r="K333">
            <v>6.8027210884353817E-3</v>
          </cell>
          <cell r="L333">
            <v>-8.1081081081081141E-2</v>
          </cell>
          <cell r="M333">
            <v>-0.11764705882352944</v>
          </cell>
          <cell r="N333">
            <v>-0.29166666666666663</v>
          </cell>
          <cell r="O333">
            <v>-2.3529411764705799E-2</v>
          </cell>
          <cell r="P333">
            <v>9.6385542168674565E-2</v>
          </cell>
          <cell r="Q333">
            <v>0.24175824175824179</v>
          </cell>
          <cell r="R333">
            <v>-0.17699115044247782</v>
          </cell>
          <cell r="S333">
            <v>0.18279569892473102</v>
          </cell>
          <cell r="T333">
            <v>5.4545454545454453E-2</v>
          </cell>
          <cell r="U333">
            <v>-9.4827586206896575E-2</v>
          </cell>
        </row>
        <row r="334">
          <cell r="A334" t="str">
            <v xml:space="preserve">    Y/Y growth</v>
          </cell>
          <cell r="F334">
            <v>-0.3964757709251101</v>
          </cell>
          <cell r="G334">
            <v>-0.20845070422535206</v>
          </cell>
          <cell r="H334">
            <v>-0.31720430107526887</v>
          </cell>
          <cell r="I334">
            <v>-0.53056234718826412</v>
          </cell>
          <cell r="J334">
            <v>-0.46350364963503654</v>
          </cell>
          <cell r="K334">
            <v>-0.4733096085409253</v>
          </cell>
          <cell r="L334">
            <v>-0.46456692913385822</v>
          </cell>
          <cell r="M334">
            <v>-0.375</v>
          </cell>
          <cell r="N334">
            <v>-0.42176870748299322</v>
          </cell>
          <cell r="O334">
            <v>-0.43918918918918914</v>
          </cell>
          <cell r="P334">
            <v>-0.33088235294117652</v>
          </cell>
          <cell r="Q334">
            <v>-5.8333333333333237E-2</v>
          </cell>
          <cell r="R334">
            <v>9.4117647058823639E-2</v>
          </cell>
          <cell r="S334">
            <v>0.32530120481927693</v>
          </cell>
          <cell r="T334">
            <v>0.27472527472527464</v>
          </cell>
          <cell r="U334">
            <v>-7.079646017699126E-2</v>
          </cell>
        </row>
        <row r="335">
          <cell r="A335" t="str">
            <v xml:space="preserve">    % market share </v>
          </cell>
          <cell r="F335">
            <v>8.6767517327984031E-2</v>
          </cell>
          <cell r="G335">
            <v>8.6643610003844157E-2</v>
          </cell>
          <cell r="H335">
            <v>7.608228867072557E-2</v>
          </cell>
          <cell r="I335">
            <v>5.7976148100401186E-2</v>
          </cell>
          <cell r="J335">
            <v>5.0272619628070059E-2</v>
          </cell>
          <cell r="K335">
            <v>5.0400238071317445E-2</v>
          </cell>
          <cell r="L335">
            <v>4.2516706051359099E-2</v>
          </cell>
          <cell r="M335">
            <v>3.3206072303016483E-2</v>
          </cell>
          <cell r="N335">
            <v>2.6189726925660239E-2</v>
          </cell>
          <cell r="O335">
            <v>2.487145203049437E-2</v>
          </cell>
          <cell r="P335">
            <v>2.4999999999999998E-2</v>
          </cell>
          <cell r="Q335">
            <v>2.8462970639702618E-2</v>
          </cell>
          <cell r="R335">
            <v>2.664066757024576E-2</v>
          </cell>
          <cell r="S335">
            <v>3.0748950150056725E-2</v>
          </cell>
          <cell r="T335">
            <v>3.0494934979952926E-2</v>
          </cell>
          <cell r="U335">
            <v>2.4481483250095179E-2</v>
          </cell>
        </row>
        <row r="336">
          <cell r="A336" t="str">
            <v>Global Smartphone Market (M)</v>
          </cell>
          <cell r="J336">
            <v>38.866268788716283</v>
          </cell>
          <cell r="K336">
            <v>43.443125748828926</v>
          </cell>
          <cell r="L336">
            <v>46.209687940055424</v>
          </cell>
          <cell r="M336">
            <v>54.678138936951413</v>
          </cell>
          <cell r="N336">
            <v>55.412658999999991</v>
          </cell>
          <cell r="O336">
            <v>64.413454999999999</v>
          </cell>
          <cell r="P336">
            <v>82.821638000000007</v>
          </cell>
          <cell r="Q336">
            <v>102.04920800000001</v>
          </cell>
          <cell r="R336">
            <v>101.685349</v>
          </cell>
          <cell r="S336">
            <v>107.40429400000001</v>
          </cell>
          <cell r="T336">
            <v>118.07939975897962</v>
          </cell>
          <cell r="U336">
            <v>152.06939825925645</v>
          </cell>
          <cell r="V336">
            <v>121.52569874998449</v>
          </cell>
          <cell r="W336">
            <v>140.60023281843053</v>
          </cell>
          <cell r="X336">
            <v>149.84355663180241</v>
          </cell>
          <cell r="Y336">
            <v>181.67817588024059</v>
          </cell>
          <cell r="AM336">
            <v>122.31563999999999</v>
          </cell>
          <cell r="AN336">
            <v>152.00880474624643</v>
          </cell>
          <cell r="AO336">
            <v>180.1053590463786</v>
          </cell>
          <cell r="AP336">
            <v>304.69695999999999</v>
          </cell>
          <cell r="AQ336">
            <v>479.23844101823607</v>
          </cell>
          <cell r="AR336">
            <v>593.64766408045807</v>
          </cell>
          <cell r="AS336">
            <v>736.9</v>
          </cell>
        </row>
        <row r="337">
          <cell r="A337" t="str">
            <v xml:space="preserve">    Q/Q growth</v>
          </cell>
          <cell r="K337">
            <v>0.11775910327264039</v>
          </cell>
          <cell r="L337">
            <v>6.3682392634951679E-2</v>
          </cell>
          <cell r="M337">
            <v>0.18326137601018888</v>
          </cell>
          <cell r="N337">
            <v>1.3433523476275244E-2</v>
          </cell>
          <cell r="O337">
            <v>0.16243212584330258</v>
          </cell>
          <cell r="P337">
            <v>0.28578164298126851</v>
          </cell>
          <cell r="Q337">
            <v>0.23215635991164518</v>
          </cell>
          <cell r="R337">
            <v>-3.5655249769307451E-3</v>
          </cell>
          <cell r="S337">
            <v>5.624158304260729E-2</v>
          </cell>
          <cell r="T337">
            <v>9.9391796746781891E-2</v>
          </cell>
          <cell r="U337">
            <v>0.2878571416322937</v>
          </cell>
        </row>
        <row r="338">
          <cell r="A338" t="str">
            <v xml:space="preserve">    Y/Y growth</v>
          </cell>
          <cell r="N338">
            <v>0.42572623323408609</v>
          </cell>
          <cell r="O338">
            <v>0.4827076525849745</v>
          </cell>
          <cell r="P338">
            <v>0.79230030956795661</v>
          </cell>
          <cell r="Q338">
            <v>0.86636213272861218</v>
          </cell>
          <cell r="R338">
            <v>0.83505630004147635</v>
          </cell>
          <cell r="S338">
            <v>0.66742016865886189</v>
          </cell>
          <cell r="T338">
            <v>0.4257071293250636</v>
          </cell>
          <cell r="U338">
            <v>0.4901575547676611</v>
          </cell>
          <cell r="AN338">
            <v>0.24275852823274646</v>
          </cell>
          <cell r="AO338">
            <v>0.18483504522672045</v>
          </cell>
          <cell r="AP338">
            <v>0.69177064809902755</v>
          </cell>
          <cell r="AQ338">
            <v>0.57283630600789737</v>
          </cell>
          <cell r="AR338">
            <v>0.23873131466486108</v>
          </cell>
          <cell r="AS338">
            <v>0.24130868288926122</v>
          </cell>
        </row>
        <row r="339">
          <cell r="A339" t="str">
            <v>Android Smartphones (M)</v>
          </cell>
          <cell r="AP339">
            <v>67.099999999999994</v>
          </cell>
          <cell r="AQ339">
            <v>195.3</v>
          </cell>
          <cell r="AR339">
            <v>223.5</v>
          </cell>
          <cell r="AS339">
            <v>342.7</v>
          </cell>
        </row>
        <row r="340">
          <cell r="A340" t="str">
            <v xml:space="preserve">    Q/Q growth</v>
          </cell>
        </row>
        <row r="341">
          <cell r="A341" t="str">
            <v xml:space="preserve">    Y/Y growth</v>
          </cell>
        </row>
        <row r="342">
          <cell r="A342" t="str">
            <v>MOT Smartphones</v>
          </cell>
          <cell r="B342">
            <v>0.3</v>
          </cell>
          <cell r="C342">
            <v>0.8</v>
          </cell>
          <cell r="D342">
            <v>1</v>
          </cell>
          <cell r="E342">
            <v>1.3</v>
          </cell>
          <cell r="F342">
            <v>0.8</v>
          </cell>
          <cell r="G342">
            <v>0.5</v>
          </cell>
          <cell r="H342">
            <v>0.4</v>
          </cell>
          <cell r="I342">
            <v>0.3</v>
          </cell>
          <cell r="J342">
            <v>0.2</v>
          </cell>
          <cell r="K342">
            <v>0.2</v>
          </cell>
          <cell r="L342">
            <v>0.2</v>
          </cell>
          <cell r="M342">
            <v>2</v>
          </cell>
          <cell r="N342">
            <v>2.2999999999999998</v>
          </cell>
          <cell r="O342">
            <v>2.7</v>
          </cell>
          <cell r="P342">
            <v>3.8</v>
          </cell>
          <cell r="Q342">
            <v>4.9000000000000004</v>
          </cell>
          <cell r="R342">
            <v>4.0999999999999996</v>
          </cell>
          <cell r="S342">
            <v>4.4000000000000004</v>
          </cell>
          <cell r="T342">
            <v>4.8</v>
          </cell>
          <cell r="U342">
            <v>5.3</v>
          </cell>
          <cell r="V342">
            <v>5.0999999999999996</v>
          </cell>
          <cell r="W342">
            <v>4.84</v>
          </cell>
          <cell r="X342">
            <v>4.593</v>
          </cell>
          <cell r="Y342">
            <v>4.593</v>
          </cell>
          <cell r="AM342">
            <v>3.4000000000000004</v>
          </cell>
          <cell r="AN342">
            <v>2</v>
          </cell>
          <cell r="AO342">
            <v>2.6</v>
          </cell>
          <cell r="AP342">
            <v>13.700000000000001</v>
          </cell>
          <cell r="AQ342">
            <v>18.600000000000001</v>
          </cell>
          <cell r="AR342">
            <v>19.125999999999998</v>
          </cell>
          <cell r="AS342">
            <v>0</v>
          </cell>
          <cell r="AT342">
            <v>0</v>
          </cell>
          <cell r="AU342">
            <v>0</v>
          </cell>
        </row>
        <row r="343">
          <cell r="A343" t="str">
            <v xml:space="preserve">    Q/Q growth</v>
          </cell>
          <cell r="B343">
            <v>-0.25</v>
          </cell>
          <cell r="C343">
            <v>1.666666666666667</v>
          </cell>
          <cell r="D343">
            <v>0.25</v>
          </cell>
          <cell r="E343">
            <v>0.30000000000000004</v>
          </cell>
          <cell r="F343">
            <v>-0.38461538461538458</v>
          </cell>
          <cell r="G343">
            <v>-0.375</v>
          </cell>
          <cell r="H343">
            <v>-0.19999999999999996</v>
          </cell>
          <cell r="I343">
            <v>-0.25000000000000011</v>
          </cell>
          <cell r="J343">
            <v>-0.33333333333333326</v>
          </cell>
          <cell r="K343">
            <v>0</v>
          </cell>
          <cell r="L343">
            <v>0</v>
          </cell>
          <cell r="M343">
            <v>9</v>
          </cell>
          <cell r="N343">
            <v>0.14999999999999991</v>
          </cell>
          <cell r="O343">
            <v>0.17391304347826098</v>
          </cell>
          <cell r="P343">
            <v>0.40740740740740722</v>
          </cell>
          <cell r="Q343">
            <v>0.28947368421052655</v>
          </cell>
          <cell r="R343">
            <v>-0.16326530612244916</v>
          </cell>
          <cell r="S343">
            <v>7.317073170731736E-2</v>
          </cell>
          <cell r="T343">
            <v>9.0909090909090828E-2</v>
          </cell>
          <cell r="U343">
            <v>0.10416666666666674</v>
          </cell>
          <cell r="V343">
            <v>-3.7735849056603765E-2</v>
          </cell>
          <cell r="W343">
            <v>-5.0980392156862675E-2</v>
          </cell>
          <cell r="X343">
            <v>-5.1033057851239683E-2</v>
          </cell>
          <cell r="Y343">
            <v>0</v>
          </cell>
        </row>
        <row r="344">
          <cell r="A344" t="str">
            <v xml:space="preserve">    Y/Y growth</v>
          </cell>
          <cell r="B344">
            <v>0.5</v>
          </cell>
          <cell r="C344">
            <v>1.666666666666667</v>
          </cell>
          <cell r="D344">
            <v>2.3333333333333335</v>
          </cell>
          <cell r="E344">
            <v>2.25</v>
          </cell>
          <cell r="F344">
            <v>1.666666666666667</v>
          </cell>
          <cell r="G344">
            <v>-0.375</v>
          </cell>
          <cell r="H344">
            <v>-0.6</v>
          </cell>
          <cell r="I344">
            <v>-0.76923076923076927</v>
          </cell>
          <cell r="J344">
            <v>-0.75</v>
          </cell>
          <cell r="K344">
            <v>-0.6</v>
          </cell>
          <cell r="L344">
            <v>-0.5</v>
          </cell>
          <cell r="M344">
            <v>5.666666666666667</v>
          </cell>
          <cell r="N344">
            <v>10.499999999999998</v>
          </cell>
          <cell r="O344">
            <v>12.5</v>
          </cell>
          <cell r="P344">
            <v>17.999999999999996</v>
          </cell>
          <cell r="Q344">
            <v>1.4500000000000002</v>
          </cell>
          <cell r="R344">
            <v>0.78260869565217384</v>
          </cell>
          <cell r="S344">
            <v>0.62962962962962976</v>
          </cell>
          <cell r="T344">
            <v>0.26315789473684204</v>
          </cell>
          <cell r="U344">
            <v>8.1632653061224358E-2</v>
          </cell>
          <cell r="V344">
            <v>0.24390243902439024</v>
          </cell>
          <cell r="W344">
            <v>9.9999999999999867E-2</v>
          </cell>
          <cell r="X344">
            <v>-4.3124999999999969E-2</v>
          </cell>
          <cell r="Y344">
            <v>-0.1333962264150943</v>
          </cell>
          <cell r="AN344">
            <v>-0.41176470588235303</v>
          </cell>
          <cell r="AO344">
            <v>0.30000000000000004</v>
          </cell>
          <cell r="AP344">
            <v>4.2692307692307692</v>
          </cell>
          <cell r="AQ344">
            <v>0.35766423357664223</v>
          </cell>
          <cell r="AR344">
            <v>2.8279569892472933E-2</v>
          </cell>
          <cell r="AS344">
            <v>-1</v>
          </cell>
        </row>
        <row r="345">
          <cell r="A345" t="str">
            <v xml:space="preserve">    % market share </v>
          </cell>
          <cell r="M345">
            <v>3.6577689710803281E-2</v>
          </cell>
          <cell r="N345">
            <v>4.1506761117527317E-2</v>
          </cell>
          <cell r="O345">
            <v>4.1916708240537635E-2</v>
          </cell>
          <cell r="P345">
            <v>4.5881729603077875E-2</v>
          </cell>
          <cell r="Q345">
            <v>4.8016051236771967E-2</v>
          </cell>
          <cell r="R345">
            <v>4.0320459538374598E-2</v>
          </cell>
          <cell r="S345">
            <v>4.0966704739011643E-2</v>
          </cell>
          <cell r="T345">
            <v>4.065061314503314E-2</v>
          </cell>
          <cell r="U345">
            <v>3.4852508530113749E-2</v>
          </cell>
          <cell r="AM345">
            <v>2.7796935862004244E-2</v>
          </cell>
          <cell r="AN345">
            <v>1.3157132597277306E-2</v>
          </cell>
          <cell r="AO345">
            <v>1.4435994652055183E-2</v>
          </cell>
          <cell r="AP345">
            <v>4.49627065527664E-2</v>
          </cell>
          <cell r="AQ345">
            <v>3.8811577720018982E-2</v>
          </cell>
          <cell r="AR345">
            <v>3.2217763426435078E-2</v>
          </cell>
          <cell r="AS345">
            <v>0</v>
          </cell>
        </row>
        <row r="347">
          <cell r="A347" t="str">
            <v>Mobile Devices</v>
          </cell>
        </row>
        <row r="348">
          <cell r="A348" t="str">
            <v>Android Tablet Units</v>
          </cell>
          <cell r="R348">
            <v>0.25</v>
          </cell>
          <cell r="S348">
            <v>0.44</v>
          </cell>
          <cell r="T348">
            <v>0.1</v>
          </cell>
          <cell r="U348">
            <v>0.2</v>
          </cell>
          <cell r="V348">
            <v>0.1</v>
          </cell>
          <cell r="W348">
            <v>0.1</v>
          </cell>
          <cell r="X348">
            <v>0.1</v>
          </cell>
          <cell r="Y348">
            <v>0.1</v>
          </cell>
          <cell r="Z348">
            <v>0.1</v>
          </cell>
          <cell r="AA348">
            <v>0.1</v>
          </cell>
          <cell r="AB348">
            <v>0.1</v>
          </cell>
          <cell r="AC348">
            <v>0.1</v>
          </cell>
          <cell r="AD348">
            <v>0.1</v>
          </cell>
          <cell r="AE348">
            <v>0.1</v>
          </cell>
          <cell r="AF348">
            <v>0.1</v>
          </cell>
          <cell r="AG348">
            <v>0.1</v>
          </cell>
          <cell r="AH348">
            <v>0.1</v>
          </cell>
          <cell r="AI348">
            <v>0.1</v>
          </cell>
          <cell r="AJ348">
            <v>0.1</v>
          </cell>
          <cell r="AK348">
            <v>0.1</v>
          </cell>
          <cell r="AN348">
            <v>0</v>
          </cell>
          <cell r="AO348">
            <v>0</v>
          </cell>
          <cell r="AP348">
            <v>0</v>
          </cell>
          <cell r="AQ348">
            <v>0.99</v>
          </cell>
          <cell r="AR348">
            <v>0.4</v>
          </cell>
          <cell r="AS348">
            <v>0.4</v>
          </cell>
        </row>
        <row r="349">
          <cell r="A349" t="str">
            <v>Android Smartphone Units</v>
          </cell>
          <cell r="M349">
            <v>2</v>
          </cell>
          <cell r="N349">
            <v>2.2999999999999998</v>
          </cell>
          <cell r="O349">
            <v>2.7</v>
          </cell>
          <cell r="P349">
            <v>3.8</v>
          </cell>
          <cell r="Q349">
            <v>4.9000000000000004</v>
          </cell>
          <cell r="R349">
            <v>4.0999999999999996</v>
          </cell>
          <cell r="S349">
            <v>4.4000000000000004</v>
          </cell>
          <cell r="T349">
            <v>4.8</v>
          </cell>
          <cell r="U349">
            <v>5.3</v>
          </cell>
          <cell r="V349">
            <v>5.0999999999999996</v>
          </cell>
          <cell r="W349">
            <v>4.84</v>
          </cell>
          <cell r="X349">
            <v>4.593</v>
          </cell>
          <cell r="Y349">
            <v>4.593</v>
          </cell>
          <cell r="Z349">
            <v>5.093</v>
          </cell>
          <cell r="AA349">
            <v>5.593</v>
          </cell>
          <cell r="AB349">
            <v>6.093</v>
          </cell>
          <cell r="AC349">
            <v>6.593</v>
          </cell>
          <cell r="AD349">
            <v>4.593</v>
          </cell>
          <cell r="AE349">
            <v>5.093</v>
          </cell>
          <cell r="AF349">
            <v>5.593</v>
          </cell>
          <cell r="AG349">
            <v>6.093</v>
          </cell>
          <cell r="AH349">
            <v>4.843</v>
          </cell>
          <cell r="AI349">
            <v>5.343</v>
          </cell>
          <cell r="AJ349">
            <v>5.843</v>
          </cell>
          <cell r="AK349">
            <v>6.343</v>
          </cell>
          <cell r="AM349">
            <v>0</v>
          </cell>
          <cell r="AN349">
            <v>0</v>
          </cell>
          <cell r="AO349">
            <v>2</v>
          </cell>
          <cell r="AP349">
            <v>13.700000000000001</v>
          </cell>
          <cell r="AQ349">
            <v>18.600000000000001</v>
          </cell>
          <cell r="AR349">
            <v>19.125999999999998</v>
          </cell>
          <cell r="AS349">
            <v>23.372</v>
          </cell>
          <cell r="AT349">
            <v>21.372</v>
          </cell>
          <cell r="AU349">
            <v>22.372</v>
          </cell>
        </row>
        <row r="350">
          <cell r="A350" t="str">
            <v>Total Android Units</v>
          </cell>
          <cell r="L350">
            <v>0</v>
          </cell>
          <cell r="M350">
            <v>2</v>
          </cell>
          <cell r="N350">
            <v>2.2999999999999998</v>
          </cell>
          <cell r="O350">
            <v>2.7</v>
          </cell>
          <cell r="P350">
            <v>3.8</v>
          </cell>
          <cell r="Q350">
            <v>4.9000000000000004</v>
          </cell>
          <cell r="R350">
            <v>4.3499999999999996</v>
          </cell>
          <cell r="S350">
            <v>4.8400000000000007</v>
          </cell>
          <cell r="T350">
            <v>4.8999999999999995</v>
          </cell>
          <cell r="U350">
            <v>5.5</v>
          </cell>
          <cell r="V350">
            <v>5.1999999999999993</v>
          </cell>
          <cell r="W350">
            <v>4.9399999999999995</v>
          </cell>
          <cell r="X350">
            <v>4.6929999999999996</v>
          </cell>
          <cell r="Y350">
            <v>4.6929999999999996</v>
          </cell>
          <cell r="Z350">
            <v>5.1929999999999996</v>
          </cell>
          <cell r="AA350">
            <v>5.6929999999999996</v>
          </cell>
          <cell r="AB350">
            <v>6.1929999999999996</v>
          </cell>
          <cell r="AC350">
            <v>6.6929999999999996</v>
          </cell>
          <cell r="AD350">
            <v>4.6929999999999996</v>
          </cell>
          <cell r="AE350">
            <v>5.1929999999999996</v>
          </cell>
          <cell r="AF350">
            <v>5.6929999999999996</v>
          </cell>
          <cell r="AG350">
            <v>6.1929999999999996</v>
          </cell>
          <cell r="AH350">
            <v>4.9429999999999996</v>
          </cell>
          <cell r="AI350">
            <v>5.4429999999999996</v>
          </cell>
          <cell r="AJ350">
            <v>5.9429999999999996</v>
          </cell>
          <cell r="AK350">
            <v>6.4429999999999996</v>
          </cell>
          <cell r="AO350">
            <v>2</v>
          </cell>
          <cell r="AP350">
            <v>13.700000000000001</v>
          </cell>
          <cell r="AQ350">
            <v>19.59</v>
          </cell>
          <cell r="AR350">
            <v>19.525999999999996</v>
          </cell>
          <cell r="AS350">
            <v>23.771999999999998</v>
          </cell>
          <cell r="AT350">
            <v>21.771999999999998</v>
          </cell>
          <cell r="AU350">
            <v>22.771999999999998</v>
          </cell>
        </row>
        <row r="351">
          <cell r="A351" t="str">
            <v>Feature Phone Units</v>
          </cell>
          <cell r="M351">
            <v>10</v>
          </cell>
          <cell r="N351">
            <v>6.2</v>
          </cell>
          <cell r="O351">
            <v>5.6000000000000005</v>
          </cell>
          <cell r="P351">
            <v>5.3</v>
          </cell>
          <cell r="Q351">
            <v>6.4</v>
          </cell>
          <cell r="R351">
            <v>4.9500000000000011</v>
          </cell>
          <cell r="S351">
            <v>6.1599999999999993</v>
          </cell>
          <cell r="T351">
            <v>6.7</v>
          </cell>
          <cell r="U351">
            <v>5</v>
          </cell>
          <cell r="V351">
            <v>3.7000000000000011</v>
          </cell>
          <cell r="W351">
            <v>2.7750000000000008</v>
          </cell>
          <cell r="X351">
            <v>2.0812500000000007</v>
          </cell>
          <cell r="Y351">
            <v>1.5609375000000005</v>
          </cell>
          <cell r="Z351">
            <v>0.78046875000000027</v>
          </cell>
          <cell r="AA351">
            <v>0.39023437500000013</v>
          </cell>
          <cell r="AB351">
            <v>0.19511718750000007</v>
          </cell>
          <cell r="AC351">
            <v>9.7558593750000033E-2</v>
          </cell>
          <cell r="AD351">
            <v>4.8779296875000017E-2</v>
          </cell>
          <cell r="AE351">
            <v>2.4389648437500008E-2</v>
          </cell>
          <cell r="AF351">
            <v>1.2194824218750004E-2</v>
          </cell>
          <cell r="AG351">
            <v>6.0974121093750021E-3</v>
          </cell>
          <cell r="AH351">
            <v>3.048706054687501E-3</v>
          </cell>
          <cell r="AI351">
            <v>1.5243530273437505E-3</v>
          </cell>
          <cell r="AJ351">
            <v>7.6217651367187526E-4</v>
          </cell>
          <cell r="AK351">
            <v>3.8108825683593763E-4</v>
          </cell>
          <cell r="AM351">
            <v>0</v>
          </cell>
          <cell r="AN351">
            <v>0</v>
          </cell>
          <cell r="AO351">
            <v>10</v>
          </cell>
          <cell r="AP351">
            <v>23.5</v>
          </cell>
          <cell r="AQ351">
            <v>22.81</v>
          </cell>
          <cell r="AR351">
            <v>10.117187500000004</v>
          </cell>
          <cell r="AS351">
            <v>1.4633789062500004</v>
          </cell>
          <cell r="AT351">
            <v>9.1461181640625028E-2</v>
          </cell>
          <cell r="AU351">
            <v>5.7163238525390642E-3</v>
          </cell>
        </row>
        <row r="352">
          <cell r="A352" t="str">
            <v>Total MOT Handset Shipments</v>
          </cell>
          <cell r="B352">
            <v>45.4</v>
          </cell>
          <cell r="C352">
            <v>35.5</v>
          </cell>
          <cell r="D352">
            <v>37.200000000000003</v>
          </cell>
          <cell r="E352">
            <v>40.9</v>
          </cell>
          <cell r="F352">
            <v>27.4</v>
          </cell>
          <cell r="G352">
            <v>28.1</v>
          </cell>
          <cell r="H352">
            <v>25.4</v>
          </cell>
          <cell r="I352">
            <v>19.2</v>
          </cell>
          <cell r="J352">
            <v>14.7</v>
          </cell>
          <cell r="K352">
            <v>14.8</v>
          </cell>
          <cell r="L352">
            <v>13.6</v>
          </cell>
          <cell r="M352">
            <v>12</v>
          </cell>
          <cell r="N352">
            <v>8.5</v>
          </cell>
          <cell r="O352">
            <v>8.3000000000000007</v>
          </cell>
          <cell r="P352">
            <v>9.1</v>
          </cell>
          <cell r="Q352">
            <v>11.3</v>
          </cell>
          <cell r="R352">
            <v>9.3000000000000007</v>
          </cell>
          <cell r="S352">
            <v>11</v>
          </cell>
          <cell r="T352">
            <v>11.6</v>
          </cell>
          <cell r="U352">
            <v>10.5</v>
          </cell>
          <cell r="V352">
            <v>8.9</v>
          </cell>
          <cell r="W352">
            <v>7.7149999999999999</v>
          </cell>
          <cell r="X352">
            <v>6.7742500000000003</v>
          </cell>
          <cell r="Y352">
            <v>6.2539375000000001</v>
          </cell>
          <cell r="Z352">
            <v>5.9734687500000003</v>
          </cell>
          <cell r="AA352">
            <v>6.083234375</v>
          </cell>
          <cell r="AB352">
            <v>6.3881171874999998</v>
          </cell>
          <cell r="AC352">
            <v>6.7905585937499993</v>
          </cell>
          <cell r="AD352">
            <v>4.7417792968749994</v>
          </cell>
          <cell r="AE352">
            <v>5.2173896484375</v>
          </cell>
          <cell r="AF352">
            <v>5.7051948242187498</v>
          </cell>
          <cell r="AG352">
            <v>6.1990974121093743</v>
          </cell>
          <cell r="AH352">
            <v>4.9460487060546869</v>
          </cell>
          <cell r="AI352">
            <v>5.4445243530273437</v>
          </cell>
          <cell r="AJ352">
            <v>5.9437621765136717</v>
          </cell>
          <cell r="AK352">
            <v>6.4433810882568352</v>
          </cell>
          <cell r="AM352">
            <v>159</v>
          </cell>
          <cell r="AN352">
            <v>100.10000000000001</v>
          </cell>
          <cell r="AO352">
            <v>55.1</v>
          </cell>
          <cell r="AP352">
            <v>37.200000000000003</v>
          </cell>
          <cell r="AQ352">
            <v>42.4</v>
          </cell>
          <cell r="AR352">
            <v>29.643187500000003</v>
          </cell>
          <cell r="AS352">
            <v>25.235378906249998</v>
          </cell>
          <cell r="AT352">
            <v>21.863461181640623</v>
          </cell>
          <cell r="AU352">
            <v>22.777716323852538</v>
          </cell>
        </row>
        <row r="353">
          <cell r="A353" t="str">
            <v>Growth (q/q)</v>
          </cell>
          <cell r="B353">
            <v>-0.30898021308980217</v>
          </cell>
          <cell r="C353">
            <v>-0.2180616740088106</v>
          </cell>
          <cell r="D353">
            <v>4.788732394366213E-2</v>
          </cell>
          <cell r="E353">
            <v>9.9462365591397761E-2</v>
          </cell>
          <cell r="F353">
            <v>-0.33007334963325186</v>
          </cell>
          <cell r="G353">
            <v>2.5547445255474477E-2</v>
          </cell>
          <cell r="H353">
            <v>-9.6085409252669174E-2</v>
          </cell>
          <cell r="I353">
            <v>-0.24409448818897639</v>
          </cell>
          <cell r="J353">
            <v>-0.234375</v>
          </cell>
          <cell r="K353">
            <v>6.8027210884353817E-3</v>
          </cell>
          <cell r="L353">
            <v>-8.1081081081081141E-2</v>
          </cell>
          <cell r="M353">
            <v>-0.11764705882352944</v>
          </cell>
          <cell r="N353">
            <v>-0.29166666666666663</v>
          </cell>
          <cell r="O353">
            <v>-2.3529411764705799E-2</v>
          </cell>
          <cell r="P353">
            <v>9.6385542168674565E-2</v>
          </cell>
          <cell r="Q353">
            <v>0.24175824175824179</v>
          </cell>
          <cell r="R353">
            <v>-0.17699115044247782</v>
          </cell>
          <cell r="S353">
            <v>0.18279569892473102</v>
          </cell>
          <cell r="T353">
            <v>5.4545454545454453E-2</v>
          </cell>
          <cell r="U353">
            <v>-9.4827586206896575E-2</v>
          </cell>
          <cell r="V353">
            <v>-0.15238095238095239</v>
          </cell>
          <cell r="W353">
            <v>-0.13314606741573043</v>
          </cell>
          <cell r="X353">
            <v>-0.12193778353856122</v>
          </cell>
          <cell r="Y353">
            <v>-7.6807395652655264E-2</v>
          </cell>
          <cell r="Z353">
            <v>-4.4846746549673688E-2</v>
          </cell>
          <cell r="AA353">
            <v>1.8375525108422108E-2</v>
          </cell>
          <cell r="AB353">
            <v>5.0118537887174464E-2</v>
          </cell>
          <cell r="AC353">
            <v>6.2998438262447554E-2</v>
          </cell>
          <cell r="AD353">
            <v>-0.30170997990661441</v>
          </cell>
          <cell r="AE353">
            <v>0.10030208531129747</v>
          </cell>
          <cell r="AF353">
            <v>9.3496021698769916E-2</v>
          </cell>
          <cell r="AG353">
            <v>8.6570678672355017E-2</v>
          </cell>
          <cell r="AH353">
            <v>-0.20213405642037019</v>
          </cell>
          <cell r="AI353">
            <v>0.10078259972702042</v>
          </cell>
          <cell r="AJ353">
            <v>9.1695397268033885E-2</v>
          </cell>
          <cell r="AK353">
            <v>8.4057688868738767E-2</v>
          </cell>
        </row>
        <row r="354">
          <cell r="A354" t="str">
            <v>Growth (y/y)</v>
          </cell>
          <cell r="B354">
            <v>-1.5184381778741929E-2</v>
          </cell>
          <cell r="C354">
            <v>-0.31599229287090558</v>
          </cell>
          <cell r="D354">
            <v>-0.30726256983240219</v>
          </cell>
          <cell r="E354">
            <v>-0.37747336377473373</v>
          </cell>
          <cell r="F354">
            <v>-0.3964757709251101</v>
          </cell>
          <cell r="G354">
            <v>-0.20845070422535206</v>
          </cell>
          <cell r="H354">
            <v>-0.31720430107526887</v>
          </cell>
          <cell r="I354">
            <v>-0.53056234718826412</v>
          </cell>
          <cell r="J354">
            <v>-0.46350364963503654</v>
          </cell>
          <cell r="K354">
            <v>-0.4733096085409253</v>
          </cell>
          <cell r="L354">
            <v>-0.46456692913385822</v>
          </cell>
          <cell r="M354">
            <v>-0.375</v>
          </cell>
          <cell r="N354">
            <v>-0.42176870748299322</v>
          </cell>
          <cell r="O354">
            <v>-0.43918918918918914</v>
          </cell>
          <cell r="P354">
            <v>-0.33088235294117652</v>
          </cell>
          <cell r="Q354">
            <v>-5.8333333333333237E-2</v>
          </cell>
          <cell r="R354">
            <v>9.4117647058823639E-2</v>
          </cell>
          <cell r="S354">
            <v>0.32530120481927693</v>
          </cell>
          <cell r="T354">
            <v>0.27472527472527464</v>
          </cell>
          <cell r="U354">
            <v>-7.079646017699126E-2</v>
          </cell>
          <cell r="V354">
            <v>-4.3010752688172116E-2</v>
          </cell>
          <cell r="W354">
            <v>-0.2986363636363637</v>
          </cell>
          <cell r="X354">
            <v>-0.41601293103448267</v>
          </cell>
          <cell r="Y354">
            <v>-0.40438690476190475</v>
          </cell>
          <cell r="Z354">
            <v>-0.32882373595505621</v>
          </cell>
          <cell r="AA354">
            <v>-0.21150558976020739</v>
          </cell>
          <cell r="AB354">
            <v>-5.7000083035022353E-2</v>
          </cell>
          <cell r="AC354">
            <v>8.580531764988053E-2</v>
          </cell>
          <cell r="AD354">
            <v>-0.20619333668147188</v>
          </cell>
          <cell r="AE354">
            <v>-0.14233295533060897</v>
          </cell>
          <cell r="AF354">
            <v>-0.10690510885078375</v>
          </cell>
          <cell r="AG354">
            <v>-8.7100519563295342E-2</v>
          </cell>
          <cell r="AH354">
            <v>4.3078641242182636E-2</v>
          </cell>
          <cell r="AI354">
            <v>4.3534165530049185E-2</v>
          </cell>
          <cell r="AJ354">
            <v>4.1815811667323732E-2</v>
          </cell>
          <cell r="AK354">
            <v>3.9406329648937977E-2</v>
          </cell>
          <cell r="AN354">
            <v>-0.37044025157232696</v>
          </cell>
          <cell r="AO354">
            <v>-0.44955044955044954</v>
          </cell>
          <cell r="AP354">
            <v>-0.32486388384754983</v>
          </cell>
          <cell r="AQ354">
            <v>0.13978494623655902</v>
          </cell>
          <cell r="AR354">
            <v>-0.30086821933962249</v>
          </cell>
          <cell r="AS354">
            <v>-0.14869550023087108</v>
          </cell>
          <cell r="AT354">
            <v>-0.13361866834399938</v>
          </cell>
          <cell r="AU354">
            <v>4.1816578565320617E-2</v>
          </cell>
        </row>
        <row r="355">
          <cell r="A355" t="str">
            <v>% share Android</v>
          </cell>
          <cell r="AP355">
            <v>0.20417287630402386</v>
          </cell>
          <cell r="AQ355">
            <v>9.5238095238095247E-2</v>
          </cell>
          <cell r="AR355">
            <v>8.557494407158836E-2</v>
          </cell>
          <cell r="AS355">
            <v>6.8199591479428071E-2</v>
          </cell>
        </row>
        <row r="356">
          <cell r="A356" t="str">
            <v xml:space="preserve">% share smartphone market </v>
          </cell>
          <cell r="M356">
            <v>3.6577689710803281E-2</v>
          </cell>
          <cell r="N356">
            <v>4.1506761117527317E-2</v>
          </cell>
          <cell r="O356">
            <v>4.1916708240537635E-2</v>
          </cell>
          <cell r="P356">
            <v>4.5881729603077875E-2</v>
          </cell>
          <cell r="Q356">
            <v>4.8016051236771967E-2</v>
          </cell>
          <cell r="R356">
            <v>4.2779024144373047E-2</v>
          </cell>
          <cell r="S356">
            <v>4.5063375212912815E-2</v>
          </cell>
          <cell r="T356">
            <v>4.1497500918887993E-2</v>
          </cell>
          <cell r="U356">
            <v>3.6167697531250119E-2</v>
          </cell>
          <cell r="V356">
            <v>4.2789303443529166E-2</v>
          </cell>
          <cell r="AM356">
            <v>0</v>
          </cell>
          <cell r="AO356">
            <v>1.1104611270811679E-2</v>
          </cell>
          <cell r="AP356">
            <v>4.49627065527664E-2</v>
          </cell>
          <cell r="AQ356">
            <v>3.8811577720018982E-2</v>
          </cell>
          <cell r="AR356">
            <v>3.2217763426435078E-2</v>
          </cell>
          <cell r="AS356">
            <v>3.1716650834577281E-2</v>
          </cell>
        </row>
        <row r="357">
          <cell r="A357" t="str">
            <v xml:space="preserve">    % total handset market share (MS estimate)</v>
          </cell>
          <cell r="B357">
            <v>0.17199716962110287</v>
          </cell>
          <cell r="C357">
            <v>0.12900732551282318</v>
          </cell>
          <cell r="D357">
            <v>0.12481328123157302</v>
          </cell>
          <cell r="E357">
            <v>0.11773692765213208</v>
          </cell>
          <cell r="F357">
            <v>8.6767517327984031E-2</v>
          </cell>
          <cell r="G357">
            <v>8.6643610003844157E-2</v>
          </cell>
          <cell r="H357">
            <v>7.608228867072557E-2</v>
          </cell>
          <cell r="I357">
            <v>5.7976148100401186E-2</v>
          </cell>
          <cell r="J357">
            <v>5.0272619628070059E-2</v>
          </cell>
          <cell r="K357">
            <v>5.0400238071317445E-2</v>
          </cell>
          <cell r="L357">
            <v>4.2516706051359099E-2</v>
          </cell>
          <cell r="M357">
            <v>3.3206072303016483E-2</v>
          </cell>
          <cell r="N357">
            <v>2.6189726925660239E-2</v>
          </cell>
          <cell r="O357">
            <v>2.487145203049437E-2</v>
          </cell>
          <cell r="P357">
            <v>2.4999999999999998E-2</v>
          </cell>
          <cell r="Q357">
            <v>2.8462970639702618E-2</v>
          </cell>
          <cell r="R357">
            <v>2.664066757024576E-2</v>
          </cell>
          <cell r="S357">
            <v>3.0748950150056725E-2</v>
          </cell>
          <cell r="T357">
            <v>3.0494934979952926E-2</v>
          </cell>
          <cell r="U357">
            <v>2.4481483250095179E-2</v>
          </cell>
          <cell r="V357">
            <v>2.3475693949039637E-2</v>
          </cell>
          <cell r="AM357">
            <v>0.13422639222303384</v>
          </cell>
          <cell r="AN357">
            <v>7.6697742826562054E-2</v>
          </cell>
          <cell r="AO357">
            <v>4.3477950551835592E-2</v>
          </cell>
          <cell r="AP357">
            <v>2.6210514846513454E-2</v>
          </cell>
          <cell r="AQ357">
            <v>2.7966257550377283E-2</v>
          </cell>
          <cell r="AR357">
            <v>1.8120676653298261E-2</v>
          </cell>
          <cell r="AS357">
            <v>1.4509605183416624E-2</v>
          </cell>
        </row>
        <row r="358">
          <cell r="A358" t="str">
            <v xml:space="preserve">    % market share (MOT estimate)</v>
          </cell>
          <cell r="B358">
            <v>0.17461538461538462</v>
          </cell>
          <cell r="C358">
            <v>0.13498098859315588</v>
          </cell>
          <cell r="D358">
            <v>0.13052631578947368</v>
          </cell>
          <cell r="E358">
            <v>0.12393939393939393</v>
          </cell>
          <cell r="F358">
            <v>9.3835616438356154E-2</v>
          </cell>
          <cell r="G358">
            <v>9.1233766233766236E-2</v>
          </cell>
          <cell r="H358">
            <v>8.4105960264900664E-2</v>
          </cell>
          <cell r="I358">
            <v>6.5000000000000002E-2</v>
          </cell>
          <cell r="J358">
            <v>0.06</v>
          </cell>
          <cell r="K358">
            <v>5.4999999999999993E-2</v>
          </cell>
          <cell r="L358">
            <v>4.7E-2</v>
          </cell>
          <cell r="M358">
            <v>3.6999999999999998E-2</v>
          </cell>
          <cell r="AM358">
            <v>0.13971880492091387</v>
          </cell>
        </row>
        <row r="360">
          <cell r="A360" t="str">
            <v>Android Tablet ASP</v>
          </cell>
          <cell r="R360">
            <v>640</v>
          </cell>
          <cell r="S360">
            <v>563.20000000000005</v>
          </cell>
          <cell r="T360">
            <v>478.72</v>
          </cell>
          <cell r="U360">
            <v>454.78399999999999</v>
          </cell>
          <cell r="V360">
            <v>432.04479999999995</v>
          </cell>
          <cell r="W360">
            <v>410.44255999999996</v>
          </cell>
          <cell r="X360">
            <v>389.92043199999995</v>
          </cell>
          <cell r="Y360">
            <v>382.12202335999996</v>
          </cell>
          <cell r="Z360">
            <v>374.47958289279995</v>
          </cell>
          <cell r="AA360">
            <v>366.98999123494394</v>
          </cell>
          <cell r="AB360">
            <v>359.65019141024504</v>
          </cell>
          <cell r="AC360">
            <v>352.45718758204015</v>
          </cell>
          <cell r="AD360">
            <v>334.83432820293814</v>
          </cell>
          <cell r="AE360">
            <v>318.09261179279122</v>
          </cell>
          <cell r="AF360">
            <v>302.18798120315165</v>
          </cell>
          <cell r="AG360">
            <v>287.07858214299404</v>
          </cell>
          <cell r="AH360">
            <v>272.72465303584431</v>
          </cell>
          <cell r="AI360">
            <v>259.08842038405209</v>
          </cell>
          <cell r="AJ360">
            <v>246.13399936484947</v>
          </cell>
          <cell r="AK360">
            <v>233.82729939660697</v>
          </cell>
          <cell r="AQ360">
            <v>552.15838383838388</v>
          </cell>
          <cell r="AR360">
            <v>403.63245383999993</v>
          </cell>
          <cell r="AS360">
            <v>363.39423828000724</v>
          </cell>
        </row>
        <row r="361">
          <cell r="A361" t="str">
            <v>Android Tablet ASP Growth (q/q)</v>
          </cell>
          <cell r="S361">
            <v>-0.12</v>
          </cell>
          <cell r="T361">
            <v>-0.15</v>
          </cell>
          <cell r="U361">
            <v>-0.05</v>
          </cell>
          <cell r="V361">
            <v>-0.05</v>
          </cell>
          <cell r="W361">
            <v>-0.05</v>
          </cell>
          <cell r="X361">
            <v>-0.05</v>
          </cell>
          <cell r="Y361">
            <v>-0.02</v>
          </cell>
          <cell r="Z361">
            <v>-0.02</v>
          </cell>
          <cell r="AA361">
            <v>-0.02</v>
          </cell>
          <cell r="AB361">
            <v>-0.02</v>
          </cell>
          <cell r="AC361">
            <v>-0.02</v>
          </cell>
          <cell r="AD361">
            <v>-0.05</v>
          </cell>
          <cell r="AE361">
            <v>-0.05</v>
          </cell>
          <cell r="AF361">
            <v>-0.05</v>
          </cell>
          <cell r="AG361">
            <v>-0.05</v>
          </cell>
          <cell r="AH361">
            <v>-0.05</v>
          </cell>
          <cell r="AI361">
            <v>-0.05</v>
          </cell>
          <cell r="AJ361">
            <v>-0.05</v>
          </cell>
          <cell r="AK361">
            <v>-0.05</v>
          </cell>
          <cell r="AR361">
            <v>-0.2689915327661806</v>
          </cell>
          <cell r="AS361">
            <v>-9.9690238426524358E-2</v>
          </cell>
        </row>
        <row r="362">
          <cell r="A362" t="str">
            <v>Android Smartphone ASP</v>
          </cell>
          <cell r="M362">
            <v>425</v>
          </cell>
          <cell r="N362">
            <v>398.3</v>
          </cell>
          <cell r="O362">
            <v>391.68</v>
          </cell>
          <cell r="P362">
            <v>384</v>
          </cell>
          <cell r="Q362">
            <v>357</v>
          </cell>
          <cell r="R362">
            <v>339.15</v>
          </cell>
          <cell r="S362">
            <v>340.84574999999995</v>
          </cell>
          <cell r="T362">
            <v>344.25420749999995</v>
          </cell>
          <cell r="U362">
            <v>364.90945994999998</v>
          </cell>
          <cell r="V362">
            <v>350.31308155199997</v>
          </cell>
          <cell r="W362">
            <v>332.79742747439997</v>
          </cell>
          <cell r="X362">
            <v>316.15755610067993</v>
          </cell>
          <cell r="Y362">
            <v>309.83440497866633</v>
          </cell>
          <cell r="Z362">
            <v>312.93274902845297</v>
          </cell>
          <cell r="AA362">
            <v>316.06207651873751</v>
          </cell>
          <cell r="AB362">
            <v>319.2226972839249</v>
          </cell>
          <cell r="AC362">
            <v>322.41492425676415</v>
          </cell>
          <cell r="AD362">
            <v>296.62173031622302</v>
          </cell>
          <cell r="AE362">
            <v>272.89199189092517</v>
          </cell>
          <cell r="AF362">
            <v>251.06063253965118</v>
          </cell>
          <cell r="AG362">
            <v>230.97578193647911</v>
          </cell>
          <cell r="AH362">
            <v>233.2855397558439</v>
          </cell>
          <cell r="AI362">
            <v>235.61839515340233</v>
          </cell>
          <cell r="AJ362">
            <v>237.97457910493637</v>
          </cell>
          <cell r="AK362">
            <v>240.35432489598574</v>
          </cell>
          <cell r="AO362">
            <v>425</v>
          </cell>
          <cell r="AP362">
            <v>378.25737226277369</v>
          </cell>
          <cell r="AQ362">
            <v>348.20842116854834</v>
          </cell>
          <cell r="AR362">
            <v>327.95761487654153</v>
          </cell>
          <cell r="AS362">
            <v>317.99619950996964</v>
          </cell>
          <cell r="AT362">
            <v>260.32847085795106</v>
          </cell>
          <cell r="AU362">
            <v>237.07151362719299</v>
          </cell>
        </row>
        <row r="363">
          <cell r="A363" t="str">
            <v>Android Smartphone ASP Growth (q/q)</v>
          </cell>
          <cell r="N363">
            <v>-6.2823529411764722E-2</v>
          </cell>
          <cell r="O363">
            <v>-1.6620637710268671E-2</v>
          </cell>
          <cell r="P363">
            <v>-1.9607843137254943E-2</v>
          </cell>
          <cell r="Q363">
            <v>-7.03125E-2</v>
          </cell>
          <cell r="R363">
            <v>-0.05</v>
          </cell>
          <cell r="S363">
            <v>5.0000000000000001E-3</v>
          </cell>
          <cell r="T363">
            <v>0.01</v>
          </cell>
          <cell r="U363">
            <v>0.06</v>
          </cell>
          <cell r="V363">
            <v>-0.04</v>
          </cell>
          <cell r="W363">
            <v>-0.05</v>
          </cell>
          <cell r="X363">
            <v>-0.05</v>
          </cell>
          <cell r="Y363">
            <v>-0.02</v>
          </cell>
          <cell r="Z363">
            <v>0.01</v>
          </cell>
          <cell r="AA363">
            <v>0.01</v>
          </cell>
          <cell r="AB363">
            <v>0.01</v>
          </cell>
          <cell r="AC363">
            <v>0.01</v>
          </cell>
          <cell r="AD363">
            <v>-0.08</v>
          </cell>
          <cell r="AE363">
            <v>-0.08</v>
          </cell>
          <cell r="AF363">
            <v>-0.08</v>
          </cell>
          <cell r="AG363">
            <v>-0.08</v>
          </cell>
          <cell r="AH363">
            <v>0.01</v>
          </cell>
          <cell r="AI363">
            <v>0.01</v>
          </cell>
          <cell r="AJ363">
            <v>0.01</v>
          </cell>
          <cell r="AK363">
            <v>0.01</v>
          </cell>
          <cell r="AP363">
            <v>-0.10998265349935599</v>
          </cell>
          <cell r="AQ363">
            <v>-7.9440490252627449E-2</v>
          </cell>
          <cell r="AR363">
            <v>-5.8157141128429291E-2</v>
          </cell>
          <cell r="AS363">
            <v>-3.0374093830148774E-2</v>
          </cell>
          <cell r="AT363">
            <v>-0.18134722597592123</v>
          </cell>
          <cell r="AU363">
            <v>-8.9336971688541489E-2</v>
          </cell>
        </row>
        <row r="364">
          <cell r="A364" t="str">
            <v>Total Android ASP</v>
          </cell>
          <cell r="R364">
            <v>356.44022988505748</v>
          </cell>
          <cell r="S364">
            <v>361.05977272727267</v>
          </cell>
          <cell r="T364">
            <v>346.99840734693879</v>
          </cell>
          <cell r="U364">
            <v>368.17762504272724</v>
          </cell>
          <cell r="V364">
            <v>351.88484536830771</v>
          </cell>
          <cell r="W364">
            <v>334.3691912907077</v>
          </cell>
          <cell r="X364">
            <v>317.72931991698761</v>
          </cell>
          <cell r="Y364">
            <v>311.37473351864787</v>
          </cell>
          <cell r="Z364">
            <v>314.11793743331236</v>
          </cell>
          <cell r="AA364">
            <v>316.95664730244044</v>
          </cell>
          <cell r="AB364">
            <v>319.87549066558677</v>
          </cell>
          <cell r="AC364">
            <v>322.86378520589426</v>
          </cell>
          <cell r="AD364">
            <v>297.43597702167187</v>
          </cell>
          <cell r="AE364">
            <v>273.76240629304084</v>
          </cell>
          <cell r="AF364">
            <v>251.95870646664048</v>
          </cell>
          <cell r="AG364">
            <v>231.88168860863343</v>
          </cell>
          <cell r="AH364">
            <v>234.08341783150647</v>
          </cell>
          <cell r="AI364">
            <v>236.04959164854566</v>
          </cell>
          <cell r="AJ364">
            <v>238.11187374165038</v>
          </cell>
          <cell r="AK364">
            <v>240.25302075972348</v>
          </cell>
          <cell r="AO364">
            <v>325</v>
          </cell>
          <cell r="AP364">
            <v>378.25737226277369</v>
          </cell>
          <cell r="AQ364">
            <v>358.51523398340993</v>
          </cell>
          <cell r="AR364">
            <v>329.50785228232786</v>
          </cell>
          <cell r="AS364">
            <v>318.76009045343318</v>
          </cell>
          <cell r="AT364">
            <v>261.25112206091853</v>
          </cell>
          <cell r="AU364">
            <v>237.35031354671074</v>
          </cell>
        </row>
        <row r="365">
          <cell r="A365" t="str">
            <v>Total Android ASP Growth (q/q)</v>
          </cell>
          <cell r="R365">
            <v>-1.5679835152451194E-3</v>
          </cell>
          <cell r="S365">
            <v>1.2960217323686685E-2</v>
          </cell>
          <cell r="T365">
            <v>-3.8944702352524785E-2</v>
          </cell>
          <cell r="U365">
            <v>6.1035489637313756E-2</v>
          </cell>
          <cell r="V365">
            <v>-4.4252498159084941E-2</v>
          </cell>
          <cell r="W365">
            <v>-4.9776665031615264E-2</v>
          </cell>
          <cell r="X365">
            <v>-4.9764965813650641E-2</v>
          </cell>
          <cell r="Y365">
            <v>-1.9999999999999907E-2</v>
          </cell>
          <cell r="Z365">
            <v>8.8099759529789434E-3</v>
          </cell>
          <cell r="AA365">
            <v>9.0370829896677662E-3</v>
          </cell>
          <cell r="AB365">
            <v>9.208967182067429E-3</v>
          </cell>
          <cell r="AC365">
            <v>9.3420553543803742E-3</v>
          </cell>
          <cell r="AD365">
            <v>-7.8757077595453362E-2</v>
          </cell>
          <cell r="AE365">
            <v>-7.9592156153006743E-2</v>
          </cell>
          <cell r="AF365">
            <v>-7.9644609066817029E-2</v>
          </cell>
          <cell r="AG365">
            <v>-7.9683763024340104E-2</v>
          </cell>
          <cell r="AH365">
            <v>9.4950542929204129E-3</v>
          </cell>
          <cell r="AI365">
            <v>8.3994579165553862E-3</v>
          </cell>
          <cell r="AJ365">
            <v>8.7366475777481689E-3</v>
          </cell>
          <cell r="AK365">
            <v>8.9921891942112975E-3</v>
          </cell>
          <cell r="AP365">
            <v>0.16386883773161132</v>
          </cell>
          <cell r="AQ365">
            <v>-5.21923423759445E-2</v>
          </cell>
          <cell r="AR365">
            <v>-8.0909760455044943E-2</v>
          </cell>
          <cell r="AS365">
            <v>-3.261761974547972E-2</v>
          </cell>
          <cell r="AT365">
            <v>-0.18041458173358116</v>
          </cell>
          <cell r="AU365">
            <v>-9.1485955450306577E-2</v>
          </cell>
        </row>
        <row r="366">
          <cell r="A366" t="str">
            <v>Feature Phone ASP</v>
          </cell>
          <cell r="M366">
            <v>117.4</v>
          </cell>
          <cell r="N366">
            <v>117.08225806451614</v>
          </cell>
          <cell r="O366">
            <v>118.83285714285712</v>
          </cell>
          <cell r="P366">
            <v>108.45283018867929</v>
          </cell>
          <cell r="Q366">
            <v>104.79687499999997</v>
          </cell>
          <cell r="R366">
            <v>116.66363636363637</v>
          </cell>
          <cell r="S366">
            <v>110.79069805194808</v>
          </cell>
          <cell r="T366">
            <v>109.5086274626866</v>
          </cell>
          <cell r="U366">
            <v>102.804612453</v>
          </cell>
          <cell r="V366">
            <v>98.432109212108173</v>
          </cell>
          <cell r="W366">
            <v>93.882906000989379</v>
          </cell>
          <cell r="X366">
            <v>88.728553469407657</v>
          </cell>
          <cell r="Y366">
            <v>86.953982400019498</v>
          </cell>
          <cell r="Z366">
            <v>89.562601872020082</v>
          </cell>
          <cell r="AA366">
            <v>89.562601872020082</v>
          </cell>
          <cell r="AB366">
            <v>89.562601872020082</v>
          </cell>
          <cell r="AC366">
            <v>89.562601872020082</v>
          </cell>
          <cell r="AD366">
            <v>89.562601872020082</v>
          </cell>
          <cell r="AE366">
            <v>89.562601872020082</v>
          </cell>
          <cell r="AF366">
            <v>89.562601872020082</v>
          </cell>
          <cell r="AG366">
            <v>89.562601872020082</v>
          </cell>
          <cell r="AH366">
            <v>89.562601872020082</v>
          </cell>
          <cell r="AI366">
            <v>89.562601872020082</v>
          </cell>
          <cell r="AJ366">
            <v>89.562601872020082</v>
          </cell>
          <cell r="AK366">
            <v>89.562601872020082</v>
          </cell>
          <cell r="AO366">
            <v>117.4</v>
          </cell>
          <cell r="AP366">
            <v>112.20740425531913</v>
          </cell>
          <cell r="AQ366">
            <v>109.93803447018855</v>
          </cell>
          <cell r="AR366">
            <v>93.417256727552086</v>
          </cell>
          <cell r="AS366">
            <v>89.562601872020082</v>
          </cell>
          <cell r="AT366">
            <v>89.562601872020082</v>
          </cell>
          <cell r="AU366">
            <v>89.562601872020082</v>
          </cell>
        </row>
        <row r="367">
          <cell r="A367" t="str">
            <v>Feature ASP Growth (q/q)</v>
          </cell>
          <cell r="N367">
            <v>-2.7064900807824976E-3</v>
          </cell>
          <cell r="O367">
            <v>1.4951873215294009E-2</v>
          </cell>
          <cell r="P367">
            <v>-8.7349805464151165E-2</v>
          </cell>
          <cell r="Q367">
            <v>-3.371009481558862E-2</v>
          </cell>
          <cell r="R367">
            <v>0.11323583230546141</v>
          </cell>
          <cell r="S367">
            <v>-5.0340778795738506E-2</v>
          </cell>
          <cell r="T367">
            <v>-1.1572005699073573E-2</v>
          </cell>
          <cell r="U367">
            <v>-6.1219057941082178E-2</v>
          </cell>
          <cell r="V367">
            <v>-4.2532169876043691E-2</v>
          </cell>
          <cell r="W367">
            <v>-4.6216658847732961E-2</v>
          </cell>
          <cell r="X367">
            <v>-5.4901927849649312E-2</v>
          </cell>
          <cell r="Y367">
            <v>-0.02</v>
          </cell>
          <cell r="Z367">
            <v>0.03</v>
          </cell>
          <cell r="AA367">
            <v>0</v>
          </cell>
          <cell r="AB367">
            <v>0</v>
          </cell>
          <cell r="AC367">
            <v>0</v>
          </cell>
          <cell r="AD367">
            <v>0</v>
          </cell>
          <cell r="AE367">
            <v>0</v>
          </cell>
          <cell r="AF367">
            <v>0</v>
          </cell>
          <cell r="AG367">
            <v>0</v>
          </cell>
          <cell r="AH367">
            <v>0</v>
          </cell>
          <cell r="AI367">
            <v>0</v>
          </cell>
          <cell r="AJ367">
            <v>0</v>
          </cell>
          <cell r="AK367">
            <v>0</v>
          </cell>
          <cell r="AP367">
            <v>-4.4229946717895041E-2</v>
          </cell>
          <cell r="AQ367">
            <v>-2.0224777501908875E-2</v>
          </cell>
          <cell r="AR367">
            <v>-0.1502735411111642</v>
          </cell>
          <cell r="AS367">
            <v>-4.1262770825886697E-2</v>
          </cell>
          <cell r="AT367">
            <v>0</v>
          </cell>
          <cell r="AU367">
            <v>0</v>
          </cell>
        </row>
        <row r="368">
          <cell r="A368" t="str">
            <v>Total MOT ASP</v>
          </cell>
          <cell r="B368">
            <v>119.11894273127754</v>
          </cell>
          <cell r="C368">
            <v>120.36619718309859</v>
          </cell>
          <cell r="D368">
            <v>120.86021505376343</v>
          </cell>
          <cell r="E368">
            <v>117.62836185819071</v>
          </cell>
          <cell r="F368">
            <v>120.4014598540146</v>
          </cell>
          <cell r="G368">
            <v>118.64768683274021</v>
          </cell>
          <cell r="H368">
            <v>122.67716535433071</v>
          </cell>
          <cell r="I368">
            <v>122.39583333333334</v>
          </cell>
          <cell r="J368">
            <v>122.5170068027211</v>
          </cell>
          <cell r="K368">
            <v>123.58108108108108</v>
          </cell>
          <cell r="L368">
            <v>124.41176470588236</v>
          </cell>
          <cell r="M368">
            <v>168.66666666666666</v>
          </cell>
          <cell r="N368">
            <v>193.1764705882353</v>
          </cell>
          <cell r="O368">
            <v>207.59036144578312</v>
          </cell>
          <cell r="P368">
            <v>223.51648351648353</v>
          </cell>
          <cell r="Q368">
            <v>214.15929203539821</v>
          </cell>
          <cell r="R368">
            <v>228.81720430107526</v>
          </cell>
          <cell r="S368">
            <v>220.90909090909091</v>
          </cell>
          <cell r="T368">
            <v>209.82758620689657</v>
          </cell>
          <cell r="U368">
            <v>241.8095238095238</v>
          </cell>
          <cell r="V368">
            <v>246.51685393258427</v>
          </cell>
          <cell r="W368">
            <v>247.86893961488548</v>
          </cell>
          <cell r="X368">
            <v>262.46447946267114</v>
          </cell>
          <cell r="Y368">
            <v>255.36093961692853</v>
          </cell>
          <cell r="Z368">
            <v>284.77846494484368</v>
          </cell>
          <cell r="AA368">
            <v>302.36951030802504</v>
          </cell>
          <cell r="AB368">
            <v>312.84086656784262</v>
          </cell>
          <cell r="AC368">
            <v>319.51199388386482</v>
          </cell>
          <cell r="AD368">
            <v>295.29755672751861</v>
          </cell>
          <cell r="AE368">
            <v>272.90133039593383</v>
          </cell>
          <cell r="AF368">
            <v>251.61158563898107</v>
          </cell>
          <cell r="AG368">
            <v>231.74170401649462</v>
          </cell>
          <cell r="AH368">
            <v>233.99433632163277</v>
          </cell>
          <cell r="AI368">
            <v>236.00857835301173</v>
          </cell>
          <cell r="AJ368">
            <v>238.09282507133352</v>
          </cell>
          <cell r="AK368">
            <v>240.24410830393836</v>
          </cell>
          <cell r="AM368">
            <v>119.42138364779875</v>
          </cell>
          <cell r="AN368">
            <v>120.86913086913086</v>
          </cell>
          <cell r="AO368">
            <v>133.32123411978222</v>
          </cell>
          <cell r="AP368">
            <v>210.18817204301072</v>
          </cell>
          <cell r="AQ368">
            <v>224.78773584905662</v>
          </cell>
          <cell r="AR368">
            <v>252.37907446472769</v>
          </cell>
          <cell r="AS368">
            <v>305.46911624608941</v>
          </cell>
          <cell r="AT368">
            <v>260.53289932389856</v>
          </cell>
          <cell r="AU368">
            <v>237.31322455985418</v>
          </cell>
        </row>
        <row r="369">
          <cell r="A369" t="str">
            <v xml:space="preserve"> Total ASP Growth (q/q)</v>
          </cell>
          <cell r="B369">
            <v>2.5768046944574241E-3</v>
          </cell>
          <cell r="C369">
            <v>1.0470664222018478E-2</v>
          </cell>
          <cell r="D369">
            <v>4.1042907579222909E-3</v>
          </cell>
          <cell r="E369">
            <v>-2.6740422347710124E-2</v>
          </cell>
          <cell r="F369">
            <v>2.3575079615297589E-2</v>
          </cell>
          <cell r="G369">
            <v>-1.4566044493155017E-2</v>
          </cell>
          <cell r="H369">
            <v>3.3961711594689081E-2</v>
          </cell>
          <cell r="I369">
            <v>-2.293271287975962E-3</v>
          </cell>
          <cell r="J369">
            <v>9.9001302648726863E-4</v>
          </cell>
          <cell r="K369">
            <v>8.6851148761197816E-3</v>
          </cell>
          <cell r="L369">
            <v>6.7217701733510715E-3</v>
          </cell>
          <cell r="M369">
            <v>0.35571315996847885</v>
          </cell>
          <cell r="N369">
            <v>0.14531504301325282</v>
          </cell>
          <cell r="O369">
            <v>7.4615147557342443E-2</v>
          </cell>
          <cell r="P369">
            <v>7.671898617923012E-2</v>
          </cell>
          <cell r="Q369">
            <v>-4.1863541041237129E-2</v>
          </cell>
          <cell r="R369">
            <v>6.8443970496756545E-2</v>
          </cell>
          <cell r="S369">
            <v>-3.4560833902939181E-2</v>
          </cell>
          <cell r="T369">
            <v>-5.016319000993319E-2</v>
          </cell>
          <cell r="U369">
            <v>0.15242008060413959</v>
          </cell>
          <cell r="V369">
            <v>1.9467099760588802E-2</v>
          </cell>
          <cell r="W369">
            <v>5.4847596045946023E-3</v>
          </cell>
          <cell r="X369">
            <v>5.8884101696899949E-2</v>
          </cell>
          <cell r="Y369">
            <v>-2.7064766479202418E-2</v>
          </cell>
          <cell r="Z369">
            <v>0.11519978494770933</v>
          </cell>
          <cell r="AA369">
            <v>6.1770981758007659E-2</v>
          </cell>
          <cell r="AB369">
            <v>3.4630992553284834E-2</v>
          </cell>
          <cell r="AC369">
            <v>2.1324347388532505E-2</v>
          </cell>
          <cell r="AD369">
            <v>-7.5785690740447054E-2</v>
          </cell>
          <cell r="AE369">
            <v>-7.584291106157226E-2</v>
          </cell>
          <cell r="AF369">
            <v>-7.8012608901777525E-2</v>
          </cell>
          <cell r="AG369">
            <v>-7.8970455879548762E-2</v>
          </cell>
          <cell r="AH369">
            <v>9.7204442104983357E-3</v>
          </cell>
          <cell r="AI369">
            <v>8.6080802768246922E-3</v>
          </cell>
          <cell r="AJ369">
            <v>8.8312328851209987E-3</v>
          </cell>
          <cell r="AK369">
            <v>9.0354811488346787E-3</v>
          </cell>
        </row>
        <row r="370">
          <cell r="A370" t="str">
            <v>Total ASP Growth (y/y)</v>
          </cell>
          <cell r="B370">
            <v>-0.14237337811777373</v>
          </cell>
          <cell r="C370">
            <v>-0.12506923896319089</v>
          </cell>
          <cell r="D370">
            <v>-7.7311124767259432E-2</v>
          </cell>
          <cell r="E370">
            <v>-9.9688221774109076E-3</v>
          </cell>
          <cell r="F370">
            <v>1.0766693301084151E-2</v>
          </cell>
          <cell r="G370">
            <v>-1.4277350207751671E-2</v>
          </cell>
          <cell r="H370">
            <v>1.5033485582985451E-2</v>
          </cell>
          <cell r="I370">
            <v>4.0529948728608156E-2</v>
          </cell>
          <cell r="J370">
            <v>1.7570774899835717E-2</v>
          </cell>
          <cell r="K370">
            <v>4.1580197474018865E-2</v>
          </cell>
          <cell r="L370">
            <v>1.4139545420221999E-2</v>
          </cell>
          <cell r="M370">
            <v>0.37804255319148927</v>
          </cell>
          <cell r="N370">
            <v>0.57673188098115413</v>
          </cell>
          <cell r="O370">
            <v>0.67979078698610729</v>
          </cell>
          <cell r="P370">
            <v>0.7965863923310732</v>
          </cell>
          <cell r="Q370">
            <v>0.26971912273951504</v>
          </cell>
          <cell r="R370">
            <v>0.18449831702749075</v>
          </cell>
          <cell r="S370">
            <v>6.4158708383897034E-2</v>
          </cell>
          <cell r="T370">
            <v>-6.1243345878683075E-2</v>
          </cell>
          <cell r="U370">
            <v>0.12911058638331374</v>
          </cell>
          <cell r="V370">
            <v>7.7352792092590938E-2</v>
          </cell>
          <cell r="W370">
            <v>0.12204046739248575</v>
          </cell>
          <cell r="X370">
            <v>0.25085783145726581</v>
          </cell>
          <cell r="Y370">
            <v>5.6041695934521352E-2</v>
          </cell>
          <cell r="Z370">
            <v>0.15520890520014063</v>
          </cell>
          <cell r="AA370">
            <v>0.21987656371071429</v>
          </cell>
          <cell r="AB370">
            <v>0.1919360181930303</v>
          </cell>
          <cell r="AC370">
            <v>0.25121717660958809</v>
          </cell>
          <cell r="AD370">
            <v>3.6937806321528877E-2</v>
          </cell>
          <cell r="AE370">
            <v>-9.7457511116355144E-2</v>
          </cell>
          <cell r="AF370">
            <v>-0.19572021264550288</v>
          </cell>
          <cell r="AG370">
            <v>-0.27470108023322792</v>
          </cell>
          <cell r="AH370">
            <v>-0.20759812944355804</v>
          </cell>
          <cell r="AI370">
            <v>-0.13518714617256333</v>
          </cell>
          <cell r="AJ370">
            <v>-5.3728688737905039E-2</v>
          </cell>
          <cell r="AK370">
            <v>3.6689142006302689E-2</v>
          </cell>
          <cell r="AN370">
            <v>1.2123014966916257E-2</v>
          </cell>
          <cell r="AO370">
            <v>0.10302136832715103</v>
          </cell>
          <cell r="AP370">
            <v>0.57655435333104954</v>
          </cell>
          <cell r="AQ370">
            <v>6.9459492720924221E-2</v>
          </cell>
          <cell r="AR370">
            <v>0.12274396782126251</v>
          </cell>
          <cell r="AS370">
            <v>0.21035833455670083</v>
          </cell>
          <cell r="AT370">
            <v>-0.14710559769318776</v>
          </cell>
          <cell r="AU370">
            <v>-8.912377217733769E-2</v>
          </cell>
        </row>
        <row r="371">
          <cell r="A371" t="str">
            <v>Non Tablet ASP</v>
          </cell>
          <cell r="Q371">
            <v>214.15929203539821</v>
          </cell>
          <cell r="R371">
            <v>217.45856353591159</v>
          </cell>
          <cell r="S371">
            <v>206.64696969696968</v>
          </cell>
          <cell r="T371">
            <v>207.48939130434783</v>
          </cell>
          <cell r="U371">
            <v>237.67409708737864</v>
          </cell>
          <cell r="V371">
            <v>244.4085818181818</v>
          </cell>
          <cell r="W371">
            <v>245.73402667483145</v>
          </cell>
          <cell r="X371">
            <v>260.55481242087126</v>
          </cell>
          <cell r="Y371">
            <v>253.30110258180957</v>
          </cell>
          <cell r="Z371">
            <v>283.25123935182495</v>
          </cell>
          <cell r="AA371">
            <v>301.28948440770392</v>
          </cell>
          <cell r="AB371">
            <v>312.09645733616588</v>
          </cell>
          <cell r="AC371">
            <v>319.01958068343407</v>
          </cell>
        </row>
        <row r="372">
          <cell r="A372" t="str">
            <v xml:space="preserve"> Non-Tablet ASP Growth (q/q)</v>
          </cell>
          <cell r="R372">
            <v>1.5405689237934395E-2</v>
          </cell>
          <cell r="S372">
            <v>-4.9717949310174925E-2</v>
          </cell>
          <cell r="T372">
            <v>4.0766221184540541E-3</v>
          </cell>
          <cell r="U372">
            <v>0.14547589924130411</v>
          </cell>
          <cell r="V372">
            <v>2.8334954516845423E-2</v>
          </cell>
          <cell r="W372">
            <v>5.4230700362054574E-3</v>
          </cell>
          <cell r="X372">
            <v>6.0312305733920546E-2</v>
          </cell>
          <cell r="Y372">
            <v>-2.78394775044295E-2</v>
          </cell>
          <cell r="Z372">
            <v>0.11823926727812917</v>
          </cell>
          <cell r="AA372">
            <v>6.3682846003274785E-2</v>
          </cell>
          <cell r="AB372">
            <v>3.5869067749599859E-2</v>
          </cell>
          <cell r="AC372">
            <v>2.2182639964448914E-2</v>
          </cell>
        </row>
        <row r="374">
          <cell r="A374" t="str">
            <v>Android Tablet revenue</v>
          </cell>
          <cell r="R374">
            <v>160</v>
          </cell>
          <cell r="S374">
            <v>247.80800000000002</v>
          </cell>
          <cell r="T374">
            <v>47.872000000000007</v>
          </cell>
          <cell r="U374">
            <v>90.956800000000001</v>
          </cell>
          <cell r="V374">
            <v>43.204479999999997</v>
          </cell>
          <cell r="W374">
            <v>41.044255999999997</v>
          </cell>
          <cell r="X374">
            <v>38.992043199999998</v>
          </cell>
          <cell r="Y374">
            <v>38.212202335999997</v>
          </cell>
          <cell r="Z374">
            <v>37.447958289279995</v>
          </cell>
          <cell r="AA374">
            <v>36.698999123494396</v>
          </cell>
          <cell r="AB374">
            <v>35.965019141024506</v>
          </cell>
          <cell r="AC374">
            <v>35.245718758204013</v>
          </cell>
          <cell r="AD374">
            <v>33.483432820293814</v>
          </cell>
          <cell r="AE374">
            <v>31.809261179279122</v>
          </cell>
          <cell r="AF374">
            <v>30.218798120315167</v>
          </cell>
          <cell r="AG374">
            <v>28.707858214299407</v>
          </cell>
          <cell r="AH374">
            <v>27.272465303584433</v>
          </cell>
          <cell r="AI374">
            <v>25.908842038405211</v>
          </cell>
          <cell r="AJ374">
            <v>24.613399936484949</v>
          </cell>
          <cell r="AK374">
            <v>23.382729939660699</v>
          </cell>
          <cell r="AM374">
            <v>0</v>
          </cell>
          <cell r="AN374">
            <v>0</v>
          </cell>
          <cell r="AO374">
            <v>0</v>
          </cell>
          <cell r="AP374">
            <v>0</v>
          </cell>
          <cell r="AQ374">
            <v>546.63679999999999</v>
          </cell>
          <cell r="AR374">
            <v>161.45298153599998</v>
          </cell>
          <cell r="AS374">
            <v>145.3576953120029</v>
          </cell>
          <cell r="AT374">
            <v>124.21935033418751</v>
          </cell>
          <cell r="AU374">
            <v>101.17743721813528</v>
          </cell>
        </row>
        <row r="375">
          <cell r="A375" t="str">
            <v>Android Smartphone revenue</v>
          </cell>
          <cell r="M375">
            <v>650</v>
          </cell>
          <cell r="N375">
            <v>916.08999999999992</v>
          </cell>
          <cell r="O375">
            <v>1057.5360000000001</v>
          </cell>
          <cell r="P375">
            <v>1459.1999999999998</v>
          </cell>
          <cell r="Q375">
            <v>1749.3000000000002</v>
          </cell>
          <cell r="R375">
            <v>1390.5149999999999</v>
          </cell>
          <cell r="S375">
            <v>1499.7212999999999</v>
          </cell>
          <cell r="T375">
            <v>1652.4201959999998</v>
          </cell>
          <cell r="U375">
            <v>1934.0201377349999</v>
          </cell>
          <cell r="V375">
            <v>1786.5967159151996</v>
          </cell>
          <cell r="W375">
            <v>1610.7395489760959</v>
          </cell>
          <cell r="X375">
            <v>1452.1116551704229</v>
          </cell>
          <cell r="Y375">
            <v>1423.0694220670143</v>
          </cell>
          <cell r="Z375">
            <v>1593.766490801911</v>
          </cell>
          <cell r="AA375">
            <v>1767.735193969299</v>
          </cell>
          <cell r="AB375">
            <v>1945.0238945509543</v>
          </cell>
          <cell r="AC375">
            <v>2125.6815956248461</v>
          </cell>
          <cell r="AD375">
            <v>1362.3836073424122</v>
          </cell>
          <cell r="AE375">
            <v>1389.8389147004818</v>
          </cell>
          <cell r="AF375">
            <v>1404.1821177942691</v>
          </cell>
          <cell r="AG375">
            <v>1407.3354393389673</v>
          </cell>
          <cell r="AH375">
            <v>1129.801869037552</v>
          </cell>
          <cell r="AI375">
            <v>1258.9090853046287</v>
          </cell>
          <cell r="AJ375">
            <v>1390.4854657101432</v>
          </cell>
          <cell r="AK375">
            <v>1524.5674828152376</v>
          </cell>
          <cell r="AM375">
            <v>0</v>
          </cell>
          <cell r="AN375">
            <v>0</v>
          </cell>
          <cell r="AO375">
            <v>650</v>
          </cell>
          <cell r="AP375">
            <v>5182.1260000000002</v>
          </cell>
          <cell r="AQ375">
            <v>6476.676633735</v>
          </cell>
          <cell r="AR375">
            <v>6272.5173421287327</v>
          </cell>
          <cell r="AS375">
            <v>7432.2071749470106</v>
          </cell>
          <cell r="AT375">
            <v>5563.7400791761302</v>
          </cell>
          <cell r="AU375">
            <v>5303.7639028675612</v>
          </cell>
        </row>
        <row r="376">
          <cell r="A376" t="str">
            <v>Total Android revenue</v>
          </cell>
          <cell r="M376">
            <v>650</v>
          </cell>
          <cell r="N376">
            <v>916.08999999999992</v>
          </cell>
          <cell r="O376">
            <v>1057.5360000000001</v>
          </cell>
          <cell r="P376">
            <v>1459.1999999999998</v>
          </cell>
          <cell r="Q376">
            <v>1749.3000000000002</v>
          </cell>
          <cell r="R376">
            <v>1550.5149999999999</v>
          </cell>
          <cell r="S376">
            <v>1747.5292999999999</v>
          </cell>
          <cell r="T376">
            <v>1700.2921959999999</v>
          </cell>
          <cell r="U376">
            <v>2024.9769377349999</v>
          </cell>
          <cell r="V376">
            <v>1829.8011959151997</v>
          </cell>
          <cell r="W376">
            <v>1651.7838049760958</v>
          </cell>
          <cell r="X376">
            <v>1491.1036983704228</v>
          </cell>
          <cell r="Y376">
            <v>1461.2816244030143</v>
          </cell>
          <cell r="Z376">
            <v>1631.214449091191</v>
          </cell>
          <cell r="AA376">
            <v>1804.4341930927933</v>
          </cell>
          <cell r="AB376">
            <v>1980.9889136919787</v>
          </cell>
          <cell r="AC376">
            <v>2160.9273143830501</v>
          </cell>
          <cell r="AD376">
            <v>1395.867040162706</v>
          </cell>
          <cell r="AE376">
            <v>1421.6481758797609</v>
          </cell>
          <cell r="AF376">
            <v>1434.4009159145842</v>
          </cell>
          <cell r="AG376">
            <v>1436.0432975532667</v>
          </cell>
          <cell r="AH376">
            <v>1157.0743343411364</v>
          </cell>
          <cell r="AI376">
            <v>1284.8179273430339</v>
          </cell>
          <cell r="AJ376">
            <v>1415.0988656466282</v>
          </cell>
          <cell r="AK376">
            <v>1547.9502127548983</v>
          </cell>
          <cell r="AL376">
            <v>0</v>
          </cell>
          <cell r="AM376">
            <v>0</v>
          </cell>
          <cell r="AN376">
            <v>0</v>
          </cell>
          <cell r="AO376">
            <v>650</v>
          </cell>
          <cell r="AP376">
            <v>5182.1260000000002</v>
          </cell>
          <cell r="AQ376">
            <v>7023.3134337350002</v>
          </cell>
          <cell r="AR376">
            <v>6433.9703236647329</v>
          </cell>
          <cell r="AS376">
            <v>7577.5648702590133</v>
          </cell>
          <cell r="AT376">
            <v>5687.9594295103179</v>
          </cell>
          <cell r="AU376">
            <v>5404.9413400856965</v>
          </cell>
        </row>
        <row r="377">
          <cell r="A377" t="str">
            <v>Feature Phone revenue</v>
          </cell>
          <cell r="M377">
            <v>1174</v>
          </cell>
          <cell r="N377">
            <v>725.91000000000008</v>
          </cell>
          <cell r="O377">
            <v>665.46399999999994</v>
          </cell>
          <cell r="P377">
            <v>574.80000000000018</v>
          </cell>
          <cell r="Q377">
            <v>670.69999999999982</v>
          </cell>
          <cell r="R377">
            <v>577.48500000000013</v>
          </cell>
          <cell r="S377">
            <v>682.47070000000008</v>
          </cell>
          <cell r="T377">
            <v>733.70780400000024</v>
          </cell>
          <cell r="U377">
            <v>514.02306226500002</v>
          </cell>
          <cell r="V377">
            <v>364.19880408480037</v>
          </cell>
          <cell r="W377">
            <v>260.52506415274559</v>
          </cell>
          <cell r="X377">
            <v>184.66630190820476</v>
          </cell>
          <cell r="Y377">
            <v>135.72973190253049</v>
          </cell>
          <cell r="Z377">
            <v>69.900811929803197</v>
          </cell>
          <cell r="AA377">
            <v>34.950405964901599</v>
          </cell>
          <cell r="AB377">
            <v>17.475202982450799</v>
          </cell>
          <cell r="AC377">
            <v>8.7376014912253996</v>
          </cell>
          <cell r="AD377">
            <v>4.3688007456126998</v>
          </cell>
          <cell r="AE377">
            <v>2.1844003728063499</v>
          </cell>
          <cell r="AF377">
            <v>1.092200186403175</v>
          </cell>
          <cell r="AG377">
            <v>0.54610009320158748</v>
          </cell>
          <cell r="AH377">
            <v>0.27305004660079374</v>
          </cell>
          <cell r="AI377">
            <v>0.13652502330039687</v>
          </cell>
          <cell r="AJ377">
            <v>6.8262511650198435E-2</v>
          </cell>
          <cell r="AK377">
            <v>3.4131255825099217E-2</v>
          </cell>
          <cell r="AM377">
            <v>0</v>
          </cell>
          <cell r="AN377">
            <v>0</v>
          </cell>
          <cell r="AO377">
            <v>1174</v>
          </cell>
          <cell r="AP377">
            <v>2636.8739999999998</v>
          </cell>
          <cell r="AQ377">
            <v>2507.6865662650007</v>
          </cell>
          <cell r="AR377">
            <v>945.11990204828123</v>
          </cell>
          <cell r="AS377">
            <v>131.06402236838099</v>
          </cell>
          <cell r="AT377">
            <v>8.1915013980238118</v>
          </cell>
          <cell r="AU377">
            <v>0.51196883737648824</v>
          </cell>
        </row>
        <row r="378">
          <cell r="A378" t="str">
            <v>Total Mobile Devices revenue</v>
          </cell>
          <cell r="B378">
            <v>5408</v>
          </cell>
          <cell r="C378">
            <v>4273</v>
          </cell>
          <cell r="D378">
            <v>4496</v>
          </cell>
          <cell r="E378">
            <v>4811</v>
          </cell>
          <cell r="F378">
            <v>3299</v>
          </cell>
          <cell r="G378">
            <v>3334</v>
          </cell>
          <cell r="H378">
            <v>3116</v>
          </cell>
          <cell r="I378">
            <v>2350</v>
          </cell>
          <cell r="J378">
            <v>1801</v>
          </cell>
          <cell r="K378">
            <v>1829</v>
          </cell>
          <cell r="L378">
            <v>1692</v>
          </cell>
          <cell r="M378">
            <v>1824</v>
          </cell>
          <cell r="N378">
            <v>1642</v>
          </cell>
          <cell r="O378">
            <v>1723</v>
          </cell>
          <cell r="P378">
            <v>2034</v>
          </cell>
          <cell r="Q378">
            <v>2420</v>
          </cell>
          <cell r="R378">
            <v>2128</v>
          </cell>
          <cell r="S378">
            <v>2430</v>
          </cell>
          <cell r="T378">
            <v>2434</v>
          </cell>
          <cell r="U378">
            <v>2539</v>
          </cell>
          <cell r="V378">
            <v>2194</v>
          </cell>
          <cell r="W378">
            <v>1912.3088691288415</v>
          </cell>
          <cell r="X378">
            <v>1778</v>
          </cell>
          <cell r="Y378">
            <v>1597.011356305545</v>
          </cell>
          <cell r="Z378">
            <v>1701.1152610209942</v>
          </cell>
          <cell r="AA378">
            <v>1839.3845990576949</v>
          </cell>
          <cell r="AB378">
            <v>1998.4641166744295</v>
          </cell>
          <cell r="AC378">
            <v>2169.6649158742753</v>
          </cell>
          <cell r="AD378">
            <v>1400.2358409083186</v>
          </cell>
          <cell r="AE378">
            <v>1423.8325762525672</v>
          </cell>
          <cell r="AF378">
            <v>1435.4931161009874</v>
          </cell>
          <cell r="AG378">
            <v>1436.5893976464683</v>
          </cell>
          <cell r="AH378">
            <v>1157.3473843877371</v>
          </cell>
          <cell r="AI378">
            <v>1284.9544523663344</v>
          </cell>
          <cell r="AJ378">
            <v>1415.1671281582783</v>
          </cell>
          <cell r="AK378">
            <v>1547.9843440107234</v>
          </cell>
          <cell r="AM378">
            <v>18988</v>
          </cell>
          <cell r="AN378">
            <v>12099</v>
          </cell>
          <cell r="AO378">
            <v>7146</v>
          </cell>
          <cell r="AP378">
            <v>7819</v>
          </cell>
          <cell r="AQ378">
            <v>9531</v>
          </cell>
          <cell r="AR378">
            <v>7481.320225434386</v>
          </cell>
          <cell r="AS378">
            <v>7708.6288926273937</v>
          </cell>
          <cell r="AT378">
            <v>5696.1509309083413</v>
          </cell>
          <cell r="AU378">
            <v>5405.4533089230736</v>
          </cell>
        </row>
        <row r="379">
          <cell r="A379" t="str">
            <v>Growth (q/q)</v>
          </cell>
          <cell r="B379">
            <v>-0.30719959005892905</v>
          </cell>
          <cell r="C379">
            <v>-0.20987426035502954</v>
          </cell>
          <cell r="D379">
            <v>5.2188158202667978E-2</v>
          </cell>
          <cell r="E379">
            <v>7.0062277580071219E-2</v>
          </cell>
          <cell r="F379">
            <v>-0.31427977551444608</v>
          </cell>
          <cell r="G379">
            <v>1.0609275538041807E-2</v>
          </cell>
          <cell r="H379">
            <v>-6.538692261547685E-2</v>
          </cell>
          <cell r="I379">
            <v>-0.24582798459563548</v>
          </cell>
          <cell r="J379">
            <v>-0.23361702127659578</v>
          </cell>
          <cell r="K379">
            <v>1.5546918378678498E-2</v>
          </cell>
          <cell r="L379">
            <v>-7.4904319300164057E-2</v>
          </cell>
          <cell r="M379">
            <v>7.8014184397163122E-2</v>
          </cell>
          <cell r="N379">
            <v>-9.9780701754385914E-2</v>
          </cell>
          <cell r="O379">
            <v>4.9330085261875656E-2</v>
          </cell>
          <cell r="P379">
            <v>0.18049912942542079</v>
          </cell>
          <cell r="Q379">
            <v>0.18977384464110125</v>
          </cell>
          <cell r="R379">
            <v>-0.12066115702479341</v>
          </cell>
          <cell r="S379">
            <v>0.14191729323308278</v>
          </cell>
          <cell r="T379">
            <v>1.6460905349793276E-3</v>
          </cell>
          <cell r="U379">
            <v>4.3138866064092118E-2</v>
          </cell>
          <cell r="V379">
            <v>-0.13588026782197715</v>
          </cell>
          <cell r="W379">
            <v>-0.1283915819832081</v>
          </cell>
          <cell r="X379">
            <v>-7.0233878688240492E-2</v>
          </cell>
          <cell r="Y379">
            <v>-0.10179338790464287</v>
          </cell>
          <cell r="Z379">
            <v>6.5186702839908905E-2</v>
          </cell>
          <cell r="AA379">
            <v>8.1281581092695898E-2</v>
          </cell>
          <cell r="AB379">
            <v>8.648518515281145E-2</v>
          </cell>
          <cell r="AC379">
            <v>8.5666186233423369E-2</v>
          </cell>
          <cell r="AD379">
            <v>-0.35463037141655218</v>
          </cell>
          <cell r="AE379">
            <v>1.6851972114170222E-2</v>
          </cell>
          <cell r="AF379">
            <v>8.1895442223340886E-3</v>
          </cell>
          <cell r="AG379">
            <v>7.6369683224863927E-4</v>
          </cell>
          <cell r="AH379">
            <v>-0.19437844502834778</v>
          </cell>
          <cell r="AI379">
            <v>0.11025822471280255</v>
          </cell>
          <cell r="AJ379">
            <v>0.10133641356092271</v>
          </cell>
          <cell r="AK379">
            <v>9.3852671680761501E-2</v>
          </cell>
          <cell r="AT379">
            <v>12246.453664363642</v>
          </cell>
          <cell r="AU379">
            <v>11861.058171591445</v>
          </cell>
        </row>
        <row r="380">
          <cell r="A380" t="str">
            <v>Growth (y/y)</v>
          </cell>
          <cell r="B380">
            <v>-0.15539590816804627</v>
          </cell>
          <cell r="C380">
            <v>-0.40154061624649862</v>
          </cell>
          <cell r="D380">
            <v>-0.36081887972704008</v>
          </cell>
          <cell r="E380">
            <v>-0.38367922111196517</v>
          </cell>
          <cell r="F380">
            <v>-0.38997781065088755</v>
          </cell>
          <cell r="G380">
            <v>-0.21975193072782584</v>
          </cell>
          <cell r="H380">
            <v>-0.30693950177935947</v>
          </cell>
          <cell r="I380">
            <v>-0.51153606318852629</v>
          </cell>
          <cell r="J380">
            <v>-0.45407699302819038</v>
          </cell>
          <cell r="K380">
            <v>-0.45140971805638874</v>
          </cell>
          <cell r="L380">
            <v>-0.45699614890885754</v>
          </cell>
          <cell r="M380">
            <v>-0.22382978723404257</v>
          </cell>
          <cell r="N380">
            <v>-8.8284286507495868E-2</v>
          </cell>
          <cell r="O380">
            <v>-5.795516675779111E-2</v>
          </cell>
          <cell r="P380">
            <v>0.2021276595744681</v>
          </cell>
          <cell r="Q380">
            <v>0.32675438596491224</v>
          </cell>
          <cell r="R380">
            <v>0.2959805115712546</v>
          </cell>
          <cell r="S380">
            <v>0.41033081834010443</v>
          </cell>
          <cell r="T380">
            <v>0.19665683382497545</v>
          </cell>
          <cell r="U380">
            <v>4.9173553719008334E-2</v>
          </cell>
          <cell r="V380">
            <v>3.1015037593985051E-2</v>
          </cell>
          <cell r="W380">
            <v>-0.21304161764245211</v>
          </cell>
          <cell r="X380">
            <v>-0.2695152013147083</v>
          </cell>
          <cell r="Y380">
            <v>-0.37100773678395238</v>
          </cell>
          <cell r="Z380">
            <v>-0.22465120281631989</v>
          </cell>
          <cell r="AA380">
            <v>-3.8134148331575468E-2</v>
          </cell>
          <cell r="AB380">
            <v>0.12399556618359364</v>
          </cell>
          <cell r="AC380">
            <v>0.35857826389756031</v>
          </cell>
          <cell r="AD380">
            <v>-0.17687185989507292</v>
          </cell>
          <cell r="AE380">
            <v>-0.22591905087060771</v>
          </cell>
          <cell r="AF380">
            <v>-0.28170183085912059</v>
          </cell>
          <cell r="AG380">
            <v>-0.33787499298361068</v>
          </cell>
          <cell r="AH380">
            <v>-0.17346253354222263</v>
          </cell>
          <cell r="AI380">
            <v>-9.7538240241525243E-2</v>
          </cell>
          <cell r="AJ380">
            <v>-1.415958579997767E-2</v>
          </cell>
          <cell r="AK380">
            <v>7.7541256079677989E-2</v>
          </cell>
          <cell r="AN380">
            <v>-0.3628080893195702</v>
          </cell>
          <cell r="AO380">
            <v>-0.40937267542772127</v>
          </cell>
          <cell r="AP380">
            <v>9.4178561432969543E-2</v>
          </cell>
          <cell r="AQ380">
            <v>0.21895383041309624</v>
          </cell>
          <cell r="AR380">
            <v>-0.21505401055142315</v>
          </cell>
          <cell r="AS380">
            <v>3.0383496541188215E-2</v>
          </cell>
          <cell r="AT380">
            <v>-0.26106821196747521</v>
          </cell>
          <cell r="AU380">
            <v>-5.1034044833308423E-2</v>
          </cell>
        </row>
        <row r="382">
          <cell r="A382" t="str">
            <v>Cost of sales</v>
          </cell>
          <cell r="B382">
            <v>-4341.3424999999997</v>
          </cell>
          <cell r="C382">
            <v>-3428.3424999999997</v>
          </cell>
          <cell r="D382">
            <v>-3603.3424999999997</v>
          </cell>
          <cell r="E382">
            <v>-3915.3424999999997</v>
          </cell>
          <cell r="F382">
            <v>-2660.9300000000003</v>
          </cell>
          <cell r="G382">
            <v>-2754.6400000000003</v>
          </cell>
          <cell r="H382">
            <v>-2535.5699999999997</v>
          </cell>
          <cell r="I382">
            <v>-2022.54</v>
          </cell>
          <cell r="J382">
            <v>-1613</v>
          </cell>
          <cell r="K382">
            <v>-1572.3150000000001</v>
          </cell>
          <cell r="L382">
            <v>-1390.7550000000001</v>
          </cell>
          <cell r="M382">
            <v>-1384.9537650000002</v>
          </cell>
          <cell r="N382">
            <v>-1257.8800000000001</v>
          </cell>
          <cell r="O382">
            <v>-1283.3600000000001</v>
          </cell>
          <cell r="P382">
            <v>-1471.12</v>
          </cell>
          <cell r="Q382">
            <v>-1756.3</v>
          </cell>
          <cell r="R382">
            <v>-1604.04</v>
          </cell>
          <cell r="S382">
            <v>-1802.355</v>
          </cell>
          <cell r="T382">
            <v>-1801.5</v>
          </cell>
          <cell r="U382">
            <v>-1909.22</v>
          </cell>
          <cell r="V382">
            <v>-1664.8400000000001</v>
          </cell>
          <cell r="W382">
            <v>-1367.8096600039362</v>
          </cell>
          <cell r="X382">
            <v>-1282.8267365844458</v>
          </cell>
          <cell r="Y382">
            <v>-1107.011945170809</v>
          </cell>
          <cell r="Z382">
            <v>-1203.0134780681756</v>
          </cell>
          <cell r="AA382">
            <v>-1278.5247678744727</v>
          </cell>
          <cell r="AB382">
            <v>-1386.2572657045796</v>
          </cell>
          <cell r="AC382">
            <v>-1482.0599699747668</v>
          </cell>
          <cell r="AD382">
            <v>-985.28964930522534</v>
          </cell>
          <cell r="AE382">
            <v>-987.45615083217183</v>
          </cell>
          <cell r="AF382">
            <v>-995.14321184823302</v>
          </cell>
          <cell r="AG382">
            <v>-981.53957972507055</v>
          </cell>
          <cell r="AH382">
            <v>-813.9886192185777</v>
          </cell>
          <cell r="AI382">
            <v>-890.51991619109458</v>
          </cell>
          <cell r="AJ382">
            <v>-980.16483729596621</v>
          </cell>
          <cell r="AK382">
            <v>-1056.3746864683367</v>
          </cell>
          <cell r="AM382">
            <v>-15288.369999999999</v>
          </cell>
          <cell r="AN382">
            <v>-9973.68</v>
          </cell>
          <cell r="AO382">
            <v>-5961.0237649999999</v>
          </cell>
          <cell r="AP382">
            <v>-5768.66</v>
          </cell>
          <cell r="AQ382">
            <v>-7117.1150000000007</v>
          </cell>
          <cell r="AR382">
            <v>-5422.4883417591909</v>
          </cell>
          <cell r="AS382">
            <v>-5349.8554816219948</v>
          </cell>
          <cell r="AT382">
            <v>-3949.4285917107009</v>
          </cell>
          <cell r="AU382">
            <v>-3741.0480591739752</v>
          </cell>
        </row>
        <row r="383">
          <cell r="A383" t="str">
            <v xml:space="preserve">    Note: COGS per phone</v>
          </cell>
          <cell r="B383">
            <v>95.624284140969166</v>
          </cell>
          <cell r="C383">
            <v>96.57302816901408</v>
          </cell>
          <cell r="D383">
            <v>96.864045698924713</v>
          </cell>
          <cell r="E383">
            <v>95.729645476772617</v>
          </cell>
          <cell r="F383">
            <v>97.114233576642349</v>
          </cell>
          <cell r="G383">
            <v>98.02989323843417</v>
          </cell>
          <cell r="H383">
            <v>99.825590551181094</v>
          </cell>
          <cell r="I383">
            <v>105.340625</v>
          </cell>
          <cell r="J383">
            <v>109.72789115646259</v>
          </cell>
          <cell r="K383">
            <v>106.2375</v>
          </cell>
          <cell r="L383">
            <v>102.26139705882353</v>
          </cell>
          <cell r="M383">
            <v>115.41281375000001</v>
          </cell>
          <cell r="N383">
            <v>147.98588235294119</v>
          </cell>
          <cell r="O383">
            <v>154.62168674698796</v>
          </cell>
          <cell r="P383">
            <v>161.66153846153847</v>
          </cell>
          <cell r="Q383">
            <v>155.42477876106193</v>
          </cell>
          <cell r="R383">
            <v>172.4774193548387</v>
          </cell>
          <cell r="S383">
            <v>163.85045454545454</v>
          </cell>
          <cell r="T383">
            <v>155.30172413793105</v>
          </cell>
          <cell r="U383">
            <v>181.83047619047619</v>
          </cell>
          <cell r="V383">
            <v>187.06067415730337</v>
          </cell>
          <cell r="W383">
            <v>177.29224368165083</v>
          </cell>
          <cell r="X383">
            <v>189.36808304748803</v>
          </cell>
          <cell r="Y383">
            <v>177.01039467868188</v>
          </cell>
          <cell r="Z383">
            <v>201.39278004395277</v>
          </cell>
          <cell r="AA383">
            <v>210.17187388484808</v>
          </cell>
          <cell r="AB383">
            <v>217.00560979331277</v>
          </cell>
          <cell r="AC383">
            <v>218.25302727508284</v>
          </cell>
          <cell r="AD383">
            <v>207.78901497051245</v>
          </cell>
          <cell r="AE383">
            <v>189.26248897816066</v>
          </cell>
          <cell r="AF383">
            <v>174.42755988346192</v>
          </cell>
          <cell r="AG383">
            <v>158.33588577068042</v>
          </cell>
          <cell r="AH383">
            <v>164.57351465668677</v>
          </cell>
          <cell r="AI383">
            <v>163.56248194499025</v>
          </cell>
          <cell r="AJ383">
            <v>164.90646970516647</v>
          </cell>
          <cell r="AK383">
            <v>163.94726184884462</v>
          </cell>
          <cell r="AM383">
            <v>96.153270440251561</v>
          </cell>
          <cell r="AN383">
            <v>99.637162837162833</v>
          </cell>
          <cell r="AO383">
            <v>108.18554927404718</v>
          </cell>
          <cell r="AP383">
            <v>155.07150537634408</v>
          </cell>
          <cell r="AQ383">
            <v>167.85648584905664</v>
          </cell>
          <cell r="AR383">
            <v>182.92527892822559</v>
          </cell>
          <cell r="AS383">
            <v>211.99822287181931</v>
          </cell>
          <cell r="AT383">
            <v>180.64059294633319</v>
          </cell>
          <cell r="AU383">
            <v>164.24157742523101</v>
          </cell>
        </row>
        <row r="385">
          <cell r="A385" t="str">
            <v>Android Tablet gross profit</v>
          </cell>
          <cell r="R385">
            <v>32</v>
          </cell>
          <cell r="S385">
            <v>44.605440000000002</v>
          </cell>
          <cell r="T385">
            <v>8.6169600000000006</v>
          </cell>
          <cell r="U385">
            <v>14.553088000000001</v>
          </cell>
          <cell r="V385">
            <v>6.9127167999999992</v>
          </cell>
          <cell r="W385">
            <v>6.5670809599999993</v>
          </cell>
          <cell r="X385">
            <v>6.2387269119999997</v>
          </cell>
          <cell r="Y385">
            <v>6.1139523737600001</v>
          </cell>
          <cell r="Z385">
            <v>5.9916733262847996</v>
          </cell>
          <cell r="AA385">
            <v>5.8718398597591035</v>
          </cell>
          <cell r="AB385">
            <v>5.7544030625639211</v>
          </cell>
          <cell r="AC385">
            <v>5.6393150013126423</v>
          </cell>
          <cell r="AD385">
            <v>5.35734925124701</v>
          </cell>
          <cell r="AE385">
            <v>5.0894817886846599</v>
          </cell>
          <cell r="AF385">
            <v>4.8350076992504265</v>
          </cell>
          <cell r="AG385">
            <v>4.5932573142879054</v>
          </cell>
          <cell r="AH385">
            <v>4.363594448573509</v>
          </cell>
          <cell r="AI385">
            <v>4.1454147261448338</v>
          </cell>
          <cell r="AJ385">
            <v>3.9381439898375921</v>
          </cell>
          <cell r="AK385">
            <v>3.7412367903457118</v>
          </cell>
          <cell r="AO385">
            <v>0</v>
          </cell>
          <cell r="AP385">
            <v>0</v>
          </cell>
          <cell r="AQ385">
            <v>99.77548800000001</v>
          </cell>
          <cell r="AR385">
            <v>25.832477045759997</v>
          </cell>
          <cell r="AS385">
            <v>23.257231249920466</v>
          </cell>
          <cell r="AT385">
            <v>19.875096053470003</v>
          </cell>
          <cell r="AU385">
            <v>16.188389954901648</v>
          </cell>
        </row>
        <row r="386">
          <cell r="A386" t="str">
            <v>Android smartphone gross profit</v>
          </cell>
          <cell r="M386">
            <v>182.00000000000003</v>
          </cell>
          <cell r="N386">
            <v>247.3443</v>
          </cell>
          <cell r="O386">
            <v>306.68543999999997</v>
          </cell>
          <cell r="P386">
            <v>430.46399999999994</v>
          </cell>
          <cell r="Q386">
            <v>507.29700000000003</v>
          </cell>
          <cell r="R386">
            <v>361.53389999999996</v>
          </cell>
          <cell r="S386">
            <v>419.921964</v>
          </cell>
          <cell r="T386">
            <v>462.67765487999998</v>
          </cell>
          <cell r="U386">
            <v>502.8452358111</v>
          </cell>
          <cell r="V386">
            <v>482.38111329710392</v>
          </cell>
          <cell r="W386">
            <v>483.22186469282872</v>
          </cell>
          <cell r="X386">
            <v>450.15461310283109</v>
          </cell>
          <cell r="Y386">
            <v>455.38221506144458</v>
          </cell>
          <cell r="Z386">
            <v>478.1299472405733</v>
          </cell>
          <cell r="AA386">
            <v>547.99791013048264</v>
          </cell>
          <cell r="AB386">
            <v>602.95740731079582</v>
          </cell>
          <cell r="AC386">
            <v>680.21811059995071</v>
          </cell>
          <cell r="AD386">
            <v>408.71508220272364</v>
          </cell>
          <cell r="AE386">
            <v>430.85006355714938</v>
          </cell>
          <cell r="AF386">
            <v>435.29645651622343</v>
          </cell>
          <cell r="AG386">
            <v>450.34734058846954</v>
          </cell>
          <cell r="AH386">
            <v>338.94056071126562</v>
          </cell>
          <cell r="AI386">
            <v>390.26181644443488</v>
          </cell>
          <cell r="AJ386">
            <v>431.05049437014441</v>
          </cell>
          <cell r="AK386">
            <v>487.86159450087604</v>
          </cell>
          <cell r="AO386">
            <v>182.00000000000003</v>
          </cell>
          <cell r="AP386">
            <v>1491.7907399999999</v>
          </cell>
          <cell r="AQ386">
            <v>1746.9787546910998</v>
          </cell>
          <cell r="AR386">
            <v>1871.1398061542084</v>
          </cell>
          <cell r="AS386">
            <v>2309.3033752818028</v>
          </cell>
          <cell r="AT386">
            <v>1725.2089428645661</v>
          </cell>
          <cell r="AU386">
            <v>1648.1144660267209</v>
          </cell>
        </row>
        <row r="387">
          <cell r="A387" t="str">
            <v>Feature gross profit</v>
          </cell>
          <cell r="J387">
            <v>0</v>
          </cell>
          <cell r="K387">
            <v>0</v>
          </cell>
          <cell r="L387">
            <v>0</v>
          </cell>
          <cell r="M387">
            <v>257.0462349999998</v>
          </cell>
          <cell r="N387">
            <v>136.7757</v>
          </cell>
          <cell r="O387">
            <v>132.95456000000001</v>
          </cell>
          <cell r="P387">
            <v>132.41600000000005</v>
          </cell>
          <cell r="Q387">
            <v>156.40300000000002</v>
          </cell>
          <cell r="R387">
            <v>130.42610000000008</v>
          </cell>
          <cell r="S387">
            <v>163.11759599999999</v>
          </cell>
          <cell r="T387">
            <v>161.20538512000002</v>
          </cell>
          <cell r="U387">
            <v>112.38167618889997</v>
          </cell>
          <cell r="V387">
            <v>39.866169902896047</v>
          </cell>
          <cell r="W387">
            <v>54.710263472076569</v>
          </cell>
          <cell r="X387">
            <v>38.779923400723</v>
          </cell>
          <cell r="Y387">
            <v>28.503243699531403</v>
          </cell>
          <cell r="Z387">
            <v>13.980162385960639</v>
          </cell>
          <cell r="AA387">
            <v>6.9900811929803197</v>
          </cell>
          <cell r="AB387">
            <v>3.4950405964901599</v>
          </cell>
          <cell r="AC387">
            <v>1.7475202982450799</v>
          </cell>
          <cell r="AD387">
            <v>0.87376014912253996</v>
          </cell>
          <cell r="AE387">
            <v>0.43688007456126998</v>
          </cell>
          <cell r="AF387">
            <v>0.21844003728063499</v>
          </cell>
          <cell r="AG387">
            <v>0.1092200186403175</v>
          </cell>
          <cell r="AH387">
            <v>5.4610009320158748E-2</v>
          </cell>
          <cell r="AI387">
            <v>2.7305004660079374E-2</v>
          </cell>
          <cell r="AJ387">
            <v>1.3652502330039687E-2</v>
          </cell>
          <cell r="AK387">
            <v>6.8262511650198435E-3</v>
          </cell>
          <cell r="AO387">
            <v>257.0462349999998</v>
          </cell>
          <cell r="AP387">
            <v>558.54926000000012</v>
          </cell>
          <cell r="AQ387">
            <v>567.1307573089</v>
          </cell>
          <cell r="AR387">
            <v>161.85960047522701</v>
          </cell>
          <cell r="AS387">
            <v>26.212804473676201</v>
          </cell>
          <cell r="AT387">
            <v>1.6383002796047625</v>
          </cell>
          <cell r="AU387">
            <v>0.10239376747529766</v>
          </cell>
        </row>
        <row r="388">
          <cell r="A388" t="str">
            <v>Total Gross Profit (estimated)</v>
          </cell>
          <cell r="B388">
            <v>1066.6575</v>
          </cell>
          <cell r="C388">
            <v>844.65750000000003</v>
          </cell>
          <cell r="D388">
            <v>892.65750000000003</v>
          </cell>
          <cell r="E388">
            <v>895.65750000000003</v>
          </cell>
          <cell r="F388">
            <v>638.06999999999994</v>
          </cell>
          <cell r="G388">
            <v>579.3599999999999</v>
          </cell>
          <cell r="H388">
            <v>580.43000000000006</v>
          </cell>
          <cell r="I388">
            <v>327.45999999999998</v>
          </cell>
          <cell r="J388">
            <v>188</v>
          </cell>
          <cell r="K388">
            <v>256.685</v>
          </cell>
          <cell r="L388">
            <v>301.245</v>
          </cell>
          <cell r="M388">
            <v>439.04623499999985</v>
          </cell>
          <cell r="N388">
            <v>384.12</v>
          </cell>
          <cell r="O388">
            <v>439.64</v>
          </cell>
          <cell r="P388">
            <v>562.88</v>
          </cell>
          <cell r="Q388">
            <v>663.7</v>
          </cell>
          <cell r="R388">
            <v>523.96</v>
          </cell>
          <cell r="S388">
            <v>627.64499999999998</v>
          </cell>
          <cell r="T388">
            <v>632.5</v>
          </cell>
          <cell r="U388">
            <v>629.78</v>
          </cell>
          <cell r="V388">
            <v>529.16</v>
          </cell>
          <cell r="W388">
            <v>544.49920912490529</v>
          </cell>
          <cell r="X388">
            <v>495.17326341555412</v>
          </cell>
          <cell r="Y388">
            <v>489.99941113473602</v>
          </cell>
          <cell r="Z388">
            <v>498.10178295281872</v>
          </cell>
          <cell r="AA388">
            <v>560.85983118322213</v>
          </cell>
          <cell r="AB388">
            <v>612.20685096984994</v>
          </cell>
          <cell r="AC388">
            <v>687.60494589950838</v>
          </cell>
          <cell r="AD388">
            <v>414.94619160309315</v>
          </cell>
          <cell r="AE388">
            <v>436.37642542039532</v>
          </cell>
          <cell r="AF388">
            <v>440.34990425275447</v>
          </cell>
          <cell r="AG388">
            <v>455.04981792139773</v>
          </cell>
          <cell r="AH388">
            <v>343.35876516915931</v>
          </cell>
          <cell r="AI388">
            <v>394.43453617523983</v>
          </cell>
          <cell r="AJ388">
            <v>435.00229086231207</v>
          </cell>
          <cell r="AK388">
            <v>491.6096575423868</v>
          </cell>
          <cell r="AM388">
            <v>3699.63</v>
          </cell>
          <cell r="AN388">
            <v>2125.3199999999997</v>
          </cell>
          <cell r="AO388">
            <v>1184.9762349999999</v>
          </cell>
          <cell r="AP388">
            <v>2050.34</v>
          </cell>
          <cell r="AQ388">
            <v>2413.8850000000002</v>
          </cell>
          <cell r="AR388">
            <v>2058.8318836751955</v>
          </cell>
          <cell r="AS388">
            <v>2358.7734110053993</v>
          </cell>
          <cell r="AT388">
            <v>1746.7223391976406</v>
          </cell>
          <cell r="AU388">
            <v>1664.4052497490979</v>
          </cell>
        </row>
        <row r="389">
          <cell r="A389" t="str">
            <v>Growth (q/q)</v>
          </cell>
          <cell r="B389">
            <v>-0.42060972297664312</v>
          </cell>
          <cell r="C389">
            <v>-0.20812678858958944</v>
          </cell>
          <cell r="D389">
            <v>5.6827767467878987E-2</v>
          </cell>
          <cell r="E389">
            <v>3.3607514640272562E-3</v>
          </cell>
          <cell r="F389">
            <v>-0.28759598395592079</v>
          </cell>
          <cell r="G389">
            <v>-9.2011848229818116E-2</v>
          </cell>
          <cell r="H389">
            <v>1.8468655067662709E-3</v>
          </cell>
          <cell r="I389">
            <v>-0.43583205554502702</v>
          </cell>
          <cell r="J389">
            <v>-0.42588407744457335</v>
          </cell>
          <cell r="K389">
            <v>0.36534574468085101</v>
          </cell>
          <cell r="L389">
            <v>0.17359798975397855</v>
          </cell>
          <cell r="M389">
            <v>0.45743907782701743</v>
          </cell>
          <cell r="N389">
            <v>-0.12510353266097329</v>
          </cell>
          <cell r="O389">
            <v>0.14453816515672191</v>
          </cell>
          <cell r="P389">
            <v>0.28032026203257221</v>
          </cell>
          <cell r="Q389">
            <v>0.17911455372370666</v>
          </cell>
          <cell r="R389">
            <v>-0.2105469338556577</v>
          </cell>
          <cell r="S389">
            <v>0.19788724330101526</v>
          </cell>
          <cell r="T389">
            <v>7.735264361223404E-3</v>
          </cell>
          <cell r="U389">
            <v>-4.3003952569170556E-3</v>
          </cell>
          <cell r="V389">
            <v>-0.15977007844009017</v>
          </cell>
          <cell r="W389">
            <v>2.8987847012066803E-2</v>
          </cell>
          <cell r="X389">
            <v>-9.0589563552581853E-2</v>
          </cell>
          <cell r="Y389">
            <v>-1.0448569547415465E-2</v>
          </cell>
          <cell r="Z389">
            <v>1.6535472561730824E-2</v>
          </cell>
          <cell r="AA389">
            <v>0.12599442599535515</v>
          </cell>
          <cell r="AB389">
            <v>9.1550538890088129E-2</v>
          </cell>
          <cell r="AC389">
            <v>0.1231578751695015</v>
          </cell>
          <cell r="AD389">
            <v>-0.39653402134815874</v>
          </cell>
          <cell r="AE389">
            <v>5.1645813965683462E-2</v>
          </cell>
          <cell r="AF389">
            <v>9.1056221209273591E-3</v>
          </cell>
          <cell r="AG389">
            <v>3.3382347825391401E-2</v>
          </cell>
          <cell r="AH389">
            <v>-0.24544796713121897</v>
          </cell>
          <cell r="AI389">
            <v>0.14875336291740648</v>
          </cell>
          <cell r="AJ389">
            <v>0.1028504123407914</v>
          </cell>
          <cell r="AK389">
            <v>0.13013119210903712</v>
          </cell>
        </row>
        <row r="390">
          <cell r="A390" t="str">
            <v>Growth (y/y)</v>
          </cell>
          <cell r="B390">
            <v>-0.37292328042328038</v>
          </cell>
          <cell r="C390">
            <v>-0.56772901740020476</v>
          </cell>
          <cell r="D390">
            <v>-0.56306534508076356</v>
          </cell>
          <cell r="E390">
            <v>-0.51349402498642038</v>
          </cell>
          <cell r="F390">
            <v>-0.40180423425513823</v>
          </cell>
          <cell r="G390">
            <v>-0.31408884666270065</v>
          </cell>
          <cell r="H390">
            <v>-0.34977300924486709</v>
          </cell>
          <cell r="I390">
            <v>-0.63439149451659815</v>
          </cell>
          <cell r="J390">
            <v>-0.70536148071528193</v>
          </cell>
          <cell r="K390">
            <v>-0.55695077326705322</v>
          </cell>
          <cell r="L390">
            <v>-0.48099684716503288</v>
          </cell>
          <cell r="M390">
            <v>0.34076294814633812</v>
          </cell>
          <cell r="N390">
            <v>1.043191489361702</v>
          </cell>
          <cell r="O390">
            <v>0.71276077682762917</v>
          </cell>
          <cell r="P390">
            <v>0.86851234045378334</v>
          </cell>
          <cell r="Q390">
            <v>0.51168589340027082</v>
          </cell>
          <cell r="R390">
            <v>0.3640529001353745</v>
          </cell>
          <cell r="S390">
            <v>0.42763397325084163</v>
          </cell>
          <cell r="T390">
            <v>0.12368533257532688</v>
          </cell>
          <cell r="U390">
            <v>-5.110742805484414E-2</v>
          </cell>
          <cell r="V390">
            <v>9.9244217115808109E-3</v>
          </cell>
          <cell r="W390">
            <v>-0.13247264118266644</v>
          </cell>
          <cell r="X390">
            <v>-0.21711737009398557</v>
          </cell>
          <cell r="Y390">
            <v>-0.22195145743793698</v>
          </cell>
          <cell r="Z390">
            <v>-5.8693433077294688E-2</v>
          </cell>
          <cell r="AA390">
            <v>3.0047099764590746E-2</v>
          </cell>
          <cell r="AB390">
            <v>0.23634876153658579</v>
          </cell>
          <cell r="AC390">
            <v>0.40327708620538805</v>
          </cell>
          <cell r="AD390">
            <v>-0.16694497830697841</v>
          </cell>
          <cell r="AE390">
            <v>-0.22195100957793579</v>
          </cell>
          <cell r="AF390">
            <v>-0.28071712435893514</v>
          </cell>
          <cell r="AG390">
            <v>-0.33821037699763423</v>
          </cell>
          <cell r="AH390">
            <v>-0.17252219175060912</v>
          </cell>
          <cell r="AI390">
            <v>-9.6114012586151043E-2</v>
          </cell>
          <cell r="AJ390">
            <v>-1.2144009431583669E-2</v>
          </cell>
          <cell r="AK390">
            <v>8.0342499175121374E-2</v>
          </cell>
          <cell r="AN390">
            <v>-0.42553174236342561</v>
          </cell>
          <cell r="AO390">
            <v>-0.4424480854647771</v>
          </cell>
          <cell r="AP390">
            <v>0.73027942623676356</v>
          </cell>
          <cell r="AQ390">
            <v>0.17730961694158043</v>
          </cell>
          <cell r="AR390">
            <v>-0.1470878340620223</v>
          </cell>
          <cell r="AS390">
            <v>0.14568529354362925</v>
          </cell>
          <cell r="AT390">
            <v>-0.25947853615446648</v>
          </cell>
          <cell r="AU390">
            <v>-4.7126602552272412E-2</v>
          </cell>
        </row>
        <row r="392">
          <cell r="A392" t="str">
            <v>Android Tablet Gross Margin</v>
          </cell>
          <cell r="R392">
            <v>0.2</v>
          </cell>
          <cell r="S392">
            <v>0.18</v>
          </cell>
          <cell r="T392">
            <v>0.18</v>
          </cell>
          <cell r="U392">
            <v>0.16</v>
          </cell>
          <cell r="V392">
            <v>0.16</v>
          </cell>
          <cell r="W392">
            <v>0.16</v>
          </cell>
          <cell r="X392">
            <v>0.16</v>
          </cell>
          <cell r="Y392">
            <v>0.16</v>
          </cell>
          <cell r="Z392">
            <v>0.16</v>
          </cell>
          <cell r="AA392">
            <v>0.16</v>
          </cell>
          <cell r="AB392">
            <v>0.16</v>
          </cell>
          <cell r="AC392">
            <v>0.16</v>
          </cell>
          <cell r="AD392">
            <v>0.16</v>
          </cell>
          <cell r="AE392">
            <v>0.16</v>
          </cell>
          <cell r="AF392">
            <v>0.16</v>
          </cell>
          <cell r="AG392">
            <v>0.16</v>
          </cell>
          <cell r="AH392">
            <v>0.16</v>
          </cell>
          <cell r="AI392">
            <v>0.16</v>
          </cell>
          <cell r="AJ392">
            <v>0.16</v>
          </cell>
          <cell r="AK392">
            <v>0.16</v>
          </cell>
          <cell r="AQ392">
            <v>0.18252610874350211</v>
          </cell>
          <cell r="AR392">
            <v>0.16</v>
          </cell>
          <cell r="AS392">
            <v>0.16</v>
          </cell>
          <cell r="AT392">
            <v>0.16</v>
          </cell>
          <cell r="AU392">
            <v>0.16000000000000003</v>
          </cell>
        </row>
        <row r="393">
          <cell r="A393" t="str">
            <v>Android Smartphone Gross Margin</v>
          </cell>
          <cell r="M393">
            <v>0.28000000000000003</v>
          </cell>
          <cell r="N393">
            <v>0.27</v>
          </cell>
          <cell r="O393">
            <v>0.28999999999999998</v>
          </cell>
          <cell r="P393">
            <v>0.29499999999999998</v>
          </cell>
          <cell r="Q393">
            <v>0.28999999999999998</v>
          </cell>
          <cell r="R393">
            <v>0.26</v>
          </cell>
          <cell r="S393">
            <v>0.28000000000000003</v>
          </cell>
          <cell r="T393">
            <v>0.28000000000000003</v>
          </cell>
          <cell r="U393">
            <v>0.26</v>
          </cell>
          <cell r="V393">
            <v>0.27</v>
          </cell>
          <cell r="W393">
            <v>0.3</v>
          </cell>
          <cell r="X393">
            <v>0.31</v>
          </cell>
          <cell r="Y393">
            <v>0.32</v>
          </cell>
          <cell r="Z393">
            <v>0.3</v>
          </cell>
          <cell r="AA393">
            <v>0.31</v>
          </cell>
          <cell r="AB393">
            <v>0.31</v>
          </cell>
          <cell r="AC393">
            <v>0.32</v>
          </cell>
          <cell r="AD393">
            <v>0.3</v>
          </cell>
          <cell r="AE393">
            <v>0.31</v>
          </cell>
          <cell r="AF393">
            <v>0.31</v>
          </cell>
          <cell r="AG393">
            <v>0.32</v>
          </cell>
          <cell r="AH393">
            <v>0.3</v>
          </cell>
          <cell r="AI393">
            <v>0.31</v>
          </cell>
          <cell r="AJ393">
            <v>0.31</v>
          </cell>
          <cell r="AK393">
            <v>0.32</v>
          </cell>
          <cell r="AO393">
            <v>0.28000000000000003</v>
          </cell>
          <cell r="AP393">
            <v>0.28787234042553189</v>
          </cell>
          <cell r="AQ393">
            <v>0.2697338239169807</v>
          </cell>
          <cell r="AR393">
            <v>0.29830763377677505</v>
          </cell>
          <cell r="AS393">
            <v>0.31071568928624055</v>
          </cell>
          <cell r="AT393">
            <v>0.31008079427032331</v>
          </cell>
          <cell r="AU393">
            <v>0.31074431219226079</v>
          </cell>
        </row>
        <row r="394">
          <cell r="A394" t="str">
            <v>Feature Phone Gross Margin</v>
          </cell>
          <cell r="J394">
            <v>0.28000000000000003</v>
          </cell>
          <cell r="K394">
            <v>0.28000000000000003</v>
          </cell>
          <cell r="L394">
            <v>0.28000000000000003</v>
          </cell>
          <cell r="M394">
            <v>0.21894909284497427</v>
          </cell>
          <cell r="N394">
            <v>0.18841963879819809</v>
          </cell>
          <cell r="O394">
            <v>0.19979226524650473</v>
          </cell>
          <cell r="P394">
            <v>0.23036882393876132</v>
          </cell>
          <cell r="Q394">
            <v>0.23319367824660811</v>
          </cell>
          <cell r="R394">
            <v>0.22585192688987601</v>
          </cell>
          <cell r="S394">
            <v>0.23901040147218039</v>
          </cell>
          <cell r="T394">
            <v>0.21971333034914806</v>
          </cell>
          <cell r="U394">
            <v>0.21863158375365382</v>
          </cell>
          <cell r="V394">
            <v>0.10946266010696062</v>
          </cell>
          <cell r="W394">
            <v>0.21</v>
          </cell>
          <cell r="X394">
            <v>0.21</v>
          </cell>
          <cell r="Y394">
            <v>0.21</v>
          </cell>
          <cell r="Z394">
            <v>0.2</v>
          </cell>
          <cell r="AA394">
            <v>0.2</v>
          </cell>
          <cell r="AB394">
            <v>0.2</v>
          </cell>
          <cell r="AC394">
            <v>0.2</v>
          </cell>
          <cell r="AD394">
            <v>0.2</v>
          </cell>
          <cell r="AE394">
            <v>0.2</v>
          </cell>
          <cell r="AF394">
            <v>0.2</v>
          </cell>
          <cell r="AG394">
            <v>0.2</v>
          </cell>
          <cell r="AH394">
            <v>0.2</v>
          </cell>
          <cell r="AI394">
            <v>0.2</v>
          </cell>
          <cell r="AJ394">
            <v>0.2</v>
          </cell>
          <cell r="AK394">
            <v>0.2</v>
          </cell>
          <cell r="AO394">
            <v>0.21894909284497427</v>
          </cell>
          <cell r="AP394">
            <v>0.21182250649822484</v>
          </cell>
          <cell r="AQ394">
            <v>0.22615695475595105</v>
          </cell>
          <cell r="AR394">
            <v>0.17125827117219933</v>
          </cell>
          <cell r="AS394">
            <v>0.2</v>
          </cell>
          <cell r="AT394">
            <v>0.2</v>
          </cell>
          <cell r="AU394">
            <v>0.2</v>
          </cell>
        </row>
        <row r="395">
          <cell r="A395" t="str">
            <v>Total Mobile Devices Gross Margin (est)</v>
          </cell>
          <cell r="B395">
            <v>0.19723696375739647</v>
          </cell>
          <cell r="C395">
            <v>0.19767318043529136</v>
          </cell>
          <cell r="D395">
            <v>0.19854481761565837</v>
          </cell>
          <cell r="E395">
            <v>0.18616867595094574</v>
          </cell>
          <cell r="F395">
            <v>0.19341315550166716</v>
          </cell>
          <cell r="G395">
            <v>0.17377324535092978</v>
          </cell>
          <cell r="H395">
            <v>0.18627406931964058</v>
          </cell>
          <cell r="I395">
            <v>0.13934468085106383</v>
          </cell>
          <cell r="J395">
            <v>0.10438645197112716</v>
          </cell>
          <cell r="K395">
            <v>0.1403417167851285</v>
          </cell>
          <cell r="L395">
            <v>0.17804078014184396</v>
          </cell>
          <cell r="M395">
            <v>0.24070517269736835</v>
          </cell>
          <cell r="N395">
            <v>0.23393422655298418</v>
          </cell>
          <cell r="O395">
            <v>0.25515960533952409</v>
          </cell>
          <cell r="P395">
            <v>0.27673549655850538</v>
          </cell>
          <cell r="Q395">
            <v>0.27425619834710746</v>
          </cell>
          <cell r="R395">
            <v>0.2462218045112782</v>
          </cell>
          <cell r="S395">
            <v>0.25829012345679009</v>
          </cell>
          <cell r="T395">
            <v>0.25986031224322104</v>
          </cell>
          <cell r="U395">
            <v>0.24804253643166599</v>
          </cell>
          <cell r="V395">
            <v>0.24118505013673655</v>
          </cell>
          <cell r="W395">
            <v>0.28473392447996837</v>
          </cell>
          <cell r="X395">
            <v>0.27850014815273011</v>
          </cell>
          <cell r="Y395">
            <v>0.30682274687656502</v>
          </cell>
          <cell r="Z395">
            <v>0.29280895561060483</v>
          </cell>
          <cell r="AA395">
            <v>0.30491710731434146</v>
          </cell>
          <cell r="AB395">
            <v>0.30633867571693046</v>
          </cell>
          <cell r="AC395">
            <v>0.31691757601308457</v>
          </cell>
          <cell r="AD395">
            <v>0.2963402160409791</v>
          </cell>
          <cell r="AE395">
            <v>0.30648015272196477</v>
          </cell>
          <cell r="AF395">
            <v>0.3067586317995103</v>
          </cell>
          <cell r="AG395">
            <v>0.31675704878992944</v>
          </cell>
          <cell r="AH395">
            <v>0.29667735876104639</v>
          </cell>
          <cell r="AI395">
            <v>0.30696382696589808</v>
          </cell>
          <cell r="AJ395">
            <v>0.30738580780097063</v>
          </cell>
          <cell r="AK395">
            <v>0.31758051006424215</v>
          </cell>
          <cell r="AM395">
            <v>0.19484042553191491</v>
          </cell>
          <cell r="AN395">
            <v>0.17566079841309196</v>
          </cell>
          <cell r="AO395">
            <v>0.16582371046739433</v>
          </cell>
          <cell r="AP395">
            <v>0.26222534851003965</v>
          </cell>
          <cell r="AQ395">
            <v>0.25326670863498063</v>
          </cell>
          <cell r="AR395">
            <v>0.27519633188213838</v>
          </cell>
          <cell r="AS395">
            <v>0.30599130453164669</v>
          </cell>
          <cell r="AT395">
            <v>0.30664958853523533</v>
          </cell>
          <cell r="AU395">
            <v>0.30791224243886711</v>
          </cell>
        </row>
        <row r="397">
          <cell r="A397" t="str">
            <v>Operating expense (est)</v>
          </cell>
          <cell r="B397">
            <v>-1295.6575</v>
          </cell>
          <cell r="C397">
            <v>-1145.6575</v>
          </cell>
          <cell r="D397">
            <v>-1045.6575</v>
          </cell>
          <cell r="E397">
            <v>-995.65750000000003</v>
          </cell>
          <cell r="F397">
            <v>-1004.0699999999999</v>
          </cell>
          <cell r="G397">
            <v>-934.3599999999999</v>
          </cell>
          <cell r="H397">
            <v>-887.43000000000006</v>
          </cell>
          <cell r="I397">
            <v>-808.46</v>
          </cell>
          <cell r="J397">
            <v>-573</v>
          </cell>
          <cell r="K397">
            <v>-494.685</v>
          </cell>
          <cell r="L397">
            <v>-484.245</v>
          </cell>
          <cell r="M397">
            <v>-556.0462349999998</v>
          </cell>
          <cell r="N397">
            <v>-532.12</v>
          </cell>
          <cell r="O397">
            <v>-548.64</v>
          </cell>
          <cell r="P397">
            <v>-559.88</v>
          </cell>
          <cell r="Q397">
            <v>-607.70000000000005</v>
          </cell>
          <cell r="R397">
            <v>-584.96</v>
          </cell>
          <cell r="S397">
            <v>-658.64499999999998</v>
          </cell>
          <cell r="T397">
            <v>-647.5</v>
          </cell>
          <cell r="U397">
            <v>-648.78</v>
          </cell>
          <cell r="V397">
            <v>-614.16</v>
          </cell>
          <cell r="W397">
            <v>-592.30693085312635</v>
          </cell>
          <cell r="X397">
            <v>-539.62326341555411</v>
          </cell>
          <cell r="Y397">
            <v>-497.98446791626372</v>
          </cell>
          <cell r="Z397">
            <v>-583.15754600386845</v>
          </cell>
          <cell r="AA397">
            <v>-616.04136915495292</v>
          </cell>
          <cell r="AB397">
            <v>-652.17613330333847</v>
          </cell>
          <cell r="AC397">
            <v>-665.90829674076565</v>
          </cell>
          <cell r="AD397">
            <v>-484.95798364850907</v>
          </cell>
          <cell r="AE397">
            <v>-479.09140270797235</v>
          </cell>
          <cell r="AF397">
            <v>-483.4146977357841</v>
          </cell>
          <cell r="AG397">
            <v>-469.41571189786242</v>
          </cell>
          <cell r="AH397">
            <v>-401.22613438854614</v>
          </cell>
          <cell r="AI397">
            <v>-432.98316974622986</v>
          </cell>
          <cell r="AJ397">
            <v>-477.45730470706042</v>
          </cell>
          <cell r="AK397">
            <v>-507.08950098249403</v>
          </cell>
          <cell r="AM397">
            <v>-4482.63</v>
          </cell>
          <cell r="AN397">
            <v>-3634.3199999999997</v>
          </cell>
          <cell r="AO397">
            <v>-2107.9762349999996</v>
          </cell>
          <cell r="AP397">
            <v>-2248.34</v>
          </cell>
          <cell r="AQ397">
            <v>-2539.8850000000002</v>
          </cell>
          <cell r="AR397">
            <v>-2244.0746621849444</v>
          </cell>
          <cell r="AS397">
            <v>-2517.2833452029254</v>
          </cell>
          <cell r="AT397">
            <v>-1916.8797959901278</v>
          </cell>
          <cell r="AU397">
            <v>-1818.7561098243305</v>
          </cell>
        </row>
        <row r="398">
          <cell r="A398" t="str">
            <v xml:space="preserve">    Note: Opex per phone</v>
          </cell>
          <cell r="B398">
            <v>28.538711453744494</v>
          </cell>
          <cell r="C398">
            <v>32.272042253521128</v>
          </cell>
          <cell r="D398">
            <v>28.109072580645162</v>
          </cell>
          <cell r="E398">
            <v>24.34370415647922</v>
          </cell>
          <cell r="F398">
            <v>36.644890510948905</v>
          </cell>
          <cell r="G398">
            <v>33.251245551601421</v>
          </cell>
          <cell r="H398">
            <v>34.938188976377958</v>
          </cell>
          <cell r="I398">
            <v>42.107291666666669</v>
          </cell>
          <cell r="J398">
            <v>38.979591836734699</v>
          </cell>
          <cell r="K398">
            <v>33.424662162162164</v>
          </cell>
          <cell r="L398">
            <v>35.606250000000003</v>
          </cell>
          <cell r="M398">
            <v>46.337186249999981</v>
          </cell>
          <cell r="N398">
            <v>62.60235294117647</v>
          </cell>
          <cell r="O398">
            <v>66.1012048192771</v>
          </cell>
          <cell r="P398">
            <v>61.525274725274727</v>
          </cell>
          <cell r="Q398">
            <v>53.778761061946902</v>
          </cell>
          <cell r="R398">
            <v>62.898924731182795</v>
          </cell>
          <cell r="S398">
            <v>59.87681818181818</v>
          </cell>
          <cell r="T398">
            <v>55.818965517241381</v>
          </cell>
          <cell r="U398">
            <v>61.788571428571423</v>
          </cell>
          <cell r="V398">
            <v>69.006741573033707</v>
          </cell>
          <cell r="W398">
            <v>76.773419423606782</v>
          </cell>
          <cell r="X398">
            <v>79.658008401749868</v>
          </cell>
          <cell r="Y398">
            <v>79.627349636331303</v>
          </cell>
          <cell r="Z398">
            <v>97.624608148133092</v>
          </cell>
          <cell r="AA398">
            <v>101.2687217324177</v>
          </cell>
          <cell r="AB398">
            <v>102.0920741058867</v>
          </cell>
          <cell r="AC398">
            <v>98.063846669943288</v>
          </cell>
          <cell r="AD398">
            <v>102.27341959338209</v>
          </cell>
          <cell r="AE398">
            <v>91.825881329651182</v>
          </cell>
          <cell r="AF398">
            <v>84.732373324688567</v>
          </cell>
          <cell r="AG398">
            <v>75.723235285979115</v>
          </cell>
          <cell r="AH398">
            <v>81.120538481027623</v>
          </cell>
          <cell r="AI398">
            <v>79.526353758611847</v>
          </cell>
          <cell r="AJ398">
            <v>80.329140118307052</v>
          </cell>
          <cell r="AK398">
            <v>78.699287538133163</v>
          </cell>
          <cell r="AM398">
            <v>28.192641509433962</v>
          </cell>
          <cell r="AN398">
            <v>36.306893106893099</v>
          </cell>
          <cell r="AO398">
            <v>38.257281941923765</v>
          </cell>
          <cell r="AP398">
            <v>60.439247311827955</v>
          </cell>
          <cell r="AQ398">
            <v>59.902948113207557</v>
          </cell>
          <cell r="AR398">
            <v>75.702879866915254</v>
          </cell>
          <cell r="AS398">
            <v>99.752151713461075</v>
          </cell>
          <cell r="AT398">
            <v>87.675038278010021</v>
          </cell>
          <cell r="AU398">
            <v>79.848044640004233</v>
          </cell>
        </row>
        <row r="400">
          <cell r="A400" t="str">
            <v>Total Operating Income</v>
          </cell>
          <cell r="B400">
            <v>-229</v>
          </cell>
          <cell r="C400">
            <v>-301</v>
          </cell>
          <cell r="D400">
            <v>-153</v>
          </cell>
          <cell r="E400">
            <v>-100</v>
          </cell>
          <cell r="F400">
            <v>-366</v>
          </cell>
          <cell r="G400">
            <v>-355</v>
          </cell>
          <cell r="H400">
            <v>-307</v>
          </cell>
          <cell r="I400">
            <v>-481</v>
          </cell>
          <cell r="J400">
            <v>-385</v>
          </cell>
          <cell r="K400">
            <v>-238</v>
          </cell>
          <cell r="L400">
            <v>-183</v>
          </cell>
          <cell r="M400">
            <v>-117</v>
          </cell>
          <cell r="N400">
            <v>-148</v>
          </cell>
          <cell r="O400">
            <v>-109</v>
          </cell>
          <cell r="P400">
            <v>3</v>
          </cell>
          <cell r="Q400">
            <v>56</v>
          </cell>
          <cell r="R400">
            <v>-61</v>
          </cell>
          <cell r="S400">
            <v>-31</v>
          </cell>
          <cell r="T400">
            <v>-15</v>
          </cell>
          <cell r="U400">
            <v>-19</v>
          </cell>
          <cell r="V400">
            <v>-85</v>
          </cell>
          <cell r="W400">
            <v>-47.80772172822104</v>
          </cell>
          <cell r="X400">
            <v>-44.45</v>
          </cell>
          <cell r="Y400">
            <v>-7.9850567815277254</v>
          </cell>
          <cell r="Z400">
            <v>-85.055763051049723</v>
          </cell>
          <cell r="AA400">
            <v>-55.181537971730847</v>
          </cell>
          <cell r="AB400">
            <v>-39.969282333488593</v>
          </cell>
          <cell r="AC400">
            <v>21.696649158742748</v>
          </cell>
          <cell r="AD400">
            <v>-70.01179204541593</v>
          </cell>
          <cell r="AE400">
            <v>-42.714977287577014</v>
          </cell>
          <cell r="AF400">
            <v>-43.064793483029618</v>
          </cell>
          <cell r="AG400">
            <v>-14.365893976464683</v>
          </cell>
          <cell r="AH400">
            <v>-57.867369219386859</v>
          </cell>
          <cell r="AI400">
            <v>-38.548633570990027</v>
          </cell>
          <cell r="AJ400">
            <v>-42.455013844748343</v>
          </cell>
          <cell r="AK400">
            <v>-15.479843440107233</v>
          </cell>
          <cell r="AM400">
            <v>-783</v>
          </cell>
          <cell r="AN400">
            <v>-1509</v>
          </cell>
          <cell r="AO400">
            <v>-923</v>
          </cell>
          <cell r="AP400">
            <v>-198</v>
          </cell>
          <cell r="AQ400">
            <v>-126</v>
          </cell>
          <cell r="AR400">
            <v>-185.24277850974877</v>
          </cell>
          <cell r="AS400">
            <v>-158.50993419752641</v>
          </cell>
          <cell r="AT400">
            <v>-170.15745679248727</v>
          </cell>
          <cell r="AU400">
            <v>-154.35086007523248</v>
          </cell>
        </row>
        <row r="401">
          <cell r="A401" t="str">
            <v>Operating Margin</v>
          </cell>
          <cell r="B401">
            <v>-4.2344674556213019E-2</v>
          </cell>
          <cell r="C401">
            <v>-7.0442312192838752E-2</v>
          </cell>
          <cell r="D401">
            <v>-3.4030249110320286E-2</v>
          </cell>
          <cell r="E401">
            <v>-2.0785699438786116E-2</v>
          </cell>
          <cell r="F401">
            <v>-0.11094270991209458</v>
          </cell>
          <cell r="G401">
            <v>-0.10647870425914817</v>
          </cell>
          <cell r="H401">
            <v>-9.8523748395378696E-2</v>
          </cell>
          <cell r="I401">
            <v>-0.2046808510638298</v>
          </cell>
          <cell r="J401">
            <v>-0.21377012770682954</v>
          </cell>
          <cell r="K401">
            <v>-0.13012575177692728</v>
          </cell>
          <cell r="L401">
            <v>-0.10815602836879433</v>
          </cell>
          <cell r="M401">
            <v>-6.4144736842105268E-2</v>
          </cell>
          <cell r="N401">
            <v>-9.0133982947624841E-2</v>
          </cell>
          <cell r="O401">
            <v>-6.32617527568195E-2</v>
          </cell>
          <cell r="P401">
            <v>1.4749262536873156E-3</v>
          </cell>
          <cell r="Q401">
            <v>2.3140495867768594E-2</v>
          </cell>
          <cell r="R401">
            <v>-2.8665413533834585E-2</v>
          </cell>
          <cell r="S401">
            <v>-1.2757201646090535E-2</v>
          </cell>
          <cell r="T401">
            <v>-6.162695152013147E-3</v>
          </cell>
          <cell r="U401">
            <v>-7.4832611264277274E-3</v>
          </cell>
          <cell r="V401">
            <v>-3.8742023701002735E-2</v>
          </cell>
          <cell r="W401">
            <v>-2.5000000000000001E-2</v>
          </cell>
          <cell r="X401">
            <v>-2.5000000000000001E-2</v>
          </cell>
          <cell r="Y401">
            <v>-5.0000000000000001E-3</v>
          </cell>
          <cell r="Z401">
            <v>-0.05</v>
          </cell>
          <cell r="AA401">
            <v>-0.03</v>
          </cell>
          <cell r="AB401">
            <v>-0.02</v>
          </cell>
          <cell r="AC401">
            <v>9.9999999999999985E-3</v>
          </cell>
          <cell r="AD401">
            <v>-0.05</v>
          </cell>
          <cell r="AE401">
            <v>-0.03</v>
          </cell>
          <cell r="AF401">
            <v>-0.03</v>
          </cell>
          <cell r="AG401">
            <v>-0.01</v>
          </cell>
          <cell r="AH401">
            <v>-0.05</v>
          </cell>
          <cell r="AI401">
            <v>-0.03</v>
          </cell>
          <cell r="AJ401">
            <v>-0.03</v>
          </cell>
          <cell r="AK401">
            <v>-0.01</v>
          </cell>
          <cell r="AM401">
            <v>-4.1236570465557197E-2</v>
          </cell>
          <cell r="AN401">
            <v>-0.12472105132655592</v>
          </cell>
          <cell r="AO401">
            <v>-0.12916316820598936</v>
          </cell>
          <cell r="AP401">
            <v>-2.5322931321140812E-2</v>
          </cell>
          <cell r="AQ401">
            <v>-1.3220018885741265E-2</v>
          </cell>
          <cell r="AR401">
            <v>-2.476070705809055E-2</v>
          </cell>
          <cell r="AS401">
            <v>-2.05626624923048E-2</v>
          </cell>
          <cell r="AT401">
            <v>-2.9872357466720598E-2</v>
          </cell>
          <cell r="AU401">
            <v>-2.8554656058250874E-2</v>
          </cell>
        </row>
        <row r="402">
          <cell r="A402" t="str">
            <v>Growth (q/q)</v>
          </cell>
          <cell r="B402">
            <v>-1.6715542521994133</v>
          </cell>
          <cell r="C402">
            <v>0.31441048034934505</v>
          </cell>
          <cell r="D402">
            <v>-0.49169435215946844</v>
          </cell>
          <cell r="E402">
            <v>-0.34640522875816993</v>
          </cell>
          <cell r="F402">
            <v>2.66</v>
          </cell>
          <cell r="G402">
            <v>-3.0054644808743203E-2</v>
          </cell>
          <cell r="H402">
            <v>-0.13521126760563384</v>
          </cell>
          <cell r="I402">
            <v>0.5667752442996743</v>
          </cell>
          <cell r="J402">
            <v>-0.1995841995841996</v>
          </cell>
          <cell r="K402">
            <v>-0.38181818181818183</v>
          </cell>
          <cell r="L402">
            <v>-0.23109243697478987</v>
          </cell>
          <cell r="M402">
            <v>-0.36065573770491799</v>
          </cell>
          <cell r="N402">
            <v>0.2649572649572649</v>
          </cell>
          <cell r="O402">
            <v>-0.26351351351351349</v>
          </cell>
          <cell r="P402">
            <v>-1.0275229357798166</v>
          </cell>
          <cell r="Q402">
            <v>17.666666666666668</v>
          </cell>
          <cell r="R402">
            <v>-2.0892857142857144</v>
          </cell>
          <cell r="S402">
            <v>-0.49180327868852458</v>
          </cell>
          <cell r="T402">
            <v>-0.5161290322580645</v>
          </cell>
          <cell r="U402">
            <v>0.26666666666666661</v>
          </cell>
          <cell r="V402">
            <v>3.4736842105263159</v>
          </cell>
          <cell r="W402">
            <v>-0.43755621496210539</v>
          </cell>
          <cell r="X402">
            <v>-7.0233878688240492E-2</v>
          </cell>
          <cell r="Y402">
            <v>-0.82035867758092862</v>
          </cell>
          <cell r="Z402">
            <v>9.6518670283990886</v>
          </cell>
          <cell r="AA402">
            <v>-0.35123105134438248</v>
          </cell>
          <cell r="AB402">
            <v>-0.27567654323145896</v>
          </cell>
          <cell r="AC402">
            <v>-1.5428330931167116</v>
          </cell>
          <cell r="AD402">
            <v>-4.2268481429172393</v>
          </cell>
          <cell r="AE402">
            <v>-0.38988881673149789</v>
          </cell>
          <cell r="AF402">
            <v>8.1895442223340886E-3</v>
          </cell>
          <cell r="AG402">
            <v>-0.66641210105591719</v>
          </cell>
          <cell r="AH402">
            <v>3.0281077748582614</v>
          </cell>
          <cell r="AI402">
            <v>-0.3338450651723186</v>
          </cell>
          <cell r="AJ402">
            <v>0.10133641356092271</v>
          </cell>
          <cell r="AK402">
            <v>-0.63538244277307943</v>
          </cell>
        </row>
        <row r="403">
          <cell r="A403" t="str">
            <v>Growth (y/y)</v>
          </cell>
          <cell r="B403">
            <v>-1.3266761768901569</v>
          </cell>
          <cell r="C403">
            <v>-1.3743781094527363</v>
          </cell>
          <cell r="D403">
            <v>-1.1814946619217082</v>
          </cell>
          <cell r="E403">
            <v>-1.2932551319648093</v>
          </cell>
          <cell r="F403">
            <v>0.59825327510917026</v>
          </cell>
          <cell r="G403">
            <v>0.17940199335548179</v>
          </cell>
          <cell r="H403">
            <v>1.0065359477124183</v>
          </cell>
          <cell r="I403">
            <v>3.8099999999999996</v>
          </cell>
          <cell r="J403">
            <v>5.1912568306010876E-2</v>
          </cell>
          <cell r="K403">
            <v>-0.3295774647887324</v>
          </cell>
          <cell r="L403">
            <v>-0.40390879478827357</v>
          </cell>
          <cell r="M403">
            <v>-0.7567567567567568</v>
          </cell>
          <cell r="N403">
            <v>-0.61558441558441557</v>
          </cell>
          <cell r="O403">
            <v>-0.54201680672268915</v>
          </cell>
          <cell r="P403">
            <v>-1.0163934426229508</v>
          </cell>
          <cell r="Q403">
            <v>-1.4786324786324787</v>
          </cell>
          <cell r="R403">
            <v>-0.58783783783783783</v>
          </cell>
          <cell r="S403">
            <v>-0.71559633027522929</v>
          </cell>
          <cell r="T403">
            <v>-6</v>
          </cell>
          <cell r="U403">
            <v>-1.3392857142857144</v>
          </cell>
          <cell r="V403">
            <v>0.39344262295081966</v>
          </cell>
          <cell r="W403">
            <v>0.54218457187809799</v>
          </cell>
          <cell r="X403">
            <v>1.9633333333333334</v>
          </cell>
          <cell r="Y403">
            <v>-0.57973385360380392</v>
          </cell>
          <cell r="Z403">
            <v>6.5603589470253354E-4</v>
          </cell>
          <cell r="AA403">
            <v>0.15423902200210948</v>
          </cell>
          <cell r="AB403">
            <v>-0.10080354705312511</v>
          </cell>
          <cell r="AC403">
            <v>-3.7171565277951197</v>
          </cell>
          <cell r="AD403">
            <v>-0.17687185989507304</v>
          </cell>
          <cell r="AE403">
            <v>-0.22591905087060771</v>
          </cell>
          <cell r="AF403">
            <v>7.7447253711318886E-2</v>
          </cell>
          <cell r="AG403">
            <v>-1.6621250070163895</v>
          </cell>
          <cell r="AH403">
            <v>-0.17346253354222252</v>
          </cell>
          <cell r="AI403">
            <v>-9.7538240241525354E-2</v>
          </cell>
          <cell r="AJ403">
            <v>-1.4159585799977559E-2</v>
          </cell>
          <cell r="AK403">
            <v>7.7541256079677989E-2</v>
          </cell>
          <cell r="AN403">
            <v>0.92720306513409967</v>
          </cell>
          <cell r="AO403">
            <v>-0.38833664678595092</v>
          </cell>
          <cell r="AP403">
            <v>-0.78548212351029256</v>
          </cell>
          <cell r="AQ403">
            <v>-0.36363636363636365</v>
          </cell>
          <cell r="AR403">
            <v>0.47018078182340295</v>
          </cell>
          <cell r="AS403">
            <v>-0.14431247753507159</v>
          </cell>
          <cell r="AT403">
            <v>7.3481341430918556E-2</v>
          </cell>
          <cell r="AU403">
            <v>-9.2893940795856333E-2</v>
          </cell>
        </row>
        <row r="405">
          <cell r="A405" t="str">
            <v>Home</v>
          </cell>
        </row>
        <row r="407">
          <cell r="A407" t="str">
            <v>Cable modems (M)</v>
          </cell>
          <cell r="B407">
            <v>2.6</v>
          </cell>
          <cell r="C407">
            <v>2.9</v>
          </cell>
          <cell r="D407">
            <v>2.5</v>
          </cell>
          <cell r="E407">
            <v>3.3</v>
          </cell>
          <cell r="F407">
            <v>2.8</v>
          </cell>
          <cell r="G407">
            <v>2.8</v>
          </cell>
          <cell r="H407">
            <v>3.1</v>
          </cell>
          <cell r="I407">
            <v>2.7</v>
          </cell>
          <cell r="J407">
            <v>2.7</v>
          </cell>
          <cell r="K407">
            <v>2.7</v>
          </cell>
          <cell r="L407">
            <v>2.4</v>
          </cell>
          <cell r="M407">
            <v>2.2000000000000002</v>
          </cell>
          <cell r="N407">
            <v>1.9</v>
          </cell>
          <cell r="O407">
            <v>2</v>
          </cell>
          <cell r="AM407">
            <v>11.3</v>
          </cell>
          <cell r="AN407">
            <v>11.399999999999999</v>
          </cell>
        </row>
        <row r="408">
          <cell r="A408" t="str">
            <v>Set Top boxes (M)</v>
          </cell>
          <cell r="B408">
            <v>4.9000000000000004</v>
          </cell>
          <cell r="C408">
            <v>4.2</v>
          </cell>
          <cell r="D408">
            <v>2.7</v>
          </cell>
          <cell r="E408">
            <v>3.4</v>
          </cell>
          <cell r="F408">
            <v>4.0999999999999996</v>
          </cell>
          <cell r="G408">
            <v>4.9000000000000004</v>
          </cell>
          <cell r="H408">
            <v>4.0999999999999996</v>
          </cell>
          <cell r="I408">
            <v>4.7</v>
          </cell>
          <cell r="J408">
            <v>4.3</v>
          </cell>
          <cell r="K408">
            <v>3.7</v>
          </cell>
          <cell r="L408">
            <v>3.3</v>
          </cell>
          <cell r="M408">
            <v>3.4</v>
          </cell>
          <cell r="N408">
            <v>3.1</v>
          </cell>
          <cell r="O408">
            <v>3.4</v>
          </cell>
          <cell r="AM408">
            <v>15.200000000000001</v>
          </cell>
          <cell r="AN408">
            <v>17.8</v>
          </cell>
        </row>
        <row r="409">
          <cell r="A409" t="str">
            <v>Digital Headends (M)</v>
          </cell>
        </row>
        <row r="411">
          <cell r="A411" t="str">
            <v>% Revenue by Type</v>
          </cell>
        </row>
        <row r="412">
          <cell r="A412" t="str">
            <v>Infrastructure</v>
          </cell>
          <cell r="J412">
            <v>0.2</v>
          </cell>
          <cell r="M412">
            <v>0.22</v>
          </cell>
          <cell r="N412">
            <v>0.25</v>
          </cell>
          <cell r="O412">
            <v>0.26344243792325051</v>
          </cell>
          <cell r="P412">
            <v>0.27</v>
          </cell>
          <cell r="Q412">
            <v>0.22</v>
          </cell>
          <cell r="R412">
            <v>0.24</v>
          </cell>
          <cell r="S412">
            <v>0.25</v>
          </cell>
          <cell r="AO412">
            <v>0.18</v>
          </cell>
          <cell r="AP412">
            <v>0.25</v>
          </cell>
        </row>
        <row r="413">
          <cell r="A413" t="str">
            <v>Set-tops &amp; modems</v>
          </cell>
          <cell r="J413">
            <v>0.8</v>
          </cell>
          <cell r="M413">
            <v>0.78</v>
          </cell>
          <cell r="N413">
            <v>0.75</v>
          </cell>
          <cell r="O413">
            <v>0.73655756207674949</v>
          </cell>
          <cell r="P413">
            <v>0.73</v>
          </cell>
          <cell r="Q413">
            <v>0.78</v>
          </cell>
          <cell r="R413">
            <v>0.76</v>
          </cell>
          <cell r="S413">
            <v>0.75</v>
          </cell>
          <cell r="AO413">
            <v>0.82000000000000006</v>
          </cell>
          <cell r="AP413">
            <v>0.75</v>
          </cell>
        </row>
        <row r="414">
          <cell r="A414" t="str">
            <v>Total</v>
          </cell>
          <cell r="J414">
            <v>1</v>
          </cell>
          <cell r="M414">
            <v>1</v>
          </cell>
          <cell r="N414">
            <v>1</v>
          </cell>
          <cell r="O414">
            <v>1</v>
          </cell>
          <cell r="P414">
            <v>1</v>
          </cell>
          <cell r="Q414">
            <v>1</v>
          </cell>
          <cell r="R414">
            <v>1</v>
          </cell>
          <cell r="S414">
            <v>1</v>
          </cell>
          <cell r="AO414">
            <v>1</v>
          </cell>
          <cell r="AP414">
            <v>1</v>
          </cell>
        </row>
        <row r="416">
          <cell r="A416" t="str">
            <v>Revenue Breakdown</v>
          </cell>
        </row>
        <row r="417">
          <cell r="A417" t="str">
            <v>Infrastructure</v>
          </cell>
          <cell r="M417">
            <v>219.78</v>
          </cell>
          <cell r="N417">
            <v>209.5</v>
          </cell>
          <cell r="O417">
            <v>233.40999999999997</v>
          </cell>
          <cell r="P417">
            <v>246.24</v>
          </cell>
          <cell r="Q417">
            <v>221.1</v>
          </cell>
          <cell r="R417">
            <v>216.95999999999998</v>
          </cell>
          <cell r="S417">
            <v>226.75</v>
          </cell>
          <cell r="AO417">
            <v>702.72</v>
          </cell>
          <cell r="AP417">
            <v>910.25</v>
          </cell>
        </row>
        <row r="418">
          <cell r="A418" t="str">
            <v>Set-tops &amp; modems</v>
          </cell>
          <cell r="M418">
            <v>779.22</v>
          </cell>
          <cell r="N418">
            <v>628.5</v>
          </cell>
          <cell r="O418">
            <v>652.59</v>
          </cell>
          <cell r="P418">
            <v>665.76</v>
          </cell>
          <cell r="Q418">
            <v>783.9</v>
          </cell>
          <cell r="R418">
            <v>687.04</v>
          </cell>
          <cell r="S418">
            <v>680.25</v>
          </cell>
          <cell r="AO418">
            <v>3201.2799999999997</v>
          </cell>
          <cell r="AP418">
            <v>2730.75</v>
          </cell>
        </row>
        <row r="420">
          <cell r="A420" t="str">
            <v>Q/Q Growth</v>
          </cell>
        </row>
        <row r="421">
          <cell r="A421" t="str">
            <v>Infrastructure</v>
          </cell>
          <cell r="N421">
            <v>-4.6774046774046729E-2</v>
          </cell>
          <cell r="O421">
            <v>0.11412887828162277</v>
          </cell>
          <cell r="P421">
            <v>5.4967653485283652E-2</v>
          </cell>
          <cell r="Q421">
            <v>-0.10209551656920079</v>
          </cell>
          <cell r="R421">
            <v>-1.8724559023066578E-2</v>
          </cell>
          <cell r="S421">
            <v>4.5123525073746507E-2</v>
          </cell>
        </row>
        <row r="422">
          <cell r="A422" t="str">
            <v>Set-tops &amp; modems</v>
          </cell>
          <cell r="N422">
            <v>-0.19342419342419348</v>
          </cell>
          <cell r="O422">
            <v>3.8329355608591964E-2</v>
          </cell>
          <cell r="P422">
            <v>2.0181124442605558E-2</v>
          </cell>
          <cell r="Q422">
            <v>0.17745133381398692</v>
          </cell>
          <cell r="R422">
            <v>-0.12356167878555946</v>
          </cell>
          <cell r="S422">
            <v>-9.8829762459244908E-3</v>
          </cell>
        </row>
        <row r="424">
          <cell r="A424" t="str">
            <v>Y/Y Growth</v>
          </cell>
        </row>
        <row r="425">
          <cell r="A425" t="str">
            <v>Infrastructure</v>
          </cell>
          <cell r="Q425">
            <v>6.0060060060058706E-3</v>
          </cell>
          <cell r="R425">
            <v>3.560859188544141E-2</v>
          </cell>
          <cell r="S425">
            <v>-2.8533481855961496E-2</v>
          </cell>
          <cell r="AP425">
            <v>0.29532388433515488</v>
          </cell>
        </row>
        <row r="426">
          <cell r="A426" t="str">
            <v>Set-tops &amp; modems</v>
          </cell>
          <cell r="Q426">
            <v>6.0060060060058706E-3</v>
          </cell>
          <cell r="R426">
            <v>9.3142402545743685E-2</v>
          </cell>
          <cell r="S426">
            <v>4.2384958396542993E-2</v>
          </cell>
          <cell r="AP426">
            <v>-0.14698183226709305</v>
          </cell>
        </row>
        <row r="428">
          <cell r="A428" t="str">
            <v>Revenue Breakdown</v>
          </cell>
        </row>
        <row r="429">
          <cell r="A429" t="str">
            <v>Access &amp; Video Infrastructure</v>
          </cell>
          <cell r="K429">
            <v>182.34</v>
          </cell>
          <cell r="N429">
            <v>217.88</v>
          </cell>
          <cell r="O429">
            <v>239.22000000000003</v>
          </cell>
          <cell r="AO429">
            <v>702.72</v>
          </cell>
        </row>
        <row r="430">
          <cell r="A430" t="str">
            <v>Data/Voice CPE</v>
          </cell>
          <cell r="K430">
            <v>121.56</v>
          </cell>
          <cell r="N430">
            <v>92.18</v>
          </cell>
          <cell r="O430">
            <v>97.46</v>
          </cell>
          <cell r="AO430">
            <v>468.47999999999996</v>
          </cell>
        </row>
        <row r="431">
          <cell r="A431" t="str">
            <v>IPTV</v>
          </cell>
          <cell r="K431">
            <v>162.08000000000001</v>
          </cell>
          <cell r="N431">
            <v>167.60000000000002</v>
          </cell>
          <cell r="O431">
            <v>168.34</v>
          </cell>
          <cell r="AO431">
            <v>624.64</v>
          </cell>
        </row>
        <row r="432">
          <cell r="A432" t="str">
            <v>Cable</v>
          </cell>
          <cell r="K432">
            <v>547.02</v>
          </cell>
          <cell r="N432">
            <v>360.34</v>
          </cell>
          <cell r="O432">
            <v>380.98</v>
          </cell>
          <cell r="AO432">
            <v>2108.1600000000003</v>
          </cell>
        </row>
        <row r="433">
          <cell r="A433" t="str">
            <v>Total Home</v>
          </cell>
          <cell r="K433">
            <v>1013</v>
          </cell>
          <cell r="N433">
            <v>838</v>
          </cell>
          <cell r="O433">
            <v>886</v>
          </cell>
          <cell r="AO433">
            <v>3904.0000000000005</v>
          </cell>
        </row>
        <row r="435">
          <cell r="A435" t="str">
            <v>Q/Q Growth</v>
          </cell>
        </row>
        <row r="436">
          <cell r="A436" t="str">
            <v>Access &amp; Video Infrastructure</v>
          </cell>
          <cell r="O436">
            <v>9.7943822287497762E-2</v>
          </cell>
        </row>
        <row r="437">
          <cell r="A437" t="str">
            <v>Data/Voice CPE</v>
          </cell>
          <cell r="O437">
            <v>5.7279236276849499E-2</v>
          </cell>
        </row>
        <row r="438">
          <cell r="A438" t="str">
            <v>IPTV</v>
          </cell>
          <cell r="O438">
            <v>4.4152744630070462E-3</v>
          </cell>
        </row>
        <row r="439">
          <cell r="A439" t="str">
            <v>Cable</v>
          </cell>
          <cell r="O439">
            <v>5.7279236276849721E-2</v>
          </cell>
        </row>
        <row r="440">
          <cell r="A440" t="str">
            <v>Total Home</v>
          </cell>
          <cell r="O440">
            <v>5.7279236276849721E-2</v>
          </cell>
        </row>
        <row r="442">
          <cell r="A442" t="str">
            <v>Y/Y Growth</v>
          </cell>
        </row>
        <row r="443">
          <cell r="A443" t="str">
            <v>Access &amp; Video Infrastructure</v>
          </cell>
          <cell r="O443">
            <v>0.31194471865745332</v>
          </cell>
        </row>
        <row r="444">
          <cell r="A444" t="str">
            <v>Data/Voice CPE</v>
          </cell>
          <cell r="O444">
            <v>-0.19825600526488985</v>
          </cell>
        </row>
        <row r="445">
          <cell r="A445" t="str">
            <v>IPTV</v>
          </cell>
          <cell r="O445">
            <v>3.8622902270483594E-2</v>
          </cell>
        </row>
        <row r="446">
          <cell r="A446" t="str">
            <v>Cable</v>
          </cell>
          <cell r="O446">
            <v>-0.30353551972505566</v>
          </cell>
        </row>
        <row r="447">
          <cell r="A447" t="str">
            <v>Total Home</v>
          </cell>
          <cell r="O447">
            <v>-0.12537018756169793</v>
          </cell>
        </row>
        <row r="449">
          <cell r="A449" t="str">
            <v>Revenue Contribution</v>
          </cell>
        </row>
        <row r="450">
          <cell r="A450" t="str">
            <v>Access &amp; Video Infrastructure</v>
          </cell>
          <cell r="K450">
            <v>0.18</v>
          </cell>
          <cell r="N450">
            <v>0.26</v>
          </cell>
          <cell r="O450">
            <v>0.27</v>
          </cell>
          <cell r="AO450">
            <v>0.18</v>
          </cell>
        </row>
        <row r="451">
          <cell r="A451" t="str">
            <v>Data/Voice CPE</v>
          </cell>
          <cell r="K451">
            <v>0.12</v>
          </cell>
          <cell r="N451">
            <v>0.11</v>
          </cell>
          <cell r="O451">
            <v>0.11</v>
          </cell>
          <cell r="AO451">
            <v>0.12</v>
          </cell>
        </row>
        <row r="452">
          <cell r="A452" t="str">
            <v>IPTV</v>
          </cell>
          <cell r="K452">
            <v>0.16</v>
          </cell>
          <cell r="N452">
            <v>0.2</v>
          </cell>
          <cell r="O452">
            <v>0.19</v>
          </cell>
          <cell r="AO452">
            <v>0.16</v>
          </cell>
        </row>
        <row r="453">
          <cell r="A453" t="str">
            <v>Cable</v>
          </cell>
          <cell r="K453">
            <v>0.54</v>
          </cell>
          <cell r="N453">
            <v>0.43</v>
          </cell>
          <cell r="O453">
            <v>0.43</v>
          </cell>
          <cell r="AO453">
            <v>0.54</v>
          </cell>
        </row>
        <row r="454">
          <cell r="A454" t="str">
            <v>Total Home</v>
          </cell>
          <cell r="K454">
            <v>1</v>
          </cell>
          <cell r="N454">
            <v>1</v>
          </cell>
          <cell r="O454">
            <v>1</v>
          </cell>
          <cell r="AO454">
            <v>1</v>
          </cell>
        </row>
        <row r="456">
          <cell r="A456" t="str">
            <v>Total Cable revenue</v>
          </cell>
          <cell r="B456">
            <v>1036</v>
          </cell>
          <cell r="C456">
            <v>1124</v>
          </cell>
          <cell r="D456">
            <v>956</v>
          </cell>
          <cell r="E456">
            <v>1115</v>
          </cell>
          <cell r="F456">
            <v>1162</v>
          </cell>
          <cell r="G456">
            <v>1376</v>
          </cell>
          <cell r="H456">
            <v>1138</v>
          </cell>
          <cell r="I456">
            <v>1236</v>
          </cell>
          <cell r="J456">
            <v>1025</v>
          </cell>
          <cell r="K456">
            <v>1013</v>
          </cell>
          <cell r="L456">
            <v>867</v>
          </cell>
          <cell r="M456">
            <v>999</v>
          </cell>
          <cell r="N456">
            <v>838</v>
          </cell>
          <cell r="O456">
            <v>886</v>
          </cell>
          <cell r="P456">
            <v>912</v>
          </cell>
          <cell r="Q456">
            <v>1005</v>
          </cell>
          <cell r="R456">
            <v>904</v>
          </cell>
          <cell r="S456">
            <v>907</v>
          </cell>
          <cell r="T456">
            <v>825</v>
          </cell>
          <cell r="U456">
            <v>897</v>
          </cell>
          <cell r="V456">
            <v>884</v>
          </cell>
          <cell r="W456">
            <v>907</v>
          </cell>
          <cell r="X456">
            <v>797</v>
          </cell>
          <cell r="Y456">
            <v>797</v>
          </cell>
          <cell r="Z456">
            <v>797</v>
          </cell>
          <cell r="AA456">
            <v>797</v>
          </cell>
          <cell r="AB456">
            <v>797</v>
          </cell>
          <cell r="AC456">
            <v>797</v>
          </cell>
          <cell r="AD456">
            <v>797</v>
          </cell>
          <cell r="AE456">
            <v>797</v>
          </cell>
          <cell r="AF456">
            <v>797</v>
          </cell>
          <cell r="AG456">
            <v>797</v>
          </cell>
          <cell r="AH456">
            <v>797</v>
          </cell>
          <cell r="AI456">
            <v>797</v>
          </cell>
          <cell r="AJ456">
            <v>797</v>
          </cell>
          <cell r="AK456">
            <v>797</v>
          </cell>
          <cell r="AM456">
            <v>4231</v>
          </cell>
          <cell r="AN456">
            <v>4912</v>
          </cell>
          <cell r="AO456">
            <v>3904</v>
          </cell>
          <cell r="AP456">
            <v>3641</v>
          </cell>
          <cell r="AQ456">
            <v>3533</v>
          </cell>
          <cell r="AR456">
            <v>3385</v>
          </cell>
          <cell r="AS456">
            <v>3188</v>
          </cell>
          <cell r="AT456">
            <v>3188</v>
          </cell>
          <cell r="AU456">
            <v>3188</v>
          </cell>
        </row>
        <row r="457">
          <cell r="A457" t="str">
            <v xml:space="preserve">    Q/Q growth</v>
          </cell>
          <cell r="B457">
            <v>5.7142857142857162E-2</v>
          </cell>
          <cell r="C457">
            <v>8.4942084942084994E-2</v>
          </cell>
          <cell r="D457">
            <v>-0.14946619217081847</v>
          </cell>
          <cell r="E457">
            <v>0.16631799163179917</v>
          </cell>
          <cell r="F457">
            <v>4.2152466367713082E-2</v>
          </cell>
          <cell r="G457">
            <v>0.18416523235800342</v>
          </cell>
          <cell r="H457">
            <v>-0.17296511627906974</v>
          </cell>
          <cell r="I457">
            <v>8.6115992970122957E-2</v>
          </cell>
          <cell r="J457">
            <v>-0.17071197411003236</v>
          </cell>
          <cell r="K457">
            <v>-1.1707317073170742E-2</v>
          </cell>
          <cell r="L457">
            <v>-0.14412635735439294</v>
          </cell>
          <cell r="M457">
            <v>0.15224913494809678</v>
          </cell>
          <cell r="N457">
            <v>-0.16116116116116119</v>
          </cell>
          <cell r="O457">
            <v>5.7279236276849721E-2</v>
          </cell>
          <cell r="P457">
            <v>2.9345372460496622E-2</v>
          </cell>
          <cell r="Q457">
            <v>0.10197368421052633</v>
          </cell>
          <cell r="R457">
            <v>-0.10049751243781091</v>
          </cell>
          <cell r="S457">
            <v>3.3185840707965486E-3</v>
          </cell>
          <cell r="T457">
            <v>-9.0407938257993425E-2</v>
          </cell>
          <cell r="U457">
            <v>8.7272727272727169E-2</v>
          </cell>
          <cell r="V457">
            <v>-1.4492753623188359E-2</v>
          </cell>
          <cell r="W457">
            <v>2.601809954751122E-2</v>
          </cell>
          <cell r="X457">
            <v>-0.12127894156560093</v>
          </cell>
          <cell r="Y457">
            <v>0</v>
          </cell>
          <cell r="Z457">
            <v>0</v>
          </cell>
          <cell r="AA457">
            <v>0</v>
          </cell>
          <cell r="AB457">
            <v>0</v>
          </cell>
          <cell r="AC457">
            <v>0</v>
          </cell>
          <cell r="AD457">
            <v>0</v>
          </cell>
          <cell r="AE457">
            <v>0</v>
          </cell>
          <cell r="AF457">
            <v>0</v>
          </cell>
          <cell r="AG457">
            <v>0</v>
          </cell>
          <cell r="AH457">
            <v>0</v>
          </cell>
          <cell r="AI457">
            <v>0</v>
          </cell>
          <cell r="AJ457">
            <v>0</v>
          </cell>
          <cell r="AK457">
            <v>0</v>
          </cell>
        </row>
        <row r="458">
          <cell r="A458" t="str">
            <v xml:space="preserve">    Y/Y growth</v>
          </cell>
          <cell r="B458">
            <v>0.41530054644808745</v>
          </cell>
          <cell r="C458">
            <v>0.39975093399750938</v>
          </cell>
          <cell r="D458">
            <v>0.17733990147783252</v>
          </cell>
          <cell r="E458">
            <v>0.13775510204081631</v>
          </cell>
          <cell r="F458">
            <v>0.12162162162162171</v>
          </cell>
          <cell r="G458">
            <v>0.22419928825622781</v>
          </cell>
          <cell r="H458">
            <v>0.19037656903765687</v>
          </cell>
          <cell r="I458">
            <v>0.10852017937219727</v>
          </cell>
          <cell r="J458">
            <v>-0.11790017211703963</v>
          </cell>
          <cell r="K458">
            <v>-0.26380813953488369</v>
          </cell>
          <cell r="L458">
            <v>-0.23813708260105448</v>
          </cell>
          <cell r="M458">
            <v>-0.19174757281553401</v>
          </cell>
          <cell r="N458">
            <v>-0.18243902439024395</v>
          </cell>
          <cell r="O458">
            <v>-0.12537018756169793</v>
          </cell>
          <cell r="P458">
            <v>5.1903114186851118E-2</v>
          </cell>
          <cell r="Q458">
            <v>6.0060060060060927E-3</v>
          </cell>
          <cell r="R458">
            <v>7.8758949880668228E-2</v>
          </cell>
          <cell r="S458">
            <v>2.3702031602708784E-2</v>
          </cell>
          <cell r="T458">
            <v>-9.539473684210531E-2</v>
          </cell>
          <cell r="U458">
            <v>-0.10746268656716418</v>
          </cell>
          <cell r="V458">
            <v>-2.2123893805309769E-2</v>
          </cell>
          <cell r="W458">
            <v>0</v>
          </cell>
          <cell r="X458">
            <v>0</v>
          </cell>
          <cell r="Y458">
            <v>-0.11148272017837235</v>
          </cell>
          <cell r="Z458">
            <v>-9.8416289592760164E-2</v>
          </cell>
          <cell r="AA458">
            <v>-0.12127894156560093</v>
          </cell>
          <cell r="AB458">
            <v>0</v>
          </cell>
          <cell r="AC458">
            <v>0</v>
          </cell>
          <cell r="AD458">
            <v>0</v>
          </cell>
          <cell r="AE458">
            <v>0</v>
          </cell>
          <cell r="AF458">
            <v>0</v>
          </cell>
          <cell r="AG458">
            <v>0</v>
          </cell>
          <cell r="AH458">
            <v>0</v>
          </cell>
          <cell r="AI458">
            <v>0</v>
          </cell>
          <cell r="AJ458">
            <v>0</v>
          </cell>
          <cell r="AK458">
            <v>0</v>
          </cell>
          <cell r="AN458">
            <v>0.16095485700779966</v>
          </cell>
          <cell r="AO458">
            <v>-0.2052117263843648</v>
          </cell>
          <cell r="AP458">
            <v>-6.7366803278688492E-2</v>
          </cell>
          <cell r="AQ458">
            <v>-2.9662180719582487E-2</v>
          </cell>
          <cell r="AR458">
            <v>-4.1890744409849967E-2</v>
          </cell>
          <cell r="AS458">
            <v>-5.8197932053175805E-2</v>
          </cell>
          <cell r="AT458">
            <v>0</v>
          </cell>
          <cell r="AU458">
            <v>0</v>
          </cell>
        </row>
        <row r="459">
          <cell r="A459" t="str">
            <v xml:space="preserve">    % contribution to full year</v>
          </cell>
          <cell r="B459">
            <v>0.24485937130701962</v>
          </cell>
          <cell r="C459">
            <v>0.26565823682344597</v>
          </cell>
          <cell r="D459">
            <v>0.22595131174663199</v>
          </cell>
          <cell r="E459">
            <v>0.26353108012290238</v>
          </cell>
          <cell r="F459">
            <v>0.27463956511463011</v>
          </cell>
          <cell r="G459">
            <v>0.28013029315960913</v>
          </cell>
          <cell r="H459">
            <v>0.23167752442996742</v>
          </cell>
          <cell r="I459">
            <v>0.25162866449511401</v>
          </cell>
          <cell r="J459">
            <v>0.2625512295081967</v>
          </cell>
          <cell r="K459">
            <v>0.25947745901639346</v>
          </cell>
          <cell r="L459">
            <v>0.22207991803278687</v>
          </cell>
          <cell r="M459">
            <v>0.25589139344262296</v>
          </cell>
          <cell r="N459">
            <v>0.23015655039824223</v>
          </cell>
          <cell r="O459">
            <v>0.24333974182916782</v>
          </cell>
          <cell r="P459">
            <v>0.25048063718758584</v>
          </cell>
          <cell r="Q459">
            <v>0.27602307058500414</v>
          </cell>
          <cell r="R459">
            <v>0.24828343861576491</v>
          </cell>
          <cell r="S459">
            <v>0.24910738808019775</v>
          </cell>
          <cell r="T459">
            <v>0.22658610271903323</v>
          </cell>
          <cell r="U459">
            <v>0.2463608898654216</v>
          </cell>
          <cell r="V459">
            <v>0.24279044218621257</v>
          </cell>
          <cell r="W459">
            <v>0.24910738808019775</v>
          </cell>
          <cell r="X459">
            <v>0.21889590771765999</v>
          </cell>
          <cell r="Y459">
            <v>0.21889590771765999</v>
          </cell>
          <cell r="Z459">
            <v>0.21889590771765999</v>
          </cell>
          <cell r="AA459">
            <v>0.21889590771765999</v>
          </cell>
          <cell r="AB459">
            <v>0.21889590771765999</v>
          </cell>
          <cell r="AC459">
            <v>0.21889590771765999</v>
          </cell>
          <cell r="AD459">
            <v>0.21889590771765999</v>
          </cell>
          <cell r="AE459">
            <v>0.21889590771765999</v>
          </cell>
          <cell r="AF459">
            <v>0.21889590771765999</v>
          </cell>
          <cell r="AG459">
            <v>0.21889590771765999</v>
          </cell>
          <cell r="AH459">
            <v>0.21889590771765999</v>
          </cell>
          <cell r="AI459">
            <v>0.21889590771765999</v>
          </cell>
          <cell r="AJ459">
            <v>0.21889590771765999</v>
          </cell>
          <cell r="AK459">
            <v>0.21889590771765999</v>
          </cell>
        </row>
        <row r="461">
          <cell r="A461" t="str">
            <v>Cost of sales</v>
          </cell>
          <cell r="F461">
            <v>-854.06999999999994</v>
          </cell>
          <cell r="G461">
            <v>-1011.3599999999999</v>
          </cell>
          <cell r="H461">
            <v>-836.43000000000006</v>
          </cell>
          <cell r="I461">
            <v>-908.46</v>
          </cell>
          <cell r="J461">
            <v>-779</v>
          </cell>
          <cell r="K461">
            <v>-754.68499999999995</v>
          </cell>
          <cell r="L461">
            <v>-637.245</v>
          </cell>
          <cell r="M461">
            <v>-718.0462349999998</v>
          </cell>
          <cell r="N461">
            <v>-620.12</v>
          </cell>
          <cell r="O461">
            <v>-655.64</v>
          </cell>
          <cell r="P461">
            <v>-674.88</v>
          </cell>
          <cell r="Q461">
            <v>-743.7</v>
          </cell>
          <cell r="R461">
            <v>-668.96</v>
          </cell>
          <cell r="S461">
            <v>-666.64499999999998</v>
          </cell>
          <cell r="T461">
            <v>-610.5</v>
          </cell>
          <cell r="U461">
            <v>-663.78</v>
          </cell>
          <cell r="V461">
            <v>-654.16</v>
          </cell>
          <cell r="W461">
            <v>-671.18</v>
          </cell>
          <cell r="X461">
            <v>-589.78</v>
          </cell>
          <cell r="Y461">
            <v>-589.78</v>
          </cell>
          <cell r="Z461">
            <v>-589.78</v>
          </cell>
          <cell r="AA461">
            <v>-589.78</v>
          </cell>
          <cell r="AB461">
            <v>-589.78</v>
          </cell>
          <cell r="AC461">
            <v>-589.78</v>
          </cell>
          <cell r="AD461">
            <v>-589.78</v>
          </cell>
          <cell r="AE461">
            <v>-589.78</v>
          </cell>
          <cell r="AF461">
            <v>-589.78</v>
          </cell>
          <cell r="AG461">
            <v>-589.78</v>
          </cell>
          <cell r="AH461">
            <v>-589.78</v>
          </cell>
          <cell r="AI461">
            <v>-589.78</v>
          </cell>
          <cell r="AJ461">
            <v>-589.78</v>
          </cell>
          <cell r="AK461">
            <v>-589.78</v>
          </cell>
          <cell r="AN461">
            <v>-3610.3199999999997</v>
          </cell>
          <cell r="AO461">
            <v>-2888.9762349999996</v>
          </cell>
          <cell r="AP461">
            <v>-2694.34</v>
          </cell>
          <cell r="AQ461">
            <v>-2609.8850000000002</v>
          </cell>
          <cell r="AR461">
            <v>-2504.8999999999996</v>
          </cell>
          <cell r="AS461">
            <v>-2359.12</v>
          </cell>
          <cell r="AT461">
            <v>-2359.12</v>
          </cell>
          <cell r="AU461">
            <v>-2359.12</v>
          </cell>
        </row>
        <row r="462">
          <cell r="A462" t="str">
            <v>Gross profit</v>
          </cell>
          <cell r="F462">
            <v>307.93</v>
          </cell>
          <cell r="G462">
            <v>364.64000000000004</v>
          </cell>
          <cell r="H462">
            <v>301.57</v>
          </cell>
          <cell r="I462">
            <v>327.54000000000002</v>
          </cell>
          <cell r="J462">
            <v>246</v>
          </cell>
          <cell r="K462">
            <v>258.315</v>
          </cell>
          <cell r="L462">
            <v>229.75500000000002</v>
          </cell>
          <cell r="M462">
            <v>280.95376500000015</v>
          </cell>
          <cell r="N462">
            <v>217.88</v>
          </cell>
          <cell r="O462">
            <v>230.36</v>
          </cell>
          <cell r="P462">
            <v>237.12</v>
          </cell>
          <cell r="Q462">
            <v>261.3</v>
          </cell>
          <cell r="R462">
            <v>235.04000000000002</v>
          </cell>
          <cell r="S462">
            <v>240.35500000000002</v>
          </cell>
          <cell r="T462">
            <v>214.5</v>
          </cell>
          <cell r="U462">
            <v>233.22</v>
          </cell>
          <cell r="V462">
            <v>229.84</v>
          </cell>
          <cell r="W462">
            <v>235.82000000000002</v>
          </cell>
          <cell r="X462">
            <v>207.22</v>
          </cell>
          <cell r="Y462">
            <v>207.22</v>
          </cell>
          <cell r="Z462">
            <v>207.22</v>
          </cell>
          <cell r="AA462">
            <v>207.22</v>
          </cell>
          <cell r="AB462">
            <v>207.22</v>
          </cell>
          <cell r="AC462">
            <v>207.22</v>
          </cell>
          <cell r="AD462">
            <v>207.22</v>
          </cell>
          <cell r="AE462">
            <v>207.22</v>
          </cell>
          <cell r="AF462">
            <v>207.22</v>
          </cell>
          <cell r="AG462">
            <v>207.22</v>
          </cell>
          <cell r="AH462">
            <v>207.22</v>
          </cell>
          <cell r="AI462">
            <v>207.22</v>
          </cell>
          <cell r="AJ462">
            <v>207.22</v>
          </cell>
          <cell r="AK462">
            <v>207.22</v>
          </cell>
          <cell r="AN462">
            <v>1301.68</v>
          </cell>
          <cell r="AO462">
            <v>1015.0237650000001</v>
          </cell>
          <cell r="AP462">
            <v>946.66000000000008</v>
          </cell>
          <cell r="AQ462">
            <v>923.11500000000001</v>
          </cell>
          <cell r="AR462">
            <v>880.1</v>
          </cell>
          <cell r="AS462">
            <v>828.88</v>
          </cell>
          <cell r="AT462">
            <v>828.88</v>
          </cell>
          <cell r="AU462">
            <v>828.88</v>
          </cell>
        </row>
        <row r="463">
          <cell r="A463" t="str">
            <v>Gross margin</v>
          </cell>
          <cell r="F463">
            <v>0.26500000000000001</v>
          </cell>
          <cell r="G463">
            <v>0.26500000000000001</v>
          </cell>
          <cell r="H463">
            <v>0.26500000000000001</v>
          </cell>
          <cell r="I463">
            <v>0.26500000000000001</v>
          </cell>
          <cell r="J463">
            <v>0.24</v>
          </cell>
          <cell r="K463">
            <v>0.255</v>
          </cell>
          <cell r="L463">
            <v>0.26500000000000001</v>
          </cell>
          <cell r="M463">
            <v>0.28123500000000012</v>
          </cell>
          <cell r="N463">
            <v>0.26</v>
          </cell>
          <cell r="O463">
            <v>0.26</v>
          </cell>
          <cell r="P463">
            <v>0.26</v>
          </cell>
          <cell r="Q463">
            <v>0.26</v>
          </cell>
          <cell r="R463">
            <v>0.26</v>
          </cell>
          <cell r="S463">
            <v>0.26500000000000001</v>
          </cell>
          <cell r="T463">
            <v>0.26</v>
          </cell>
          <cell r="U463">
            <v>0.26</v>
          </cell>
          <cell r="V463">
            <v>0.26</v>
          </cell>
          <cell r="W463">
            <v>0.26</v>
          </cell>
          <cell r="X463">
            <v>0.26</v>
          </cell>
          <cell r="Y463">
            <v>0.26</v>
          </cell>
          <cell r="Z463">
            <v>0.26</v>
          </cell>
          <cell r="AA463">
            <v>0.26</v>
          </cell>
          <cell r="AB463">
            <v>0.26</v>
          </cell>
          <cell r="AC463">
            <v>0.26</v>
          </cell>
          <cell r="AD463">
            <v>0.26</v>
          </cell>
          <cell r="AE463">
            <v>0.26</v>
          </cell>
          <cell r="AF463">
            <v>0.26</v>
          </cell>
          <cell r="AG463">
            <v>0.26</v>
          </cell>
          <cell r="AH463">
            <v>0.26</v>
          </cell>
          <cell r="AI463">
            <v>0.26</v>
          </cell>
          <cell r="AJ463">
            <v>0.26</v>
          </cell>
          <cell r="AK463">
            <v>0.26</v>
          </cell>
          <cell r="AN463">
            <v>0.26500000000000001</v>
          </cell>
          <cell r="AO463">
            <v>0.25999584144467219</v>
          </cell>
          <cell r="AP463">
            <v>0.26</v>
          </cell>
          <cell r="AQ463">
            <v>0.26128361166147751</v>
          </cell>
          <cell r="AR463">
            <v>0.26</v>
          </cell>
          <cell r="AS463">
            <v>0.26</v>
          </cell>
          <cell r="AT463">
            <v>0.26</v>
          </cell>
          <cell r="AU463">
            <v>0.26</v>
          </cell>
        </row>
        <row r="465">
          <cell r="A465" t="str">
            <v>Operating expenses</v>
          </cell>
          <cell r="B465">
            <v>927</v>
          </cell>
          <cell r="C465">
            <v>1007</v>
          </cell>
          <cell r="D465">
            <v>897</v>
          </cell>
          <cell r="E465">
            <v>1014</v>
          </cell>
          <cell r="F465">
            <v>211.93</v>
          </cell>
          <cell r="G465">
            <v>221.64000000000004</v>
          </cell>
          <cell r="H465">
            <v>209.57</v>
          </cell>
          <cell r="I465">
            <v>204.54000000000002</v>
          </cell>
          <cell r="J465">
            <v>210</v>
          </cell>
          <cell r="K465">
            <v>211.315</v>
          </cell>
          <cell r="L465">
            <v>185.75500000000002</v>
          </cell>
          <cell r="M465">
            <v>209.95376500000015</v>
          </cell>
          <cell r="N465">
            <v>170.88</v>
          </cell>
          <cell r="O465">
            <v>172.36</v>
          </cell>
          <cell r="P465">
            <v>160.12</v>
          </cell>
          <cell r="Q465">
            <v>171.3</v>
          </cell>
          <cell r="R465">
            <v>154.04000000000002</v>
          </cell>
          <cell r="S465">
            <v>150.35500000000002</v>
          </cell>
          <cell r="T465">
            <v>137.5</v>
          </cell>
          <cell r="U465">
            <v>149.22</v>
          </cell>
          <cell r="V465">
            <v>138.84</v>
          </cell>
          <cell r="W465">
            <v>154.19000000000003</v>
          </cell>
          <cell r="X465">
            <v>135.49</v>
          </cell>
          <cell r="Y465">
            <v>135.49</v>
          </cell>
          <cell r="Z465">
            <v>135.49</v>
          </cell>
          <cell r="AA465">
            <v>135.49</v>
          </cell>
          <cell r="AB465">
            <v>135.49</v>
          </cell>
          <cell r="AC465">
            <v>135.49</v>
          </cell>
          <cell r="AD465">
            <v>135.49</v>
          </cell>
          <cell r="AE465">
            <v>135.49</v>
          </cell>
          <cell r="AF465">
            <v>135.49</v>
          </cell>
          <cell r="AG465">
            <v>135.49</v>
          </cell>
          <cell r="AH465">
            <v>135.49</v>
          </cell>
          <cell r="AI465">
            <v>135.49</v>
          </cell>
          <cell r="AJ465">
            <v>135.49</v>
          </cell>
          <cell r="AK465">
            <v>135.49</v>
          </cell>
          <cell r="AM465">
            <v>3845</v>
          </cell>
          <cell r="AN465">
            <v>847.68000000000006</v>
          </cell>
          <cell r="AO465">
            <v>817.02376500000014</v>
          </cell>
          <cell r="AP465">
            <v>674.66000000000008</v>
          </cell>
          <cell r="AQ465">
            <v>591.11500000000001</v>
          </cell>
          <cell r="AR465">
            <v>564.01</v>
          </cell>
          <cell r="AS465">
            <v>541.96</v>
          </cell>
          <cell r="AT465">
            <v>541.96</v>
          </cell>
          <cell r="AU465">
            <v>541.96</v>
          </cell>
        </row>
        <row r="466">
          <cell r="A466" t="str">
            <v xml:space="preserve">    % revenue</v>
          </cell>
          <cell r="F466">
            <v>0.18238382099827882</v>
          </cell>
          <cell r="G466">
            <v>0.16107558139534886</v>
          </cell>
          <cell r="H466">
            <v>0.18415641476274164</v>
          </cell>
          <cell r="I466">
            <v>0.16548543689320391</v>
          </cell>
          <cell r="J466">
            <v>0.20487804878048779</v>
          </cell>
          <cell r="K466">
            <v>0.20860315893385983</v>
          </cell>
          <cell r="L466">
            <v>0.21425028835063439</v>
          </cell>
          <cell r="M466">
            <v>0.21016392892892907</v>
          </cell>
          <cell r="N466">
            <v>0.20391408114558471</v>
          </cell>
          <cell r="O466">
            <v>0.19453724604966141</v>
          </cell>
          <cell r="P466">
            <v>0.17557017543859649</v>
          </cell>
          <cell r="Q466">
            <v>0.17044776119402985</v>
          </cell>
          <cell r="R466">
            <v>0.17039823008849561</v>
          </cell>
          <cell r="S466">
            <v>0.1657717750826902</v>
          </cell>
          <cell r="T466">
            <v>0.16666666666666666</v>
          </cell>
          <cell r="U466">
            <v>0.16635451505016721</v>
          </cell>
          <cell r="V466">
            <v>0.15705882352941178</v>
          </cell>
          <cell r="W466">
            <v>0.17000000000000004</v>
          </cell>
          <cell r="X466">
            <v>0.17</v>
          </cell>
          <cell r="Y466">
            <v>0.17</v>
          </cell>
          <cell r="Z466">
            <v>0.17</v>
          </cell>
          <cell r="AA466">
            <v>0.17</v>
          </cell>
          <cell r="AB466">
            <v>0.17</v>
          </cell>
          <cell r="AC466">
            <v>0.17</v>
          </cell>
          <cell r="AD466">
            <v>0.17</v>
          </cell>
          <cell r="AE466">
            <v>0.17</v>
          </cell>
          <cell r="AF466">
            <v>0.17</v>
          </cell>
          <cell r="AG466">
            <v>0.17</v>
          </cell>
          <cell r="AH466">
            <v>0.17</v>
          </cell>
          <cell r="AI466">
            <v>0.17</v>
          </cell>
          <cell r="AJ466">
            <v>0.17</v>
          </cell>
          <cell r="AK466">
            <v>0.17</v>
          </cell>
          <cell r="AN466">
            <v>0.17257328990228013</v>
          </cell>
          <cell r="AO466">
            <v>0.20927862832991806</v>
          </cell>
          <cell r="AP466">
            <v>0.18529524855808846</v>
          </cell>
          <cell r="AQ466">
            <v>0.16731248230965184</v>
          </cell>
          <cell r="AR466">
            <v>0.16662038404726737</v>
          </cell>
          <cell r="AS466">
            <v>0.17</v>
          </cell>
          <cell r="AT466">
            <v>0.17</v>
          </cell>
          <cell r="AU466">
            <v>0.17</v>
          </cell>
        </row>
        <row r="467">
          <cell r="A467" t="str">
            <v xml:space="preserve">    Q/Q growth</v>
          </cell>
          <cell r="C467">
            <v>8.6299892125134781E-2</v>
          </cell>
          <cell r="D467">
            <v>-0.10923535253227412</v>
          </cell>
          <cell r="E467">
            <v>0.13043478260869557</v>
          </cell>
          <cell r="F467">
            <v>-0.79099605522682448</v>
          </cell>
          <cell r="G467">
            <v>4.5817015052139975E-2</v>
          </cell>
          <cell r="H467">
            <v>-5.4457679119292779E-2</v>
          </cell>
          <cell r="I467">
            <v>-2.4001526936107132E-2</v>
          </cell>
          <cell r="J467">
            <v>2.6694045174537884E-2</v>
          </cell>
          <cell r="K467">
            <v>6.2619047619048018E-3</v>
          </cell>
          <cell r="L467">
            <v>-0.12095686534320793</v>
          </cell>
          <cell r="M467">
            <v>0.13027248257112922</v>
          </cell>
          <cell r="N467">
            <v>-0.18610652207165768</v>
          </cell>
          <cell r="O467">
            <v>8.6610486891387506E-3</v>
          </cell>
          <cell r="P467">
            <v>-7.1014156416802088E-2</v>
          </cell>
          <cell r="Q467">
            <v>6.9822633025231173E-2</v>
          </cell>
          <cell r="R467">
            <v>-0.10075890251021591</v>
          </cell>
          <cell r="S467">
            <v>-2.3922357829135321E-2</v>
          </cell>
          <cell r="T467">
            <v>-8.5497655548535278E-2</v>
          </cell>
          <cell r="U467">
            <v>8.5236363636363555E-2</v>
          </cell>
          <cell r="V467">
            <v>-6.9561720948934425E-2</v>
          </cell>
          <cell r="W467">
            <v>0.11055891673869223</v>
          </cell>
          <cell r="X467">
            <v>-0.12127894156560093</v>
          </cell>
          <cell r="Y467">
            <v>0</v>
          </cell>
          <cell r="Z467">
            <v>0</v>
          </cell>
          <cell r="AA467">
            <v>0</v>
          </cell>
          <cell r="AB467">
            <v>0</v>
          </cell>
          <cell r="AC467">
            <v>0</v>
          </cell>
          <cell r="AD467">
            <v>0</v>
          </cell>
          <cell r="AE467">
            <v>0</v>
          </cell>
          <cell r="AF467">
            <v>0</v>
          </cell>
          <cell r="AG467">
            <v>0</v>
          </cell>
          <cell r="AH467">
            <v>0</v>
          </cell>
          <cell r="AI467">
            <v>0</v>
          </cell>
          <cell r="AJ467">
            <v>0</v>
          </cell>
          <cell r="AK467">
            <v>0</v>
          </cell>
        </row>
        <row r="468">
          <cell r="A468" t="str">
            <v xml:space="preserve">    Y/Y growth</v>
          </cell>
          <cell r="AN468">
            <v>-0.77953706111833543</v>
          </cell>
          <cell r="AO468">
            <v>-3.6164867638731502E-2</v>
          </cell>
          <cell r="AP468">
            <v>-0.17424678583247821</v>
          </cell>
          <cell r="AQ468">
            <v>-0.1238327453828596</v>
          </cell>
          <cell r="AR468">
            <v>-4.5854021637075748E-2</v>
          </cell>
          <cell r="AS468">
            <v>-3.9095051506178868E-2</v>
          </cell>
          <cell r="AT468">
            <v>0</v>
          </cell>
          <cell r="AU468">
            <v>0</v>
          </cell>
        </row>
        <row r="470">
          <cell r="A470" t="str">
            <v>Total operating income</v>
          </cell>
          <cell r="B470">
            <v>109</v>
          </cell>
          <cell r="C470">
            <v>117</v>
          </cell>
          <cell r="D470">
            <v>59</v>
          </cell>
          <cell r="E470">
            <v>101</v>
          </cell>
          <cell r="F470">
            <v>96</v>
          </cell>
          <cell r="G470">
            <v>143</v>
          </cell>
          <cell r="H470">
            <v>92</v>
          </cell>
          <cell r="I470">
            <v>123</v>
          </cell>
          <cell r="J470">
            <v>36</v>
          </cell>
          <cell r="K470">
            <v>47</v>
          </cell>
          <cell r="L470">
            <v>44</v>
          </cell>
          <cell r="M470">
            <v>71</v>
          </cell>
          <cell r="N470">
            <v>47</v>
          </cell>
          <cell r="O470">
            <v>58</v>
          </cell>
          <cell r="P470">
            <v>77</v>
          </cell>
          <cell r="Q470">
            <v>90</v>
          </cell>
          <cell r="R470">
            <v>81</v>
          </cell>
          <cell r="S470">
            <v>90</v>
          </cell>
          <cell r="T470">
            <v>77</v>
          </cell>
          <cell r="U470">
            <v>84</v>
          </cell>
          <cell r="V470">
            <v>91</v>
          </cell>
          <cell r="W470">
            <v>81.63</v>
          </cell>
          <cell r="X470">
            <v>71.73</v>
          </cell>
          <cell r="Y470">
            <v>71.73</v>
          </cell>
          <cell r="Z470">
            <v>71.73</v>
          </cell>
          <cell r="AA470">
            <v>71.73</v>
          </cell>
          <cell r="AB470">
            <v>71.73</v>
          </cell>
          <cell r="AC470">
            <v>71.73</v>
          </cell>
          <cell r="AD470">
            <v>71.73</v>
          </cell>
          <cell r="AE470">
            <v>71.73</v>
          </cell>
          <cell r="AF470">
            <v>71.73</v>
          </cell>
          <cell r="AG470">
            <v>71.73</v>
          </cell>
          <cell r="AH470">
            <v>71.73</v>
          </cell>
          <cell r="AI470">
            <v>71.73</v>
          </cell>
          <cell r="AJ470">
            <v>71.73</v>
          </cell>
          <cell r="AK470">
            <v>71.73</v>
          </cell>
          <cell r="AM470">
            <v>386</v>
          </cell>
          <cell r="AN470">
            <v>454</v>
          </cell>
          <cell r="AO470">
            <v>198</v>
          </cell>
          <cell r="AP470">
            <v>272</v>
          </cell>
          <cell r="AQ470">
            <v>332</v>
          </cell>
          <cell r="AR470">
            <v>316.09000000000003</v>
          </cell>
          <cell r="AS470">
            <v>286.92</v>
          </cell>
          <cell r="AT470">
            <v>286.92</v>
          </cell>
          <cell r="AU470">
            <v>286.92</v>
          </cell>
        </row>
        <row r="471">
          <cell r="A471" t="str">
            <v xml:space="preserve">    Q/Q growth</v>
          </cell>
          <cell r="C471">
            <v>7.3394495412844041E-2</v>
          </cell>
          <cell r="D471">
            <v>-0.49572649572649574</v>
          </cell>
          <cell r="E471">
            <v>0.71186440677966112</v>
          </cell>
          <cell r="F471">
            <v>-4.9504950495049549E-2</v>
          </cell>
          <cell r="G471">
            <v>0.48958333333333326</v>
          </cell>
          <cell r="H471">
            <v>-0.35664335664335667</v>
          </cell>
          <cell r="I471">
            <v>0.33695652173913038</v>
          </cell>
          <cell r="J471">
            <v>-0.70731707317073167</v>
          </cell>
          <cell r="K471">
            <v>0.30555555555555558</v>
          </cell>
          <cell r="L471">
            <v>-6.3829787234042534E-2</v>
          </cell>
          <cell r="M471">
            <v>0.61363636363636354</v>
          </cell>
          <cell r="N471">
            <v>-0.3380281690140845</v>
          </cell>
          <cell r="O471">
            <v>0.23404255319148937</v>
          </cell>
          <cell r="P471">
            <v>0.32758620689655182</v>
          </cell>
          <cell r="Q471">
            <v>0.16883116883116878</v>
          </cell>
          <cell r="R471">
            <v>-9.9999999999999978E-2</v>
          </cell>
          <cell r="S471">
            <v>0.11111111111111116</v>
          </cell>
          <cell r="T471">
            <v>-0.14444444444444449</v>
          </cell>
          <cell r="U471">
            <v>9.0909090909090828E-2</v>
          </cell>
          <cell r="V471">
            <v>8.3333333333333259E-2</v>
          </cell>
          <cell r="W471">
            <v>-0.10296703296703302</v>
          </cell>
          <cell r="X471">
            <v>-0.12127894156560082</v>
          </cell>
          <cell r="Y471">
            <v>0</v>
          </cell>
          <cell r="Z471">
            <v>0</v>
          </cell>
          <cell r="AA471">
            <v>0</v>
          </cell>
          <cell r="AB471">
            <v>0</v>
          </cell>
          <cell r="AC471">
            <v>0</v>
          </cell>
          <cell r="AD471">
            <v>0</v>
          </cell>
          <cell r="AE471">
            <v>0</v>
          </cell>
          <cell r="AF471">
            <v>0</v>
          </cell>
          <cell r="AG471">
            <v>0</v>
          </cell>
          <cell r="AH471">
            <v>0</v>
          </cell>
          <cell r="AI471">
            <v>0</v>
          </cell>
          <cell r="AJ471">
            <v>0</v>
          </cell>
          <cell r="AK471">
            <v>0</v>
          </cell>
        </row>
        <row r="472">
          <cell r="A472" t="str">
            <v xml:space="preserve">    Y/Y growth</v>
          </cell>
          <cell r="J472">
            <v>-0.625</v>
          </cell>
          <cell r="K472">
            <v>-0.67132867132867136</v>
          </cell>
          <cell r="L472">
            <v>-0.52173913043478259</v>
          </cell>
          <cell r="M472">
            <v>-0.42276422764227639</v>
          </cell>
          <cell r="N472">
            <v>0.30555555555555558</v>
          </cell>
          <cell r="O472">
            <v>0.23404255319148937</v>
          </cell>
          <cell r="P472">
            <v>0.75</v>
          </cell>
          <cell r="Q472">
            <v>0.26760563380281699</v>
          </cell>
          <cell r="R472">
            <v>0.72340425531914887</v>
          </cell>
          <cell r="S472">
            <v>0.55172413793103448</v>
          </cell>
          <cell r="T472">
            <v>0</v>
          </cell>
          <cell r="U472">
            <v>-6.6666666666666652E-2</v>
          </cell>
          <cell r="V472">
            <v>0.12345679012345689</v>
          </cell>
          <cell r="W472">
            <v>-9.3000000000000083E-2</v>
          </cell>
          <cell r="X472">
            <v>-6.8441558441558414E-2</v>
          </cell>
          <cell r="Y472">
            <v>-0.14607142857142852</v>
          </cell>
          <cell r="Z472">
            <v>-0.21175824175824176</v>
          </cell>
          <cell r="AA472">
            <v>-0.12127894156560082</v>
          </cell>
          <cell r="AB472">
            <v>0</v>
          </cell>
          <cell r="AC472">
            <v>0</v>
          </cell>
          <cell r="AD472">
            <v>0</v>
          </cell>
          <cell r="AE472">
            <v>0</v>
          </cell>
          <cell r="AF472">
            <v>0</v>
          </cell>
          <cell r="AG472">
            <v>0</v>
          </cell>
          <cell r="AH472">
            <v>0</v>
          </cell>
          <cell r="AI472">
            <v>0</v>
          </cell>
          <cell r="AJ472">
            <v>0</v>
          </cell>
          <cell r="AK472">
            <v>0</v>
          </cell>
          <cell r="AN472">
            <v>0.17616580310880825</v>
          </cell>
          <cell r="AO472">
            <v>-0.5638766519823788</v>
          </cell>
          <cell r="AP472">
            <v>0.3737373737373737</v>
          </cell>
          <cell r="AQ472">
            <v>0.22058823529411775</v>
          </cell>
          <cell r="AR472">
            <v>-4.7921686746987824E-2</v>
          </cell>
          <cell r="AS472">
            <v>-9.2283843209212568E-2</v>
          </cell>
          <cell r="AT472">
            <v>0</v>
          </cell>
          <cell r="AU472">
            <v>0</v>
          </cell>
        </row>
        <row r="473">
          <cell r="A473" t="str">
            <v xml:space="preserve">    % margin</v>
          </cell>
          <cell r="B473">
            <v>0.10521235521235521</v>
          </cell>
          <cell r="C473">
            <v>0.10409252669039146</v>
          </cell>
          <cell r="D473">
            <v>6.1715481171548119E-2</v>
          </cell>
          <cell r="E473">
            <v>9.0582959641255609E-2</v>
          </cell>
          <cell r="F473">
            <v>8.2616179001721177E-2</v>
          </cell>
          <cell r="G473">
            <v>0.10392441860465117</v>
          </cell>
          <cell r="H473">
            <v>8.0843585237258347E-2</v>
          </cell>
          <cell r="I473">
            <v>9.9514563106796114E-2</v>
          </cell>
          <cell r="J473">
            <v>3.5121951219512199E-2</v>
          </cell>
          <cell r="K473">
            <v>4.6396841066140178E-2</v>
          </cell>
          <cell r="L473">
            <v>5.0749711649365627E-2</v>
          </cell>
          <cell r="M473">
            <v>7.1071071071071065E-2</v>
          </cell>
          <cell r="N473">
            <v>5.6085918854415273E-2</v>
          </cell>
          <cell r="O473">
            <v>6.5462753950338598E-2</v>
          </cell>
          <cell r="P473">
            <v>8.4429824561403508E-2</v>
          </cell>
          <cell r="Q473">
            <v>8.9552238805970144E-2</v>
          </cell>
          <cell r="R473">
            <v>8.9601769911504425E-2</v>
          </cell>
          <cell r="S473">
            <v>9.9228224917309815E-2</v>
          </cell>
          <cell r="T473">
            <v>9.3333333333333338E-2</v>
          </cell>
          <cell r="U473">
            <v>9.3645484949832769E-2</v>
          </cell>
          <cell r="V473">
            <v>0.10294117647058823</v>
          </cell>
          <cell r="W473">
            <v>0.09</v>
          </cell>
          <cell r="X473">
            <v>0.09</v>
          </cell>
          <cell r="Y473">
            <v>0.09</v>
          </cell>
          <cell r="Z473">
            <v>0.09</v>
          </cell>
          <cell r="AA473">
            <v>0.09</v>
          </cell>
          <cell r="AB473">
            <v>0.09</v>
          </cell>
          <cell r="AC473">
            <v>0.09</v>
          </cell>
          <cell r="AD473">
            <v>0.09</v>
          </cell>
          <cell r="AE473">
            <v>0.09</v>
          </cell>
          <cell r="AF473">
            <v>0.09</v>
          </cell>
          <cell r="AG473">
            <v>0.09</v>
          </cell>
          <cell r="AH473">
            <v>0.09</v>
          </cell>
          <cell r="AI473">
            <v>0.09</v>
          </cell>
          <cell r="AJ473">
            <v>0.09</v>
          </cell>
          <cell r="AK473">
            <v>0.09</v>
          </cell>
          <cell r="AM473">
            <v>9.1231387378870238E-2</v>
          </cell>
          <cell r="AN473">
            <v>9.2426710097719869E-2</v>
          </cell>
          <cell r="AO473">
            <v>5.0717213114754099E-2</v>
          </cell>
          <cell r="AP473">
            <v>7.4704751441911563E-2</v>
          </cell>
          <cell r="AQ473">
            <v>9.3971129351825639E-2</v>
          </cell>
          <cell r="AR473">
            <v>9.3379615952732656E-2</v>
          </cell>
          <cell r="AS473">
            <v>9.0000000000000011E-2</v>
          </cell>
          <cell r="AT473">
            <v>9.0000000000000011E-2</v>
          </cell>
          <cell r="AU473">
            <v>9.0000000000000011E-2</v>
          </cell>
        </row>
        <row r="475">
          <cell r="A475" t="str">
            <v>Total Motorola Mobility</v>
          </cell>
        </row>
        <row r="476">
          <cell r="A476" t="str">
            <v>Revenue by Geography</v>
          </cell>
        </row>
        <row r="477">
          <cell r="A477" t="str">
            <v>United States</v>
          </cell>
          <cell r="AM477">
            <v>12338</v>
          </cell>
          <cell r="AN477">
            <v>9267</v>
          </cell>
          <cell r="AO477">
            <v>7039</v>
          </cell>
        </row>
        <row r="478">
          <cell r="A478" t="str">
            <v>China</v>
          </cell>
          <cell r="AM478">
            <v>1556</v>
          </cell>
          <cell r="AN478">
            <v>976</v>
          </cell>
          <cell r="AO478">
            <v>648</v>
          </cell>
        </row>
        <row r="479">
          <cell r="A479" t="str">
            <v>Brazil</v>
          </cell>
          <cell r="AM479">
            <v>1484</v>
          </cell>
          <cell r="AN479">
            <v>1341</v>
          </cell>
          <cell r="AO479">
            <v>661</v>
          </cell>
        </row>
        <row r="480">
          <cell r="A480" t="str">
            <v>Singapore</v>
          </cell>
          <cell r="AM480">
            <v>61</v>
          </cell>
          <cell r="AN480">
            <v>40</v>
          </cell>
          <cell r="AO480">
            <v>27</v>
          </cell>
        </row>
        <row r="481">
          <cell r="A481" t="str">
            <v>Others, net of eliminations</v>
          </cell>
          <cell r="AM481">
            <v>7934</v>
          </cell>
          <cell r="AN481">
            <v>5475</v>
          </cell>
          <cell r="AO481">
            <v>2675</v>
          </cell>
        </row>
        <row r="482">
          <cell r="A482" t="str">
            <v>Total Motorola Mobility Devices</v>
          </cell>
          <cell r="AM482">
            <v>23373</v>
          </cell>
          <cell r="AN482">
            <v>17099</v>
          </cell>
          <cell r="AO482">
            <v>11050</v>
          </cell>
        </row>
        <row r="484">
          <cell r="A484" t="str">
            <v>Quarter/Quarter Growth</v>
          </cell>
        </row>
        <row r="485">
          <cell r="A485" t="str">
            <v>United States</v>
          </cell>
        </row>
        <row r="486">
          <cell r="A486" t="str">
            <v>China</v>
          </cell>
        </row>
        <row r="487">
          <cell r="A487" t="str">
            <v>Brazil</v>
          </cell>
        </row>
        <row r="488">
          <cell r="A488" t="str">
            <v>Singapore</v>
          </cell>
        </row>
        <row r="489">
          <cell r="A489" t="str">
            <v>Others, net of eliminations</v>
          </cell>
        </row>
        <row r="490">
          <cell r="A490" t="str">
            <v>Total Motorola Mobility Devices</v>
          </cell>
        </row>
        <row r="492">
          <cell r="A492" t="str">
            <v>Year/Year Growth</v>
          </cell>
        </row>
        <row r="493">
          <cell r="A493" t="str">
            <v>United States</v>
          </cell>
          <cell r="AN493">
            <v>-0.24890581941967904</v>
          </cell>
          <cell r="AO493">
            <v>-0.24042300636667746</v>
          </cell>
        </row>
        <row r="494">
          <cell r="A494" t="str">
            <v>China</v>
          </cell>
          <cell r="AN494">
            <v>-0.37275064267352187</v>
          </cell>
          <cell r="AO494">
            <v>-0.33606557377049184</v>
          </cell>
        </row>
        <row r="495">
          <cell r="A495" t="str">
            <v>Brazil</v>
          </cell>
          <cell r="AN495">
            <v>-9.636118598382748E-2</v>
          </cell>
          <cell r="AO495">
            <v>-0.50708426547352725</v>
          </cell>
        </row>
        <row r="496">
          <cell r="A496" t="str">
            <v>Singapore</v>
          </cell>
          <cell r="AN496">
            <v>-0.34426229508196726</v>
          </cell>
          <cell r="AO496">
            <v>-0.32499999999999996</v>
          </cell>
        </row>
        <row r="497">
          <cell r="A497" t="str">
            <v>Others, net of eliminations</v>
          </cell>
          <cell r="AN497">
            <v>-0.30993193849256362</v>
          </cell>
          <cell r="AO497">
            <v>-0.51141552511415522</v>
          </cell>
        </row>
        <row r="498">
          <cell r="A498" t="str">
            <v>Total Motorola Mobility Devices</v>
          </cell>
          <cell r="AN498">
            <v>-0.26842938433234931</v>
          </cell>
          <cell r="AO498">
            <v>-0.3537633779753202</v>
          </cell>
        </row>
        <row r="500">
          <cell r="A500" t="str">
            <v>Revenue Contribution</v>
          </cell>
        </row>
        <row r="501">
          <cell r="A501" t="str">
            <v>United States</v>
          </cell>
          <cell r="AM501">
            <v>0.52787404269884053</v>
          </cell>
          <cell r="AN501">
            <v>0.54196151821743965</v>
          </cell>
          <cell r="AO501">
            <v>0.63701357466063346</v>
          </cell>
        </row>
        <row r="502">
          <cell r="A502" t="str">
            <v>China</v>
          </cell>
          <cell r="AM502">
            <v>6.6572540966071958E-2</v>
          </cell>
          <cell r="AN502">
            <v>5.7079361366161763E-2</v>
          </cell>
          <cell r="AO502">
            <v>5.8642533936651586E-2</v>
          </cell>
        </row>
        <row r="503">
          <cell r="A503" t="str">
            <v>Brazil</v>
          </cell>
          <cell r="AM503">
            <v>6.3492063492063489E-2</v>
          </cell>
          <cell r="AN503">
            <v>7.8425638926252997E-2</v>
          </cell>
          <cell r="AO503">
            <v>5.9819004524886879E-2</v>
          </cell>
        </row>
        <row r="504">
          <cell r="A504" t="str">
            <v>Singapore</v>
          </cell>
          <cell r="AM504">
            <v>2.6098489710349548E-3</v>
          </cell>
          <cell r="AN504">
            <v>2.3393180887771215E-3</v>
          </cell>
          <cell r="AO504">
            <v>2.4434389140271491E-3</v>
          </cell>
        </row>
        <row r="505">
          <cell r="A505" t="str">
            <v>Others, net of eliminations</v>
          </cell>
          <cell r="AM505">
            <v>0.33945150387198902</v>
          </cell>
          <cell r="AN505">
            <v>0.32019416340136853</v>
          </cell>
          <cell r="AO505">
            <v>0.24208144796380091</v>
          </cell>
        </row>
        <row r="506">
          <cell r="A506" t="str">
            <v>Total Motorola Mobility Devices</v>
          </cell>
          <cell r="AM506">
            <v>1</v>
          </cell>
          <cell r="AN506">
            <v>1</v>
          </cell>
          <cell r="AO506">
            <v>1</v>
          </cell>
        </row>
        <row r="508">
          <cell r="A508" t="str">
            <v>Mobile Devices</v>
          </cell>
        </row>
        <row r="509">
          <cell r="A509" t="str">
            <v>Revenue by Geography</v>
          </cell>
        </row>
        <row r="510">
          <cell r="A510" t="str">
            <v>North America</v>
          </cell>
          <cell r="F510">
            <v>0</v>
          </cell>
          <cell r="G510">
            <v>1600.32</v>
          </cell>
          <cell r="H510">
            <v>1558</v>
          </cell>
          <cell r="I510">
            <v>1198.5</v>
          </cell>
          <cell r="J510">
            <v>1026.57</v>
          </cell>
          <cell r="K510">
            <v>1079.1099999999999</v>
          </cell>
          <cell r="L510">
            <v>1015.1999999999999</v>
          </cell>
          <cell r="M510">
            <v>1258.56</v>
          </cell>
          <cell r="N510">
            <v>1083.72</v>
          </cell>
          <cell r="O510">
            <v>1137.18</v>
          </cell>
          <cell r="P510">
            <v>1383.1200000000001</v>
          </cell>
          <cell r="Q510">
            <v>1524.6</v>
          </cell>
          <cell r="R510">
            <v>1191.68</v>
          </cell>
          <cell r="S510">
            <v>1044.9000000000001</v>
          </cell>
          <cell r="AO510">
            <v>4379.4399999999996</v>
          </cell>
          <cell r="AP510">
            <v>5128.6200000000008</v>
          </cell>
        </row>
        <row r="511">
          <cell r="A511" t="str">
            <v>EMEA</v>
          </cell>
          <cell r="F511">
            <v>0</v>
          </cell>
          <cell r="G511">
            <v>366.74</v>
          </cell>
          <cell r="H511">
            <v>249.28</v>
          </cell>
          <cell r="I511">
            <v>164.50000000000003</v>
          </cell>
          <cell r="J511">
            <v>90.050000000000011</v>
          </cell>
          <cell r="K511">
            <v>54.87</v>
          </cell>
          <cell r="L511">
            <v>33.840000000000003</v>
          </cell>
          <cell r="M511">
            <v>54.72</v>
          </cell>
          <cell r="N511">
            <v>65.680000000000007</v>
          </cell>
          <cell r="O511">
            <v>68.92</v>
          </cell>
          <cell r="P511">
            <v>81.36</v>
          </cell>
          <cell r="Q511">
            <v>145.19999999999999</v>
          </cell>
          <cell r="R511">
            <v>106.4</v>
          </cell>
          <cell r="S511">
            <v>218.7</v>
          </cell>
          <cell r="AO511">
            <v>233.48000000000002</v>
          </cell>
          <cell r="AP511">
            <v>361.16</v>
          </cell>
        </row>
        <row r="512">
          <cell r="A512" t="str">
            <v>Latin America</v>
          </cell>
          <cell r="F512">
            <v>0</v>
          </cell>
          <cell r="G512">
            <v>900.18000000000006</v>
          </cell>
          <cell r="H512">
            <v>716.68000000000006</v>
          </cell>
          <cell r="I512">
            <v>611</v>
          </cell>
          <cell r="J512">
            <v>378.21</v>
          </cell>
          <cell r="K512">
            <v>402.38</v>
          </cell>
          <cell r="L512">
            <v>406.08</v>
          </cell>
          <cell r="M512">
            <v>291.84000000000003</v>
          </cell>
          <cell r="N512">
            <v>246.29999999999998</v>
          </cell>
          <cell r="O512">
            <v>292.91000000000003</v>
          </cell>
          <cell r="P512">
            <v>305.09999999999997</v>
          </cell>
          <cell r="Q512">
            <v>411.40000000000003</v>
          </cell>
          <cell r="R512">
            <v>425.6</v>
          </cell>
          <cell r="S512">
            <v>583.19999999999993</v>
          </cell>
          <cell r="AO512">
            <v>1478.5099999999998</v>
          </cell>
          <cell r="AP512">
            <v>1255.71</v>
          </cell>
        </row>
        <row r="513">
          <cell r="A513" t="str">
            <v>Greater China</v>
          </cell>
          <cell r="N513">
            <v>164.20000000000002</v>
          </cell>
          <cell r="O513">
            <v>0</v>
          </cell>
          <cell r="P513">
            <v>0</v>
          </cell>
          <cell r="Q513">
            <v>242</v>
          </cell>
          <cell r="R513">
            <v>319.2</v>
          </cell>
          <cell r="S513">
            <v>340.20000000000005</v>
          </cell>
        </row>
        <row r="514">
          <cell r="A514" t="str">
            <v>Asia</v>
          </cell>
          <cell r="F514">
            <v>0</v>
          </cell>
          <cell r="G514">
            <v>466.76000000000005</v>
          </cell>
          <cell r="H514">
            <v>592.04</v>
          </cell>
          <cell r="I514">
            <v>376</v>
          </cell>
          <cell r="J514">
            <v>306.17</v>
          </cell>
          <cell r="K514">
            <v>292.64</v>
          </cell>
          <cell r="L514">
            <v>236.88000000000002</v>
          </cell>
          <cell r="M514">
            <v>218.88</v>
          </cell>
          <cell r="N514">
            <v>82.100000000000009</v>
          </cell>
          <cell r="O514">
            <v>223.99</v>
          </cell>
          <cell r="P514">
            <v>264.42</v>
          </cell>
          <cell r="Q514">
            <v>96.8</v>
          </cell>
          <cell r="R514">
            <v>85.12</v>
          </cell>
          <cell r="S514">
            <v>243</v>
          </cell>
          <cell r="AO514">
            <v>1054.57</v>
          </cell>
          <cell r="AP514">
            <v>667.31</v>
          </cell>
        </row>
        <row r="515">
          <cell r="A515" t="str">
            <v>Total Mobile Devices</v>
          </cell>
          <cell r="F515">
            <v>0</v>
          </cell>
          <cell r="G515">
            <v>3334</v>
          </cell>
          <cell r="H515">
            <v>3116</v>
          </cell>
          <cell r="I515">
            <v>2350</v>
          </cell>
          <cell r="J515">
            <v>1801</v>
          </cell>
          <cell r="K515">
            <v>1828.9999999999995</v>
          </cell>
          <cell r="L515">
            <v>1692</v>
          </cell>
          <cell r="M515">
            <v>1824</v>
          </cell>
          <cell r="N515">
            <v>1642</v>
          </cell>
          <cell r="O515">
            <v>1723.0000000000002</v>
          </cell>
          <cell r="P515">
            <v>2034</v>
          </cell>
          <cell r="Q515">
            <v>2420</v>
          </cell>
          <cell r="R515">
            <v>2128.0000000000005</v>
          </cell>
          <cell r="S515">
            <v>2430</v>
          </cell>
          <cell r="AO515">
            <v>7146</v>
          </cell>
          <cell r="AP515">
            <v>7819</v>
          </cell>
        </row>
        <row r="517">
          <cell r="A517" t="str">
            <v>Quarter/Quarter Growth</v>
          </cell>
        </row>
        <row r="518">
          <cell r="A518" t="str">
            <v>North America</v>
          </cell>
          <cell r="H518">
            <v>-2.644471105778845E-2</v>
          </cell>
          <cell r="I518">
            <v>-0.23074454428754809</v>
          </cell>
          <cell r="J518">
            <v>-0.14345431789737173</v>
          </cell>
          <cell r="K518">
            <v>5.1180143584947935E-2</v>
          </cell>
          <cell r="L518">
            <v>-5.9224731491692162E-2</v>
          </cell>
          <cell r="M518">
            <v>0.2397163120567376</v>
          </cell>
          <cell r="N518">
            <v>-0.13892067124332563</v>
          </cell>
          <cell r="O518">
            <v>4.9330085261875878E-2</v>
          </cell>
          <cell r="P518">
            <v>0.21627183031710029</v>
          </cell>
          <cell r="Q518">
            <v>0.10229047371160838</v>
          </cell>
          <cell r="R518">
            <v>-0.21836547291092734</v>
          </cell>
          <cell r="S518">
            <v>-0.12317064983888293</v>
          </cell>
        </row>
        <row r="519">
          <cell r="A519" t="str">
            <v>EMEA</v>
          </cell>
          <cell r="H519">
            <v>-0.32028139826580138</v>
          </cell>
          <cell r="I519">
            <v>-0.34009948652118094</v>
          </cell>
          <cell r="J519">
            <v>-0.45258358662613984</v>
          </cell>
          <cell r="K519">
            <v>-0.39067184897279295</v>
          </cell>
          <cell r="L519">
            <v>-0.38326954620010922</v>
          </cell>
          <cell r="M519">
            <v>0.61702127659574457</v>
          </cell>
          <cell r="N519">
            <v>0.20029239766081885</v>
          </cell>
          <cell r="O519">
            <v>4.9330085261875656E-2</v>
          </cell>
          <cell r="P519">
            <v>0.18049912942542079</v>
          </cell>
          <cell r="Q519">
            <v>0.78466076696165188</v>
          </cell>
          <cell r="R519">
            <v>-0.26721763085399441</v>
          </cell>
          <cell r="S519">
            <v>1.0554511278195489</v>
          </cell>
        </row>
        <row r="520">
          <cell r="A520" t="str">
            <v>Latin America</v>
          </cell>
          <cell r="H520">
            <v>-0.20384811926503588</v>
          </cell>
          <cell r="I520">
            <v>-0.14745772171680538</v>
          </cell>
          <cell r="J520">
            <v>-0.38099836333878889</v>
          </cell>
          <cell r="K520">
            <v>6.3906295444329908E-2</v>
          </cell>
          <cell r="L520">
            <v>9.1952880361847456E-3</v>
          </cell>
          <cell r="M520">
            <v>-0.28132387706855777</v>
          </cell>
          <cell r="N520">
            <v>-0.15604440789473695</v>
          </cell>
          <cell r="O520">
            <v>0.18924076329679274</v>
          </cell>
          <cell r="P520">
            <v>4.1616878904782828E-2</v>
          </cell>
          <cell r="Q520">
            <v>0.34841035725991509</v>
          </cell>
          <cell r="R520">
            <v>3.4516285853184225E-2</v>
          </cell>
          <cell r="S520">
            <v>0.37030075187969902</v>
          </cell>
        </row>
        <row r="521">
          <cell r="A521" t="str">
            <v>Greater China</v>
          </cell>
          <cell r="R521">
            <v>0.31900826446280983</v>
          </cell>
          <cell r="S521">
            <v>6.578947368421062E-2</v>
          </cell>
        </row>
        <row r="522">
          <cell r="A522" t="str">
            <v>Asia</v>
          </cell>
          <cell r="H522">
            <v>0.26840346216470978</v>
          </cell>
          <cell r="I522">
            <v>-0.36490777650158768</v>
          </cell>
          <cell r="J522">
            <v>-0.18571808510638299</v>
          </cell>
          <cell r="K522">
            <v>-4.4191135643596779E-2</v>
          </cell>
          <cell r="L522">
            <v>-0.19054127938764343</v>
          </cell>
          <cell r="M522">
            <v>-7.5987841945288848E-2</v>
          </cell>
          <cell r="N522">
            <v>-0.62490862573099415</v>
          </cell>
          <cell r="O522">
            <v>1.7282582216808766</v>
          </cell>
          <cell r="P522">
            <v>0.18049912942542079</v>
          </cell>
          <cell r="Q522">
            <v>-0.63391574011043039</v>
          </cell>
          <cell r="R522">
            <v>-0.1206611570247933</v>
          </cell>
          <cell r="S522">
            <v>1.8547932330827068</v>
          </cell>
        </row>
        <row r="523">
          <cell r="A523" t="str">
            <v>Total Mobile Devices</v>
          </cell>
          <cell r="H523">
            <v>-6.538692261547685E-2</v>
          </cell>
          <cell r="I523">
            <v>-0.24582798459563548</v>
          </cell>
          <cell r="J523">
            <v>-0.23361702127659578</v>
          </cell>
          <cell r="K523">
            <v>1.5546918378678276E-2</v>
          </cell>
          <cell r="L523">
            <v>-7.4904319300163835E-2</v>
          </cell>
          <cell r="M523">
            <v>7.8014184397163122E-2</v>
          </cell>
          <cell r="N523">
            <v>-9.9780701754385914E-2</v>
          </cell>
          <cell r="O523">
            <v>4.9330085261875878E-2</v>
          </cell>
          <cell r="P523">
            <v>0.18049912942542057</v>
          </cell>
          <cell r="Q523">
            <v>0.18977384464110125</v>
          </cell>
          <cell r="R523">
            <v>-0.12066115702479319</v>
          </cell>
          <cell r="S523">
            <v>0.14191729323308255</v>
          </cell>
        </row>
        <row r="525">
          <cell r="A525" t="str">
            <v>Year/Year Growth</v>
          </cell>
        </row>
        <row r="526">
          <cell r="A526" t="str">
            <v>North America</v>
          </cell>
          <cell r="K526">
            <v>-0.32569111177764454</v>
          </cell>
          <cell r="L526">
            <v>-0.34839537869062909</v>
          </cell>
          <cell r="M526">
            <v>5.0112640801001307E-2</v>
          </cell>
          <cell r="N526">
            <v>5.5670826149215369E-2</v>
          </cell>
          <cell r="O526">
            <v>5.3812864304843888E-2</v>
          </cell>
          <cell r="P526">
            <v>0.36241134751773063</v>
          </cell>
          <cell r="Q526">
            <v>0.21138443935926765</v>
          </cell>
          <cell r="R526">
            <v>9.9619827999852362E-2</v>
          </cell>
          <cell r="S526">
            <v>-8.1148103202659194E-2</v>
          </cell>
          <cell r="AP526">
            <v>0.17106753374860739</v>
          </cell>
        </row>
        <row r="527">
          <cell r="A527" t="str">
            <v>EMEA</v>
          </cell>
          <cell r="K527">
            <v>-0.85038446856083327</v>
          </cell>
          <cell r="L527">
            <v>-0.86424903722721436</v>
          </cell>
          <cell r="M527">
            <v>-0.66735562310030394</v>
          </cell>
          <cell r="N527">
            <v>-0.27062742920599669</v>
          </cell>
          <cell r="O527">
            <v>0.25605977765627852</v>
          </cell>
          <cell r="P527">
            <v>1.4042553191489358</v>
          </cell>
          <cell r="Q527">
            <v>1.6535087719298245</v>
          </cell>
          <cell r="R527">
            <v>0.61997563946406808</v>
          </cell>
          <cell r="S527">
            <v>2.1732443412652347</v>
          </cell>
          <cell r="AP527">
            <v>0.54685626177831081</v>
          </cell>
        </row>
        <row r="528">
          <cell r="A528" t="str">
            <v>Latin America</v>
          </cell>
          <cell r="K528">
            <v>-0.55300051100890935</v>
          </cell>
          <cell r="L528">
            <v>-0.43338728581793839</v>
          </cell>
          <cell r="M528">
            <v>-0.52235679214402619</v>
          </cell>
          <cell r="N528">
            <v>-0.34877449036249708</v>
          </cell>
          <cell r="O528">
            <v>-0.27205626522192949</v>
          </cell>
          <cell r="P528">
            <v>-0.24867021276595747</v>
          </cell>
          <cell r="Q528">
            <v>0.40967653508771917</v>
          </cell>
          <cell r="R528">
            <v>0.72797401542833962</v>
          </cell>
          <cell r="S528">
            <v>0.99105527295073537</v>
          </cell>
          <cell r="AP528">
            <v>-0.15069225098240779</v>
          </cell>
        </row>
        <row r="529">
          <cell r="A529" t="str">
            <v>Greater China</v>
          </cell>
          <cell r="R529">
            <v>0.94397076735688157</v>
          </cell>
        </row>
        <row r="530">
          <cell r="A530" t="str">
            <v>Asia</v>
          </cell>
          <cell r="K530">
            <v>-0.37303967777873004</v>
          </cell>
          <cell r="L530">
            <v>-0.59989189919600028</v>
          </cell>
          <cell r="M530">
            <v>-0.4178723404255319</v>
          </cell>
          <cell r="N530">
            <v>-0.73184831956102814</v>
          </cell>
          <cell r="O530">
            <v>-0.23458857299070524</v>
          </cell>
          <cell r="P530">
            <v>0.11626139817629166</v>
          </cell>
          <cell r="Q530">
            <v>-0.55774853801169599</v>
          </cell>
          <cell r="R530">
            <v>3.6784409257003547E-2</v>
          </cell>
          <cell r="S530">
            <v>8.486986026161869E-2</v>
          </cell>
          <cell r="AP530">
            <v>-0.36722076296499995</v>
          </cell>
        </row>
        <row r="531">
          <cell r="A531" t="str">
            <v>Total Mobile Devices</v>
          </cell>
          <cell r="K531">
            <v>-0.45140971805638885</v>
          </cell>
          <cell r="L531">
            <v>-0.45699614890885754</v>
          </cell>
          <cell r="M531">
            <v>-0.22382978723404257</v>
          </cell>
          <cell r="N531">
            <v>-8.8284286507495868E-2</v>
          </cell>
          <cell r="O531">
            <v>-5.7955166757790777E-2</v>
          </cell>
          <cell r="P531">
            <v>0.2021276595744681</v>
          </cell>
          <cell r="Q531">
            <v>0.32675438596491224</v>
          </cell>
          <cell r="R531">
            <v>0.29598051157125482</v>
          </cell>
          <cell r="S531">
            <v>0.41033081834010421</v>
          </cell>
          <cell r="AP531">
            <v>9.4178561432969543E-2</v>
          </cell>
        </row>
        <row r="533">
          <cell r="A533" t="str">
            <v>Revenue Contribution</v>
          </cell>
        </row>
        <row r="534">
          <cell r="A534" t="str">
            <v>North America</v>
          </cell>
          <cell r="G534">
            <v>0.48</v>
          </cell>
          <cell r="H534">
            <v>0.5</v>
          </cell>
          <cell r="I534">
            <v>0.51</v>
          </cell>
          <cell r="J534">
            <v>0.56999999999999995</v>
          </cell>
          <cell r="K534">
            <v>0.59</v>
          </cell>
          <cell r="L534">
            <v>0.6</v>
          </cell>
          <cell r="M534">
            <v>0.69</v>
          </cell>
          <cell r="N534">
            <v>0.66</v>
          </cell>
          <cell r="O534">
            <v>0.66</v>
          </cell>
          <cell r="P534">
            <v>0.68</v>
          </cell>
          <cell r="Q534">
            <v>0.63</v>
          </cell>
          <cell r="R534">
            <v>0.56000000000000005</v>
          </cell>
          <cell r="S534">
            <v>0.43</v>
          </cell>
          <cell r="AO534">
            <v>0.61285194514413655</v>
          </cell>
          <cell r="AP534">
            <v>0.65591763652641011</v>
          </cell>
        </row>
        <row r="535">
          <cell r="A535" t="str">
            <v>EMEA</v>
          </cell>
          <cell r="G535">
            <v>0.11</v>
          </cell>
          <cell r="H535">
            <v>0.08</v>
          </cell>
          <cell r="I535">
            <v>7.0000000000000007E-2</v>
          </cell>
          <cell r="J535">
            <v>0.05</v>
          </cell>
          <cell r="K535">
            <v>0.03</v>
          </cell>
          <cell r="L535">
            <v>0.02</v>
          </cell>
          <cell r="M535">
            <v>0.03</v>
          </cell>
          <cell r="N535">
            <v>0.04</v>
          </cell>
          <cell r="O535">
            <v>0.04</v>
          </cell>
          <cell r="P535">
            <v>0.04</v>
          </cell>
          <cell r="Q535">
            <v>0.06</v>
          </cell>
          <cell r="R535">
            <v>0.05</v>
          </cell>
          <cell r="S535">
            <v>0.09</v>
          </cell>
          <cell r="AO535">
            <v>3.267282395745872E-2</v>
          </cell>
          <cell r="AP535">
            <v>4.6190049878501088E-2</v>
          </cell>
        </row>
        <row r="536">
          <cell r="A536" t="str">
            <v>Latin America</v>
          </cell>
          <cell r="G536">
            <v>0.27</v>
          </cell>
          <cell r="H536">
            <v>0.23</v>
          </cell>
          <cell r="I536">
            <v>0.26</v>
          </cell>
          <cell r="J536">
            <v>0.21</v>
          </cell>
          <cell r="K536">
            <v>0.22</v>
          </cell>
          <cell r="L536">
            <v>0.24</v>
          </cell>
          <cell r="M536">
            <v>0.16</v>
          </cell>
          <cell r="N536">
            <v>0.15</v>
          </cell>
          <cell r="O536">
            <v>0.17</v>
          </cell>
          <cell r="P536">
            <v>0.15</v>
          </cell>
          <cell r="Q536">
            <v>0.17</v>
          </cell>
          <cell r="R536">
            <v>0.2</v>
          </cell>
          <cell r="S536">
            <v>0.24</v>
          </cell>
          <cell r="AO536">
            <v>0.2069003638399104</v>
          </cell>
          <cell r="AP536">
            <v>0.16059726307711983</v>
          </cell>
        </row>
        <row r="537">
          <cell r="A537" t="str">
            <v>Greater China</v>
          </cell>
          <cell r="N537">
            <v>0.1</v>
          </cell>
          <cell r="Q537">
            <v>0.1</v>
          </cell>
          <cell r="R537">
            <v>0.15</v>
          </cell>
          <cell r="S537">
            <v>0.14000000000000001</v>
          </cell>
        </row>
        <row r="538">
          <cell r="A538" t="str">
            <v>Rest of Asia</v>
          </cell>
          <cell r="G538">
            <v>0.14000000000000001</v>
          </cell>
          <cell r="H538">
            <v>0.19</v>
          </cell>
          <cell r="I538">
            <v>0.16</v>
          </cell>
          <cell r="J538">
            <v>0.17</v>
          </cell>
          <cell r="K538">
            <v>0.16</v>
          </cell>
          <cell r="L538">
            <v>0.14000000000000001</v>
          </cell>
          <cell r="M538">
            <v>0.12</v>
          </cell>
          <cell r="N538">
            <v>0.05</v>
          </cell>
          <cell r="O538">
            <v>0.13</v>
          </cell>
          <cell r="P538">
            <v>0.13</v>
          </cell>
          <cell r="Q538">
            <v>0.04</v>
          </cell>
          <cell r="R538">
            <v>0.04</v>
          </cell>
          <cell r="S538">
            <v>0.1</v>
          </cell>
          <cell r="AO538">
            <v>0.14757486705849426</v>
          </cell>
          <cell r="AP538">
            <v>8.5344673231871074E-2</v>
          </cell>
        </row>
        <row r="539">
          <cell r="A539" t="str">
            <v>Total Mobile Devices</v>
          </cell>
          <cell r="J539">
            <v>1</v>
          </cell>
          <cell r="K539">
            <v>1</v>
          </cell>
          <cell r="L539">
            <v>1</v>
          </cell>
          <cell r="M539">
            <v>1</v>
          </cell>
          <cell r="N539">
            <v>1</v>
          </cell>
          <cell r="O539">
            <v>1</v>
          </cell>
          <cell r="P539">
            <v>1</v>
          </cell>
          <cell r="Q539">
            <v>1</v>
          </cell>
          <cell r="R539">
            <v>1</v>
          </cell>
          <cell r="S539">
            <v>1</v>
          </cell>
          <cell r="AO539">
            <v>1</v>
          </cell>
          <cell r="AP539">
            <v>1</v>
          </cell>
        </row>
        <row r="541">
          <cell r="A541" t="str">
            <v>Home</v>
          </cell>
        </row>
        <row r="542">
          <cell r="A542" t="str">
            <v>Revenue by Geography</v>
          </cell>
        </row>
        <row r="543">
          <cell r="A543" t="str">
            <v>North America</v>
          </cell>
          <cell r="F543">
            <v>0</v>
          </cell>
          <cell r="G543">
            <v>1114.5600000000002</v>
          </cell>
          <cell r="H543">
            <v>899.0200000000001</v>
          </cell>
          <cell r="I543">
            <v>988.80000000000007</v>
          </cell>
          <cell r="J543">
            <v>789.25</v>
          </cell>
          <cell r="K543">
            <v>780.01</v>
          </cell>
          <cell r="L543">
            <v>693.6</v>
          </cell>
          <cell r="M543">
            <v>769.23</v>
          </cell>
          <cell r="N543">
            <v>594.98</v>
          </cell>
          <cell r="O543">
            <v>629.05999999999995</v>
          </cell>
          <cell r="P543">
            <v>693.12</v>
          </cell>
          <cell r="Q543">
            <v>804</v>
          </cell>
          <cell r="R543">
            <v>696.08</v>
          </cell>
          <cell r="S543">
            <v>662.11</v>
          </cell>
          <cell r="AN543">
            <v>3978.7200000000003</v>
          </cell>
          <cell r="AO543">
            <v>3045.12</v>
          </cell>
          <cell r="AP543">
            <v>2721.16</v>
          </cell>
        </row>
        <row r="544">
          <cell r="A544" t="str">
            <v>EMEA</v>
          </cell>
          <cell r="F544">
            <v>0</v>
          </cell>
          <cell r="G544">
            <v>96.320000000000007</v>
          </cell>
          <cell r="H544">
            <v>79.660000000000011</v>
          </cell>
          <cell r="I544">
            <v>74.16</v>
          </cell>
          <cell r="J544">
            <v>102.5</v>
          </cell>
          <cell r="K544">
            <v>121.56</v>
          </cell>
          <cell r="L544">
            <v>86.7</v>
          </cell>
          <cell r="M544">
            <v>119.88</v>
          </cell>
          <cell r="N544">
            <v>117.32000000000001</v>
          </cell>
          <cell r="O544">
            <v>106.32</v>
          </cell>
          <cell r="P544">
            <v>63.84</v>
          </cell>
          <cell r="Q544">
            <v>80.400000000000006</v>
          </cell>
          <cell r="R544">
            <v>72.320000000000007</v>
          </cell>
          <cell r="S544">
            <v>81.63</v>
          </cell>
          <cell r="AN544">
            <v>442.08</v>
          </cell>
          <cell r="AO544">
            <v>234.23999999999998</v>
          </cell>
          <cell r="AP544">
            <v>367.88</v>
          </cell>
        </row>
        <row r="545">
          <cell r="A545" t="str">
            <v>Latin America</v>
          </cell>
          <cell r="F545">
            <v>0</v>
          </cell>
          <cell r="G545">
            <v>137.6</v>
          </cell>
          <cell r="H545">
            <v>113.80000000000001</v>
          </cell>
          <cell r="I545">
            <v>98.88</v>
          </cell>
          <cell r="J545">
            <v>61.5</v>
          </cell>
          <cell r="K545">
            <v>60.78</v>
          </cell>
          <cell r="L545">
            <v>52.019999999999996</v>
          </cell>
          <cell r="M545">
            <v>59.94</v>
          </cell>
          <cell r="N545">
            <v>92.18</v>
          </cell>
          <cell r="O545">
            <v>106.32</v>
          </cell>
          <cell r="P545">
            <v>109.44</v>
          </cell>
          <cell r="Q545">
            <v>80.400000000000006</v>
          </cell>
          <cell r="R545">
            <v>99.44</v>
          </cell>
          <cell r="S545">
            <v>117.91000000000001</v>
          </cell>
          <cell r="AN545">
            <v>343.84000000000003</v>
          </cell>
          <cell r="AO545">
            <v>429.44</v>
          </cell>
          <cell r="AP545">
            <v>388.34000000000003</v>
          </cell>
        </row>
        <row r="546">
          <cell r="A546" t="str">
            <v>Asia</v>
          </cell>
          <cell r="F546">
            <v>0</v>
          </cell>
          <cell r="G546">
            <v>27.52</v>
          </cell>
          <cell r="H546">
            <v>45.52</v>
          </cell>
          <cell r="I546">
            <v>74.16</v>
          </cell>
          <cell r="J546">
            <v>71.75</v>
          </cell>
          <cell r="K546">
            <v>50.650000000000006</v>
          </cell>
          <cell r="L546">
            <v>34.68</v>
          </cell>
          <cell r="M546">
            <v>49.95</v>
          </cell>
          <cell r="N546">
            <v>33.520000000000003</v>
          </cell>
          <cell r="O546">
            <v>44.300000000000004</v>
          </cell>
          <cell r="P546">
            <v>45.6</v>
          </cell>
          <cell r="Q546">
            <v>40.200000000000003</v>
          </cell>
          <cell r="R546">
            <v>36.160000000000004</v>
          </cell>
          <cell r="S546">
            <v>45.35</v>
          </cell>
          <cell r="AN546">
            <v>147.35999999999959</v>
          </cell>
          <cell r="AO546">
            <v>195.20000000000016</v>
          </cell>
          <cell r="AP546">
            <v>163.62</v>
          </cell>
        </row>
        <row r="547">
          <cell r="A547" t="str">
            <v xml:space="preserve">Total </v>
          </cell>
          <cell r="F547">
            <v>0</v>
          </cell>
          <cell r="G547">
            <v>1376</v>
          </cell>
          <cell r="H547">
            <v>1138</v>
          </cell>
          <cell r="I547">
            <v>1236</v>
          </cell>
          <cell r="J547">
            <v>1025</v>
          </cell>
          <cell r="K547">
            <v>1013</v>
          </cell>
          <cell r="L547">
            <v>867</v>
          </cell>
          <cell r="M547">
            <v>999</v>
          </cell>
          <cell r="N547">
            <v>838</v>
          </cell>
          <cell r="O547">
            <v>886</v>
          </cell>
          <cell r="P547">
            <v>912</v>
          </cell>
          <cell r="Q547">
            <v>1005</v>
          </cell>
          <cell r="R547">
            <v>904</v>
          </cell>
          <cell r="S547">
            <v>907</v>
          </cell>
          <cell r="AN547">
            <v>4911.9999999999991</v>
          </cell>
          <cell r="AO547">
            <v>3904</v>
          </cell>
          <cell r="AP547">
            <v>3641</v>
          </cell>
        </row>
        <row r="549">
          <cell r="A549" t="str">
            <v>Quarter/Quarter Growth</v>
          </cell>
        </row>
        <row r="550">
          <cell r="A550" t="str">
            <v>North America</v>
          </cell>
          <cell r="H550">
            <v>-0.19338573069193232</v>
          </cell>
          <cell r="I550">
            <v>9.9864296678605635E-2</v>
          </cell>
          <cell r="J550">
            <v>-0.20181027508090621</v>
          </cell>
          <cell r="K550">
            <v>-1.1707317073170742E-2</v>
          </cell>
          <cell r="L550">
            <v>-0.11078063101755098</v>
          </cell>
          <cell r="M550">
            <v>0.10903979238754324</v>
          </cell>
          <cell r="N550">
            <v>-0.22652522652522655</v>
          </cell>
          <cell r="O550">
            <v>5.7279236276849499E-2</v>
          </cell>
          <cell r="P550">
            <v>0.10183448319715138</v>
          </cell>
          <cell r="Q550">
            <v>0.15997229916897515</v>
          </cell>
          <cell r="R550">
            <v>-0.13422885572139298</v>
          </cell>
          <cell r="S550">
            <v>-4.8801861854959272E-2</v>
          </cell>
        </row>
        <row r="551">
          <cell r="A551" t="str">
            <v>EMEA</v>
          </cell>
          <cell r="H551">
            <v>-0.17296511627906974</v>
          </cell>
          <cell r="I551">
            <v>-6.9043434597037545E-2</v>
          </cell>
          <cell r="J551">
            <v>0.3821467098166127</v>
          </cell>
          <cell r="K551">
            <v>0.18595121951219507</v>
          </cell>
          <cell r="L551">
            <v>-0.28677196446199404</v>
          </cell>
          <cell r="M551">
            <v>0.38269896193771613</v>
          </cell>
          <cell r="N551">
            <v>-2.135468802135454E-2</v>
          </cell>
          <cell r="O551">
            <v>-9.3760654619843287E-2</v>
          </cell>
          <cell r="P551">
            <v>-0.39954853273137692</v>
          </cell>
          <cell r="Q551">
            <v>0.25939849624060152</v>
          </cell>
          <cell r="R551">
            <v>-0.10049751243781091</v>
          </cell>
          <cell r="S551">
            <v>0.12873340707964576</v>
          </cell>
        </row>
        <row r="552">
          <cell r="A552" t="str">
            <v>Latin America</v>
          </cell>
          <cell r="H552">
            <v>-0.17296511627906963</v>
          </cell>
          <cell r="I552">
            <v>-0.13110720562390166</v>
          </cell>
          <cell r="J552">
            <v>-0.37803398058252424</v>
          </cell>
          <cell r="K552">
            <v>-1.1707317073170742E-2</v>
          </cell>
          <cell r="L552">
            <v>-0.14412635735439294</v>
          </cell>
          <cell r="M552">
            <v>0.152249134948097</v>
          </cell>
          <cell r="N552">
            <v>0.53787120453787129</v>
          </cell>
          <cell r="O552">
            <v>0.15339553048383592</v>
          </cell>
          <cell r="P552">
            <v>2.9345372460496622E-2</v>
          </cell>
          <cell r="Q552">
            <v>-0.26535087719298234</v>
          </cell>
          <cell r="R552">
            <v>0.2368159203980098</v>
          </cell>
          <cell r="S552">
            <v>0.18574014481094148</v>
          </cell>
        </row>
        <row r="553">
          <cell r="A553" t="str">
            <v>Asia</v>
          </cell>
          <cell r="H553">
            <v>0.65406976744186052</v>
          </cell>
          <cell r="I553">
            <v>0.62917398945518443</v>
          </cell>
          <cell r="J553">
            <v>-3.2497303128371069E-2</v>
          </cell>
          <cell r="K553">
            <v>-0.29407665505226477</v>
          </cell>
          <cell r="L553">
            <v>-0.31530108588351435</v>
          </cell>
          <cell r="M553">
            <v>0.44031141868512114</v>
          </cell>
          <cell r="N553">
            <v>-0.32892892892892889</v>
          </cell>
          <cell r="O553">
            <v>0.32159904534606198</v>
          </cell>
          <cell r="P553">
            <v>2.9345372460496622E-2</v>
          </cell>
          <cell r="Q553">
            <v>-0.11842105263157887</v>
          </cell>
          <cell r="R553">
            <v>-0.10049751243781091</v>
          </cell>
          <cell r="S553">
            <v>0.25414823008849541</v>
          </cell>
        </row>
        <row r="554">
          <cell r="A554" t="str">
            <v xml:space="preserve">Total </v>
          </cell>
          <cell r="H554">
            <v>-0.17296511627906974</v>
          </cell>
          <cell r="I554">
            <v>8.6115992970122957E-2</v>
          </cell>
          <cell r="J554">
            <v>-0.17071197411003236</v>
          </cell>
          <cell r="K554">
            <v>-1.1707317073170742E-2</v>
          </cell>
          <cell r="L554">
            <v>-0.14412635735439294</v>
          </cell>
          <cell r="M554">
            <v>0.15224913494809678</v>
          </cell>
          <cell r="N554">
            <v>-0.16116116116116119</v>
          </cell>
          <cell r="O554">
            <v>5.7279236276849721E-2</v>
          </cell>
          <cell r="P554">
            <v>2.9345372460496622E-2</v>
          </cell>
          <cell r="Q554">
            <v>0.10197368421052633</v>
          </cell>
          <cell r="R554">
            <v>-0.10049751243781091</v>
          </cell>
          <cell r="S554">
            <v>3.3185840707965486E-3</v>
          </cell>
        </row>
        <row r="556">
          <cell r="A556" t="str">
            <v>Year/Year Growth</v>
          </cell>
        </row>
        <row r="557">
          <cell r="A557" t="str">
            <v>North America</v>
          </cell>
          <cell r="K557">
            <v>-0.30016329313809942</v>
          </cell>
          <cell r="L557">
            <v>-0.22849324820359951</v>
          </cell>
          <cell r="M557">
            <v>-0.22205703883495154</v>
          </cell>
          <cell r="N557">
            <v>-0.24614507443775735</v>
          </cell>
          <cell r="O557">
            <v>-0.19352315995948777</v>
          </cell>
          <cell r="P557">
            <v>-6.9204152249136008E-4</v>
          </cell>
          <cell r="Q557">
            <v>4.5201045201045176E-2</v>
          </cell>
          <cell r="R557">
            <v>0.16992167803959801</v>
          </cell>
          <cell r="S557">
            <v>5.2538708549264124E-2</v>
          </cell>
          <cell r="AO557">
            <v>-0.23464832911086986</v>
          </cell>
          <cell r="AP557">
            <v>-0.10638661202185795</v>
          </cell>
        </row>
        <row r="558">
          <cell r="A558" t="str">
            <v>EMEA</v>
          </cell>
          <cell r="K558">
            <v>0.26204318936877069</v>
          </cell>
          <cell r="L558">
            <v>8.837559628420788E-2</v>
          </cell>
          <cell r="M558">
            <v>0.61650485436893199</v>
          </cell>
          <cell r="N558">
            <v>0.14458536585365867</v>
          </cell>
          <cell r="O558">
            <v>-0.12537018756169804</v>
          </cell>
          <cell r="P558">
            <v>-0.26366782006920408</v>
          </cell>
          <cell r="Q558">
            <v>-0.32932932932932923</v>
          </cell>
          <cell r="R558">
            <v>-0.38356631435390387</v>
          </cell>
          <cell r="S558">
            <v>-0.23222347629796836</v>
          </cell>
          <cell r="AO558">
            <v>-0.47014115092290987</v>
          </cell>
          <cell r="AP558">
            <v>0.57052595628415315</v>
          </cell>
        </row>
        <row r="559">
          <cell r="A559" t="str">
            <v>Latin America</v>
          </cell>
          <cell r="K559">
            <v>-0.55828488372093021</v>
          </cell>
          <cell r="L559">
            <v>-0.54288224956063269</v>
          </cell>
          <cell r="M559">
            <v>-0.3938106796116505</v>
          </cell>
          <cell r="N559">
            <v>0.49886178861788633</v>
          </cell>
          <cell r="O559">
            <v>0.74925962487660391</v>
          </cell>
          <cell r="P559">
            <v>1.1038062283737027</v>
          </cell>
          <cell r="Q559">
            <v>0.34134134134134153</v>
          </cell>
          <cell r="R559">
            <v>7.8758949880668228E-2</v>
          </cell>
          <cell r="S559">
            <v>0.10901053423626794</v>
          </cell>
          <cell r="AO559">
            <v>0.24895300139599796</v>
          </cell>
          <cell r="AP559">
            <v>-9.5706035767511133E-2</v>
          </cell>
        </row>
        <row r="560">
          <cell r="A560" t="str">
            <v>Asia</v>
          </cell>
          <cell r="K560">
            <v>0.840479651162791</v>
          </cell>
          <cell r="L560">
            <v>-0.23813708260105459</v>
          </cell>
          <cell r="M560">
            <v>-0.32645631067961156</v>
          </cell>
          <cell r="N560">
            <v>-0.53282229965156791</v>
          </cell>
          <cell r="O560">
            <v>-0.12537018756169793</v>
          </cell>
          <cell r="P560">
            <v>0.31487889273356418</v>
          </cell>
          <cell r="Q560">
            <v>-0.19519519519519524</v>
          </cell>
          <cell r="R560">
            <v>7.8758949880668228E-2</v>
          </cell>
          <cell r="S560">
            <v>2.3702031602708784E-2</v>
          </cell>
          <cell r="AO560">
            <v>0.32464712269273011</v>
          </cell>
          <cell r="AP560">
            <v>-0.16178278688524661</v>
          </cell>
        </row>
        <row r="561">
          <cell r="A561" t="str">
            <v xml:space="preserve">Total </v>
          </cell>
          <cell r="K561">
            <v>-0.26380813953488369</v>
          </cell>
          <cell r="L561">
            <v>-0.23813708260105448</v>
          </cell>
          <cell r="M561">
            <v>-0.19174757281553401</v>
          </cell>
          <cell r="N561">
            <v>-0.18243902439024395</v>
          </cell>
          <cell r="O561">
            <v>-0.12537018756169793</v>
          </cell>
          <cell r="P561">
            <v>5.1903114186851118E-2</v>
          </cell>
          <cell r="Q561">
            <v>6.0060060060060927E-3</v>
          </cell>
          <cell r="R561">
            <v>7.8758949880668228E-2</v>
          </cell>
          <cell r="S561">
            <v>2.3702031602708784E-2</v>
          </cell>
          <cell r="AO561">
            <v>-0.20521172638436469</v>
          </cell>
          <cell r="AP561">
            <v>-6.7366803278688492E-2</v>
          </cell>
        </row>
        <row r="563">
          <cell r="A563" t="str">
            <v>Revenue Contribution</v>
          </cell>
        </row>
        <row r="564">
          <cell r="A564" t="str">
            <v>North America</v>
          </cell>
          <cell r="G564">
            <v>0.81</v>
          </cell>
          <cell r="H564">
            <v>0.79</v>
          </cell>
          <cell r="I564">
            <v>0.8</v>
          </cell>
          <cell r="J564">
            <v>0.77</v>
          </cell>
          <cell r="K564">
            <v>0.77</v>
          </cell>
          <cell r="L564">
            <v>0.8</v>
          </cell>
          <cell r="M564">
            <v>0.77</v>
          </cell>
          <cell r="N564">
            <v>0.71</v>
          </cell>
          <cell r="O564">
            <v>0.71</v>
          </cell>
          <cell r="P564">
            <v>0.76</v>
          </cell>
          <cell r="Q564">
            <v>0.8</v>
          </cell>
          <cell r="R564">
            <v>0.77</v>
          </cell>
          <cell r="S564">
            <v>0.73</v>
          </cell>
          <cell r="AN564">
            <v>0.81</v>
          </cell>
          <cell r="AO564">
            <v>0.78</v>
          </cell>
          <cell r="AP564">
            <v>0.74736610821202965</v>
          </cell>
        </row>
        <row r="565">
          <cell r="A565" t="str">
            <v>EMEA</v>
          </cell>
          <cell r="G565">
            <v>7.0000000000000007E-2</v>
          </cell>
          <cell r="H565">
            <v>7.0000000000000007E-2</v>
          </cell>
          <cell r="I565">
            <v>0.06</v>
          </cell>
          <cell r="J565">
            <v>0.1</v>
          </cell>
          <cell r="K565">
            <v>0.12</v>
          </cell>
          <cell r="L565">
            <v>0.1</v>
          </cell>
          <cell r="M565">
            <v>0.12</v>
          </cell>
          <cell r="N565">
            <v>0.14000000000000001</v>
          </cell>
          <cell r="O565">
            <v>0.12</v>
          </cell>
          <cell r="P565">
            <v>7.0000000000000007E-2</v>
          </cell>
          <cell r="Q565">
            <v>0.08</v>
          </cell>
          <cell r="R565">
            <v>0.08</v>
          </cell>
          <cell r="S565">
            <v>0.09</v>
          </cell>
          <cell r="AN565">
            <v>0.09</v>
          </cell>
          <cell r="AO565">
            <v>0.06</v>
          </cell>
          <cell r="AP565">
            <v>0.10103817632518539</v>
          </cell>
        </row>
        <row r="566">
          <cell r="A566" t="str">
            <v>Latin America</v>
          </cell>
          <cell r="G566">
            <v>0.1</v>
          </cell>
          <cell r="H566">
            <v>0.1</v>
          </cell>
          <cell r="I566">
            <v>0.08</v>
          </cell>
          <cell r="J566">
            <v>0.06</v>
          </cell>
          <cell r="K566">
            <v>0.06</v>
          </cell>
          <cell r="L566">
            <v>0.06</v>
          </cell>
          <cell r="M566">
            <v>0.06</v>
          </cell>
          <cell r="N566">
            <v>0.11</v>
          </cell>
          <cell r="O566">
            <v>0.12</v>
          </cell>
          <cell r="P566">
            <v>0.12</v>
          </cell>
          <cell r="Q566">
            <v>0.08</v>
          </cell>
          <cell r="R566">
            <v>0.11</v>
          </cell>
          <cell r="S566">
            <v>0.13</v>
          </cell>
          <cell r="AN566">
            <v>7.0000000000000007E-2</v>
          </cell>
          <cell r="AO566">
            <v>0.11</v>
          </cell>
          <cell r="AP566">
            <v>0.10665751167261742</v>
          </cell>
        </row>
        <row r="567">
          <cell r="A567" t="str">
            <v>China</v>
          </cell>
          <cell r="R567">
            <v>0.02</v>
          </cell>
          <cell r="S567">
            <v>0.02</v>
          </cell>
        </row>
        <row r="568">
          <cell r="A568" t="str">
            <v>Rest of Asia</v>
          </cell>
          <cell r="R568">
            <v>0.02</v>
          </cell>
          <cell r="S568">
            <v>0.03</v>
          </cell>
        </row>
        <row r="569">
          <cell r="A569" t="str">
            <v>Asia</v>
          </cell>
          <cell r="G569">
            <v>0.02</v>
          </cell>
          <cell r="H569">
            <v>0.04</v>
          </cell>
          <cell r="I569">
            <v>0.06</v>
          </cell>
          <cell r="J569">
            <v>7.0000000000000007E-2</v>
          </cell>
          <cell r="K569">
            <v>0.05</v>
          </cell>
          <cell r="L569">
            <v>0.04</v>
          </cell>
          <cell r="M569">
            <v>0.05</v>
          </cell>
          <cell r="N569">
            <v>0.04</v>
          </cell>
          <cell r="O569">
            <v>0.05</v>
          </cell>
          <cell r="P569">
            <v>0.05</v>
          </cell>
          <cell r="Q569">
            <v>0.04</v>
          </cell>
          <cell r="R569">
            <v>0.04</v>
          </cell>
          <cell r="S569">
            <v>0.05</v>
          </cell>
          <cell r="AN569">
            <v>2.9999999999999916E-2</v>
          </cell>
          <cell r="AO569">
            <v>5.0000000000000044E-2</v>
          </cell>
          <cell r="AP569">
            <v>4.4938203790167539E-2</v>
          </cell>
        </row>
        <row r="570">
          <cell r="A570" t="str">
            <v xml:space="preserve">Total </v>
          </cell>
          <cell r="G570">
            <v>1</v>
          </cell>
          <cell r="H570">
            <v>1</v>
          </cell>
          <cell r="I570">
            <v>1</v>
          </cell>
          <cell r="J570">
            <v>1</v>
          </cell>
          <cell r="K570">
            <v>1</v>
          </cell>
          <cell r="L570">
            <v>1</v>
          </cell>
          <cell r="M570">
            <v>1</v>
          </cell>
          <cell r="N570">
            <v>1</v>
          </cell>
          <cell r="O570">
            <v>1</v>
          </cell>
          <cell r="P570">
            <v>1</v>
          </cell>
          <cell r="Q570">
            <v>1</v>
          </cell>
          <cell r="R570">
            <v>1</v>
          </cell>
          <cell r="S570">
            <v>1</v>
          </cell>
          <cell r="AN570">
            <v>0.99999999999999989</v>
          </cell>
          <cell r="AO570">
            <v>1</v>
          </cell>
          <cell r="AP570">
            <v>1</v>
          </cell>
        </row>
        <row r="578">
          <cell r="A578" t="str">
            <v>Motorola Mobility Balance Sheet</v>
          </cell>
          <cell r="I578">
            <v>39802</v>
          </cell>
          <cell r="M578">
            <v>40162</v>
          </cell>
          <cell r="N578">
            <v>40252</v>
          </cell>
          <cell r="O578">
            <v>40342</v>
          </cell>
          <cell r="P578">
            <v>40432</v>
          </cell>
          <cell r="Q578">
            <v>40522</v>
          </cell>
          <cell r="R578">
            <v>40612</v>
          </cell>
          <cell r="S578">
            <v>40702</v>
          </cell>
          <cell r="T578">
            <v>40792</v>
          </cell>
          <cell r="U578">
            <v>40882</v>
          </cell>
          <cell r="V578">
            <v>40972</v>
          </cell>
          <cell r="W578">
            <v>41062</v>
          </cell>
          <cell r="X578">
            <v>41153</v>
          </cell>
          <cell r="Y578">
            <v>41244</v>
          </cell>
          <cell r="Z578">
            <v>41337</v>
          </cell>
          <cell r="AA578">
            <v>41427</v>
          </cell>
          <cell r="AB578">
            <v>41518</v>
          </cell>
          <cell r="AC578">
            <v>41609</v>
          </cell>
          <cell r="AD578">
            <v>41702</v>
          </cell>
          <cell r="AE578">
            <v>41792</v>
          </cell>
          <cell r="AF578">
            <v>41883</v>
          </cell>
          <cell r="AG578">
            <v>41974</v>
          </cell>
          <cell r="AH578">
            <v>42067</v>
          </cell>
          <cell r="AI578">
            <v>42157</v>
          </cell>
          <cell r="AJ578">
            <v>42248</v>
          </cell>
          <cell r="AK578">
            <v>42339</v>
          </cell>
          <cell r="AM578" t="str">
            <v>2007A</v>
          </cell>
          <cell r="AN578" t="str">
            <v>2008A</v>
          </cell>
          <cell r="AO578" t="str">
            <v>2009A</v>
          </cell>
          <cell r="AP578" t="str">
            <v>2010A</v>
          </cell>
          <cell r="AQ578" t="str">
            <v>2011E</v>
          </cell>
          <cell r="AR578" t="str">
            <v>2012E</v>
          </cell>
          <cell r="AS578" t="str">
            <v>2013E</v>
          </cell>
          <cell r="AT578" t="str">
            <v>2014E</v>
          </cell>
          <cell r="AU578" t="str">
            <v>2015E</v>
          </cell>
        </row>
        <row r="579">
          <cell r="I579" t="str">
            <v>Q4-08A</v>
          </cell>
          <cell r="M579" t="str">
            <v>Q4-09A</v>
          </cell>
          <cell r="N579" t="str">
            <v>Q1-10A</v>
          </cell>
          <cell r="O579" t="str">
            <v>Q2-10A</v>
          </cell>
          <cell r="P579" t="str">
            <v>Q3-10A</v>
          </cell>
          <cell r="Q579" t="str">
            <v>Q4-10A</v>
          </cell>
          <cell r="R579" t="str">
            <v>Q1-11</v>
          </cell>
          <cell r="S579" t="str">
            <v>Q2-11</v>
          </cell>
          <cell r="T579" t="str">
            <v>Q3-11</v>
          </cell>
          <cell r="U579" t="str">
            <v>Q4-11</v>
          </cell>
          <cell r="V579" t="str">
            <v>Q1-12</v>
          </cell>
          <cell r="W579" t="str">
            <v>Q2-12</v>
          </cell>
          <cell r="X579" t="str">
            <v>Q3-12</v>
          </cell>
          <cell r="Y579" t="str">
            <v>Q4-12E</v>
          </cell>
          <cell r="Z579" t="str">
            <v>Q1-13E</v>
          </cell>
          <cell r="AA579" t="str">
            <v>Q2-13E</v>
          </cell>
          <cell r="AB579" t="str">
            <v>Q3-13E</v>
          </cell>
          <cell r="AC579" t="str">
            <v>Q4-13E</v>
          </cell>
          <cell r="AD579" t="str">
            <v>Q1-14E</v>
          </cell>
          <cell r="AE579" t="str">
            <v>Q2-14E</v>
          </cell>
          <cell r="AF579" t="str">
            <v>Q3-14E</v>
          </cell>
          <cell r="AG579" t="str">
            <v>Q4-14E</v>
          </cell>
          <cell r="AH579" t="str">
            <v>Q1-15E</v>
          </cell>
          <cell r="AI579" t="str">
            <v>Q2-15E</v>
          </cell>
          <cell r="AJ579" t="str">
            <v>Q3-15E</v>
          </cell>
          <cell r="AK579" t="str">
            <v>Q4-15E</v>
          </cell>
        </row>
        <row r="580">
          <cell r="A580" t="str">
            <v>Assets</v>
          </cell>
        </row>
        <row r="581">
          <cell r="A581" t="str">
            <v xml:space="preserve">    Cash &amp; Cash Equivalents</v>
          </cell>
          <cell r="I581">
            <v>0</v>
          </cell>
          <cell r="M581">
            <v>0</v>
          </cell>
          <cell r="N581">
            <v>0</v>
          </cell>
          <cell r="O581">
            <v>0</v>
          </cell>
          <cell r="P581">
            <v>0</v>
          </cell>
          <cell r="Q581">
            <v>0</v>
          </cell>
          <cell r="R581">
            <v>3116</v>
          </cell>
          <cell r="S581">
            <v>3026</v>
          </cell>
          <cell r="T581">
            <v>3078</v>
          </cell>
          <cell r="U581">
            <v>3451</v>
          </cell>
          <cell r="V581">
            <v>3065</v>
          </cell>
          <cell r="W581">
            <v>3011.5110169113541</v>
          </cell>
          <cell r="X581">
            <v>2989.6624387586071</v>
          </cell>
          <cell r="Y581">
            <v>2981.3528986317942</v>
          </cell>
          <cell r="Z581">
            <v>2986.8828513647559</v>
          </cell>
          <cell r="AA581">
            <v>2997.759442927947</v>
          </cell>
          <cell r="AB581">
            <v>3027.4532092422332</v>
          </cell>
          <cell r="AC581">
            <v>3091.4670008265753</v>
          </cell>
          <cell r="AD581">
            <v>2996.551460905815</v>
          </cell>
          <cell r="AE581">
            <v>3006.4258155971702</v>
          </cell>
          <cell r="AF581">
            <v>3019.5576270168167</v>
          </cell>
          <cell r="AG581">
            <v>3045.1028849812778</v>
          </cell>
          <cell r="AH581">
            <v>3021.5052203100754</v>
          </cell>
          <cell r="AI581">
            <v>3048.9417657150766</v>
          </cell>
          <cell r="AJ581">
            <v>3076.8333917830005</v>
          </cell>
          <cell r="AK581">
            <v>3115.8526526900869</v>
          </cell>
          <cell r="AM581">
            <v>0</v>
          </cell>
          <cell r="AN581">
            <v>0</v>
          </cell>
          <cell r="AO581">
            <v>0</v>
          </cell>
          <cell r="AP581">
            <v>0</v>
          </cell>
          <cell r="AQ581">
            <v>3451</v>
          </cell>
          <cell r="AR581">
            <v>2981.3528986317942</v>
          </cell>
          <cell r="AS581">
            <v>3091.4670008265753</v>
          </cell>
          <cell r="AT581">
            <v>3045.1028849812774</v>
          </cell>
          <cell r="AU581">
            <v>3115.8526526900864</v>
          </cell>
        </row>
        <row r="582">
          <cell r="A582" t="str">
            <v xml:space="preserve">    Short-term Investments</v>
          </cell>
          <cell r="I582">
            <v>29</v>
          </cell>
          <cell r="M582">
            <v>0</v>
          </cell>
          <cell r="N582">
            <v>0</v>
          </cell>
          <cell r="O582">
            <v>0</v>
          </cell>
          <cell r="P582">
            <v>0</v>
          </cell>
          <cell r="Q582">
            <v>0</v>
          </cell>
          <cell r="AN582">
            <v>29</v>
          </cell>
          <cell r="AO582">
            <v>0</v>
          </cell>
          <cell r="AP582">
            <v>0</v>
          </cell>
          <cell r="AQ582">
            <v>0</v>
          </cell>
          <cell r="AR582">
            <v>0</v>
          </cell>
          <cell r="AS582">
            <v>0</v>
          </cell>
          <cell r="AT582">
            <v>0</v>
          </cell>
          <cell r="AU582">
            <v>0</v>
          </cell>
        </row>
        <row r="583">
          <cell r="A583" t="str">
            <v xml:space="preserve">    Accounts Receivable</v>
          </cell>
          <cell r="I583">
            <v>1269</v>
          </cell>
          <cell r="M583">
            <v>1341</v>
          </cell>
          <cell r="N583">
            <v>1185</v>
          </cell>
          <cell r="O583">
            <v>1281</v>
          </cell>
          <cell r="P583">
            <v>1568</v>
          </cell>
          <cell r="Q583">
            <v>1571</v>
          </cell>
          <cell r="R583">
            <v>1551</v>
          </cell>
          <cell r="S583">
            <v>1843</v>
          </cell>
          <cell r="T583">
            <v>1774</v>
          </cell>
          <cell r="U583">
            <v>1780</v>
          </cell>
          <cell r="V583">
            <v>1711</v>
          </cell>
          <cell r="W583">
            <v>1567.1986598698661</v>
          </cell>
          <cell r="X583">
            <v>1431.3921377517868</v>
          </cell>
          <cell r="Y583">
            <v>1330.7840905259218</v>
          </cell>
          <cell r="Z583">
            <v>1388.6534150769724</v>
          </cell>
          <cell r="AA583">
            <v>1465.5146357984781</v>
          </cell>
          <cell r="AB583">
            <v>1553.9438283398144</v>
          </cell>
          <cell r="AC583">
            <v>1649.1110042433027</v>
          </cell>
          <cell r="AD583">
            <v>1221.4004300825645</v>
          </cell>
          <cell r="AE583">
            <v>1234.5173937518332</v>
          </cell>
          <cell r="AF583">
            <v>1240.9992597949281</v>
          </cell>
          <cell r="AG583">
            <v>1241.6086612648173</v>
          </cell>
          <cell r="AH583">
            <v>1086.3834875527675</v>
          </cell>
          <cell r="AI583">
            <v>1157.3177608833003</v>
          </cell>
          <cell r="AJ583">
            <v>1229.7004406363919</v>
          </cell>
          <cell r="AK583">
            <v>1303.5309332691188</v>
          </cell>
          <cell r="AN583">
            <v>1269</v>
          </cell>
          <cell r="AO583">
            <v>1341</v>
          </cell>
          <cell r="AP583">
            <v>1571</v>
          </cell>
          <cell r="AQ583">
            <v>1780</v>
          </cell>
          <cell r="AR583">
            <v>1330.7840905259218</v>
          </cell>
          <cell r="AS583">
            <v>1649.1110042433027</v>
          </cell>
          <cell r="AT583">
            <v>1241.6086612648173</v>
          </cell>
          <cell r="AU583">
            <v>1303.5309332691188</v>
          </cell>
        </row>
        <row r="584">
          <cell r="A584" t="str">
            <v xml:space="preserve">    Inventories</v>
          </cell>
          <cell r="I584">
            <v>1846</v>
          </cell>
          <cell r="M584">
            <v>688</v>
          </cell>
          <cell r="N584">
            <v>584</v>
          </cell>
          <cell r="O584">
            <v>629</v>
          </cell>
          <cell r="P584">
            <v>854</v>
          </cell>
          <cell r="Q584">
            <v>843</v>
          </cell>
          <cell r="R584">
            <v>859</v>
          </cell>
          <cell r="S584">
            <v>744</v>
          </cell>
          <cell r="T584">
            <v>746</v>
          </cell>
          <cell r="U584">
            <v>701</v>
          </cell>
          <cell r="V584">
            <v>569</v>
          </cell>
          <cell r="W584">
            <v>500.29543619760227</v>
          </cell>
          <cell r="X584">
            <v>459.47099315073302</v>
          </cell>
          <cell r="Y584">
            <v>416.33230564993107</v>
          </cell>
          <cell r="Z584">
            <v>439.88766236342906</v>
          </cell>
          <cell r="AA584">
            <v>458.41544326027378</v>
          </cell>
          <cell r="AB584">
            <v>484.84916092535826</v>
          </cell>
          <cell r="AC584">
            <v>508.35573217578371</v>
          </cell>
          <cell r="AD584">
            <v>386.46598984677593</v>
          </cell>
          <cell r="AE584">
            <v>386.99757215330135</v>
          </cell>
          <cell r="AF584">
            <v>388.88370312274452</v>
          </cell>
          <cell r="AG584">
            <v>385.54585634478889</v>
          </cell>
          <cell r="AH584">
            <v>344.43481860084989</v>
          </cell>
          <cell r="AI584">
            <v>363.21287292485243</v>
          </cell>
          <cell r="AJ584">
            <v>385.2085435193639</v>
          </cell>
          <cell r="AK584">
            <v>403.90772600279581</v>
          </cell>
          <cell r="AN584">
            <v>1846</v>
          </cell>
          <cell r="AO584">
            <v>688</v>
          </cell>
          <cell r="AP584">
            <v>843</v>
          </cell>
          <cell r="AQ584">
            <v>701</v>
          </cell>
          <cell r="AR584">
            <v>416.33230564993107</v>
          </cell>
          <cell r="AS584">
            <v>508.35573217578371</v>
          </cell>
          <cell r="AT584">
            <v>385.54585634478889</v>
          </cell>
          <cell r="AU584">
            <v>403.90772600279581</v>
          </cell>
        </row>
        <row r="585">
          <cell r="A585" t="str">
            <v xml:space="preserve">    Deferred Income Taxes</v>
          </cell>
          <cell r="I585">
            <v>125</v>
          </cell>
          <cell r="M585">
            <v>114</v>
          </cell>
          <cell r="N585">
            <v>114</v>
          </cell>
          <cell r="O585">
            <v>119</v>
          </cell>
          <cell r="P585">
            <v>111</v>
          </cell>
          <cell r="Q585">
            <v>110</v>
          </cell>
          <cell r="R585">
            <v>114</v>
          </cell>
          <cell r="S585">
            <v>80</v>
          </cell>
          <cell r="T585">
            <v>147</v>
          </cell>
          <cell r="U585">
            <v>95</v>
          </cell>
          <cell r="V585">
            <v>92</v>
          </cell>
          <cell r="W585">
            <v>84.267841442447491</v>
          </cell>
          <cell r="X585">
            <v>76.965562053281346</v>
          </cell>
          <cell r="Y585">
            <v>71.555894990289175</v>
          </cell>
          <cell r="Z585">
            <v>74.667512675091444</v>
          </cell>
          <cell r="AA585">
            <v>78.80031940003505</v>
          </cell>
          <cell r="AB585">
            <v>83.555132792088202</v>
          </cell>
          <cell r="AC585">
            <v>88.672245698646293</v>
          </cell>
          <cell r="AD585">
            <v>65.674365615193409</v>
          </cell>
          <cell r="AE585">
            <v>66.379661148549772</v>
          </cell>
          <cell r="AF585">
            <v>66.728189305162701</v>
          </cell>
          <cell r="AG585">
            <v>66.760956654800225</v>
          </cell>
          <cell r="AH585">
            <v>58.414541703597074</v>
          </cell>
          <cell r="AI585">
            <v>62.228658095419995</v>
          </cell>
          <cell r="AJ585">
            <v>66.120654902716566</v>
          </cell>
          <cell r="AK585">
            <v>70.090500210846827</v>
          </cell>
          <cell r="AN585">
            <v>125</v>
          </cell>
          <cell r="AO585">
            <v>114</v>
          </cell>
          <cell r="AP585">
            <v>110</v>
          </cell>
          <cell r="AQ585">
            <v>95</v>
          </cell>
          <cell r="AR585">
            <v>71.555894990289175</v>
          </cell>
          <cell r="AS585">
            <v>88.672245698646293</v>
          </cell>
          <cell r="AT585">
            <v>66.760956654800225</v>
          </cell>
          <cell r="AU585">
            <v>70.090500210846827</v>
          </cell>
        </row>
        <row r="586">
          <cell r="A586" t="str">
            <v xml:space="preserve">    Other Current Assets </v>
          </cell>
          <cell r="I586">
            <v>673</v>
          </cell>
          <cell r="M586">
            <v>685</v>
          </cell>
          <cell r="N586">
            <v>612</v>
          </cell>
          <cell r="O586">
            <v>599</v>
          </cell>
          <cell r="P586">
            <v>692</v>
          </cell>
          <cell r="Q586">
            <v>595</v>
          </cell>
          <cell r="R586">
            <v>561</v>
          </cell>
          <cell r="S586">
            <v>620</v>
          </cell>
          <cell r="T586">
            <v>605</v>
          </cell>
          <cell r="U586">
            <v>585</v>
          </cell>
          <cell r="V586">
            <v>862</v>
          </cell>
          <cell r="W586">
            <v>789.55303612380146</v>
          </cell>
          <cell r="X586">
            <v>721.13385315139692</v>
          </cell>
          <cell r="Y586">
            <v>670.44762480031818</v>
          </cell>
          <cell r="Z586">
            <v>699.60212962966114</v>
          </cell>
          <cell r="AA586">
            <v>738.32473176989367</v>
          </cell>
          <cell r="AB586">
            <v>782.8752659432613</v>
          </cell>
          <cell r="AC586">
            <v>830.82038904601211</v>
          </cell>
          <cell r="AD586">
            <v>615.34025174235558</v>
          </cell>
          <cell r="AE586">
            <v>621.94856423967281</v>
          </cell>
          <cell r="AF586">
            <v>625.21412153315498</v>
          </cell>
          <cell r="AG586">
            <v>625.52113735258467</v>
          </cell>
          <cell r="AH586">
            <v>547.31885813587701</v>
          </cell>
          <cell r="AI586">
            <v>583.05547041578302</v>
          </cell>
          <cell r="AJ586">
            <v>619.52178832762706</v>
          </cell>
          <cell r="AK586">
            <v>656.71751284510833</v>
          </cell>
          <cell r="AN586">
            <v>673</v>
          </cell>
          <cell r="AO586">
            <v>685</v>
          </cell>
          <cell r="AP586">
            <v>595</v>
          </cell>
          <cell r="AQ586">
            <v>585</v>
          </cell>
          <cell r="AR586">
            <v>670.44762480031818</v>
          </cell>
          <cell r="AS586">
            <v>830.82038904601211</v>
          </cell>
          <cell r="AT586">
            <v>625.52113735258467</v>
          </cell>
          <cell r="AU586">
            <v>656.71751284510833</v>
          </cell>
        </row>
        <row r="587">
          <cell r="A587" t="str">
            <v>Total Current Assets</v>
          </cell>
          <cell r="I587">
            <v>3942</v>
          </cell>
          <cell r="M587">
            <v>2828</v>
          </cell>
          <cell r="N587">
            <v>2495</v>
          </cell>
          <cell r="O587">
            <v>2628</v>
          </cell>
          <cell r="P587">
            <v>3225</v>
          </cell>
          <cell r="Q587">
            <v>3119</v>
          </cell>
          <cell r="R587">
            <v>6201</v>
          </cell>
          <cell r="S587">
            <v>6313</v>
          </cell>
          <cell r="T587">
            <v>6350</v>
          </cell>
          <cell r="U587">
            <v>6612</v>
          </cell>
          <cell r="V587">
            <v>6299</v>
          </cell>
          <cell r="W587">
            <v>5952.8259905450714</v>
          </cell>
          <cell r="X587">
            <v>5678.6249848658053</v>
          </cell>
          <cell r="Y587">
            <v>5470.4728145982544</v>
          </cell>
          <cell r="Z587">
            <v>5589.6935711099095</v>
          </cell>
          <cell r="AA587">
            <v>5738.8145731566265</v>
          </cell>
          <cell r="AB587">
            <v>5932.6765972427556</v>
          </cell>
          <cell r="AC587">
            <v>6168.4263719903192</v>
          </cell>
          <cell r="AD587">
            <v>5285.4324981927039</v>
          </cell>
          <cell r="AE587">
            <v>5316.2690068905267</v>
          </cell>
          <cell r="AF587">
            <v>5341.3829007728073</v>
          </cell>
          <cell r="AG587">
            <v>5364.5394965982687</v>
          </cell>
          <cell r="AH587">
            <v>5058.0569263031675</v>
          </cell>
          <cell r="AI587">
            <v>5214.7565280344315</v>
          </cell>
          <cell r="AJ587">
            <v>5377.3848191691004</v>
          </cell>
          <cell r="AK587">
            <v>5550.0993250179563</v>
          </cell>
          <cell r="AN587">
            <v>3942</v>
          </cell>
          <cell r="AO587">
            <v>2828</v>
          </cell>
          <cell r="AP587">
            <v>3119</v>
          </cell>
          <cell r="AQ587">
            <v>6612</v>
          </cell>
          <cell r="AR587">
            <v>5470.4728145982544</v>
          </cell>
          <cell r="AS587">
            <v>6168.4263719903192</v>
          </cell>
          <cell r="AT587">
            <v>5364.5394965982687</v>
          </cell>
          <cell r="AU587">
            <v>5550.0993250179563</v>
          </cell>
        </row>
        <row r="588">
          <cell r="A588" t="str">
            <v xml:space="preserve">    Net Property &amp; Equipment </v>
          </cell>
          <cell r="I588">
            <v>974</v>
          </cell>
          <cell r="M588">
            <v>807</v>
          </cell>
          <cell r="N588">
            <v>762</v>
          </cell>
          <cell r="O588">
            <v>743</v>
          </cell>
          <cell r="P588">
            <v>737</v>
          </cell>
          <cell r="Q588">
            <v>806</v>
          </cell>
          <cell r="R588">
            <v>810</v>
          </cell>
          <cell r="S588">
            <v>806</v>
          </cell>
          <cell r="T588">
            <v>803</v>
          </cell>
          <cell r="U588">
            <v>805</v>
          </cell>
          <cell r="V588">
            <v>801</v>
          </cell>
          <cell r="W588">
            <v>794.37662940886185</v>
          </cell>
          <cell r="X588">
            <v>785.43867007149697</v>
          </cell>
          <cell r="Y588">
            <v>774.9714760915432</v>
          </cell>
          <cell r="Z588">
            <v>766.10194745802403</v>
          </cell>
          <cell r="AA588">
            <v>759.12287989687161</v>
          </cell>
          <cell r="AB588">
            <v>754.17041413109723</v>
          </cell>
          <cell r="AC588">
            <v>751.28127192469901</v>
          </cell>
          <cell r="AD588">
            <v>740.27580465564699</v>
          </cell>
          <cell r="AE588">
            <v>730.02962861752496</v>
          </cell>
          <cell r="AF588">
            <v>720.37984182987975</v>
          </cell>
          <cell r="AG588">
            <v>711.18574547051674</v>
          </cell>
          <cell r="AH588">
            <v>699.42079931291755</v>
          </cell>
          <cell r="AI588">
            <v>689.56520461830496</v>
          </cell>
          <cell r="AJ588">
            <v>681.55905733954739</v>
          </cell>
          <cell r="AK588">
            <v>675.34519785813109</v>
          </cell>
          <cell r="AN588">
            <v>974</v>
          </cell>
          <cell r="AO588">
            <v>807</v>
          </cell>
          <cell r="AP588">
            <v>806</v>
          </cell>
          <cell r="AQ588">
            <v>805</v>
          </cell>
          <cell r="AR588">
            <v>774.9714760915432</v>
          </cell>
          <cell r="AS588">
            <v>751.28127192469901</v>
          </cell>
          <cell r="AT588">
            <v>711.18574547051674</v>
          </cell>
          <cell r="AU588">
            <v>675.34519785813109</v>
          </cell>
        </row>
        <row r="589">
          <cell r="A589" t="str">
            <v xml:space="preserve">     Restricted Cash</v>
          </cell>
          <cell r="R589">
            <v>168</v>
          </cell>
          <cell r="S589">
            <v>180</v>
          </cell>
          <cell r="T589">
            <v>160</v>
          </cell>
          <cell r="U589">
            <v>155</v>
          </cell>
          <cell r="V589">
            <v>162</v>
          </cell>
          <cell r="W589">
            <v>162</v>
          </cell>
          <cell r="X589">
            <v>162</v>
          </cell>
          <cell r="Y589">
            <v>162</v>
          </cell>
          <cell r="Z589">
            <v>162</v>
          </cell>
          <cell r="AA589">
            <v>162</v>
          </cell>
          <cell r="AB589">
            <v>162</v>
          </cell>
          <cell r="AC589">
            <v>162</v>
          </cell>
          <cell r="AD589">
            <v>162</v>
          </cell>
          <cell r="AE589">
            <v>162</v>
          </cell>
          <cell r="AF589">
            <v>162</v>
          </cell>
          <cell r="AG589">
            <v>162</v>
          </cell>
          <cell r="AH589">
            <v>162</v>
          </cell>
          <cell r="AI589">
            <v>162</v>
          </cell>
          <cell r="AJ589">
            <v>162</v>
          </cell>
          <cell r="AK589">
            <v>162</v>
          </cell>
          <cell r="AN589">
            <v>0</v>
          </cell>
          <cell r="AO589">
            <v>0</v>
          </cell>
          <cell r="AP589">
            <v>0</v>
          </cell>
          <cell r="AQ589">
            <v>155</v>
          </cell>
          <cell r="AR589">
            <v>162</v>
          </cell>
          <cell r="AS589">
            <v>162</v>
          </cell>
          <cell r="AT589">
            <v>162</v>
          </cell>
          <cell r="AU589">
            <v>162</v>
          </cell>
        </row>
        <row r="590">
          <cell r="A590" t="str">
            <v xml:space="preserve">    Long-term Investments</v>
          </cell>
          <cell r="I590">
            <v>67</v>
          </cell>
          <cell r="M590">
            <v>57</v>
          </cell>
          <cell r="N590">
            <v>61</v>
          </cell>
          <cell r="O590">
            <v>127</v>
          </cell>
          <cell r="P590">
            <v>123</v>
          </cell>
          <cell r="Q590">
            <v>161</v>
          </cell>
          <cell r="R590">
            <v>143</v>
          </cell>
          <cell r="S590">
            <v>122</v>
          </cell>
          <cell r="T590">
            <v>125</v>
          </cell>
          <cell r="U590">
            <v>119</v>
          </cell>
          <cell r="V590">
            <v>123</v>
          </cell>
          <cell r="W590">
            <v>123</v>
          </cell>
          <cell r="X590">
            <v>123</v>
          </cell>
          <cell r="Y590">
            <v>123</v>
          </cell>
          <cell r="Z590">
            <v>123</v>
          </cell>
          <cell r="AA590">
            <v>123</v>
          </cell>
          <cell r="AB590">
            <v>123</v>
          </cell>
          <cell r="AC590">
            <v>123</v>
          </cell>
          <cell r="AD590">
            <v>123</v>
          </cell>
          <cell r="AE590">
            <v>123</v>
          </cell>
          <cell r="AF590">
            <v>123</v>
          </cell>
          <cell r="AG590">
            <v>123</v>
          </cell>
          <cell r="AH590">
            <v>123</v>
          </cell>
          <cell r="AI590">
            <v>123</v>
          </cell>
          <cell r="AJ590">
            <v>123</v>
          </cell>
          <cell r="AK590">
            <v>123</v>
          </cell>
          <cell r="AN590">
            <v>67</v>
          </cell>
          <cell r="AO590">
            <v>57</v>
          </cell>
          <cell r="AP590">
            <v>161</v>
          </cell>
          <cell r="AQ590">
            <v>119</v>
          </cell>
          <cell r="AR590">
            <v>123</v>
          </cell>
          <cell r="AS590">
            <v>123</v>
          </cell>
          <cell r="AT590">
            <v>123</v>
          </cell>
          <cell r="AU590">
            <v>123</v>
          </cell>
        </row>
        <row r="591">
          <cell r="A591" t="str">
            <v xml:space="preserve">    Deferred Income Taxes</v>
          </cell>
          <cell r="I591">
            <v>43</v>
          </cell>
          <cell r="M591">
            <v>48</v>
          </cell>
          <cell r="N591">
            <v>48</v>
          </cell>
          <cell r="O591">
            <v>50</v>
          </cell>
          <cell r="P591">
            <v>49</v>
          </cell>
          <cell r="Q591">
            <v>49</v>
          </cell>
          <cell r="R591">
            <v>58</v>
          </cell>
          <cell r="S591">
            <v>98</v>
          </cell>
          <cell r="T591">
            <v>50</v>
          </cell>
          <cell r="U591">
            <v>93</v>
          </cell>
          <cell r="V591">
            <v>93</v>
          </cell>
          <cell r="W591">
            <v>85.183796240734964</v>
          </cell>
          <cell r="X591">
            <v>77.802144249512665</v>
          </cell>
          <cell r="Y591">
            <v>72.333676457574938</v>
          </cell>
          <cell r="Z591">
            <v>75.479116073733735</v>
          </cell>
          <cell r="AA591">
            <v>79.656844610904997</v>
          </cell>
          <cell r="AB591">
            <v>84.463340757219598</v>
          </cell>
          <cell r="AC591">
            <v>89.63607445624028</v>
          </cell>
          <cell r="AD591">
            <v>66.388217415358554</v>
          </cell>
          <cell r="AE591">
            <v>67.101179204512263</v>
          </cell>
          <cell r="AF591">
            <v>67.453495710653613</v>
          </cell>
          <cell r="AG591">
            <v>67.486619227135009</v>
          </cell>
          <cell r="AH591">
            <v>59.049482374288345</v>
          </cell>
          <cell r="AI591">
            <v>62.905056552978913</v>
          </cell>
          <cell r="AJ591">
            <v>66.839357673398268</v>
          </cell>
          <cell r="AK591">
            <v>70.852353474008211</v>
          </cell>
          <cell r="AN591">
            <v>43</v>
          </cell>
          <cell r="AO591">
            <v>48</v>
          </cell>
          <cell r="AP591">
            <v>49</v>
          </cell>
          <cell r="AQ591">
            <v>93</v>
          </cell>
          <cell r="AR591">
            <v>72.333676457574938</v>
          </cell>
          <cell r="AS591">
            <v>89.63607445624028</v>
          </cell>
          <cell r="AT591">
            <v>67.486619227135009</v>
          </cell>
          <cell r="AU591">
            <v>70.852353474008211</v>
          </cell>
        </row>
        <row r="592">
          <cell r="A592" t="str">
            <v xml:space="preserve">    Goodwill</v>
          </cell>
          <cell r="I592">
            <v>1288</v>
          </cell>
          <cell r="M592">
            <v>1285</v>
          </cell>
          <cell r="N592">
            <v>1292</v>
          </cell>
          <cell r="O592">
            <v>1292</v>
          </cell>
          <cell r="P592">
            <v>1323</v>
          </cell>
          <cell r="Q592">
            <v>1396</v>
          </cell>
          <cell r="R592">
            <v>1397</v>
          </cell>
          <cell r="S592">
            <v>1423</v>
          </cell>
          <cell r="T592">
            <v>1431</v>
          </cell>
          <cell r="U592">
            <v>1433</v>
          </cell>
          <cell r="V592">
            <v>1434</v>
          </cell>
          <cell r="W592">
            <v>1434</v>
          </cell>
          <cell r="X592">
            <v>1434</v>
          </cell>
          <cell r="Y592">
            <v>1434</v>
          </cell>
          <cell r="Z592">
            <v>1434</v>
          </cell>
          <cell r="AA592">
            <v>1434</v>
          </cell>
          <cell r="AB592">
            <v>1434</v>
          </cell>
          <cell r="AC592">
            <v>1434</v>
          </cell>
          <cell r="AD592">
            <v>1434</v>
          </cell>
          <cell r="AE592">
            <v>1434</v>
          </cell>
          <cell r="AF592">
            <v>1434</v>
          </cell>
          <cell r="AG592">
            <v>1434</v>
          </cell>
          <cell r="AH592">
            <v>1434</v>
          </cell>
          <cell r="AI592">
            <v>1434</v>
          </cell>
          <cell r="AJ592">
            <v>1434</v>
          </cell>
          <cell r="AK592">
            <v>1434</v>
          </cell>
          <cell r="AM592">
            <v>-64</v>
          </cell>
          <cell r="AN592">
            <v>1288</v>
          </cell>
          <cell r="AO592">
            <v>1285</v>
          </cell>
          <cell r="AP592">
            <v>1396</v>
          </cell>
          <cell r="AQ592">
            <v>1433</v>
          </cell>
          <cell r="AR592">
            <v>1434</v>
          </cell>
          <cell r="AS592">
            <v>1434</v>
          </cell>
          <cell r="AT592">
            <v>1434</v>
          </cell>
          <cell r="AU592">
            <v>1434</v>
          </cell>
        </row>
        <row r="593">
          <cell r="A593" t="str">
            <v xml:space="preserve">    Other Assets</v>
          </cell>
          <cell r="I593">
            <v>853</v>
          </cell>
          <cell r="M593">
            <v>833</v>
          </cell>
          <cell r="N593">
            <v>773</v>
          </cell>
          <cell r="O593">
            <v>783</v>
          </cell>
          <cell r="P593">
            <v>701</v>
          </cell>
          <cell r="Q593">
            <v>697</v>
          </cell>
          <cell r="R593">
            <v>652</v>
          </cell>
          <cell r="S593">
            <v>614</v>
          </cell>
          <cell r="T593">
            <v>558</v>
          </cell>
          <cell r="U593">
            <v>513</v>
          </cell>
          <cell r="V593">
            <v>480</v>
          </cell>
          <cell r="W593">
            <v>428.65830317798691</v>
          </cell>
          <cell r="X593">
            <v>390.55945419103313</v>
          </cell>
          <cell r="Y593">
            <v>362.33510429716097</v>
          </cell>
          <cell r="Z593">
            <v>378.56963134830318</v>
          </cell>
          <cell r="AA593">
            <v>400.13210121757419</v>
          </cell>
          <cell r="AB593">
            <v>424.93982326306889</v>
          </cell>
          <cell r="AC593">
            <v>451.63780364511115</v>
          </cell>
          <cell r="AD593">
            <v>331.64886407926991</v>
          </cell>
          <cell r="AE593">
            <v>335.32866686199878</v>
          </cell>
          <cell r="AF593">
            <v>337.1470746356315</v>
          </cell>
          <cell r="AG593">
            <v>337.31803472069686</v>
          </cell>
          <cell r="AH593">
            <v>293.77152193181081</v>
          </cell>
          <cell r="AI593">
            <v>313.67125962827828</v>
          </cell>
          <cell r="AJ593">
            <v>333.97732992721689</v>
          </cell>
          <cell r="AK593">
            <v>354.6895663174617</v>
          </cell>
          <cell r="AN593">
            <v>853</v>
          </cell>
          <cell r="AO593">
            <v>833</v>
          </cell>
          <cell r="AP593">
            <v>697</v>
          </cell>
          <cell r="AQ593">
            <v>513</v>
          </cell>
          <cell r="AR593">
            <v>362.33510429716097</v>
          </cell>
          <cell r="AS593">
            <v>451.63780364511115</v>
          </cell>
          <cell r="AT593">
            <v>337.31803472069686</v>
          </cell>
          <cell r="AU593">
            <v>354.6895663174617</v>
          </cell>
        </row>
        <row r="594">
          <cell r="A594" t="str">
            <v>Total Assets</v>
          </cell>
          <cell r="I594">
            <v>7167</v>
          </cell>
          <cell r="M594">
            <v>5858</v>
          </cell>
          <cell r="N594">
            <v>5431</v>
          </cell>
          <cell r="O594">
            <v>5623</v>
          </cell>
          <cell r="P594">
            <v>6158</v>
          </cell>
          <cell r="Q594">
            <v>6228</v>
          </cell>
          <cell r="R594">
            <v>9429</v>
          </cell>
          <cell r="S594">
            <v>9556</v>
          </cell>
          <cell r="T594">
            <v>9477</v>
          </cell>
          <cell r="U594">
            <v>9730</v>
          </cell>
          <cell r="V594">
            <v>9392</v>
          </cell>
          <cell r="W594">
            <v>8980.0447193726559</v>
          </cell>
          <cell r="X594">
            <v>8651.4252533778472</v>
          </cell>
          <cell r="Y594">
            <v>8399.1130714445335</v>
          </cell>
          <cell r="Z594">
            <v>8528.844265989972</v>
          </cell>
          <cell r="AA594">
            <v>8696.7263988819777</v>
          </cell>
          <cell r="AB594">
            <v>8915.2501753941415</v>
          </cell>
          <cell r="AC594">
            <v>9179.9815220163709</v>
          </cell>
          <cell r="AD594">
            <v>8142.7453843429794</v>
          </cell>
          <cell r="AE594">
            <v>8167.7284815745625</v>
          </cell>
          <cell r="AF594">
            <v>8185.3633129489717</v>
          </cell>
          <cell r="AG594">
            <v>8199.5298960166165</v>
          </cell>
          <cell r="AH594">
            <v>7829.2987299221841</v>
          </cell>
          <cell r="AI594">
            <v>7999.8980488339939</v>
          </cell>
          <cell r="AJ594">
            <v>8178.7605641092623</v>
          </cell>
          <cell r="AK594">
            <v>8369.9864426675558</v>
          </cell>
          <cell r="AN594">
            <v>7167</v>
          </cell>
          <cell r="AO594">
            <v>5858</v>
          </cell>
          <cell r="AP594">
            <v>6228</v>
          </cell>
          <cell r="AQ594">
            <v>9730</v>
          </cell>
          <cell r="AR594">
            <v>8399.1130714445335</v>
          </cell>
          <cell r="AS594">
            <v>9179.9815220163709</v>
          </cell>
          <cell r="AT594">
            <v>8199.5298960166165</v>
          </cell>
          <cell r="AU594">
            <v>8369.9864426675558</v>
          </cell>
        </row>
        <row r="595">
          <cell r="AO595">
            <v>0</v>
          </cell>
          <cell r="AP595">
            <v>0</v>
          </cell>
          <cell r="AQ595">
            <v>0</v>
          </cell>
          <cell r="AR595">
            <v>0</v>
          </cell>
          <cell r="AS595">
            <v>0</v>
          </cell>
          <cell r="AT595">
            <v>0</v>
          </cell>
          <cell r="AU595">
            <v>0</v>
          </cell>
        </row>
        <row r="596">
          <cell r="A596" t="str">
            <v>Liabilities</v>
          </cell>
          <cell r="AO596">
            <v>0</v>
          </cell>
          <cell r="AP596">
            <v>0</v>
          </cell>
          <cell r="AQ596">
            <v>0</v>
          </cell>
          <cell r="AR596">
            <v>0</v>
          </cell>
          <cell r="AS596">
            <v>0</v>
          </cell>
          <cell r="AT596">
            <v>0</v>
          </cell>
          <cell r="AU596">
            <v>0</v>
          </cell>
        </row>
        <row r="597">
          <cell r="A597" t="str">
            <v xml:space="preserve">    Accounts Payable</v>
          </cell>
          <cell r="I597">
            <v>2099</v>
          </cell>
          <cell r="M597">
            <v>1430</v>
          </cell>
          <cell r="N597">
            <v>1171</v>
          </cell>
          <cell r="O597">
            <v>1323</v>
          </cell>
          <cell r="P597">
            <v>1734</v>
          </cell>
          <cell r="Q597">
            <v>1731</v>
          </cell>
          <cell r="R597">
            <v>1580</v>
          </cell>
          <cell r="S597">
            <v>1728</v>
          </cell>
          <cell r="T597">
            <v>1708</v>
          </cell>
          <cell r="U597">
            <v>1666</v>
          </cell>
          <cell r="V597">
            <v>1530</v>
          </cell>
          <cell r="W597">
            <v>1345.2583785278232</v>
          </cell>
          <cell r="X597">
            <v>1235.4843928306177</v>
          </cell>
          <cell r="Y597">
            <v>1119.4875705525387</v>
          </cell>
          <cell r="Z597">
            <v>1182.8262274447211</v>
          </cell>
          <cell r="AA597">
            <v>1232.6460952341279</v>
          </cell>
          <cell r="AB597">
            <v>1303.724457321262</v>
          </cell>
          <cell r="AC597">
            <v>1366.9319336185397</v>
          </cell>
          <cell r="AD597">
            <v>1039.1791994122445</v>
          </cell>
          <cell r="AE597">
            <v>1040.6085859306697</v>
          </cell>
          <cell r="AF597">
            <v>1045.6802561999984</v>
          </cell>
          <cell r="AG597">
            <v>1036.7050267267609</v>
          </cell>
          <cell r="AH597">
            <v>926.16040854007076</v>
          </cell>
          <cell r="AI597">
            <v>976.65324354134304</v>
          </cell>
          <cell r="AJ597">
            <v>1035.7980168446868</v>
          </cell>
          <cell r="AK597">
            <v>1086.0787711498726</v>
          </cell>
          <cell r="AN597">
            <v>2099</v>
          </cell>
          <cell r="AO597">
            <v>1430</v>
          </cell>
          <cell r="AP597">
            <v>1731</v>
          </cell>
          <cell r="AQ597">
            <v>1666</v>
          </cell>
          <cell r="AR597">
            <v>1119.4875705525387</v>
          </cell>
          <cell r="AS597">
            <v>1366.9319336185397</v>
          </cell>
          <cell r="AT597">
            <v>1036.7050267267609</v>
          </cell>
          <cell r="AU597">
            <v>1086.0787711498726</v>
          </cell>
        </row>
        <row r="598">
          <cell r="A598" t="str">
            <v xml:space="preserve">    Accrued Liabilities</v>
          </cell>
          <cell r="I598">
            <v>2801</v>
          </cell>
          <cell r="M598">
            <v>1862</v>
          </cell>
          <cell r="N598">
            <v>1868</v>
          </cell>
          <cell r="O598">
            <v>1803</v>
          </cell>
          <cell r="P598">
            <v>2076</v>
          </cell>
          <cell r="Q598">
            <v>2115</v>
          </cell>
          <cell r="R598">
            <v>2250</v>
          </cell>
          <cell r="S598">
            <v>2276</v>
          </cell>
          <cell r="T598">
            <v>2234</v>
          </cell>
          <cell r="U598">
            <v>2408</v>
          </cell>
          <cell r="V598">
            <v>2224</v>
          </cell>
          <cell r="W598">
            <v>2037.0834713913393</v>
          </cell>
          <cell r="X598">
            <v>1860.5588044184535</v>
          </cell>
          <cell r="Y598">
            <v>1729.7859832435124</v>
          </cell>
          <cell r="Z598">
            <v>1805.0059585804713</v>
          </cell>
          <cell r="AA598">
            <v>1904.9120689747604</v>
          </cell>
          <cell r="AB598">
            <v>2019.8545144522193</v>
          </cell>
          <cell r="AC598">
            <v>2143.5551568890151</v>
          </cell>
          <cell r="AD598">
            <v>1587.6064035672839</v>
          </cell>
          <cell r="AE598">
            <v>1604.6561564605945</v>
          </cell>
          <cell r="AF598">
            <v>1613.0814458117593</v>
          </cell>
          <cell r="AG598">
            <v>1613.8735608725619</v>
          </cell>
          <cell r="AH598">
            <v>1412.1080516173902</v>
          </cell>
          <cell r="AI598">
            <v>1504.3101696110225</v>
          </cell>
          <cell r="AJ598">
            <v>1598.3949619961049</v>
          </cell>
          <cell r="AK598">
            <v>1694.3616572709059</v>
          </cell>
          <cell r="AN598">
            <v>2801</v>
          </cell>
          <cell r="AO598">
            <v>1862</v>
          </cell>
          <cell r="AP598">
            <v>2115</v>
          </cell>
          <cell r="AQ598">
            <v>2408</v>
          </cell>
          <cell r="AR598">
            <v>1729.7859832435124</v>
          </cell>
          <cell r="AS598">
            <v>2143.5551568890151</v>
          </cell>
          <cell r="AT598">
            <v>1613.8735608725619</v>
          </cell>
          <cell r="AU598">
            <v>1694.3616572709059</v>
          </cell>
        </row>
        <row r="599">
          <cell r="A599" t="str">
            <v>Total Current Liabilities</v>
          </cell>
          <cell r="I599">
            <v>4900</v>
          </cell>
          <cell r="M599">
            <v>3292</v>
          </cell>
          <cell r="N599">
            <v>3039</v>
          </cell>
          <cell r="O599">
            <v>3126</v>
          </cell>
          <cell r="P599">
            <v>3810</v>
          </cell>
          <cell r="Q599">
            <v>3846</v>
          </cell>
          <cell r="R599">
            <v>3830</v>
          </cell>
          <cell r="S599">
            <v>4004</v>
          </cell>
          <cell r="T599">
            <v>3942</v>
          </cell>
          <cell r="U599">
            <v>4074</v>
          </cell>
          <cell r="V599">
            <v>3754</v>
          </cell>
          <cell r="W599">
            <v>3382.3418499191625</v>
          </cell>
          <cell r="X599">
            <v>3096.0431972490715</v>
          </cell>
          <cell r="Y599">
            <v>2849.2735537960511</v>
          </cell>
          <cell r="Z599">
            <v>2987.8321860251926</v>
          </cell>
          <cell r="AA599">
            <v>3137.5581642088882</v>
          </cell>
          <cell r="AB599">
            <v>3323.5789717734815</v>
          </cell>
          <cell r="AC599">
            <v>3510.487090507555</v>
          </cell>
          <cell r="AD599">
            <v>2626.7856029795284</v>
          </cell>
          <cell r="AE599">
            <v>2645.264742391264</v>
          </cell>
          <cell r="AF599">
            <v>2658.7617020117577</v>
          </cell>
          <cell r="AG599">
            <v>2650.5785875993229</v>
          </cell>
          <cell r="AH599">
            <v>2338.268460157461</v>
          </cell>
          <cell r="AI599">
            <v>2480.9634131523653</v>
          </cell>
          <cell r="AJ599">
            <v>2634.1929788407915</v>
          </cell>
          <cell r="AK599">
            <v>2780.4404284207785</v>
          </cell>
          <cell r="AN599">
            <v>4900</v>
          </cell>
          <cell r="AO599">
            <v>3292</v>
          </cell>
          <cell r="AP599">
            <v>3846</v>
          </cell>
          <cell r="AQ599">
            <v>4074</v>
          </cell>
          <cell r="AR599">
            <v>2849.2735537960511</v>
          </cell>
          <cell r="AS599">
            <v>3510.487090507555</v>
          </cell>
          <cell r="AT599">
            <v>2650.5785875993229</v>
          </cell>
          <cell r="AU599">
            <v>2780.4404284207785</v>
          </cell>
        </row>
        <row r="600">
          <cell r="A600" t="str">
            <v xml:space="preserve">    Other LT Liabilities</v>
          </cell>
          <cell r="I600">
            <v>621</v>
          </cell>
          <cell r="M600">
            <v>627</v>
          </cell>
          <cell r="N600">
            <v>607</v>
          </cell>
          <cell r="O600">
            <v>495</v>
          </cell>
          <cell r="P600">
            <v>586</v>
          </cell>
          <cell r="Q600">
            <v>603</v>
          </cell>
          <cell r="R600">
            <v>670</v>
          </cell>
          <cell r="S600">
            <v>648</v>
          </cell>
          <cell r="T600">
            <v>587</v>
          </cell>
          <cell r="U600">
            <v>568</v>
          </cell>
          <cell r="V600">
            <v>547</v>
          </cell>
          <cell r="W600">
            <v>501.02727466324757</v>
          </cell>
          <cell r="X600">
            <v>457.61046133853148</v>
          </cell>
          <cell r="Y600">
            <v>425.44646260530635</v>
          </cell>
          <cell r="Z600">
            <v>443.94705905733719</v>
          </cell>
          <cell r="AA600">
            <v>468.51929034586061</v>
          </cell>
          <cell r="AB600">
            <v>496.78975692687226</v>
          </cell>
          <cell r="AC600">
            <v>527.21433040390787</v>
          </cell>
          <cell r="AD600">
            <v>390.4769346903347</v>
          </cell>
          <cell r="AE600">
            <v>394.67037661148612</v>
          </cell>
          <cell r="AF600">
            <v>396.74260380352177</v>
          </cell>
          <cell r="AG600">
            <v>396.93742706712743</v>
          </cell>
          <cell r="AH600">
            <v>347.31254686812611</v>
          </cell>
          <cell r="AI600">
            <v>369.98995628472545</v>
          </cell>
          <cell r="AJ600">
            <v>393.1304155628909</v>
          </cell>
          <cell r="AK600">
            <v>416.73373494927409</v>
          </cell>
          <cell r="AN600">
            <v>621</v>
          </cell>
          <cell r="AO600">
            <v>627</v>
          </cell>
          <cell r="AP600">
            <v>603</v>
          </cell>
          <cell r="AQ600">
            <v>568</v>
          </cell>
          <cell r="AR600">
            <v>425.44646260530635</v>
          </cell>
          <cell r="AS600">
            <v>527.21433040390787</v>
          </cell>
          <cell r="AT600">
            <v>396.93742706712743</v>
          </cell>
          <cell r="AU600">
            <v>416.73373494927409</v>
          </cell>
        </row>
        <row r="601">
          <cell r="A601" t="str">
            <v>Total Liabilities</v>
          </cell>
          <cell r="I601">
            <v>5521</v>
          </cell>
          <cell r="M601">
            <v>3919</v>
          </cell>
          <cell r="N601">
            <v>3646</v>
          </cell>
          <cell r="O601">
            <v>3621</v>
          </cell>
          <cell r="P601">
            <v>4396</v>
          </cell>
          <cell r="Q601">
            <v>4449</v>
          </cell>
          <cell r="R601">
            <v>4500</v>
          </cell>
          <cell r="S601">
            <v>4652</v>
          </cell>
          <cell r="T601">
            <v>4529</v>
          </cell>
          <cell r="U601">
            <v>4642</v>
          </cell>
          <cell r="V601">
            <v>4301</v>
          </cell>
          <cell r="W601">
            <v>3883.3691245824102</v>
          </cell>
          <cell r="X601">
            <v>3553.6536585876029</v>
          </cell>
          <cell r="Y601">
            <v>3274.7200164013575</v>
          </cell>
          <cell r="Z601">
            <v>3431.77924508253</v>
          </cell>
          <cell r="AA601">
            <v>3606.0774545547488</v>
          </cell>
          <cell r="AB601">
            <v>3820.3687287003536</v>
          </cell>
          <cell r="AC601">
            <v>4037.7014209114627</v>
          </cell>
          <cell r="AD601">
            <v>3017.2625376698634</v>
          </cell>
          <cell r="AE601">
            <v>3039.9351190027501</v>
          </cell>
          <cell r="AF601">
            <v>3055.5043058152796</v>
          </cell>
          <cell r="AG601">
            <v>3047.5160146664502</v>
          </cell>
          <cell r="AH601">
            <v>2685.581007025587</v>
          </cell>
          <cell r="AI601">
            <v>2850.9533694370907</v>
          </cell>
          <cell r="AJ601">
            <v>3027.3233944036824</v>
          </cell>
          <cell r="AK601">
            <v>3197.1741633700526</v>
          </cell>
          <cell r="AN601">
            <v>5521</v>
          </cell>
          <cell r="AO601">
            <v>3919</v>
          </cell>
          <cell r="AP601">
            <v>4449</v>
          </cell>
          <cell r="AQ601">
            <v>4642</v>
          </cell>
          <cell r="AR601">
            <v>3274.7200164013575</v>
          </cell>
          <cell r="AS601">
            <v>4037.7014209114627</v>
          </cell>
          <cell r="AT601">
            <v>3047.5160146664502</v>
          </cell>
          <cell r="AU601">
            <v>3197.1741633700526</v>
          </cell>
        </row>
        <row r="603">
          <cell r="A603" t="str">
            <v>Stockholders' Equity</v>
          </cell>
        </row>
        <row r="604">
          <cell r="A604" t="str">
            <v xml:space="preserve">    Common stock</v>
          </cell>
          <cell r="R604">
            <v>3</v>
          </cell>
          <cell r="S604">
            <v>3</v>
          </cell>
          <cell r="T604">
            <v>3</v>
          </cell>
          <cell r="U604">
            <v>3</v>
          </cell>
          <cell r="V604">
            <v>3</v>
          </cell>
          <cell r="W604">
            <v>3</v>
          </cell>
          <cell r="X604">
            <v>3</v>
          </cell>
          <cell r="Y604">
            <v>3</v>
          </cell>
          <cell r="Z604">
            <v>3</v>
          </cell>
          <cell r="AA604">
            <v>3</v>
          </cell>
          <cell r="AB604">
            <v>3</v>
          </cell>
          <cell r="AC604">
            <v>3</v>
          </cell>
          <cell r="AD604">
            <v>3</v>
          </cell>
          <cell r="AE604">
            <v>3</v>
          </cell>
          <cell r="AF604">
            <v>3</v>
          </cell>
          <cell r="AG604">
            <v>3</v>
          </cell>
          <cell r="AH604">
            <v>3</v>
          </cell>
          <cell r="AI604">
            <v>3</v>
          </cell>
          <cell r="AJ604">
            <v>3</v>
          </cell>
          <cell r="AK604">
            <v>3</v>
          </cell>
          <cell r="AN604">
            <v>0</v>
          </cell>
          <cell r="AO604">
            <v>0</v>
          </cell>
          <cell r="AP604">
            <v>0</v>
          </cell>
          <cell r="AQ604">
            <v>3</v>
          </cell>
          <cell r="AR604">
            <v>3</v>
          </cell>
          <cell r="AS604">
            <v>3</v>
          </cell>
          <cell r="AT604">
            <v>3</v>
          </cell>
          <cell r="AU604">
            <v>3</v>
          </cell>
        </row>
        <row r="605">
          <cell r="A605" t="str">
            <v xml:space="preserve">    Additional paid-in capital</v>
          </cell>
          <cell r="I605">
            <v>0</v>
          </cell>
          <cell r="M605">
            <v>0</v>
          </cell>
          <cell r="N605">
            <v>0</v>
          </cell>
          <cell r="O605">
            <v>0</v>
          </cell>
          <cell r="P605">
            <v>0</v>
          </cell>
          <cell r="Q605">
            <v>0</v>
          </cell>
          <cell r="R605">
            <v>5016</v>
          </cell>
          <cell r="S605">
            <v>5051</v>
          </cell>
          <cell r="T605">
            <v>5217</v>
          </cell>
          <cell r="U605">
            <v>5452</v>
          </cell>
          <cell r="V605">
            <v>5522</v>
          </cell>
          <cell r="W605">
            <v>5522</v>
          </cell>
          <cell r="X605">
            <v>5522</v>
          </cell>
          <cell r="Y605">
            <v>5522</v>
          </cell>
          <cell r="Z605">
            <v>5522</v>
          </cell>
          <cell r="AA605">
            <v>5522</v>
          </cell>
          <cell r="AB605">
            <v>5522</v>
          </cell>
          <cell r="AC605">
            <v>5522</v>
          </cell>
          <cell r="AD605">
            <v>5522</v>
          </cell>
          <cell r="AE605">
            <v>5522</v>
          </cell>
          <cell r="AF605">
            <v>5522</v>
          </cell>
          <cell r="AG605">
            <v>5522</v>
          </cell>
          <cell r="AH605">
            <v>5522</v>
          </cell>
          <cell r="AI605">
            <v>5522</v>
          </cell>
          <cell r="AJ605">
            <v>5522</v>
          </cell>
          <cell r="AK605">
            <v>5522</v>
          </cell>
          <cell r="AN605">
            <v>0</v>
          </cell>
          <cell r="AO605">
            <v>0</v>
          </cell>
          <cell r="AP605">
            <v>0</v>
          </cell>
          <cell r="AQ605">
            <v>5452</v>
          </cell>
          <cell r="AR605">
            <v>5522</v>
          </cell>
          <cell r="AS605">
            <v>5522</v>
          </cell>
          <cell r="AT605">
            <v>5522</v>
          </cell>
          <cell r="AU605">
            <v>5522</v>
          </cell>
        </row>
        <row r="606">
          <cell r="A606" t="str">
            <v xml:space="preserve">    Retained earnings</v>
          </cell>
          <cell r="I606">
            <v>2045</v>
          </cell>
          <cell r="M606">
            <v>2348</v>
          </cell>
          <cell r="N606">
            <v>2124</v>
          </cell>
          <cell r="O606">
            <v>2305</v>
          </cell>
          <cell r="P606">
            <v>2136</v>
          </cell>
          <cell r="Q606">
            <v>2101</v>
          </cell>
          <cell r="R606">
            <v>-81</v>
          </cell>
          <cell r="S606">
            <v>-137</v>
          </cell>
          <cell r="T606">
            <v>-169</v>
          </cell>
          <cell r="U606">
            <v>-249</v>
          </cell>
          <cell r="V606">
            <v>-335</v>
          </cell>
          <cell r="W606">
            <v>-329.32440520975473</v>
          </cell>
          <cell r="X606">
            <v>-328.22840520975473</v>
          </cell>
          <cell r="Y606">
            <v>-301.60694495682412</v>
          </cell>
          <cell r="Z606">
            <v>-328.93497909255893</v>
          </cell>
          <cell r="AA606">
            <v>-335.35105567277054</v>
          </cell>
          <cell r="AB606">
            <v>-331.11855330621256</v>
          </cell>
          <cell r="AC606">
            <v>-283.71989889509263</v>
          </cell>
          <cell r="AD606">
            <v>-300.51715332688377</v>
          </cell>
          <cell r="AE606">
            <v>-298.20663742818766</v>
          </cell>
          <cell r="AF606">
            <v>-296.14099286630841</v>
          </cell>
          <cell r="AG606">
            <v>-273.98611864983366</v>
          </cell>
          <cell r="AH606">
            <v>-282.28227710340445</v>
          </cell>
          <cell r="AI606">
            <v>-277.05532060309747</v>
          </cell>
          <cell r="AJ606">
            <v>-274.5628302944213</v>
          </cell>
          <cell r="AK606">
            <v>-253.18772070249634</v>
          </cell>
          <cell r="AN606">
            <v>2045</v>
          </cell>
          <cell r="AO606">
            <v>2348</v>
          </cell>
          <cell r="AP606">
            <v>2101</v>
          </cell>
          <cell r="AQ606">
            <v>-249</v>
          </cell>
          <cell r="AR606">
            <v>-301.60694495682412</v>
          </cell>
          <cell r="AS606">
            <v>-283.71989889509263</v>
          </cell>
          <cell r="AT606">
            <v>-273.98611864983366</v>
          </cell>
          <cell r="AU606">
            <v>-253.18772070249634</v>
          </cell>
        </row>
        <row r="607">
          <cell r="A607" t="str">
            <v xml:space="preserve">    Accumulated other comprehensive loss</v>
          </cell>
          <cell r="I607">
            <v>-421</v>
          </cell>
          <cell r="M607">
            <v>-444</v>
          </cell>
          <cell r="N607">
            <v>-367</v>
          </cell>
          <cell r="O607">
            <v>-328</v>
          </cell>
          <cell r="P607">
            <v>-398</v>
          </cell>
          <cell r="Q607">
            <v>-345</v>
          </cell>
          <cell r="R607">
            <v>-9</v>
          </cell>
          <cell r="S607">
            <v>-13</v>
          </cell>
          <cell r="T607">
            <v>-103</v>
          </cell>
          <cell r="U607">
            <v>-118</v>
          </cell>
          <cell r="V607">
            <v>-99</v>
          </cell>
          <cell r="W607">
            <v>-99</v>
          </cell>
          <cell r="X607">
            <v>-99</v>
          </cell>
          <cell r="Y607">
            <v>-99</v>
          </cell>
          <cell r="Z607">
            <v>-99</v>
          </cell>
          <cell r="AA607">
            <v>-99</v>
          </cell>
          <cell r="AB607">
            <v>-99</v>
          </cell>
          <cell r="AC607">
            <v>-99</v>
          </cell>
          <cell r="AD607">
            <v>-99</v>
          </cell>
          <cell r="AE607">
            <v>-99</v>
          </cell>
          <cell r="AF607">
            <v>-99</v>
          </cell>
          <cell r="AG607">
            <v>-99</v>
          </cell>
          <cell r="AH607">
            <v>-99</v>
          </cell>
          <cell r="AI607">
            <v>-99</v>
          </cell>
          <cell r="AJ607">
            <v>-99</v>
          </cell>
          <cell r="AK607">
            <v>-99</v>
          </cell>
          <cell r="AN607">
            <v>-421</v>
          </cell>
          <cell r="AO607">
            <v>-444</v>
          </cell>
          <cell r="AP607">
            <v>-345</v>
          </cell>
          <cell r="AQ607">
            <v>-118</v>
          </cell>
          <cell r="AR607">
            <v>-99</v>
          </cell>
          <cell r="AS607">
            <v>-99</v>
          </cell>
          <cell r="AT607">
            <v>-99</v>
          </cell>
          <cell r="AU607">
            <v>-99</v>
          </cell>
        </row>
        <row r="608">
          <cell r="A608" t="str">
            <v>Total Stockholders' Equity</v>
          </cell>
          <cell r="I608">
            <v>1624</v>
          </cell>
          <cell r="M608">
            <v>1904</v>
          </cell>
          <cell r="N608">
            <v>1757</v>
          </cell>
          <cell r="O608">
            <v>1977</v>
          </cell>
          <cell r="P608">
            <v>1738</v>
          </cell>
          <cell r="Q608">
            <v>1756</v>
          </cell>
          <cell r="R608">
            <v>4929</v>
          </cell>
          <cell r="S608">
            <v>4904</v>
          </cell>
          <cell r="T608">
            <v>4948</v>
          </cell>
          <cell r="U608">
            <v>5088</v>
          </cell>
          <cell r="V608">
            <v>5091</v>
          </cell>
          <cell r="W608">
            <v>5096.6755947902457</v>
          </cell>
          <cell r="X608">
            <v>5097.7715947902452</v>
          </cell>
          <cell r="Y608">
            <v>5124.393055043176</v>
          </cell>
          <cell r="Z608">
            <v>5097.0650209074411</v>
          </cell>
          <cell r="AA608">
            <v>5090.6489443272294</v>
          </cell>
          <cell r="AB608">
            <v>5094.8814466937874</v>
          </cell>
          <cell r="AC608">
            <v>5142.2801011049078</v>
          </cell>
          <cell r="AD608">
            <v>5125.482846673116</v>
          </cell>
          <cell r="AE608">
            <v>5127.7933625718124</v>
          </cell>
          <cell r="AF608">
            <v>5129.8590071336912</v>
          </cell>
          <cell r="AG608">
            <v>5152.0138813501662</v>
          </cell>
          <cell r="AH608">
            <v>5143.7177228965957</v>
          </cell>
          <cell r="AI608">
            <v>5148.9446793969028</v>
          </cell>
          <cell r="AJ608">
            <v>5151.4371697055785</v>
          </cell>
          <cell r="AK608">
            <v>5172.8122792975037</v>
          </cell>
          <cell r="AN608">
            <v>1624</v>
          </cell>
          <cell r="AO608">
            <v>1904</v>
          </cell>
          <cell r="AP608">
            <v>1756</v>
          </cell>
          <cell r="AQ608">
            <v>5088</v>
          </cell>
          <cell r="AR608">
            <v>5124.393055043176</v>
          </cell>
          <cell r="AS608">
            <v>5142.2801011049078</v>
          </cell>
          <cell r="AT608">
            <v>5152.0138813501662</v>
          </cell>
          <cell r="AU608">
            <v>5172.8122792975037</v>
          </cell>
        </row>
        <row r="609">
          <cell r="A609" t="str">
            <v>Non controlling interest</v>
          </cell>
          <cell r="I609">
            <v>22</v>
          </cell>
          <cell r="M609">
            <v>35</v>
          </cell>
          <cell r="N609">
            <v>28</v>
          </cell>
          <cell r="O609">
            <v>25</v>
          </cell>
          <cell r="P609">
            <v>24</v>
          </cell>
          <cell r="Q609">
            <v>23</v>
          </cell>
          <cell r="R609">
            <v>0</v>
          </cell>
          <cell r="S609">
            <v>0</v>
          </cell>
          <cell r="T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cell r="AI609">
            <v>0</v>
          </cell>
          <cell r="AJ609">
            <v>0</v>
          </cell>
          <cell r="AK609">
            <v>0</v>
          </cell>
          <cell r="AN609">
            <v>22</v>
          </cell>
          <cell r="AO609">
            <v>35</v>
          </cell>
          <cell r="AP609">
            <v>23</v>
          </cell>
          <cell r="AQ609">
            <v>0</v>
          </cell>
          <cell r="AR609">
            <v>0</v>
          </cell>
          <cell r="AS609">
            <v>0</v>
          </cell>
          <cell r="AT609">
            <v>0</v>
          </cell>
          <cell r="AU609">
            <v>0</v>
          </cell>
        </row>
        <row r="611">
          <cell r="A611" t="str">
            <v>Total Liabilities &amp; Stockholder Equity</v>
          </cell>
          <cell r="I611">
            <v>7167</v>
          </cell>
          <cell r="M611">
            <v>5858</v>
          </cell>
          <cell r="N611">
            <v>5431</v>
          </cell>
          <cell r="O611">
            <v>5623</v>
          </cell>
          <cell r="P611">
            <v>6158</v>
          </cell>
          <cell r="Q611">
            <v>6228</v>
          </cell>
          <cell r="R611">
            <v>9429</v>
          </cell>
          <cell r="S611">
            <v>9556</v>
          </cell>
          <cell r="T611">
            <v>9477</v>
          </cell>
          <cell r="U611">
            <v>9730</v>
          </cell>
          <cell r="V611">
            <v>9392</v>
          </cell>
          <cell r="W611">
            <v>8980.0447193726559</v>
          </cell>
          <cell r="X611">
            <v>8651.425253377849</v>
          </cell>
          <cell r="Y611">
            <v>8399.1130714445335</v>
          </cell>
          <cell r="Z611">
            <v>8528.8442659899702</v>
          </cell>
          <cell r="AA611">
            <v>8696.7263988819777</v>
          </cell>
          <cell r="AB611">
            <v>8915.2501753941415</v>
          </cell>
          <cell r="AC611">
            <v>9179.9815220163709</v>
          </cell>
          <cell r="AD611">
            <v>8142.7453843429794</v>
          </cell>
          <cell r="AE611">
            <v>8167.7284815745625</v>
          </cell>
          <cell r="AF611">
            <v>8185.3633129489708</v>
          </cell>
          <cell r="AG611">
            <v>8199.5298960166165</v>
          </cell>
          <cell r="AH611">
            <v>7829.2987299221822</v>
          </cell>
          <cell r="AI611">
            <v>7999.898048833993</v>
          </cell>
          <cell r="AJ611">
            <v>8178.7605641092614</v>
          </cell>
          <cell r="AK611">
            <v>8369.9864426675558</v>
          </cell>
          <cell r="AN611">
            <v>7167</v>
          </cell>
          <cell r="AO611">
            <v>5858</v>
          </cell>
          <cell r="AP611">
            <v>6228</v>
          </cell>
          <cell r="AQ611">
            <v>9730</v>
          </cell>
          <cell r="AR611">
            <v>8399.1130714445335</v>
          </cell>
          <cell r="AS611">
            <v>9179.9815220163709</v>
          </cell>
          <cell r="AT611">
            <v>8199.5298960166165</v>
          </cell>
          <cell r="AU611">
            <v>8369.9864426675558</v>
          </cell>
        </row>
        <row r="612">
          <cell r="A612" t="str">
            <v xml:space="preserve">    Check</v>
          </cell>
          <cell r="I612" t="b">
            <v>1</v>
          </cell>
          <cell r="M612" t="b">
            <v>1</v>
          </cell>
          <cell r="N612" t="b">
            <v>1</v>
          </cell>
          <cell r="O612" t="b">
            <v>1</v>
          </cell>
          <cell r="P612" t="b">
            <v>1</v>
          </cell>
          <cell r="Q612" t="b">
            <v>1</v>
          </cell>
          <cell r="R612" t="b">
            <v>1</v>
          </cell>
          <cell r="S612" t="b">
            <v>1</v>
          </cell>
          <cell r="T612" t="b">
            <v>1</v>
          </cell>
          <cell r="U612" t="b">
            <v>1</v>
          </cell>
          <cell r="V612" t="b">
            <v>1</v>
          </cell>
          <cell r="W612" t="b">
            <v>1</v>
          </cell>
          <cell r="X612" t="b">
            <v>1</v>
          </cell>
          <cell r="Y612" t="b">
            <v>1</v>
          </cell>
          <cell r="Z612" t="b">
            <v>1</v>
          </cell>
          <cell r="AA612" t="b">
            <v>1</v>
          </cell>
          <cell r="AB612" t="b">
            <v>1</v>
          </cell>
          <cell r="AC612" t="b">
            <v>1</v>
          </cell>
          <cell r="AD612" t="b">
            <v>1</v>
          </cell>
          <cell r="AE612" t="b">
            <v>1</v>
          </cell>
          <cell r="AF612" t="b">
            <v>1</v>
          </cell>
          <cell r="AG612" t="b">
            <v>1</v>
          </cell>
          <cell r="AH612" t="b">
            <v>1</v>
          </cell>
          <cell r="AI612" t="b">
            <v>1</v>
          </cell>
          <cell r="AJ612" t="b">
            <v>1</v>
          </cell>
          <cell r="AK612" t="b">
            <v>1</v>
          </cell>
          <cell r="AM612" t="b">
            <v>1</v>
          </cell>
          <cell r="AN612" t="b">
            <v>1</v>
          </cell>
          <cell r="AO612" t="b">
            <v>1</v>
          </cell>
          <cell r="AP612" t="b">
            <v>1</v>
          </cell>
          <cell r="AQ612" t="b">
            <v>1</v>
          </cell>
          <cell r="AR612" t="b">
            <v>1</v>
          </cell>
          <cell r="AS612" t="b">
            <v>1</v>
          </cell>
          <cell r="AT612" t="b">
            <v>1</v>
          </cell>
          <cell r="AU612" t="b">
            <v>1</v>
          </cell>
        </row>
        <row r="615">
          <cell r="A615" t="str">
            <v>Ratio Analysis</v>
          </cell>
        </row>
        <row r="616">
          <cell r="A616" t="str">
            <v>Total cash</v>
          </cell>
          <cell r="I616">
            <v>96</v>
          </cell>
          <cell r="M616">
            <v>57</v>
          </cell>
          <cell r="N616">
            <v>61</v>
          </cell>
          <cell r="O616">
            <v>127</v>
          </cell>
          <cell r="P616">
            <v>123</v>
          </cell>
          <cell r="Q616">
            <v>161</v>
          </cell>
          <cell r="R616">
            <v>3427</v>
          </cell>
          <cell r="S616">
            <v>3328</v>
          </cell>
          <cell r="T616">
            <v>3363</v>
          </cell>
          <cell r="U616">
            <v>3725</v>
          </cell>
          <cell r="V616">
            <v>3350</v>
          </cell>
          <cell r="W616">
            <v>3296.5110169113541</v>
          </cell>
          <cell r="X616">
            <v>3274.6624387586071</v>
          </cell>
          <cell r="Y616">
            <v>3266.3528986317942</v>
          </cell>
          <cell r="Z616">
            <v>3271.8828513647559</v>
          </cell>
          <cell r="AA616">
            <v>3282.759442927947</v>
          </cell>
          <cell r="AB616">
            <v>3312.4532092422332</v>
          </cell>
          <cell r="AC616">
            <v>3376.4670008265753</v>
          </cell>
          <cell r="AD616">
            <v>3281.551460905815</v>
          </cell>
          <cell r="AE616">
            <v>3291.4258155971702</v>
          </cell>
          <cell r="AF616">
            <v>3304.5576270168167</v>
          </cell>
          <cell r="AG616">
            <v>3330.1028849812778</v>
          </cell>
          <cell r="AH616">
            <v>3306.5052203100754</v>
          </cell>
          <cell r="AI616">
            <v>3333.9417657150766</v>
          </cell>
          <cell r="AJ616">
            <v>3361.8333917830005</v>
          </cell>
          <cell r="AK616">
            <v>3400.8526526900869</v>
          </cell>
          <cell r="AN616">
            <v>96</v>
          </cell>
          <cell r="AO616">
            <v>57</v>
          </cell>
          <cell r="AP616">
            <v>161</v>
          </cell>
          <cell r="AQ616">
            <v>3570</v>
          </cell>
          <cell r="AR616">
            <v>3104.3528986317942</v>
          </cell>
          <cell r="AS616">
            <v>3214.4670008265753</v>
          </cell>
          <cell r="AT616">
            <v>3168.1028849812774</v>
          </cell>
          <cell r="AU616">
            <v>3238.8526526900864</v>
          </cell>
        </row>
        <row r="617">
          <cell r="A617" t="str">
            <v>Cash per share</v>
          </cell>
          <cell r="I617">
            <v>0.33776057700765239</v>
          </cell>
          <cell r="M617">
            <v>0.19387755102040816</v>
          </cell>
          <cell r="N617">
            <v>0.20748299319727892</v>
          </cell>
          <cell r="O617">
            <v>0.43197278911564624</v>
          </cell>
          <cell r="P617">
            <v>0.41836734693877553</v>
          </cell>
          <cell r="Q617">
            <v>0.54706082229018005</v>
          </cell>
          <cell r="R617">
            <v>11.62877502544961</v>
          </cell>
          <cell r="S617">
            <v>11.250845165652468</v>
          </cell>
          <cell r="T617">
            <v>11.296607322808196</v>
          </cell>
          <cell r="U617">
            <v>12.408394403730847</v>
          </cell>
          <cell r="V617">
            <v>11.078042328042329</v>
          </cell>
          <cell r="W617">
            <v>10.890270499709796</v>
          </cell>
          <cell r="X617">
            <v>10.807284804186875</v>
          </cell>
          <cell r="Y617">
            <v>10.769091949202014</v>
          </cell>
          <cell r="Z617">
            <v>10.77654753129791</v>
          </cell>
          <cell r="AA617">
            <v>10.801570014675109</v>
          </cell>
          <cell r="AB617">
            <v>10.888385801664459</v>
          </cell>
          <cell r="AC617">
            <v>11.087718220836932</v>
          </cell>
          <cell r="AD617">
            <v>10.765267170520197</v>
          </cell>
          <cell r="AE617">
            <v>10.786873531608038</v>
          </cell>
          <cell r="AF617">
            <v>10.819090862333399</v>
          </cell>
          <cell r="AG617">
            <v>10.891833964784823</v>
          </cell>
          <cell r="AH617">
            <v>10.803848763242792</v>
          </cell>
          <cell r="AI617">
            <v>10.882613758482696</v>
          </cell>
          <cell r="AJ617">
            <v>10.962694583829137</v>
          </cell>
          <cell r="AK617">
            <v>11.07885470570587</v>
          </cell>
          <cell r="AN617">
            <v>0.33909904738776731</v>
          </cell>
          <cell r="AO617">
            <v>0.19387755102040816</v>
          </cell>
          <cell r="AP617">
            <v>0.54747938451075406</v>
          </cell>
          <cell r="AQ617">
            <v>12.016156176371592</v>
          </cell>
          <cell r="AR617">
            <v>10.250331507225345</v>
          </cell>
          <cell r="AS617">
            <v>10.571569945591873</v>
          </cell>
          <cell r="AT617">
            <v>10.377517703372256</v>
          </cell>
          <cell r="AU617">
            <v>10.566936237802365</v>
          </cell>
        </row>
        <row r="618">
          <cell r="A618" t="str">
            <v>Quick Ratio</v>
          </cell>
          <cell r="I618">
            <v>0.26489795918367348</v>
          </cell>
          <cell r="M618">
            <v>0.40735115431348723</v>
          </cell>
          <cell r="N618">
            <v>0.38993089832181638</v>
          </cell>
          <cell r="O618">
            <v>0.40978886756238003</v>
          </cell>
          <cell r="P618">
            <v>0.41154855643044619</v>
          </cell>
          <cell r="Q618">
            <v>0.40847633905356212</v>
          </cell>
          <cell r="R618">
            <v>1.2185378590078328</v>
          </cell>
          <cell r="S618">
            <v>1.2160339660339661</v>
          </cell>
          <cell r="T618">
            <v>1.2308472856418062</v>
          </cell>
          <cell r="U618">
            <v>1.2839960726558666</v>
          </cell>
          <cell r="V618">
            <v>1.2722429408630793</v>
          </cell>
          <cell r="W618">
            <v>1.3537099086807711</v>
          </cell>
          <cell r="X618">
            <v>1.4279692804152848</v>
          </cell>
          <cell r="Y618">
            <v>1.5134162823407076</v>
          </cell>
          <cell r="Z618">
            <v>1.4644518145654766</v>
          </cell>
          <cell r="AA618">
            <v>1.4225311038502471</v>
          </cell>
          <cell r="AB618">
            <v>1.3784528896382406</v>
          </cell>
          <cell r="AC618">
            <v>1.3504046255827344</v>
          </cell>
          <cell r="AD618">
            <v>1.605746539117624</v>
          </cell>
          <cell r="AE618">
            <v>1.6032207065653774</v>
          </cell>
          <cell r="AF618">
            <v>1.602459101012319</v>
          </cell>
          <cell r="AG618">
            <v>1.6172738911803584</v>
          </cell>
          <cell r="AH618">
            <v>1.7568079875593987</v>
          </cell>
          <cell r="AI618">
            <v>1.6954137672082044</v>
          </cell>
          <cell r="AJ618">
            <v>1.6348588987259904</v>
          </cell>
          <cell r="AK618">
            <v>1.5894545125965192</v>
          </cell>
          <cell r="AN618">
            <v>0.26489795918367348</v>
          </cell>
          <cell r="AO618">
            <v>0.40735115431348723</v>
          </cell>
          <cell r="AP618">
            <v>0.40847633905356212</v>
          </cell>
          <cell r="AQ618">
            <v>1.2839960726558666</v>
          </cell>
          <cell r="AR618">
            <v>1.5134162823407076</v>
          </cell>
          <cell r="AS618">
            <v>1.3504046255827344</v>
          </cell>
          <cell r="AT618">
            <v>1.6172738911803584</v>
          </cell>
          <cell r="AU618">
            <v>1.5894545125965192</v>
          </cell>
        </row>
        <row r="619">
          <cell r="A619" t="str">
            <v>Current Ratio</v>
          </cell>
          <cell r="I619">
            <v>0.80448979591836733</v>
          </cell>
          <cell r="M619">
            <v>0.8590522478736331</v>
          </cell>
          <cell r="N619">
            <v>0.82099374794340241</v>
          </cell>
          <cell r="O619">
            <v>0.84069097888675626</v>
          </cell>
          <cell r="P619">
            <v>0.84645669291338588</v>
          </cell>
          <cell r="Q619">
            <v>0.81097243889755588</v>
          </cell>
          <cell r="R619">
            <v>1.6190600522193213</v>
          </cell>
          <cell r="S619">
            <v>1.5766733266733266</v>
          </cell>
          <cell r="T619">
            <v>1.610857432775241</v>
          </cell>
          <cell r="U619">
            <v>1.6229749631811488</v>
          </cell>
          <cell r="V619">
            <v>1.677943526904635</v>
          </cell>
          <cell r="W619">
            <v>1.7599717162495987</v>
          </cell>
          <cell r="X619">
            <v>1.8341556054228947</v>
          </cell>
          <cell r="Y619">
            <v>1.9199535289653087</v>
          </cell>
          <cell r="Z619">
            <v>1.8708191167008128</v>
          </cell>
          <cell r="AA619">
            <v>1.8290703383991689</v>
          </cell>
          <cell r="AB619">
            <v>1.785026517386179</v>
          </cell>
          <cell r="AC619">
            <v>1.7571425881809675</v>
          </cell>
          <cell r="AD619">
            <v>2.0121293843690582</v>
          </cell>
          <cell r="AE619">
            <v>2.0097304143874579</v>
          </cell>
          <cell r="AF619">
            <v>2.0089739132060007</v>
          </cell>
          <cell r="AG619">
            <v>2.023912636167875</v>
          </cell>
          <cell r="AH619">
            <v>2.1631634743781958</v>
          </cell>
          <cell r="AI619">
            <v>2.1019078719135362</v>
          </cell>
          <cell r="AJ619">
            <v>2.0413784648137221</v>
          </cell>
          <cell r="AK619">
            <v>1.9961223654664939</v>
          </cell>
          <cell r="AN619">
            <v>0.80448979591836733</v>
          </cell>
          <cell r="AO619">
            <v>0.8590522478736331</v>
          </cell>
          <cell r="AP619">
            <v>0.81097243889755588</v>
          </cell>
          <cell r="AQ619">
            <v>1.6229749631811488</v>
          </cell>
          <cell r="AR619">
            <v>1.9199535289653087</v>
          </cell>
          <cell r="AS619">
            <v>1.7571425881809675</v>
          </cell>
          <cell r="AT619">
            <v>2.023912636167875</v>
          </cell>
          <cell r="AU619">
            <v>1.9961223654664939</v>
          </cell>
        </row>
        <row r="620">
          <cell r="A620" t="str">
            <v>Book Value Per Share</v>
          </cell>
          <cell r="I620">
            <v>5.7137830943794521</v>
          </cell>
          <cell r="M620">
            <v>6.4761904761904763</v>
          </cell>
          <cell r="N620">
            <v>5.9761904761904763</v>
          </cell>
          <cell r="O620">
            <v>6.7244897959183669</v>
          </cell>
          <cell r="P620">
            <v>5.9115646258503398</v>
          </cell>
          <cell r="Q620">
            <v>5.9667006455997278</v>
          </cell>
          <cell r="R620">
            <v>16.725483542585682</v>
          </cell>
          <cell r="S620">
            <v>16.578769438810006</v>
          </cell>
          <cell r="T620">
            <v>16.620759153510246</v>
          </cell>
          <cell r="U620">
            <v>16.948700866089276</v>
          </cell>
          <cell r="V620">
            <v>16.835317460317462</v>
          </cell>
          <cell r="W620">
            <v>16.837248712895061</v>
          </cell>
          <cell r="X620">
            <v>16.824045385416078</v>
          </cell>
          <cell r="Y620">
            <v>16.895008502212981</v>
          </cell>
          <cell r="Z620">
            <v>16.788120468620484</v>
          </cell>
          <cell r="AA620">
            <v>16.750237703448256</v>
          </cell>
          <cell r="AB620">
            <v>16.747416884428972</v>
          </cell>
          <cell r="AC620">
            <v>16.886334964834614</v>
          </cell>
          <cell r="AD620">
            <v>16.814361401824183</v>
          </cell>
          <cell r="AE620">
            <v>16.805136010105013</v>
          </cell>
          <cell r="AF620">
            <v>16.795110563480076</v>
          </cell>
          <cell r="AG620">
            <v>16.850794620493566</v>
          </cell>
          <cell r="AH620">
            <v>16.806853356116893</v>
          </cell>
          <cell r="AI620">
            <v>16.807125063161571</v>
          </cell>
          <cell r="AJ620">
            <v>16.798462558347005</v>
          </cell>
          <cell r="AK620">
            <v>16.85131392472907</v>
          </cell>
          <cell r="AN620">
            <v>5.7364255516430633</v>
          </cell>
          <cell r="AO620">
            <v>6.4761904761904763</v>
          </cell>
          <cell r="AP620">
            <v>5.9712658335458642</v>
          </cell>
          <cell r="AQ620">
            <v>17.125546953887579</v>
          </cell>
          <cell r="AR620">
            <v>16.920346784885933</v>
          </cell>
          <cell r="AS620">
            <v>16.911660239373131</v>
          </cell>
          <cell r="AT620">
            <v>16.87606659341397</v>
          </cell>
          <cell r="AU620">
            <v>16.876586676475807</v>
          </cell>
        </row>
        <row r="621">
          <cell r="A621" t="str">
            <v>Return on Equity</v>
          </cell>
          <cell r="I621">
            <v>0</v>
          </cell>
          <cell r="M621">
            <v>-0.45588235294117646</v>
          </cell>
          <cell r="N621">
            <v>-0.33597377765637804</v>
          </cell>
          <cell r="O621">
            <v>-0.25860234125576448</v>
          </cell>
          <cell r="P621">
            <v>-0.14154013015184383</v>
          </cell>
          <cell r="Q621">
            <v>-4.5932484781405644E-2</v>
          </cell>
          <cell r="R621">
            <v>1.3076923076923076E-2</v>
          </cell>
          <cell r="S621">
            <v>4.4120957454791027E-2</v>
          </cell>
          <cell r="T621">
            <v>3.4830985063796338E-2</v>
          </cell>
          <cell r="U621">
            <v>1.9527907796064222E-2</v>
          </cell>
          <cell r="V621">
            <v>2.2365333732714293E-2</v>
          </cell>
          <cell r="W621">
            <v>2.0307998772823511E-2</v>
          </cell>
          <cell r="X621">
            <v>1.5661874801637405E-2</v>
          </cell>
          <cell r="Y621">
            <v>1.1052130612934289E-2</v>
          </cell>
          <cell r="Z621">
            <v>9.809022966415816E-3</v>
          </cell>
          <cell r="AA621">
            <v>7.4421509805451666E-3</v>
          </cell>
          <cell r="AB621">
            <v>8.057994832520789E-3</v>
          </cell>
          <cell r="AC621">
            <v>1.2119936010819871E-2</v>
          </cell>
          <cell r="AD621">
            <v>1.4162575105359993E-2</v>
          </cell>
          <cell r="AE621">
            <v>1.584044600837077E-2</v>
          </cell>
          <cell r="AF621">
            <v>1.5391174155220358E-2</v>
          </cell>
          <cell r="AG621">
            <v>1.0466693957669285E-2</v>
          </cell>
          <cell r="AH621">
            <v>1.2111850058822598E-2</v>
          </cell>
          <cell r="AI621">
            <v>1.2666398711672407E-2</v>
          </cell>
          <cell r="AJ621">
            <v>1.273602667229881E-2</v>
          </cell>
          <cell r="AK621">
            <v>1.2571892127144574E-2</v>
          </cell>
        </row>
        <row r="622">
          <cell r="A622" t="str">
            <v>Return on Assets</v>
          </cell>
          <cell r="I622">
            <v>0</v>
          </cell>
          <cell r="M622">
            <v>-0.1481734380334585</v>
          </cell>
          <cell r="N622">
            <v>-0.10895562051554611</v>
          </cell>
          <cell r="O622">
            <v>-8.6210974456007575E-2</v>
          </cell>
          <cell r="P622">
            <v>-4.5253576072821849E-2</v>
          </cell>
          <cell r="Q622">
            <v>-1.416382252559727E-2</v>
          </cell>
          <cell r="R622">
            <v>4.9566294919454771E-3</v>
          </cell>
          <cell r="S622">
            <v>1.8743425456631921E-2</v>
          </cell>
          <cell r="T622">
            <v>1.6604208705678868E-2</v>
          </cell>
          <cell r="U622">
            <v>1.0159195643066611E-2</v>
          </cell>
          <cell r="V622">
            <v>1.174158039575416E-2</v>
          </cell>
          <cell r="W622">
            <v>1.0929026595219883E-2</v>
          </cell>
          <cell r="X622">
            <v>8.6818028174633806E-3</v>
          </cell>
          <cell r="Y622">
            <v>6.3680341970337945E-3</v>
          </cell>
          <cell r="Z622">
            <v>5.7946586276545614E-3</v>
          </cell>
          <cell r="AA622">
            <v>4.4314656075345668E-3</v>
          </cell>
          <cell r="AB622">
            <v>4.7608489360315854E-3</v>
          </cell>
          <cell r="AC622">
            <v>7.0085662751328643E-3</v>
          </cell>
          <cell r="AD622">
            <v>8.2917922352845341E-3</v>
          </cell>
          <cell r="AE622">
            <v>9.4338327804644254E-3</v>
          </cell>
          <cell r="AF622">
            <v>9.3809223931750861E-3</v>
          </cell>
          <cell r="AG622">
            <v>6.5738708633784034E-3</v>
          </cell>
          <cell r="AH622">
            <v>7.6876078275027434E-3</v>
          </cell>
          <cell r="AI622">
            <v>8.0897913738891616E-3</v>
          </cell>
          <cell r="AJ622">
            <v>8.1444618247298369E-3</v>
          </cell>
          <cell r="AK622">
            <v>8.0052517697297744E-3</v>
          </cell>
        </row>
        <row r="623">
          <cell r="A623" t="str">
            <v>Fixed Asset Turnover</v>
          </cell>
          <cell r="I623">
            <v>17.555441478439427</v>
          </cell>
          <cell r="M623">
            <v>13.692688971499381</v>
          </cell>
          <cell r="N623">
            <v>14.047244094488189</v>
          </cell>
          <cell r="O623">
            <v>14.092866756393001</v>
          </cell>
          <cell r="P623">
            <v>14.73270013568521</v>
          </cell>
          <cell r="Q623">
            <v>14.218362282878411</v>
          </cell>
          <cell r="R623">
            <v>14.829629629629629</v>
          </cell>
          <cell r="S623">
            <v>15.806451612903226</v>
          </cell>
          <cell r="T623">
            <v>16.255292652552928</v>
          </cell>
          <cell r="U623">
            <v>16.228571428571428</v>
          </cell>
          <cell r="V623">
            <v>16.367041198501873</v>
          </cell>
          <cell r="W623">
            <v>15.851811852143047</v>
          </cell>
          <cell r="X623">
            <v>15.161347821141593</v>
          </cell>
          <cell r="Y623">
            <v>14.021574420051049</v>
          </cell>
          <cell r="Z623">
            <v>13.426979947755571</v>
          </cell>
          <cell r="AA623">
            <v>13.309454218738365</v>
          </cell>
          <cell r="AB623">
            <v>13.689181038682394</v>
          </cell>
          <cell r="AC623">
            <v>14.504060329776946</v>
          </cell>
          <cell r="AD623">
            <v>14.313245692858391</v>
          </cell>
          <cell r="AE623">
            <v>13.94490997439115</v>
          </cell>
          <cell r="AF623">
            <v>13.350215942615579</v>
          </cell>
          <cell r="AG623">
            <v>12.492026151382763</v>
          </cell>
          <cell r="AH623">
            <v>12.354883473406259</v>
          </cell>
          <cell r="AI623">
            <v>12.330065806043466</v>
          </cell>
          <cell r="AJ623">
            <v>12.445082008987409</v>
          </cell>
          <cell r="AK623">
            <v>12.72453455829309</v>
          </cell>
        </row>
        <row r="624">
          <cell r="A624" t="str">
            <v>DSO's</v>
          </cell>
          <cell r="I624">
            <v>31.689789123196448</v>
          </cell>
          <cell r="M624">
            <v>42.752391073326251</v>
          </cell>
          <cell r="N624">
            <v>43.00403225806452</v>
          </cell>
          <cell r="O624">
            <v>44.189344576466077</v>
          </cell>
          <cell r="P624">
            <v>47.902240325865584</v>
          </cell>
          <cell r="Q624">
            <v>41.281751824817519</v>
          </cell>
          <cell r="R624">
            <v>46.038918205804748</v>
          </cell>
          <cell r="S624">
            <v>49.706323044650887</v>
          </cell>
          <cell r="T624">
            <v>48.990487879717705</v>
          </cell>
          <cell r="U624">
            <v>46.623981373690334</v>
          </cell>
          <cell r="V624">
            <v>50.029239766081872</v>
          </cell>
          <cell r="W624">
            <v>50.029239766081872</v>
          </cell>
          <cell r="X624">
            <v>50.029239766081872</v>
          </cell>
          <cell r="Y624">
            <v>50.029239766081872</v>
          </cell>
          <cell r="Z624">
            <v>50.029239766081872</v>
          </cell>
          <cell r="AA624">
            <v>50.029239766081872</v>
          </cell>
          <cell r="AB624">
            <v>50.029239766081872</v>
          </cell>
          <cell r="AC624">
            <v>50.029239766081872</v>
          </cell>
          <cell r="AD624">
            <v>50.029239766081872</v>
          </cell>
          <cell r="AE624">
            <v>50.029239766081872</v>
          </cell>
          <cell r="AF624">
            <v>50.029239766081872</v>
          </cell>
          <cell r="AG624">
            <v>50.029239766081872</v>
          </cell>
          <cell r="AH624">
            <v>50.029239766081872</v>
          </cell>
          <cell r="AI624">
            <v>50.029239766081872</v>
          </cell>
          <cell r="AJ624">
            <v>50.029239766081872</v>
          </cell>
          <cell r="AK624">
            <v>50.029239766081872</v>
          </cell>
        </row>
        <row r="625">
          <cell r="A625" t="str">
            <v>DPO's</v>
          </cell>
          <cell r="I625">
            <v>64.059003051882002</v>
          </cell>
          <cell r="M625">
            <v>61.198288159771757</v>
          </cell>
          <cell r="N625">
            <v>56.118210862619812</v>
          </cell>
          <cell r="O625">
            <v>61.407942238267154</v>
          </cell>
          <cell r="P625">
            <v>72.721342031686859</v>
          </cell>
          <cell r="Q625">
            <v>62.316000000000003</v>
          </cell>
          <cell r="R625">
            <v>62.560492740871098</v>
          </cell>
          <cell r="S625">
            <v>62.98906439854192</v>
          </cell>
          <cell r="T625">
            <v>63.731343283582092</v>
          </cell>
          <cell r="U625">
            <v>58.274387874076957</v>
          </cell>
          <cell r="V625">
            <v>59.379042690815005</v>
          </cell>
          <cell r="W625">
            <v>59.379042690815005</v>
          </cell>
          <cell r="X625">
            <v>59.379042690815005</v>
          </cell>
          <cell r="Y625">
            <v>59.379042690815005</v>
          </cell>
          <cell r="Z625">
            <v>59.379042690815005</v>
          </cell>
          <cell r="AA625">
            <v>59.379042690815005</v>
          </cell>
          <cell r="AB625">
            <v>59.379042690815005</v>
          </cell>
          <cell r="AC625">
            <v>59.379042690815005</v>
          </cell>
          <cell r="AD625">
            <v>59.379042690815005</v>
          </cell>
          <cell r="AE625">
            <v>59.379042690815005</v>
          </cell>
          <cell r="AF625">
            <v>59.379042690815005</v>
          </cell>
          <cell r="AG625">
            <v>59.379042690815005</v>
          </cell>
          <cell r="AH625">
            <v>59.379042690815005</v>
          </cell>
          <cell r="AI625">
            <v>59.379042690815005</v>
          </cell>
          <cell r="AJ625">
            <v>59.379042690815005</v>
          </cell>
          <cell r="AK625">
            <v>59.379042690815005</v>
          </cell>
        </row>
        <row r="626">
          <cell r="A626" t="str">
            <v>DSI's</v>
          </cell>
          <cell r="I626">
            <v>56.337741607324517</v>
          </cell>
          <cell r="M626">
            <v>29.443651925820259</v>
          </cell>
          <cell r="N626">
            <v>27.987220447284347</v>
          </cell>
          <cell r="O626">
            <v>29.19546157813306</v>
          </cell>
          <cell r="P626">
            <v>35.815470643056848</v>
          </cell>
          <cell r="Q626">
            <v>30.347999999999999</v>
          </cell>
          <cell r="R626">
            <v>34.012318521777388</v>
          </cell>
          <cell r="S626">
            <v>27.120291616038884</v>
          </cell>
          <cell r="T626">
            <v>27.835820895522385</v>
          </cell>
          <cell r="U626">
            <v>24.520015546055188</v>
          </cell>
          <cell r="V626">
            <v>22.082794307891334</v>
          </cell>
          <cell r="W626">
            <v>22.082794307891334</v>
          </cell>
          <cell r="X626">
            <v>22.082794307891334</v>
          </cell>
          <cell r="Y626">
            <v>22.082794307891334</v>
          </cell>
          <cell r="Z626">
            <v>22.082794307891334</v>
          </cell>
          <cell r="AA626">
            <v>22.082794307891334</v>
          </cell>
          <cell r="AB626">
            <v>22.082794307891334</v>
          </cell>
          <cell r="AC626">
            <v>22.082794307891334</v>
          </cell>
          <cell r="AD626">
            <v>22.082794307891334</v>
          </cell>
          <cell r="AE626">
            <v>22.082794307891334</v>
          </cell>
          <cell r="AF626">
            <v>22.082794307891334</v>
          </cell>
          <cell r="AG626">
            <v>22.082794307891334</v>
          </cell>
          <cell r="AH626">
            <v>22.082794307891334</v>
          </cell>
          <cell r="AI626">
            <v>22.082794307891334</v>
          </cell>
          <cell r="AJ626">
            <v>22.082794307891334</v>
          </cell>
          <cell r="AK626">
            <v>22.082794307891334</v>
          </cell>
          <cell r="AL626">
            <v>0</v>
          </cell>
          <cell r="AM626">
            <v>0</v>
          </cell>
          <cell r="AN626">
            <v>18.772881355932203</v>
          </cell>
          <cell r="AO626">
            <v>7.3165544133286069</v>
          </cell>
          <cell r="AP626">
            <v>7.7999383160275517</v>
          </cell>
          <cell r="AQ626">
            <v>7.9584848477347965</v>
          </cell>
          <cell r="AR626">
            <v>4.8605560619334076</v>
          </cell>
          <cell r="AS626">
            <v>7.2523838456182643</v>
          </cell>
          <cell r="AT626">
            <v>5.6882247725695638</v>
          </cell>
        </row>
        <row r="627">
          <cell r="A627" t="str">
            <v>Inventory Turns</v>
          </cell>
          <cell r="I627">
            <v>6.3900325027085589</v>
          </cell>
          <cell r="M627">
            <v>12.226744186046512</v>
          </cell>
          <cell r="N627">
            <v>12.863013698630137</v>
          </cell>
          <cell r="O627">
            <v>12.330683624801273</v>
          </cell>
          <cell r="P627">
            <v>10.051522248243559</v>
          </cell>
          <cell r="Q627">
            <v>11.862396204033216</v>
          </cell>
          <cell r="R627">
            <v>10.584400465657742</v>
          </cell>
          <cell r="S627">
            <v>13.274193548387096</v>
          </cell>
          <cell r="T627">
            <v>12.932975871313673</v>
          </cell>
          <cell r="U627">
            <v>14.68188302425107</v>
          </cell>
          <cell r="V627">
            <v>16.302284710017574</v>
          </cell>
          <cell r="W627">
            <v>16.302284710017574</v>
          </cell>
          <cell r="X627">
            <v>16.302284710017574</v>
          </cell>
          <cell r="Y627">
            <v>16.302284710017574</v>
          </cell>
          <cell r="Z627">
            <v>16.302284710017574</v>
          </cell>
          <cell r="AA627">
            <v>16.302284710017574</v>
          </cell>
          <cell r="AB627">
            <v>16.302284710017574</v>
          </cell>
          <cell r="AC627">
            <v>16.302284710017574</v>
          </cell>
          <cell r="AD627">
            <v>16.302284710017574</v>
          </cell>
          <cell r="AE627">
            <v>16.302284710017574</v>
          </cell>
          <cell r="AF627">
            <v>16.302284710017574</v>
          </cell>
          <cell r="AG627">
            <v>16.302284710017574</v>
          </cell>
          <cell r="AH627">
            <v>16.302284710017574</v>
          </cell>
          <cell r="AI627">
            <v>16.302284710017574</v>
          </cell>
          <cell r="AJ627">
            <v>16.302284710017574</v>
          </cell>
          <cell r="AK627">
            <v>16.302284710017574</v>
          </cell>
        </row>
        <row r="629">
          <cell r="A629" t="str">
            <v>Balance Sheet items as % of Revenue</v>
          </cell>
        </row>
        <row r="630">
          <cell r="A630" t="str">
            <v>Assets</v>
          </cell>
        </row>
        <row r="631">
          <cell r="A631" t="str">
            <v xml:space="preserve">    Deferred income taxes</v>
          </cell>
          <cell r="I631">
            <v>3.4683684794672584E-2</v>
          </cell>
          <cell r="M631">
            <v>4.0382571732199786E-2</v>
          </cell>
          <cell r="N631">
            <v>4.596774193548387E-2</v>
          </cell>
          <cell r="O631">
            <v>4.5611345343043314E-2</v>
          </cell>
          <cell r="P631">
            <v>3.7678207739307537E-2</v>
          </cell>
          <cell r="Q631">
            <v>3.2116788321167884E-2</v>
          </cell>
          <cell r="R631">
            <v>3.7598944591029027E-2</v>
          </cell>
          <cell r="S631">
            <v>2.39736290080911E-2</v>
          </cell>
          <cell r="T631">
            <v>4.5105860693464256E-2</v>
          </cell>
          <cell r="U631">
            <v>2.7648428405122234E-2</v>
          </cell>
          <cell r="V631">
            <v>2.9889538661468484E-2</v>
          </cell>
          <cell r="W631">
            <v>2.9889538661468484E-2</v>
          </cell>
          <cell r="X631">
            <v>2.9889538661468484E-2</v>
          </cell>
          <cell r="Y631">
            <v>2.9889538661468484E-2</v>
          </cell>
          <cell r="Z631">
            <v>2.9889538661468484E-2</v>
          </cell>
          <cell r="AA631">
            <v>2.9889538661468484E-2</v>
          </cell>
          <cell r="AB631">
            <v>2.9889538661468484E-2</v>
          </cell>
          <cell r="AC631">
            <v>2.9889538661468484E-2</v>
          </cell>
          <cell r="AD631">
            <v>2.9889538661468484E-2</v>
          </cell>
          <cell r="AE631">
            <v>2.9889538661468484E-2</v>
          </cell>
          <cell r="AF631">
            <v>2.9889538661468484E-2</v>
          </cell>
          <cell r="AG631">
            <v>2.9889538661468484E-2</v>
          </cell>
          <cell r="AH631">
            <v>2.9889538661468484E-2</v>
          </cell>
          <cell r="AI631">
            <v>2.9889538661468484E-2</v>
          </cell>
          <cell r="AJ631">
            <v>2.9889538661468484E-2</v>
          </cell>
          <cell r="AK631">
            <v>2.9889538661468484E-2</v>
          </cell>
        </row>
        <row r="632">
          <cell r="A632" t="str">
            <v xml:space="preserve">    Other Current Assets </v>
          </cell>
          <cell r="I632">
            <v>0.18673695893451719</v>
          </cell>
          <cell r="M632">
            <v>0.24264966347856889</v>
          </cell>
          <cell r="N632">
            <v>0.24677419354838709</v>
          </cell>
          <cell r="O632">
            <v>0.22958988118052895</v>
          </cell>
          <cell r="P632">
            <v>0.2348947725729803</v>
          </cell>
          <cell r="Q632">
            <v>0.17372262773722627</v>
          </cell>
          <cell r="R632">
            <v>0.18502638522427442</v>
          </cell>
          <cell r="S632">
            <v>0.18579562481270603</v>
          </cell>
          <cell r="T632">
            <v>0.18563976679963179</v>
          </cell>
          <cell r="U632">
            <v>0.17025611175785799</v>
          </cell>
          <cell r="V632">
            <v>0.28005198180636776</v>
          </cell>
          <cell r="W632">
            <v>0.28005198180636776</v>
          </cell>
          <cell r="X632">
            <v>0.28005198180636776</v>
          </cell>
          <cell r="Y632">
            <v>0.28005198180636776</v>
          </cell>
          <cell r="Z632">
            <v>0.28005198180636776</v>
          </cell>
          <cell r="AA632">
            <v>0.28005198180636776</v>
          </cell>
          <cell r="AB632">
            <v>0.28005198180636776</v>
          </cell>
          <cell r="AC632">
            <v>0.28005198180636776</v>
          </cell>
          <cell r="AD632">
            <v>0.28005198180636776</v>
          </cell>
          <cell r="AE632">
            <v>0.28005198180636776</v>
          </cell>
          <cell r="AF632">
            <v>0.28005198180636776</v>
          </cell>
          <cell r="AG632">
            <v>0.28005198180636776</v>
          </cell>
          <cell r="AH632">
            <v>0.28005198180636776</v>
          </cell>
          <cell r="AI632">
            <v>0.28005198180636776</v>
          </cell>
          <cell r="AJ632">
            <v>0.28005198180636776</v>
          </cell>
          <cell r="AK632">
            <v>0.28005198180636776</v>
          </cell>
        </row>
        <row r="633">
          <cell r="A633" t="str">
            <v xml:space="preserve">    Long-term Investments</v>
          </cell>
          <cell r="I633">
            <v>1.8590455049944506E-2</v>
          </cell>
          <cell r="M633">
            <v>2.0191285866099893E-2</v>
          </cell>
          <cell r="N633">
            <v>2.4596774193548387E-2</v>
          </cell>
          <cell r="O633">
            <v>4.8677654273668075E-2</v>
          </cell>
          <cell r="P633">
            <v>4.1751527494908347E-2</v>
          </cell>
          <cell r="Q633">
            <v>4.7007299270072994E-2</v>
          </cell>
          <cell r="R633">
            <v>4.7163588390501318E-2</v>
          </cell>
          <cell r="S633">
            <v>3.6559784237338924E-2</v>
          </cell>
          <cell r="T633">
            <v>3.8355323718932188E-2</v>
          </cell>
          <cell r="U633">
            <v>3.4633294528521534E-2</v>
          </cell>
          <cell r="V633">
            <v>3.9961013645224169E-2</v>
          </cell>
          <cell r="W633">
            <v>3.9961013645224169E-2</v>
          </cell>
          <cell r="X633">
            <v>3.9961013645224169E-2</v>
          </cell>
          <cell r="Y633">
            <v>3.9961013645224169E-2</v>
          </cell>
          <cell r="Z633">
            <v>3.9961013645224169E-2</v>
          </cell>
          <cell r="AA633">
            <v>3.9961013645224169E-2</v>
          </cell>
          <cell r="AB633">
            <v>3.9961013645224169E-2</v>
          </cell>
          <cell r="AC633">
            <v>3.9961013645224169E-2</v>
          </cell>
          <cell r="AD633">
            <v>3.9961013645224169E-2</v>
          </cell>
          <cell r="AE633">
            <v>3.9961013645224169E-2</v>
          </cell>
          <cell r="AF633">
            <v>3.9961013645224169E-2</v>
          </cell>
          <cell r="AG633">
            <v>3.9961013645224169E-2</v>
          </cell>
          <cell r="AH633">
            <v>3.9961013645224169E-2</v>
          </cell>
          <cell r="AI633">
            <v>3.9961013645224169E-2</v>
          </cell>
          <cell r="AJ633">
            <v>3.9961013645224169E-2</v>
          </cell>
          <cell r="AK633">
            <v>3.9961013645224169E-2</v>
          </cell>
        </row>
        <row r="634">
          <cell r="A634" t="str">
            <v xml:space="preserve">    Deferred income taxes</v>
          </cell>
          <cell r="I634">
            <v>1.193118756936737E-2</v>
          </cell>
          <cell r="M634">
            <v>1.7003188097768331E-2</v>
          </cell>
          <cell r="N634">
            <v>1.935483870967742E-2</v>
          </cell>
          <cell r="O634">
            <v>1.9164430816404752E-2</v>
          </cell>
          <cell r="P634">
            <v>1.6632722335369995E-2</v>
          </cell>
          <cell r="Q634">
            <v>1.4306569343065694E-2</v>
          </cell>
          <cell r="R634">
            <v>1.912928759894459E-2</v>
          </cell>
          <cell r="S634">
            <v>2.9367695534911597E-2</v>
          </cell>
          <cell r="T634">
            <v>1.5342129487572876E-2</v>
          </cell>
          <cell r="U634">
            <v>2.7066356228172293E-2</v>
          </cell>
          <cell r="V634">
            <v>3.0214424951267055E-2</v>
          </cell>
          <cell r="W634">
            <v>3.0214424951267055E-2</v>
          </cell>
          <cell r="X634">
            <v>3.0214424951267055E-2</v>
          </cell>
          <cell r="Y634">
            <v>3.0214424951267055E-2</v>
          </cell>
          <cell r="Z634">
            <v>3.0214424951267055E-2</v>
          </cell>
          <cell r="AA634">
            <v>3.0214424951267055E-2</v>
          </cell>
          <cell r="AB634">
            <v>3.0214424951267055E-2</v>
          </cell>
          <cell r="AC634">
            <v>3.0214424951267055E-2</v>
          </cell>
          <cell r="AD634">
            <v>3.0214424951267055E-2</v>
          </cell>
          <cell r="AE634">
            <v>3.0214424951267055E-2</v>
          </cell>
          <cell r="AF634">
            <v>3.0214424951267055E-2</v>
          </cell>
          <cell r="AG634">
            <v>3.0214424951267055E-2</v>
          </cell>
          <cell r="AH634">
            <v>3.0214424951267055E-2</v>
          </cell>
          <cell r="AI634">
            <v>3.0214424951267055E-2</v>
          </cell>
          <cell r="AJ634">
            <v>3.0214424951267055E-2</v>
          </cell>
          <cell r="AK634">
            <v>3.0214424951267055E-2</v>
          </cell>
        </row>
        <row r="635">
          <cell r="A635" t="str">
            <v xml:space="preserve">    Other Assets</v>
          </cell>
          <cell r="I635">
            <v>0.23668146503884574</v>
          </cell>
          <cell r="M635">
            <v>0.29507616011335458</v>
          </cell>
          <cell r="N635">
            <v>0.31169354838709679</v>
          </cell>
          <cell r="O635">
            <v>0.30011498658489844</v>
          </cell>
          <cell r="P635">
            <v>0.23794976238968094</v>
          </cell>
          <cell r="Q635">
            <v>0.2035036496350365</v>
          </cell>
          <cell r="R635">
            <v>0.21503957783641162</v>
          </cell>
          <cell r="S635">
            <v>0.18399760263709919</v>
          </cell>
          <cell r="T635">
            <v>0.17121816508131329</v>
          </cell>
          <cell r="U635">
            <v>0.14930151338766007</v>
          </cell>
          <cell r="V635">
            <v>0.15594541910331383</v>
          </cell>
          <cell r="W635">
            <v>0.15594541910331383</v>
          </cell>
          <cell r="X635">
            <v>0.15594541910331383</v>
          </cell>
          <cell r="Y635">
            <v>0.15594541910331383</v>
          </cell>
          <cell r="Z635">
            <v>0.15594541910331383</v>
          </cell>
          <cell r="AA635">
            <v>0.15594541910331383</v>
          </cell>
          <cell r="AB635">
            <v>0.15594541910331383</v>
          </cell>
          <cell r="AC635">
            <v>0.15594541910331383</v>
          </cell>
          <cell r="AD635">
            <v>0.15594541910331383</v>
          </cell>
          <cell r="AE635">
            <v>0.15594541910331383</v>
          </cell>
          <cell r="AF635">
            <v>0.15594541910331383</v>
          </cell>
          <cell r="AG635">
            <v>0.15594541910331383</v>
          </cell>
          <cell r="AH635">
            <v>0.15594541910331383</v>
          </cell>
          <cell r="AI635">
            <v>0.15594541910331383</v>
          </cell>
          <cell r="AJ635">
            <v>0.15594541910331383</v>
          </cell>
          <cell r="AK635">
            <v>0.15594541910331383</v>
          </cell>
        </row>
        <row r="637">
          <cell r="A637" t="str">
            <v>Liabilities</v>
          </cell>
        </row>
        <row r="638">
          <cell r="A638" t="str">
            <v xml:space="preserve">    Accrued Liabilities</v>
          </cell>
          <cell r="I638">
            <v>0.77719200887902329</v>
          </cell>
          <cell r="M638">
            <v>0.65958200495926322</v>
          </cell>
          <cell r="N638">
            <v>0.75322580645161286</v>
          </cell>
          <cell r="O638">
            <v>0.69106937523955536</v>
          </cell>
          <cell r="P638">
            <v>0.70468431771894091</v>
          </cell>
          <cell r="Q638">
            <v>0.61751824817518253</v>
          </cell>
          <cell r="R638">
            <v>0.7420844327176781</v>
          </cell>
          <cell r="S638">
            <v>0.6820497452801918</v>
          </cell>
          <cell r="T638">
            <v>0.68548634550475607</v>
          </cell>
          <cell r="U638">
            <v>0.70081490104772992</v>
          </cell>
          <cell r="V638">
            <v>0.72254710851202075</v>
          </cell>
          <cell r="W638">
            <v>0.72254710851202075</v>
          </cell>
          <cell r="X638">
            <v>0.72254710851202075</v>
          </cell>
          <cell r="Y638">
            <v>0.72254710851202075</v>
          </cell>
          <cell r="Z638">
            <v>0.72254710851202075</v>
          </cell>
          <cell r="AA638">
            <v>0.72254710851202075</v>
          </cell>
          <cell r="AB638">
            <v>0.72254710851202075</v>
          </cell>
          <cell r="AC638">
            <v>0.72254710851202075</v>
          </cell>
          <cell r="AD638">
            <v>0.72254710851202075</v>
          </cell>
          <cell r="AE638">
            <v>0.72254710851202075</v>
          </cell>
          <cell r="AF638">
            <v>0.72254710851202075</v>
          </cell>
          <cell r="AG638">
            <v>0.72254710851202075</v>
          </cell>
          <cell r="AH638">
            <v>0.72254710851202075</v>
          </cell>
          <cell r="AI638">
            <v>0.72254710851202075</v>
          </cell>
          <cell r="AJ638">
            <v>0.72254710851202075</v>
          </cell>
          <cell r="AK638">
            <v>0.72254710851202075</v>
          </cell>
        </row>
        <row r="639">
          <cell r="A639" t="str">
            <v xml:space="preserve">    Other LT Liabilities</v>
          </cell>
          <cell r="I639">
            <v>0.1723085460599334</v>
          </cell>
          <cell r="M639">
            <v>0.22210414452709884</v>
          </cell>
          <cell r="N639">
            <v>0.24475806451612903</v>
          </cell>
          <cell r="O639">
            <v>0.18972786508240705</v>
          </cell>
          <cell r="P639">
            <v>0.19891378139850646</v>
          </cell>
          <cell r="Q639">
            <v>0.17605839416058394</v>
          </cell>
          <cell r="R639">
            <v>0.22097625329815304</v>
          </cell>
          <cell r="S639">
            <v>0.19418639496553791</v>
          </cell>
          <cell r="T639">
            <v>0.18011660018410555</v>
          </cell>
          <cell r="U639">
            <v>0.16530849825378346</v>
          </cell>
          <cell r="V639">
            <v>0.17771280051981805</v>
          </cell>
          <cell r="W639">
            <v>0.17771280051981805</v>
          </cell>
          <cell r="X639">
            <v>0.17771280051981805</v>
          </cell>
          <cell r="Y639">
            <v>0.17771280051981805</v>
          </cell>
          <cell r="Z639">
            <v>0.17771280051981805</v>
          </cell>
          <cell r="AA639">
            <v>0.17771280051981805</v>
          </cell>
          <cell r="AB639">
            <v>0.17771280051981805</v>
          </cell>
          <cell r="AC639">
            <v>0.17771280051981805</v>
          </cell>
          <cell r="AD639">
            <v>0.17771280051981805</v>
          </cell>
          <cell r="AE639">
            <v>0.17771280051981805</v>
          </cell>
          <cell r="AF639">
            <v>0.17771280051981805</v>
          </cell>
          <cell r="AG639">
            <v>0.17771280051981805</v>
          </cell>
          <cell r="AH639">
            <v>0.17771280051981805</v>
          </cell>
          <cell r="AI639">
            <v>0.17771280051981805</v>
          </cell>
          <cell r="AJ639">
            <v>0.17771280051981805</v>
          </cell>
          <cell r="AK639">
            <v>0.17771280051981805</v>
          </cell>
        </row>
        <row r="641">
          <cell r="A641" t="str">
            <v>Interest Income</v>
          </cell>
        </row>
        <row r="642">
          <cell r="A642" t="str">
            <v>Beginning Cash</v>
          </cell>
          <cell r="R642">
            <v>161</v>
          </cell>
          <cell r="S642">
            <v>3259</v>
          </cell>
          <cell r="T642">
            <v>3148</v>
          </cell>
          <cell r="U642">
            <v>3203</v>
          </cell>
          <cell r="V642">
            <v>3570</v>
          </cell>
          <cell r="W642">
            <v>3188</v>
          </cell>
          <cell r="X642">
            <v>3134.5110169113541</v>
          </cell>
          <cell r="Y642">
            <v>3112.6624387586071</v>
          </cell>
          <cell r="Z642">
            <v>3104.3528986317942</v>
          </cell>
          <cell r="AA642">
            <v>3109.8828513647559</v>
          </cell>
          <cell r="AB642">
            <v>3120.759442927947</v>
          </cell>
          <cell r="AC642">
            <v>3150.4532092422332</v>
          </cell>
          <cell r="AD642">
            <v>3214.4670008265753</v>
          </cell>
          <cell r="AE642">
            <v>3119.551460905815</v>
          </cell>
          <cell r="AF642">
            <v>3129.4258155971702</v>
          </cell>
          <cell r="AG642">
            <v>3142.5576270168167</v>
          </cell>
          <cell r="AH642">
            <v>3168.1028849812778</v>
          </cell>
          <cell r="AI642">
            <v>3144.5052203100754</v>
          </cell>
          <cell r="AJ642">
            <v>3171.9417657150766</v>
          </cell>
          <cell r="AK642">
            <v>3199.8333917830005</v>
          </cell>
          <cell r="AM642">
            <v>0</v>
          </cell>
          <cell r="AN642">
            <v>0</v>
          </cell>
          <cell r="AO642">
            <v>96</v>
          </cell>
          <cell r="AP642">
            <v>57</v>
          </cell>
          <cell r="AQ642">
            <v>161</v>
          </cell>
          <cell r="AR642">
            <v>3570</v>
          </cell>
          <cell r="AS642">
            <v>3104.3528986317942</v>
          </cell>
          <cell r="AT642">
            <v>3214.4670008265753</v>
          </cell>
          <cell r="AU642">
            <v>3168.1028849812774</v>
          </cell>
        </row>
        <row r="643">
          <cell r="A643" t="str">
            <v>Ending Cash</v>
          </cell>
          <cell r="R643">
            <v>3259</v>
          </cell>
          <cell r="S643">
            <v>3148</v>
          </cell>
          <cell r="T643">
            <v>3203</v>
          </cell>
          <cell r="U643">
            <v>3570</v>
          </cell>
          <cell r="V643">
            <v>3188</v>
          </cell>
          <cell r="W643">
            <v>3134.5110169113541</v>
          </cell>
          <cell r="X643">
            <v>3112.6624387586071</v>
          </cell>
          <cell r="Y643">
            <v>3104.3528986317942</v>
          </cell>
          <cell r="Z643">
            <v>3109.8828513647559</v>
          </cell>
          <cell r="AA643">
            <v>3120.759442927947</v>
          </cell>
          <cell r="AB643">
            <v>3150.4532092422332</v>
          </cell>
          <cell r="AC643">
            <v>3214.4670008265753</v>
          </cell>
          <cell r="AD643">
            <v>3119.551460905815</v>
          </cell>
          <cell r="AE643">
            <v>3129.4258155971702</v>
          </cell>
          <cell r="AF643">
            <v>3142.5576270168167</v>
          </cell>
          <cell r="AG643">
            <v>3168.1028849812778</v>
          </cell>
          <cell r="AH643">
            <v>3144.5052203100754</v>
          </cell>
          <cell r="AI643">
            <v>3171.9417657150766</v>
          </cell>
          <cell r="AJ643">
            <v>3199.8333917830005</v>
          </cell>
          <cell r="AK643">
            <v>3238.8526526900869</v>
          </cell>
          <cell r="AM643">
            <v>0</v>
          </cell>
          <cell r="AN643">
            <v>96</v>
          </cell>
          <cell r="AO643">
            <v>57</v>
          </cell>
          <cell r="AP643">
            <v>161</v>
          </cell>
          <cell r="AQ643">
            <v>3570</v>
          </cell>
          <cell r="AR643">
            <v>3104.3528986317942</v>
          </cell>
          <cell r="AS643">
            <v>3214.4670008265753</v>
          </cell>
          <cell r="AT643">
            <v>3168.1028849812774</v>
          </cell>
          <cell r="AU643">
            <v>3238.8526526900864</v>
          </cell>
        </row>
        <row r="644">
          <cell r="A644" t="str">
            <v>Average Cash</v>
          </cell>
          <cell r="R644">
            <v>1710</v>
          </cell>
          <cell r="S644">
            <v>3203.5</v>
          </cell>
          <cell r="T644">
            <v>3175.5</v>
          </cell>
          <cell r="U644">
            <v>3386.5</v>
          </cell>
          <cell r="V644">
            <v>3379</v>
          </cell>
          <cell r="W644">
            <v>3161.255508455677</v>
          </cell>
          <cell r="X644">
            <v>3123.5867278349806</v>
          </cell>
          <cell r="Y644">
            <v>3108.5076686952007</v>
          </cell>
          <cell r="Z644">
            <v>3107.1178749982751</v>
          </cell>
          <cell r="AA644">
            <v>3115.3211471463514</v>
          </cell>
          <cell r="AB644">
            <v>3135.6063260850901</v>
          </cell>
          <cell r="AC644">
            <v>3182.4601050344045</v>
          </cell>
          <cell r="AD644">
            <v>3167.0092308661951</v>
          </cell>
          <cell r="AE644">
            <v>3124.4886382514924</v>
          </cell>
          <cell r="AF644">
            <v>3135.9917213069934</v>
          </cell>
          <cell r="AG644">
            <v>3155.330255999047</v>
          </cell>
          <cell r="AH644">
            <v>3156.3040526456766</v>
          </cell>
          <cell r="AI644">
            <v>3158.223493012576</v>
          </cell>
          <cell r="AJ644">
            <v>3185.8875787490388</v>
          </cell>
          <cell r="AK644">
            <v>3219.3430222365437</v>
          </cell>
          <cell r="AM644">
            <v>0</v>
          </cell>
          <cell r="AN644">
            <v>48</v>
          </cell>
          <cell r="AO644">
            <v>76.5</v>
          </cell>
          <cell r="AP644">
            <v>109</v>
          </cell>
          <cell r="AQ644">
            <v>1865.5</v>
          </cell>
          <cell r="AR644">
            <v>3337.1764493158971</v>
          </cell>
          <cell r="AS644">
            <v>3159.4099497291845</v>
          </cell>
          <cell r="AT644">
            <v>3191.2849429039261</v>
          </cell>
          <cell r="AU644">
            <v>3203.4777688356817</v>
          </cell>
        </row>
        <row r="645">
          <cell r="A645" t="str">
            <v>Interest Rate</v>
          </cell>
          <cell r="R645">
            <v>2.9239766081871346E-4</v>
          </cell>
          <cell r="S645">
            <v>7.8039644139222731E-5</v>
          </cell>
          <cell r="T645">
            <v>5.510943158557707E-4</v>
          </cell>
          <cell r="U645">
            <v>0</v>
          </cell>
          <cell r="V645">
            <v>2.219591595146493E-4</v>
          </cell>
          <cell r="AM645">
            <v>0</v>
          </cell>
          <cell r="AN645">
            <v>0</v>
          </cell>
          <cell r="AO645">
            <v>0</v>
          </cell>
          <cell r="AP645">
            <v>0</v>
          </cell>
          <cell r="AQ645">
            <v>0</v>
          </cell>
          <cell r="AR645">
            <v>0</v>
          </cell>
          <cell r="AS645">
            <v>0</v>
          </cell>
          <cell r="AT645">
            <v>0</v>
          </cell>
          <cell r="AU645">
            <v>0</v>
          </cell>
        </row>
        <row r="646">
          <cell r="A646" t="str">
            <v>Calculated Interest Income</v>
          </cell>
          <cell r="R646">
            <v>0.125</v>
          </cell>
          <cell r="S646">
            <v>6.25E-2</v>
          </cell>
          <cell r="T646">
            <v>0.43749999999999994</v>
          </cell>
          <cell r="U646">
            <v>0</v>
          </cell>
          <cell r="V646">
            <v>0.1875</v>
          </cell>
          <cell r="W646">
            <v>4.2288447898028192</v>
          </cell>
          <cell r="X646">
            <v>4.1851451973682829</v>
          </cell>
          <cell r="Y646">
            <v>4.175510727698418</v>
          </cell>
          <cell r="Z646">
            <v>4.1582792518288851</v>
          </cell>
          <cell r="AA646">
            <v>4.1276793125036502</v>
          </cell>
          <cell r="AB646">
            <v>4.1278175402723738</v>
          </cell>
          <cell r="AC646">
            <v>4.1616517990556918</v>
          </cell>
          <cell r="AD646">
            <v>4.1604749859864123</v>
          </cell>
          <cell r="AE646">
            <v>4.1229067402570552</v>
          </cell>
          <cell r="AF646">
            <v>4.1105763159315067</v>
          </cell>
          <cell r="AG646">
            <v>4.1205131228027936</v>
          </cell>
          <cell r="AH646">
            <v>4.1158948059706351</v>
          </cell>
          <cell r="AI646">
            <v>4.0942628813610185</v>
          </cell>
          <cell r="AJ646">
            <v>4.0930461032459684</v>
          </cell>
          <cell r="AK646">
            <v>4.1129008920425942</v>
          </cell>
        </row>
        <row r="647">
          <cell r="A647" t="str">
            <v>Reported Interest Income</v>
          </cell>
          <cell r="R647">
            <v>2</v>
          </cell>
          <cell r="S647">
            <v>1</v>
          </cell>
          <cell r="T647">
            <v>7</v>
          </cell>
          <cell r="U647">
            <v>0</v>
          </cell>
          <cell r="V647">
            <v>3</v>
          </cell>
        </row>
        <row r="649">
          <cell r="A649" t="str">
            <v>Cash Balance</v>
          </cell>
        </row>
        <row r="650">
          <cell r="A650" t="str">
            <v>Domestic Cash</v>
          </cell>
          <cell r="R650">
            <v>2153</v>
          </cell>
        </row>
        <row r="651">
          <cell r="A651" t="str">
            <v>Overseas Cash</v>
          </cell>
          <cell r="R651">
            <v>963</v>
          </cell>
        </row>
        <row r="652">
          <cell r="A652" t="str">
            <v>Total Cash</v>
          </cell>
          <cell r="R652">
            <v>3116</v>
          </cell>
        </row>
        <row r="654">
          <cell r="A654" t="str">
            <v>% Overseas</v>
          </cell>
          <cell r="R654">
            <v>0.30905006418485237</v>
          </cell>
        </row>
        <row r="656">
          <cell r="A656" t="str">
            <v>Inventory</v>
          </cell>
        </row>
        <row r="657">
          <cell r="A657" t="str">
            <v xml:space="preserve">    Work in Progress</v>
          </cell>
          <cell r="I657">
            <v>1206</v>
          </cell>
          <cell r="M657">
            <v>680</v>
          </cell>
        </row>
        <row r="658">
          <cell r="A658" t="str">
            <v xml:space="preserve">    Finished Goods</v>
          </cell>
          <cell r="I658">
            <v>1112</v>
          </cell>
          <cell r="M658">
            <v>542</v>
          </cell>
        </row>
        <row r="659">
          <cell r="A659" t="str">
            <v>Total Net Inventories</v>
          </cell>
          <cell r="I659">
            <v>2318</v>
          </cell>
          <cell r="M659">
            <v>1222</v>
          </cell>
        </row>
        <row r="660">
          <cell r="A660" t="str">
            <v xml:space="preserve">    Inventory Allowances</v>
          </cell>
          <cell r="I660">
            <v>472</v>
          </cell>
          <cell r="M660">
            <v>-534</v>
          </cell>
        </row>
        <row r="661">
          <cell r="A661" t="str">
            <v>Total Inventory</v>
          </cell>
          <cell r="I661">
            <v>2790</v>
          </cell>
          <cell r="M661">
            <v>1756</v>
          </cell>
        </row>
        <row r="663">
          <cell r="A663" t="str">
            <v>PP&amp;E, CapEx, and Depreciation</v>
          </cell>
        </row>
        <row r="664">
          <cell r="A664" t="str">
            <v>Beginning of Period PP&amp;E Balance</v>
          </cell>
          <cell r="N664">
            <v>807</v>
          </cell>
          <cell r="O664">
            <v>762</v>
          </cell>
          <cell r="P664">
            <v>743</v>
          </cell>
          <cell r="Q664">
            <v>737</v>
          </cell>
          <cell r="R664">
            <v>806</v>
          </cell>
          <cell r="S664">
            <v>810</v>
          </cell>
          <cell r="T664">
            <v>806</v>
          </cell>
          <cell r="U664">
            <v>804</v>
          </cell>
          <cell r="V664">
            <v>826</v>
          </cell>
          <cell r="W664">
            <v>801</v>
          </cell>
          <cell r="X664">
            <v>794.37662940886185</v>
          </cell>
          <cell r="Y664">
            <v>785.43867007149697</v>
          </cell>
          <cell r="Z664">
            <v>774.9714760915432</v>
          </cell>
          <cell r="AA664">
            <v>766.10194745802403</v>
          </cell>
          <cell r="AB664">
            <v>759.12287989687161</v>
          </cell>
          <cell r="AC664">
            <v>754.17041413109723</v>
          </cell>
          <cell r="AD664">
            <v>751.28127192469901</v>
          </cell>
          <cell r="AE664">
            <v>740.27580465564699</v>
          </cell>
          <cell r="AF664">
            <v>730.02962861752496</v>
          </cell>
          <cell r="AG664">
            <v>720.37984182987975</v>
          </cell>
          <cell r="AH664">
            <v>711.18574547051674</v>
          </cell>
          <cell r="AI664">
            <v>699.42079931291755</v>
          </cell>
          <cell r="AJ664">
            <v>689.56520461830496</v>
          </cell>
          <cell r="AK664">
            <v>681.55905733954739</v>
          </cell>
        </row>
        <row r="665">
          <cell r="A665" t="str">
            <v xml:space="preserve">    + Capital expenditure</v>
          </cell>
          <cell r="N665">
            <v>19</v>
          </cell>
          <cell r="O665">
            <v>23</v>
          </cell>
          <cell r="P665">
            <v>26</v>
          </cell>
          <cell r="Q665">
            <v>75</v>
          </cell>
          <cell r="R665">
            <v>50</v>
          </cell>
          <cell r="S665">
            <v>46</v>
          </cell>
          <cell r="T665">
            <v>40</v>
          </cell>
          <cell r="U665">
            <v>64</v>
          </cell>
          <cell r="V665">
            <v>33</v>
          </cell>
          <cell r="W665">
            <v>30.2265083434866</v>
          </cell>
          <cell r="X665">
            <v>27.607212475633528</v>
          </cell>
          <cell r="Y665">
            <v>25.666788420429814</v>
          </cell>
          <cell r="Z665">
            <v>26.782912155195842</v>
          </cell>
          <cell r="AA665">
            <v>28.265331958708227</v>
          </cell>
          <cell r="AB665">
            <v>29.970862849335987</v>
          </cell>
          <cell r="AC665">
            <v>31.80634900060139</v>
          </cell>
          <cell r="AD665">
            <v>23.557109405449808</v>
          </cell>
          <cell r="AE665">
            <v>23.810095846762415</v>
          </cell>
          <cell r="AF665">
            <v>23.935111381199668</v>
          </cell>
          <cell r="AG665">
            <v>23.946864887047909</v>
          </cell>
          <cell r="AH665">
            <v>20.953042132811994</v>
          </cell>
          <cell r="AI665">
            <v>22.321149099444131</v>
          </cell>
          <cell r="AJ665">
            <v>23.717191432496161</v>
          </cell>
          <cell r="AK665">
            <v>25.141157684325492</v>
          </cell>
        </row>
        <row r="666">
          <cell r="A666" t="str">
            <v xml:space="preserve">    - Depreciated Assets</v>
          </cell>
          <cell r="N666">
            <v>-36</v>
          </cell>
          <cell r="O666">
            <v>-48</v>
          </cell>
          <cell r="P666">
            <v>-44</v>
          </cell>
          <cell r="Q666">
            <v>-47</v>
          </cell>
          <cell r="R666">
            <v>-38</v>
          </cell>
          <cell r="S666">
            <v>-40</v>
          </cell>
          <cell r="T666">
            <v>-42</v>
          </cell>
          <cell r="U666">
            <v>-42</v>
          </cell>
          <cell r="V666">
            <v>-38</v>
          </cell>
          <cell r="W666">
            <v>-36.849878934624698</v>
          </cell>
          <cell r="X666">
            <v>-36.54517181299849</v>
          </cell>
          <cell r="Y666">
            <v>-36.133982400383637</v>
          </cell>
          <cell r="Z666">
            <v>-35.652440788715062</v>
          </cell>
          <cell r="AA666">
            <v>-35.244399519860671</v>
          </cell>
          <cell r="AB666">
            <v>-34.923328615110314</v>
          </cell>
          <cell r="AC666">
            <v>-34.695491206999634</v>
          </cell>
          <cell r="AD666">
            <v>-34.562576674501891</v>
          </cell>
          <cell r="AE666">
            <v>-34.056271884884488</v>
          </cell>
          <cell r="AF666">
            <v>-33.584898168844973</v>
          </cell>
          <cell r="AG666">
            <v>-33.140961246410932</v>
          </cell>
          <cell r="AH666">
            <v>-32.717988290411185</v>
          </cell>
          <cell r="AI666">
            <v>-32.17674379405674</v>
          </cell>
          <cell r="AJ666">
            <v>-31.723338711253739</v>
          </cell>
          <cell r="AK666">
            <v>-31.355017165741891</v>
          </cell>
        </row>
        <row r="667">
          <cell r="A667" t="str">
            <v xml:space="preserve">    + Other</v>
          </cell>
          <cell r="N667">
            <v>-28</v>
          </cell>
          <cell r="O667">
            <v>6</v>
          </cell>
          <cell r="P667">
            <v>12</v>
          </cell>
          <cell r="Q667">
            <v>41</v>
          </cell>
          <cell r="R667">
            <v>-8</v>
          </cell>
          <cell r="S667">
            <v>-10</v>
          </cell>
          <cell r="T667">
            <v>0</v>
          </cell>
          <cell r="U667">
            <v>0</v>
          </cell>
          <cell r="V667">
            <v>-20</v>
          </cell>
          <cell r="W667">
            <v>0</v>
          </cell>
          <cell r="X667">
            <v>0</v>
          </cell>
          <cell r="Y667">
            <v>0</v>
          </cell>
          <cell r="Z667">
            <v>0</v>
          </cell>
          <cell r="AA667">
            <v>0</v>
          </cell>
          <cell r="AB667">
            <v>0</v>
          </cell>
          <cell r="AC667">
            <v>0</v>
          </cell>
          <cell r="AD667">
            <v>0</v>
          </cell>
          <cell r="AE667">
            <v>0</v>
          </cell>
          <cell r="AF667">
            <v>0</v>
          </cell>
          <cell r="AG667">
            <v>0</v>
          </cell>
          <cell r="AH667">
            <v>0</v>
          </cell>
          <cell r="AI667">
            <v>0</v>
          </cell>
          <cell r="AJ667">
            <v>0</v>
          </cell>
          <cell r="AK667">
            <v>0</v>
          </cell>
        </row>
        <row r="668">
          <cell r="A668" t="str">
            <v>End of Period PP&amp;E Balance</v>
          </cell>
          <cell r="M668">
            <v>807</v>
          </cell>
          <cell r="N668">
            <v>762</v>
          </cell>
          <cell r="O668">
            <v>743</v>
          </cell>
          <cell r="P668">
            <v>737</v>
          </cell>
          <cell r="Q668">
            <v>806</v>
          </cell>
          <cell r="R668">
            <v>810</v>
          </cell>
          <cell r="S668">
            <v>806</v>
          </cell>
          <cell r="T668">
            <v>804</v>
          </cell>
          <cell r="U668">
            <v>826</v>
          </cell>
          <cell r="V668">
            <v>801</v>
          </cell>
          <cell r="W668">
            <v>794.37662940886185</v>
          </cell>
          <cell r="X668">
            <v>785.43867007149697</v>
          </cell>
          <cell r="Y668">
            <v>774.9714760915432</v>
          </cell>
          <cell r="Z668">
            <v>766.10194745802403</v>
          </cell>
          <cell r="AA668">
            <v>759.12287989687161</v>
          </cell>
          <cell r="AB668">
            <v>754.17041413109723</v>
          </cell>
          <cell r="AC668">
            <v>751.28127192469901</v>
          </cell>
          <cell r="AD668">
            <v>740.27580465564699</v>
          </cell>
          <cell r="AE668">
            <v>730.02962861752496</v>
          </cell>
          <cell r="AF668">
            <v>720.37984182987975</v>
          </cell>
          <cell r="AG668">
            <v>711.18574547051674</v>
          </cell>
          <cell r="AH668">
            <v>699.42079931291755</v>
          </cell>
          <cell r="AI668">
            <v>689.56520461830496</v>
          </cell>
          <cell r="AJ668">
            <v>681.55905733954739</v>
          </cell>
          <cell r="AK668">
            <v>675.34519785813109</v>
          </cell>
        </row>
        <row r="670">
          <cell r="A670" t="str">
            <v>Depreciation as % of BoP PP&amp;E</v>
          </cell>
          <cell r="N670">
            <v>4.4609665427509292E-2</v>
          </cell>
          <cell r="O670">
            <v>6.2992125984251968E-2</v>
          </cell>
          <cell r="P670">
            <v>5.9219380888290714E-2</v>
          </cell>
          <cell r="Q670">
            <v>6.3772048846675713E-2</v>
          </cell>
          <cell r="R670">
            <v>4.7146401985111663E-2</v>
          </cell>
          <cell r="S670">
            <v>4.9382716049382713E-2</v>
          </cell>
          <cell r="T670">
            <v>5.2109181141439205E-2</v>
          </cell>
          <cell r="U670">
            <v>5.2238805970149252E-2</v>
          </cell>
          <cell r="V670">
            <v>4.6004842615012108E-2</v>
          </cell>
          <cell r="W670">
            <v>4.6004842615012108E-2</v>
          </cell>
          <cell r="X670">
            <v>4.6004842615012108E-2</v>
          </cell>
          <cell r="Y670">
            <v>4.6004842615012108E-2</v>
          </cell>
          <cell r="Z670">
            <v>4.6004842615012108E-2</v>
          </cell>
          <cell r="AA670">
            <v>4.6004842615012108E-2</v>
          </cell>
          <cell r="AB670">
            <v>4.6004842615012108E-2</v>
          </cell>
          <cell r="AC670">
            <v>4.6004842615012108E-2</v>
          </cell>
          <cell r="AD670">
            <v>4.6004842615012108E-2</v>
          </cell>
          <cell r="AE670">
            <v>4.6004842615012108E-2</v>
          </cell>
          <cell r="AF670">
            <v>4.6004842615012108E-2</v>
          </cell>
          <cell r="AG670">
            <v>4.6004842615012108E-2</v>
          </cell>
          <cell r="AH670">
            <v>4.6004842615012108E-2</v>
          </cell>
          <cell r="AI670">
            <v>4.6004842615012108E-2</v>
          </cell>
          <cell r="AJ670">
            <v>4.6004842615012108E-2</v>
          </cell>
          <cell r="AK670">
            <v>4.6004842615012108E-2</v>
          </cell>
        </row>
        <row r="671">
          <cell r="A671" t="str">
            <v>CapEx as a % of Revenue</v>
          </cell>
          <cell r="N671">
            <v>7.6612903225806448E-3</v>
          </cell>
          <cell r="O671">
            <v>8.8156381755461859E-3</v>
          </cell>
          <cell r="P671">
            <v>8.8255261371350986E-3</v>
          </cell>
          <cell r="Q671">
            <v>2.1897810218978103E-2</v>
          </cell>
          <cell r="R671">
            <v>1.6490765171503958E-2</v>
          </cell>
          <cell r="S671">
            <v>1.3784836679652383E-2</v>
          </cell>
          <cell r="T671">
            <v>1.2273703590058299E-2</v>
          </cell>
          <cell r="U671">
            <v>1.8626309662398137E-2</v>
          </cell>
          <cell r="V671">
            <v>1.0721247563352826E-2</v>
          </cell>
          <cell r="W671">
            <v>1.0721247563352826E-2</v>
          </cell>
          <cell r="X671">
            <v>1.0721247563352826E-2</v>
          </cell>
          <cell r="Y671">
            <v>1.0721247563352826E-2</v>
          </cell>
          <cell r="Z671">
            <v>1.0721247563352826E-2</v>
          </cell>
          <cell r="AA671">
            <v>1.0721247563352826E-2</v>
          </cell>
          <cell r="AB671">
            <v>1.0721247563352826E-2</v>
          </cell>
          <cell r="AC671">
            <v>1.0721247563352826E-2</v>
          </cell>
          <cell r="AD671">
            <v>1.0721247563352826E-2</v>
          </cell>
          <cell r="AE671">
            <v>1.0721247563352826E-2</v>
          </cell>
          <cell r="AF671">
            <v>1.0721247563352826E-2</v>
          </cell>
          <cell r="AG671">
            <v>1.0721247563352826E-2</v>
          </cell>
          <cell r="AH671">
            <v>1.0721247563352826E-2</v>
          </cell>
          <cell r="AI671">
            <v>1.0721247563352826E-2</v>
          </cell>
          <cell r="AJ671">
            <v>1.0721247563352826E-2</v>
          </cell>
          <cell r="AK671">
            <v>1.0721247563352826E-2</v>
          </cell>
        </row>
        <row r="674">
          <cell r="A674" t="str">
            <v>MW Requirements.</v>
          </cell>
        </row>
        <row r="675">
          <cell r="A675" t="str">
            <v>Unrecorded Goodwill from Poolings</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N675">
            <v>0</v>
          </cell>
          <cell r="AO675">
            <v>0</v>
          </cell>
          <cell r="AP675">
            <v>0</v>
          </cell>
          <cell r="AQ675">
            <v>0</v>
          </cell>
          <cell r="AR675">
            <v>0</v>
          </cell>
          <cell r="AS675">
            <v>0</v>
          </cell>
          <cell r="AT675">
            <v>0</v>
          </cell>
          <cell r="AU675">
            <v>0</v>
          </cell>
        </row>
        <row r="676">
          <cell r="A676" t="str">
            <v>Statutory Tax Rate</v>
          </cell>
          <cell r="N676">
            <v>0.35</v>
          </cell>
          <cell r="O676">
            <v>0.35</v>
          </cell>
          <cell r="P676">
            <v>0.35</v>
          </cell>
          <cell r="Q676">
            <v>0.35</v>
          </cell>
          <cell r="R676">
            <v>0.35</v>
          </cell>
          <cell r="S676">
            <v>0.35</v>
          </cell>
          <cell r="T676">
            <v>0.35</v>
          </cell>
          <cell r="U676">
            <v>0.35</v>
          </cell>
          <cell r="V676">
            <v>0.35</v>
          </cell>
          <cell r="W676">
            <v>0.35</v>
          </cell>
          <cell r="X676">
            <v>0.35</v>
          </cell>
          <cell r="Y676">
            <v>0.35</v>
          </cell>
          <cell r="Z676">
            <v>0.35</v>
          </cell>
          <cell r="AA676">
            <v>0.35</v>
          </cell>
          <cell r="AB676">
            <v>0.35</v>
          </cell>
          <cell r="AC676">
            <v>0.35</v>
          </cell>
          <cell r="AD676">
            <v>0.35</v>
          </cell>
          <cell r="AE676">
            <v>0.35</v>
          </cell>
          <cell r="AF676">
            <v>0.35</v>
          </cell>
          <cell r="AG676">
            <v>0.35</v>
          </cell>
          <cell r="AH676">
            <v>0.35</v>
          </cell>
          <cell r="AI676">
            <v>0.35</v>
          </cell>
          <cell r="AJ676">
            <v>0.35</v>
          </cell>
          <cell r="AK676">
            <v>0.35</v>
          </cell>
          <cell r="AN676">
            <v>0.35</v>
          </cell>
          <cell r="AO676">
            <v>0.35</v>
          </cell>
          <cell r="AP676">
            <v>0.35</v>
          </cell>
          <cell r="AQ676">
            <v>0.35</v>
          </cell>
          <cell r="AR676">
            <v>0.35</v>
          </cell>
          <cell r="AS676">
            <v>0.35</v>
          </cell>
          <cell r="AT676">
            <v>0.35</v>
          </cell>
          <cell r="AU676">
            <v>0.35</v>
          </cell>
        </row>
        <row r="677">
          <cell r="A677" t="str">
            <v>Dividends</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v>0</v>
          </cell>
          <cell r="AD677">
            <v>0</v>
          </cell>
          <cell r="AE677">
            <v>0</v>
          </cell>
          <cell r="AF677">
            <v>0</v>
          </cell>
          <cell r="AG677">
            <v>0</v>
          </cell>
          <cell r="AH677">
            <v>0</v>
          </cell>
          <cell r="AI677">
            <v>0</v>
          </cell>
          <cell r="AJ677">
            <v>0</v>
          </cell>
          <cell r="AK677">
            <v>0</v>
          </cell>
          <cell r="AN677">
            <v>0</v>
          </cell>
          <cell r="AO677">
            <v>0</v>
          </cell>
          <cell r="AP677">
            <v>0</v>
          </cell>
          <cell r="AQ677">
            <v>0</v>
          </cell>
          <cell r="AR677">
            <v>0</v>
          </cell>
          <cell r="AS677">
            <v>0</v>
          </cell>
          <cell r="AT677">
            <v>0</v>
          </cell>
          <cell r="AU677">
            <v>0</v>
          </cell>
        </row>
        <row r="678">
          <cell r="A678" t="str">
            <v>Net Issuances</v>
          </cell>
          <cell r="N678">
            <v>-13</v>
          </cell>
          <cell r="O678">
            <v>63</v>
          </cell>
          <cell r="P678">
            <v>-223</v>
          </cell>
          <cell r="Q678">
            <v>-47</v>
          </cell>
          <cell r="R678">
            <v>3088</v>
          </cell>
          <cell r="S678">
            <v>32</v>
          </cell>
          <cell r="T678">
            <v>155</v>
          </cell>
          <cell r="U678">
            <v>231</v>
          </cell>
          <cell r="V678">
            <v>70</v>
          </cell>
          <cell r="W678">
            <v>48</v>
          </cell>
          <cell r="X678">
            <v>48</v>
          </cell>
          <cell r="Y678">
            <v>48</v>
          </cell>
          <cell r="Z678">
            <v>48</v>
          </cell>
          <cell r="AA678">
            <v>48</v>
          </cell>
          <cell r="AB678">
            <v>48</v>
          </cell>
          <cell r="AC678">
            <v>48</v>
          </cell>
          <cell r="AD678">
            <v>48</v>
          </cell>
          <cell r="AE678">
            <v>48</v>
          </cell>
          <cell r="AF678">
            <v>48</v>
          </cell>
          <cell r="AG678">
            <v>48</v>
          </cell>
          <cell r="AH678">
            <v>48</v>
          </cell>
          <cell r="AI678">
            <v>48</v>
          </cell>
          <cell r="AJ678">
            <v>48</v>
          </cell>
          <cell r="AK678">
            <v>48</v>
          </cell>
          <cell r="AN678">
            <v>1445</v>
          </cell>
          <cell r="AO678">
            <v>1352</v>
          </cell>
          <cell r="AP678">
            <v>-220</v>
          </cell>
          <cell r="AQ678">
            <v>3506</v>
          </cell>
          <cell r="AR678">
            <v>214</v>
          </cell>
          <cell r="AS678">
            <v>192</v>
          </cell>
          <cell r="AT678">
            <v>192</v>
          </cell>
          <cell r="AU678">
            <v>192</v>
          </cell>
        </row>
        <row r="687">
          <cell r="A687" t="str">
            <v>Motorola Mobility Cash Flow Statement</v>
          </cell>
          <cell r="F687">
            <v>39532</v>
          </cell>
          <cell r="G687">
            <v>39622</v>
          </cell>
          <cell r="H687">
            <v>39712</v>
          </cell>
          <cell r="I687">
            <v>39802</v>
          </cell>
          <cell r="J687">
            <v>39892</v>
          </cell>
          <cell r="K687">
            <v>39982</v>
          </cell>
          <cell r="L687">
            <v>40072</v>
          </cell>
          <cell r="M687">
            <v>40162</v>
          </cell>
          <cell r="N687">
            <v>40252</v>
          </cell>
          <cell r="O687">
            <v>40342</v>
          </cell>
          <cell r="P687">
            <v>40432</v>
          </cell>
          <cell r="Q687">
            <v>40522</v>
          </cell>
          <cell r="R687">
            <v>40612</v>
          </cell>
          <cell r="S687">
            <v>40702</v>
          </cell>
          <cell r="T687">
            <v>40792</v>
          </cell>
          <cell r="U687">
            <v>40882</v>
          </cell>
          <cell r="V687">
            <v>40972</v>
          </cell>
          <cell r="W687">
            <v>41062</v>
          </cell>
          <cell r="X687">
            <v>41153</v>
          </cell>
          <cell r="Y687">
            <v>41244</v>
          </cell>
          <cell r="Z687">
            <v>41337</v>
          </cell>
          <cell r="AA687">
            <v>41427</v>
          </cell>
          <cell r="AB687">
            <v>41518</v>
          </cell>
          <cell r="AC687">
            <v>41609</v>
          </cell>
          <cell r="AD687">
            <v>41702</v>
          </cell>
          <cell r="AE687">
            <v>41792</v>
          </cell>
          <cell r="AF687">
            <v>41883</v>
          </cell>
          <cell r="AG687">
            <v>41974</v>
          </cell>
          <cell r="AH687">
            <v>42067</v>
          </cell>
          <cell r="AI687">
            <v>42157</v>
          </cell>
          <cell r="AJ687">
            <v>42248</v>
          </cell>
          <cell r="AK687">
            <v>42339</v>
          </cell>
          <cell r="AM687" t="str">
            <v>2007A</v>
          </cell>
          <cell r="AN687" t="str">
            <v>2008A</v>
          </cell>
          <cell r="AO687" t="str">
            <v>2009A</v>
          </cell>
          <cell r="AP687" t="str">
            <v>2010A</v>
          </cell>
          <cell r="AQ687" t="str">
            <v>2011E</v>
          </cell>
          <cell r="AR687" t="str">
            <v>2012E</v>
          </cell>
          <cell r="AS687" t="str">
            <v>2013E</v>
          </cell>
          <cell r="AT687" t="str">
            <v>2014E</v>
          </cell>
          <cell r="AU687" t="str">
            <v>2015E</v>
          </cell>
        </row>
        <row r="688">
          <cell r="F688" t="str">
            <v>Q1-08A</v>
          </cell>
          <cell r="G688" t="str">
            <v>Q2-08A</v>
          </cell>
          <cell r="H688" t="str">
            <v>Q3-08A</v>
          </cell>
          <cell r="I688" t="str">
            <v>Q4-08A</v>
          </cell>
          <cell r="J688" t="str">
            <v>Q1-09A</v>
          </cell>
          <cell r="K688" t="str">
            <v>Q2-09A</v>
          </cell>
          <cell r="L688" t="str">
            <v>Q3-09A</v>
          </cell>
          <cell r="M688" t="str">
            <v>Q4-09A</v>
          </cell>
          <cell r="N688" t="str">
            <v>Q1-10A</v>
          </cell>
          <cell r="O688" t="str">
            <v>Q2-10A</v>
          </cell>
          <cell r="P688" t="str">
            <v>Q3-10A</v>
          </cell>
          <cell r="Q688" t="str">
            <v>Q4-10A</v>
          </cell>
          <cell r="R688" t="str">
            <v>Q1-11</v>
          </cell>
          <cell r="S688" t="str">
            <v>Q2-11</v>
          </cell>
          <cell r="T688" t="str">
            <v>Q3-11</v>
          </cell>
          <cell r="U688" t="str">
            <v>Q4-11</v>
          </cell>
          <cell r="V688" t="str">
            <v>Q1-12</v>
          </cell>
          <cell r="W688" t="str">
            <v>Q2-12</v>
          </cell>
          <cell r="X688" t="str">
            <v>Q3-12</v>
          </cell>
          <cell r="Y688" t="str">
            <v>Q4-12E</v>
          </cell>
          <cell r="Z688" t="str">
            <v>Q1-13E</v>
          </cell>
          <cell r="AA688" t="str">
            <v>Q2-13E</v>
          </cell>
          <cell r="AB688" t="str">
            <v>Q3-13E</v>
          </cell>
          <cell r="AC688" t="str">
            <v>Q4-13E</v>
          </cell>
          <cell r="AD688" t="str">
            <v>Q1-14E</v>
          </cell>
          <cell r="AE688" t="str">
            <v>Q2-14E</v>
          </cell>
          <cell r="AF688" t="str">
            <v>Q3-14E</v>
          </cell>
          <cell r="AG688" t="str">
            <v>Q4-14E</v>
          </cell>
          <cell r="AH688" t="str">
            <v>Q1-15E</v>
          </cell>
          <cell r="AI688" t="str">
            <v>Q2-15E</v>
          </cell>
          <cell r="AJ688" t="str">
            <v>Q3-15E</v>
          </cell>
          <cell r="AK688" t="str">
            <v>Q4-15E</v>
          </cell>
        </row>
        <row r="689">
          <cell r="A689" t="str">
            <v>GAAP Cash Flow</v>
          </cell>
        </row>
        <row r="690">
          <cell r="A690" t="str">
            <v>Cash Flows from Operations</v>
          </cell>
        </row>
        <row r="691">
          <cell r="A691" t="str">
            <v xml:space="preserve">   Net Income to Motorola</v>
          </cell>
          <cell r="F691" t="str">
            <v>ND</v>
          </cell>
          <cell r="G691" t="str">
            <v>ND</v>
          </cell>
          <cell r="H691" t="str">
            <v>ND</v>
          </cell>
          <cell r="I691" t="str">
            <v>ND</v>
          </cell>
          <cell r="J691">
            <v>-614</v>
          </cell>
          <cell r="K691">
            <v>-271</v>
          </cell>
          <cell r="L691">
            <v>-253</v>
          </cell>
          <cell r="M691">
            <v>-204</v>
          </cell>
          <cell r="N691">
            <v>-212</v>
          </cell>
          <cell r="O691">
            <v>80</v>
          </cell>
          <cell r="P691">
            <v>-34</v>
          </cell>
          <cell r="Q691">
            <v>80</v>
          </cell>
          <cell r="R691">
            <v>-81</v>
          </cell>
          <cell r="S691">
            <v>-56</v>
          </cell>
          <cell r="T691">
            <v>-32</v>
          </cell>
          <cell r="U691">
            <v>-80</v>
          </cell>
          <cell r="V691">
            <v>-86</v>
          </cell>
          <cell r="W691">
            <v>-42.32440520975473</v>
          </cell>
          <cell r="X691">
            <v>-46.903999999999996</v>
          </cell>
          <cell r="Y691">
            <v>-21.378539747069404</v>
          </cell>
          <cell r="Z691">
            <v>-75.328034135734811</v>
          </cell>
          <cell r="AA691">
            <v>-54.416076580211588</v>
          </cell>
          <cell r="AB691">
            <v>-43.767497633442012</v>
          </cell>
          <cell r="AC691">
            <v>-0.60134558888007916</v>
          </cell>
          <cell r="AD691">
            <v>-64.797254431791146</v>
          </cell>
          <cell r="AE691">
            <v>-45.689484101303904</v>
          </cell>
          <cell r="AF691">
            <v>-45.934355438120726</v>
          </cell>
          <cell r="AG691">
            <v>-25.845125783525276</v>
          </cell>
          <cell r="AH691">
            <v>-56.296158453570797</v>
          </cell>
          <cell r="AI691">
            <v>-42.773043499693017</v>
          </cell>
          <cell r="AJ691">
            <v>-45.507509691323833</v>
          </cell>
          <cell r="AK691">
            <v>-26.624890408075061</v>
          </cell>
          <cell r="AM691">
            <v>-656</v>
          </cell>
          <cell r="AN691">
            <v>-2969</v>
          </cell>
          <cell r="AO691">
            <v>-1342</v>
          </cell>
          <cell r="AP691">
            <v>-86</v>
          </cell>
          <cell r="AQ691">
            <v>-249</v>
          </cell>
          <cell r="AR691">
            <v>-196.60694495682412</v>
          </cell>
          <cell r="AS691">
            <v>-174.1129539382685</v>
          </cell>
          <cell r="AT691">
            <v>-182.26621975474106</v>
          </cell>
          <cell r="AU691">
            <v>-171.20160205266271</v>
          </cell>
        </row>
        <row r="692">
          <cell r="A692" t="str">
            <v xml:space="preserve">   Less: Earnings attributable to noncontrolling interest</v>
          </cell>
          <cell r="F692" t="str">
            <v>ND</v>
          </cell>
          <cell r="G692" t="str">
            <v>ND</v>
          </cell>
          <cell r="H692" t="str">
            <v>ND</v>
          </cell>
          <cell r="I692" t="str">
            <v>ND</v>
          </cell>
          <cell r="J692">
            <v>3</v>
          </cell>
          <cell r="K692">
            <v>1</v>
          </cell>
          <cell r="L692">
            <v>2</v>
          </cell>
          <cell r="M692">
            <v>1</v>
          </cell>
          <cell r="N692">
            <v>1</v>
          </cell>
          <cell r="O692">
            <v>-3</v>
          </cell>
          <cell r="P692">
            <v>-1</v>
          </cell>
          <cell r="Q692">
            <v>10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M692">
            <v>8</v>
          </cell>
          <cell r="AN692">
            <v>-3</v>
          </cell>
          <cell r="AO692">
            <v>7</v>
          </cell>
          <cell r="AP692">
            <v>7</v>
          </cell>
          <cell r="AQ692">
            <v>0</v>
          </cell>
          <cell r="AR692">
            <v>0</v>
          </cell>
          <cell r="AS692">
            <v>0</v>
          </cell>
          <cell r="AT692">
            <v>0</v>
          </cell>
          <cell r="AU692">
            <v>0</v>
          </cell>
        </row>
        <row r="693">
          <cell r="A693" t="str">
            <v xml:space="preserve">   Earnings from discont, net of tax</v>
          </cell>
          <cell r="F693" t="str">
            <v>ND</v>
          </cell>
          <cell r="G693" t="str">
            <v>ND</v>
          </cell>
          <cell r="H693" t="str">
            <v>ND</v>
          </cell>
          <cell r="I693" t="str">
            <v>ND</v>
          </cell>
          <cell r="AP693">
            <v>0</v>
          </cell>
          <cell r="AQ693">
            <v>0</v>
          </cell>
          <cell r="AR693">
            <v>0</v>
          </cell>
          <cell r="AS693">
            <v>0</v>
          </cell>
          <cell r="AT693">
            <v>0</v>
          </cell>
          <cell r="AU693">
            <v>0</v>
          </cell>
        </row>
        <row r="694">
          <cell r="A694" t="str">
            <v xml:space="preserve">   Depreciation &amp; amortization</v>
          </cell>
          <cell r="F694" t="str">
            <v>ND</v>
          </cell>
          <cell r="G694" t="str">
            <v>ND</v>
          </cell>
          <cell r="H694" t="str">
            <v>ND</v>
          </cell>
          <cell r="I694" t="str">
            <v>ND</v>
          </cell>
          <cell r="J694">
            <v>57</v>
          </cell>
          <cell r="K694">
            <v>54</v>
          </cell>
          <cell r="L694">
            <v>51</v>
          </cell>
          <cell r="M694">
            <v>49</v>
          </cell>
          <cell r="N694">
            <v>49</v>
          </cell>
          <cell r="O694">
            <v>62</v>
          </cell>
          <cell r="P694">
            <v>58</v>
          </cell>
          <cell r="Q694">
            <v>61</v>
          </cell>
          <cell r="R694">
            <v>54</v>
          </cell>
          <cell r="S694">
            <v>56</v>
          </cell>
          <cell r="T694">
            <v>57</v>
          </cell>
          <cell r="U694">
            <v>54</v>
          </cell>
          <cell r="V694">
            <v>49</v>
          </cell>
          <cell r="W694">
            <v>47.849878934624698</v>
          </cell>
          <cell r="X694">
            <v>47.54517181299849</v>
          </cell>
          <cell r="Y694">
            <v>47.133982400383637</v>
          </cell>
          <cell r="Z694">
            <v>46.652440788715062</v>
          </cell>
          <cell r="AA694">
            <v>46.244399519860671</v>
          </cell>
          <cell r="AB694">
            <v>45.923328615110314</v>
          </cell>
          <cell r="AC694">
            <v>45.695491206999634</v>
          </cell>
          <cell r="AD694">
            <v>45.562576674501891</v>
          </cell>
          <cell r="AE694">
            <v>45.056271884884488</v>
          </cell>
          <cell r="AF694">
            <v>44.584898168844973</v>
          </cell>
          <cell r="AG694">
            <v>44.140961246410932</v>
          </cell>
          <cell r="AH694">
            <v>43.717988290411185</v>
          </cell>
          <cell r="AI694">
            <v>43.17674379405674</v>
          </cell>
          <cell r="AJ694">
            <v>42.723338711253739</v>
          </cell>
          <cell r="AK694">
            <v>42.355017165741891</v>
          </cell>
          <cell r="AM694">
            <v>274</v>
          </cell>
          <cell r="AN694">
            <v>227</v>
          </cell>
          <cell r="AO694">
            <v>211</v>
          </cell>
          <cell r="AP694">
            <v>230</v>
          </cell>
          <cell r="AQ694">
            <v>221</v>
          </cell>
          <cell r="AR694">
            <v>191.52903314800685</v>
          </cell>
          <cell r="AS694">
            <v>184.51566013068569</v>
          </cell>
          <cell r="AT694">
            <v>179.34470797464229</v>
          </cell>
          <cell r="AU694">
            <v>171.97308796146356</v>
          </cell>
        </row>
        <row r="695">
          <cell r="A695" t="str">
            <v xml:space="preserve">   Non-cash other charges</v>
          </cell>
          <cell r="F695" t="str">
            <v>ND</v>
          </cell>
          <cell r="G695" t="str">
            <v>ND</v>
          </cell>
          <cell r="H695" t="str">
            <v>ND</v>
          </cell>
          <cell r="I695" t="str">
            <v>ND</v>
          </cell>
          <cell r="J695">
            <v>28</v>
          </cell>
          <cell r="K695">
            <v>-12</v>
          </cell>
          <cell r="L695">
            <v>-1</v>
          </cell>
          <cell r="M695">
            <v>15</v>
          </cell>
          <cell r="N695">
            <v>1</v>
          </cell>
          <cell r="O695">
            <v>0</v>
          </cell>
          <cell r="P695">
            <v>0</v>
          </cell>
          <cell r="Q695">
            <v>-37</v>
          </cell>
          <cell r="R695">
            <v>-1</v>
          </cell>
          <cell r="S695">
            <v>18</v>
          </cell>
          <cell r="AM695">
            <v>92</v>
          </cell>
          <cell r="AN695">
            <v>309</v>
          </cell>
          <cell r="AO695">
            <v>30</v>
          </cell>
          <cell r="AP695">
            <v>-36</v>
          </cell>
          <cell r="AQ695">
            <v>17</v>
          </cell>
          <cell r="AR695">
            <v>0</v>
          </cell>
          <cell r="AS695">
            <v>0</v>
          </cell>
          <cell r="AT695">
            <v>0</v>
          </cell>
          <cell r="AU695">
            <v>0</v>
          </cell>
        </row>
        <row r="696">
          <cell r="A696" t="str">
            <v xml:space="preserve">   Share-based compensation expense</v>
          </cell>
          <cell r="F696" t="str">
            <v>ND</v>
          </cell>
          <cell r="G696" t="str">
            <v>ND</v>
          </cell>
          <cell r="H696" t="str">
            <v>ND</v>
          </cell>
          <cell r="I696" t="str">
            <v>ND</v>
          </cell>
          <cell r="J696">
            <v>41</v>
          </cell>
          <cell r="K696">
            <v>43</v>
          </cell>
          <cell r="L696">
            <v>42</v>
          </cell>
          <cell r="M696">
            <v>40</v>
          </cell>
          <cell r="N696">
            <v>38</v>
          </cell>
          <cell r="O696">
            <v>40</v>
          </cell>
          <cell r="P696">
            <v>42</v>
          </cell>
          <cell r="Q696">
            <v>43</v>
          </cell>
          <cell r="R696">
            <v>40</v>
          </cell>
          <cell r="S696">
            <v>46</v>
          </cell>
          <cell r="T696">
            <v>34</v>
          </cell>
          <cell r="U696">
            <v>36</v>
          </cell>
          <cell r="V696">
            <v>48</v>
          </cell>
          <cell r="W696">
            <v>48</v>
          </cell>
          <cell r="X696">
            <v>48</v>
          </cell>
          <cell r="Y696">
            <v>48</v>
          </cell>
          <cell r="Z696">
            <v>48</v>
          </cell>
          <cell r="AA696">
            <v>48</v>
          </cell>
          <cell r="AB696">
            <v>48</v>
          </cell>
          <cell r="AC696">
            <v>48</v>
          </cell>
          <cell r="AD696">
            <v>48</v>
          </cell>
          <cell r="AE696">
            <v>48</v>
          </cell>
          <cell r="AF696">
            <v>48</v>
          </cell>
          <cell r="AG696">
            <v>48</v>
          </cell>
          <cell r="AH696">
            <v>48</v>
          </cell>
          <cell r="AI696">
            <v>48</v>
          </cell>
          <cell r="AJ696">
            <v>48</v>
          </cell>
          <cell r="AK696">
            <v>48</v>
          </cell>
          <cell r="AM696">
            <v>157</v>
          </cell>
          <cell r="AN696">
            <v>147</v>
          </cell>
          <cell r="AO696">
            <v>166</v>
          </cell>
          <cell r="AP696">
            <v>163</v>
          </cell>
          <cell r="AQ696">
            <v>156</v>
          </cell>
          <cell r="AR696">
            <v>192</v>
          </cell>
          <cell r="AS696">
            <v>192</v>
          </cell>
          <cell r="AT696">
            <v>192</v>
          </cell>
          <cell r="AU696">
            <v>192</v>
          </cell>
        </row>
        <row r="697">
          <cell r="A697" t="str">
            <v xml:space="preserve">   Losses (gains) on sales of investments</v>
          </cell>
          <cell r="F697" t="str">
            <v>ND</v>
          </cell>
          <cell r="G697" t="str">
            <v>ND</v>
          </cell>
          <cell r="H697" t="str">
            <v>ND</v>
          </cell>
          <cell r="I697" t="str">
            <v>ND</v>
          </cell>
          <cell r="J697">
            <v>31</v>
          </cell>
          <cell r="K697">
            <v>1</v>
          </cell>
          <cell r="L697">
            <v>0</v>
          </cell>
          <cell r="M697">
            <v>2</v>
          </cell>
          <cell r="S697">
            <v>-10</v>
          </cell>
          <cell r="T697">
            <v>-2</v>
          </cell>
          <cell r="U697">
            <v>-5</v>
          </cell>
          <cell r="AM697">
            <v>-2</v>
          </cell>
          <cell r="AN697">
            <v>-11</v>
          </cell>
          <cell r="AO697">
            <v>34</v>
          </cell>
          <cell r="AP697">
            <v>0</v>
          </cell>
          <cell r="AQ697">
            <v>-17</v>
          </cell>
          <cell r="AR697">
            <v>0</v>
          </cell>
          <cell r="AS697">
            <v>0</v>
          </cell>
          <cell r="AT697">
            <v>0</v>
          </cell>
          <cell r="AU697">
            <v>0</v>
          </cell>
        </row>
        <row r="698">
          <cell r="A698" t="str">
            <v xml:space="preserve">   Deferred Income Taxes</v>
          </cell>
          <cell r="F698" t="str">
            <v>ND</v>
          </cell>
          <cell r="G698" t="str">
            <v>ND</v>
          </cell>
          <cell r="H698" t="str">
            <v>ND</v>
          </cell>
          <cell r="I698" t="str">
            <v>ND</v>
          </cell>
          <cell r="J698">
            <v>-37</v>
          </cell>
          <cell r="K698">
            <v>1</v>
          </cell>
          <cell r="L698">
            <v>0</v>
          </cell>
          <cell r="M698">
            <v>-3</v>
          </cell>
          <cell r="N698">
            <v>-7</v>
          </cell>
          <cell r="O698">
            <v>4</v>
          </cell>
          <cell r="P698">
            <v>17</v>
          </cell>
          <cell r="Q698">
            <v>-9</v>
          </cell>
          <cell r="R698">
            <v>-11</v>
          </cell>
          <cell r="S698">
            <v>-4</v>
          </cell>
          <cell r="T698">
            <v>-31</v>
          </cell>
          <cell r="U698">
            <v>0</v>
          </cell>
          <cell r="V698">
            <v>-3</v>
          </cell>
          <cell r="W698">
            <v>15.548362316817546</v>
          </cell>
          <cell r="X698">
            <v>14.683931380388444</v>
          </cell>
          <cell r="Y698">
            <v>10.878134854929897</v>
          </cell>
          <cell r="Z698">
            <v>-6.2570573009610655</v>
          </cell>
          <cell r="AA698">
            <v>-8.3105352621148683</v>
          </cell>
          <cell r="AB698">
            <v>-9.5613095383677518</v>
          </cell>
          <cell r="AC698">
            <v>-10.289846605578774</v>
          </cell>
          <cell r="AD698">
            <v>46.24573712433461</v>
          </cell>
          <cell r="AE698">
            <v>-1.4182573225100725</v>
          </cell>
          <cell r="AF698">
            <v>-0.70084466275427815</v>
          </cell>
          <cell r="AG698">
            <v>-6.5890866118920144E-2</v>
          </cell>
          <cell r="AH698">
            <v>16.783551804049807</v>
          </cell>
          <cell r="AI698">
            <v>-7.6696905705134881</v>
          </cell>
          <cell r="AJ698">
            <v>-7.8262979277159275</v>
          </cell>
          <cell r="AK698">
            <v>-7.9828411087402031</v>
          </cell>
          <cell r="AM698">
            <v>-327</v>
          </cell>
          <cell r="AN698">
            <v>1313</v>
          </cell>
          <cell r="AO698">
            <v>-39</v>
          </cell>
          <cell r="AP698">
            <v>5</v>
          </cell>
          <cell r="AQ698">
            <v>-46</v>
          </cell>
          <cell r="AR698">
            <v>38.110428552135886</v>
          </cell>
          <cell r="AS698">
            <v>-34.418748707022459</v>
          </cell>
          <cell r="AT698">
            <v>44.060744272951339</v>
          </cell>
          <cell r="AU698">
            <v>-6.6952778029198114</v>
          </cell>
        </row>
        <row r="699">
          <cell r="A699" t="str">
            <v>Change in Working Capital</v>
          </cell>
          <cell r="F699" t="str">
            <v>ND</v>
          </cell>
          <cell r="G699" t="str">
            <v>ND</v>
          </cell>
          <cell r="H699" t="str">
            <v>ND</v>
          </cell>
          <cell r="I699" t="str">
            <v>ND</v>
          </cell>
          <cell r="AP699">
            <v>0</v>
          </cell>
          <cell r="AQ699">
            <v>0</v>
          </cell>
          <cell r="AR699">
            <v>0</v>
          </cell>
          <cell r="AS699">
            <v>0</v>
          </cell>
          <cell r="AT699">
            <v>0</v>
          </cell>
          <cell r="AU699">
            <v>0</v>
          </cell>
        </row>
        <row r="700">
          <cell r="A700" t="str">
            <v>Accounts receivable</v>
          </cell>
          <cell r="F700" t="str">
            <v>ND</v>
          </cell>
          <cell r="G700" t="str">
            <v>ND</v>
          </cell>
          <cell r="H700" t="str">
            <v>ND</v>
          </cell>
          <cell r="I700" t="str">
            <v>ND</v>
          </cell>
          <cell r="J700">
            <v>-228</v>
          </cell>
          <cell r="K700">
            <v>57</v>
          </cell>
          <cell r="L700">
            <v>129</v>
          </cell>
          <cell r="M700">
            <v>-25</v>
          </cell>
          <cell r="N700">
            <v>148</v>
          </cell>
          <cell r="O700">
            <v>-97</v>
          </cell>
          <cell r="P700">
            <v>-276</v>
          </cell>
          <cell r="Q700">
            <v>-3</v>
          </cell>
          <cell r="R700">
            <v>21</v>
          </cell>
          <cell r="S700">
            <v>-284</v>
          </cell>
          <cell r="T700">
            <v>17</v>
          </cell>
          <cell r="U700">
            <v>-17</v>
          </cell>
          <cell r="V700">
            <v>74</v>
          </cell>
          <cell r="W700">
            <v>143.80134013013389</v>
          </cell>
          <cell r="X700">
            <v>135.80652211807933</v>
          </cell>
          <cell r="Y700">
            <v>100.60804722586499</v>
          </cell>
          <cell r="Z700">
            <v>-57.869324551050568</v>
          </cell>
          <cell r="AA700">
            <v>-76.861220721505788</v>
          </cell>
          <cell r="AB700">
            <v>-88.429192541336306</v>
          </cell>
          <cell r="AC700">
            <v>-95.167175903488214</v>
          </cell>
          <cell r="AD700">
            <v>427.71057416073813</v>
          </cell>
          <cell r="AE700">
            <v>-13.116963669268671</v>
          </cell>
          <cell r="AF700">
            <v>-6.4818660430948967</v>
          </cell>
          <cell r="AG700">
            <v>-0.60940146988923516</v>
          </cell>
          <cell r="AH700">
            <v>155.22517371204981</v>
          </cell>
          <cell r="AI700">
            <v>-70.934273330532733</v>
          </cell>
          <cell r="AJ700">
            <v>-72.382679753091679</v>
          </cell>
          <cell r="AK700">
            <v>-73.830492632726873</v>
          </cell>
          <cell r="AM700">
            <v>1983</v>
          </cell>
          <cell r="AN700">
            <v>1684</v>
          </cell>
          <cell r="AO700">
            <v>-67</v>
          </cell>
          <cell r="AP700">
            <v>-228</v>
          </cell>
          <cell r="AQ700">
            <v>-263</v>
          </cell>
          <cell r="AR700">
            <v>454.21590947407822</v>
          </cell>
          <cell r="AS700">
            <v>-318.32691371738088</v>
          </cell>
          <cell r="AT700">
            <v>407.50234297848533</v>
          </cell>
          <cell r="AU700">
            <v>-61.922272004301476</v>
          </cell>
        </row>
        <row r="701">
          <cell r="A701" t="str">
            <v>Inventories</v>
          </cell>
          <cell r="F701" t="str">
            <v>ND</v>
          </cell>
          <cell r="G701" t="str">
            <v>ND</v>
          </cell>
          <cell r="H701" t="str">
            <v>ND</v>
          </cell>
          <cell r="I701" t="str">
            <v>ND</v>
          </cell>
          <cell r="J701">
            <v>481</v>
          </cell>
          <cell r="K701">
            <v>325</v>
          </cell>
          <cell r="L701">
            <v>143</v>
          </cell>
          <cell r="M701">
            <v>206</v>
          </cell>
          <cell r="N701">
            <v>105</v>
          </cell>
          <cell r="O701">
            <v>-45</v>
          </cell>
          <cell r="P701">
            <v>-226</v>
          </cell>
          <cell r="Q701">
            <v>12</v>
          </cell>
          <cell r="R701">
            <v>-16</v>
          </cell>
          <cell r="S701">
            <v>115</v>
          </cell>
          <cell r="T701">
            <v>-19</v>
          </cell>
          <cell r="U701">
            <v>42</v>
          </cell>
          <cell r="V701">
            <v>138</v>
          </cell>
          <cell r="W701">
            <v>68.704563802397729</v>
          </cell>
          <cell r="X701">
            <v>40.824443046869249</v>
          </cell>
          <cell r="Y701">
            <v>43.13868750080195</v>
          </cell>
          <cell r="Z701">
            <v>-23.555356713497986</v>
          </cell>
          <cell r="AA701">
            <v>-18.527780896844718</v>
          </cell>
          <cell r="AB701">
            <v>-26.433717665084487</v>
          </cell>
          <cell r="AC701">
            <v>-23.506571250425452</v>
          </cell>
          <cell r="AD701">
            <v>121.88974232900779</v>
          </cell>
          <cell r="AE701">
            <v>-0.53158230652542215</v>
          </cell>
          <cell r="AF701">
            <v>-1.8861309694431725</v>
          </cell>
          <cell r="AG701">
            <v>3.3378467779556331</v>
          </cell>
          <cell r="AH701">
            <v>41.111037743938994</v>
          </cell>
          <cell r="AI701">
            <v>-18.778054324002539</v>
          </cell>
          <cell r="AJ701">
            <v>-21.995670594511466</v>
          </cell>
          <cell r="AK701">
            <v>-18.699182483431912</v>
          </cell>
          <cell r="AM701">
            <v>405</v>
          </cell>
          <cell r="AN701">
            <v>-65</v>
          </cell>
          <cell r="AO701">
            <v>1155</v>
          </cell>
          <cell r="AP701">
            <v>-154</v>
          </cell>
          <cell r="AQ701">
            <v>122</v>
          </cell>
          <cell r="AR701">
            <v>290.66769435006893</v>
          </cell>
          <cell r="AS701">
            <v>-92.023426525852642</v>
          </cell>
          <cell r="AT701">
            <v>122.80987583099483</v>
          </cell>
          <cell r="AU701">
            <v>-18.361869658006924</v>
          </cell>
        </row>
        <row r="702">
          <cell r="A702" t="str">
            <v>Other current assets</v>
          </cell>
          <cell r="F702" t="str">
            <v>ND</v>
          </cell>
          <cell r="G702" t="str">
            <v>ND</v>
          </cell>
          <cell r="H702" t="str">
            <v>ND</v>
          </cell>
          <cell r="I702" t="str">
            <v>ND</v>
          </cell>
          <cell r="J702">
            <v>-5</v>
          </cell>
          <cell r="K702">
            <v>-14</v>
          </cell>
          <cell r="L702">
            <v>282</v>
          </cell>
          <cell r="M702">
            <v>-256</v>
          </cell>
          <cell r="N702">
            <v>70</v>
          </cell>
          <cell r="O702">
            <v>9</v>
          </cell>
          <cell r="P702">
            <v>-86</v>
          </cell>
          <cell r="Q702">
            <v>96</v>
          </cell>
          <cell r="R702">
            <v>22</v>
          </cell>
          <cell r="S702">
            <v>23</v>
          </cell>
          <cell r="T702">
            <v>-45</v>
          </cell>
          <cell r="U702">
            <v>4</v>
          </cell>
          <cell r="V702">
            <v>-8</v>
          </cell>
          <cell r="W702">
            <v>72.446963876198538</v>
          </cell>
          <cell r="X702">
            <v>68.419182972404542</v>
          </cell>
          <cell r="Y702">
            <v>50.686228351078739</v>
          </cell>
          <cell r="Z702">
            <v>-29.154504829342955</v>
          </cell>
          <cell r="AA702">
            <v>-38.722602140232539</v>
          </cell>
          <cell r="AB702">
            <v>-44.550534173367623</v>
          </cell>
          <cell r="AC702">
            <v>-47.945123102750813</v>
          </cell>
          <cell r="AD702">
            <v>215.48013730365653</v>
          </cell>
          <cell r="AE702">
            <v>-6.6083124973172289</v>
          </cell>
          <cell r="AF702">
            <v>-3.2655572934821748</v>
          </cell>
          <cell r="AG702">
            <v>-0.30701581942969369</v>
          </cell>
          <cell r="AH702">
            <v>78.202279216707666</v>
          </cell>
          <cell r="AI702">
            <v>-35.736612279906012</v>
          </cell>
          <cell r="AJ702">
            <v>-36.466317911844044</v>
          </cell>
          <cell r="AK702">
            <v>-37.195724517481267</v>
          </cell>
          <cell r="AM702">
            <v>109</v>
          </cell>
          <cell r="AN702">
            <v>686</v>
          </cell>
          <cell r="AO702">
            <v>7</v>
          </cell>
          <cell r="AP702">
            <v>89</v>
          </cell>
          <cell r="AQ702">
            <v>4</v>
          </cell>
          <cell r="AR702">
            <v>183.55237519968182</v>
          </cell>
          <cell r="AS702">
            <v>-160.37276424569393</v>
          </cell>
          <cell r="AT702">
            <v>205.29925169342744</v>
          </cell>
          <cell r="AU702">
            <v>-31.196375492523657</v>
          </cell>
        </row>
        <row r="703">
          <cell r="A703" t="str">
            <v>Accounts payable and accrued liabilities</v>
          </cell>
          <cell r="F703" t="str">
            <v>ND</v>
          </cell>
          <cell r="G703" t="str">
            <v>ND</v>
          </cell>
          <cell r="H703" t="str">
            <v>ND</v>
          </cell>
          <cell r="I703" t="str">
            <v>ND</v>
          </cell>
          <cell r="J703">
            <v>-953</v>
          </cell>
          <cell r="K703">
            <v>-370</v>
          </cell>
          <cell r="L703">
            <v>-416</v>
          </cell>
          <cell r="M703">
            <v>371</v>
          </cell>
          <cell r="N703">
            <v>-201</v>
          </cell>
          <cell r="O703">
            <v>112</v>
          </cell>
          <cell r="P703">
            <v>775</v>
          </cell>
          <cell r="Q703">
            <v>-57</v>
          </cell>
          <cell r="R703">
            <v>1</v>
          </cell>
          <cell r="S703">
            <v>94</v>
          </cell>
          <cell r="T703">
            <v>30</v>
          </cell>
          <cell r="U703">
            <v>155</v>
          </cell>
          <cell r="V703">
            <v>-327</v>
          </cell>
          <cell r="W703">
            <v>-371.65815008083746</v>
          </cell>
          <cell r="X703">
            <v>-286.29865267009131</v>
          </cell>
          <cell r="Y703">
            <v>-246.76964345302008</v>
          </cell>
          <cell r="Z703">
            <v>138.55863222914127</v>
          </cell>
          <cell r="AA703">
            <v>149.72597818369582</v>
          </cell>
          <cell r="AB703">
            <v>186.02080756459304</v>
          </cell>
          <cell r="AC703">
            <v>186.9081187340737</v>
          </cell>
          <cell r="AD703">
            <v>-883.70148752802629</v>
          </cell>
          <cell r="AE703">
            <v>18.479139411735787</v>
          </cell>
          <cell r="AF703">
            <v>13.496959620493499</v>
          </cell>
          <cell r="AG703">
            <v>-8.1831144124348612</v>
          </cell>
          <cell r="AH703">
            <v>-312.31012744186182</v>
          </cell>
          <cell r="AI703">
            <v>142.69495299490472</v>
          </cell>
          <cell r="AJ703">
            <v>153.22956568842619</v>
          </cell>
          <cell r="AK703">
            <v>146.24744957998678</v>
          </cell>
          <cell r="AM703">
            <v>-2137</v>
          </cell>
          <cell r="AN703">
            <v>-1896</v>
          </cell>
          <cell r="AO703">
            <v>-1368</v>
          </cell>
          <cell r="AP703">
            <v>629</v>
          </cell>
          <cell r="AQ703">
            <v>280</v>
          </cell>
          <cell r="AR703">
            <v>-1231.7264462039489</v>
          </cell>
          <cell r="AS703">
            <v>661.21353671150382</v>
          </cell>
          <cell r="AT703">
            <v>-859.90850290823187</v>
          </cell>
          <cell r="AU703">
            <v>129.86184082145587</v>
          </cell>
        </row>
        <row r="704">
          <cell r="A704" t="str">
            <v>Other assets and liabilities</v>
          </cell>
          <cell r="F704" t="str">
            <v>ND</v>
          </cell>
          <cell r="G704" t="str">
            <v>ND</v>
          </cell>
          <cell r="H704" t="str">
            <v>ND</v>
          </cell>
          <cell r="I704" t="str">
            <v>ND</v>
          </cell>
          <cell r="J704">
            <v>53</v>
          </cell>
          <cell r="K704">
            <v>-12</v>
          </cell>
          <cell r="L704">
            <v>25</v>
          </cell>
          <cell r="M704">
            <v>36</v>
          </cell>
          <cell r="N704">
            <v>34</v>
          </cell>
          <cell r="O704">
            <v>-131</v>
          </cell>
          <cell r="P704">
            <v>55</v>
          </cell>
          <cell r="Q704">
            <v>29</v>
          </cell>
          <cell r="R704">
            <v>78</v>
          </cell>
          <cell r="S704">
            <v>2</v>
          </cell>
          <cell r="T704">
            <v>16</v>
          </cell>
          <cell r="U704">
            <v>36</v>
          </cell>
          <cell r="V704">
            <v>17</v>
          </cell>
          <cell r="W704">
            <v>-5.6310285147393415</v>
          </cell>
          <cell r="X704">
            <v>-16.317964337762305</v>
          </cell>
          <cell r="Y704">
            <v>-14.939648839352969</v>
          </cell>
          <cell r="Z704">
            <v>-8.7339305991113747</v>
          </cell>
          <cell r="AA704">
            <v>-7.9902385807475866</v>
          </cell>
          <cell r="AB704">
            <v>-7.5372554644830529</v>
          </cell>
          <cell r="AC704">
            <v>-7.2734069050066523</v>
          </cell>
          <cell r="AD704">
            <v>-27.748456147731929</v>
          </cell>
          <cell r="AE704">
            <v>-10.486360861577452</v>
          </cell>
          <cell r="AF704">
            <v>-10.746180581597059</v>
          </cell>
          <cell r="AG704">
            <v>-10.976136821459704</v>
          </cell>
          <cell r="AH704">
            <v>-17.078367410115277</v>
          </cell>
          <cell r="AI704">
            <v>-8.2223282798681225</v>
          </cell>
          <cell r="AJ704">
            <v>-8.1656110207731558</v>
          </cell>
          <cell r="AK704">
            <v>-8.1089170038616203</v>
          </cell>
          <cell r="AM704">
            <v>151</v>
          </cell>
          <cell r="AN704">
            <v>-658</v>
          </cell>
          <cell r="AO704">
            <v>102</v>
          </cell>
          <cell r="AP704">
            <v>-13</v>
          </cell>
          <cell r="AQ704">
            <v>132</v>
          </cell>
          <cell r="AR704">
            <v>-19.888641691854616</v>
          </cell>
          <cell r="AS704">
            <v>-31.534831549348667</v>
          </cell>
          <cell r="AT704">
            <v>-59.957134412366145</v>
          </cell>
          <cell r="AU704">
            <v>-41.575223714618176</v>
          </cell>
        </row>
        <row r="705">
          <cell r="A705" t="str">
            <v>CFO, net</v>
          </cell>
          <cell r="F705" t="str">
            <v>ND</v>
          </cell>
          <cell r="G705" t="str">
            <v>ND</v>
          </cell>
          <cell r="H705" t="str">
            <v>ND</v>
          </cell>
          <cell r="I705" t="str">
            <v>ND</v>
          </cell>
          <cell r="J705">
            <v>-1143</v>
          </cell>
          <cell r="K705">
            <v>-197</v>
          </cell>
          <cell r="L705">
            <v>4</v>
          </cell>
          <cell r="M705">
            <v>232</v>
          </cell>
          <cell r="N705">
            <v>26</v>
          </cell>
          <cell r="O705">
            <v>31</v>
          </cell>
          <cell r="P705">
            <v>324</v>
          </cell>
          <cell r="Q705">
            <v>225</v>
          </cell>
          <cell r="R705">
            <v>107</v>
          </cell>
          <cell r="S705">
            <v>0</v>
          </cell>
          <cell r="T705">
            <v>25</v>
          </cell>
          <cell r="U705">
            <v>225</v>
          </cell>
          <cell r="V705">
            <v>-98</v>
          </cell>
          <cell r="W705">
            <v>-23.262474745159125</v>
          </cell>
          <cell r="X705">
            <v>5.7586343228864507</v>
          </cell>
          <cell r="Y705">
            <v>17.357248293616749</v>
          </cell>
          <cell r="Z705">
            <v>32.312864888157577</v>
          </cell>
          <cell r="AA705">
            <v>39.1419235218994</v>
          </cell>
          <cell r="AB705">
            <v>59.664629163622124</v>
          </cell>
          <cell r="AC705">
            <v>95.820140584943346</v>
          </cell>
          <cell r="AD705">
            <v>-71.358430515310431</v>
          </cell>
          <cell r="AE705">
            <v>33.684450538117524</v>
          </cell>
          <cell r="AF705">
            <v>37.066922800846164</v>
          </cell>
          <cell r="AG705">
            <v>49.492122851508881</v>
          </cell>
          <cell r="AH705">
            <v>-2.6446225383904221</v>
          </cell>
          <cell r="AI705">
            <v>49.757694504445553</v>
          </cell>
          <cell r="AJ705">
            <v>51.608817500419832</v>
          </cell>
          <cell r="AK705">
            <v>64.160418591411741</v>
          </cell>
          <cell r="AM705">
            <v>57</v>
          </cell>
          <cell r="AN705">
            <v>-1236</v>
          </cell>
          <cell r="AO705">
            <v>-1104</v>
          </cell>
          <cell r="AP705">
            <v>606</v>
          </cell>
          <cell r="AQ705">
            <v>357</v>
          </cell>
          <cell r="AR705">
            <v>-98.146592128655925</v>
          </cell>
          <cell r="AS705">
            <v>226.93955815862245</v>
          </cell>
          <cell r="AT705">
            <v>48.885065675162139</v>
          </cell>
          <cell r="AU705">
            <v>162.88230805788669</v>
          </cell>
        </row>
        <row r="707">
          <cell r="A707" t="str">
            <v>Cash Flows From Investments</v>
          </cell>
        </row>
        <row r="708">
          <cell r="A708" t="str">
            <v xml:space="preserve">   Acquistions &amp; Investments</v>
          </cell>
          <cell r="F708" t="str">
            <v>ND</v>
          </cell>
          <cell r="G708" t="str">
            <v>ND</v>
          </cell>
          <cell r="H708" t="str">
            <v>ND</v>
          </cell>
          <cell r="I708" t="str">
            <v>ND</v>
          </cell>
          <cell r="J708">
            <v>-10</v>
          </cell>
          <cell r="K708">
            <v>-3</v>
          </cell>
          <cell r="L708">
            <v>-8</v>
          </cell>
          <cell r="M708">
            <v>0</v>
          </cell>
          <cell r="N708">
            <v>-20</v>
          </cell>
          <cell r="O708">
            <v>0</v>
          </cell>
          <cell r="P708">
            <v>-46</v>
          </cell>
          <cell r="Q708">
            <v>-82</v>
          </cell>
          <cell r="R708">
            <v>-11</v>
          </cell>
          <cell r="S708">
            <v>-33</v>
          </cell>
          <cell r="T708">
            <v>-21</v>
          </cell>
          <cell r="U708">
            <v>-7</v>
          </cell>
          <cell r="V708">
            <v>-20</v>
          </cell>
          <cell r="AM708">
            <v>-519</v>
          </cell>
          <cell r="AN708">
            <v>-73</v>
          </cell>
          <cell r="AO708">
            <v>-21</v>
          </cell>
          <cell r="AP708">
            <v>-148</v>
          </cell>
          <cell r="AQ708">
            <v>-72</v>
          </cell>
          <cell r="AR708">
            <v>-20</v>
          </cell>
          <cell r="AS708">
            <v>0</v>
          </cell>
          <cell r="AT708">
            <v>0</v>
          </cell>
          <cell r="AU708">
            <v>0</v>
          </cell>
        </row>
        <row r="709">
          <cell r="A709" t="str">
            <v xml:space="preserve">   Proceeds from Sale of Investments</v>
          </cell>
          <cell r="F709" t="str">
            <v>ND</v>
          </cell>
          <cell r="G709" t="str">
            <v>ND</v>
          </cell>
          <cell r="H709" t="str">
            <v>ND</v>
          </cell>
          <cell r="I709" t="str">
            <v>ND</v>
          </cell>
          <cell r="J709">
            <v>-22</v>
          </cell>
          <cell r="K709">
            <v>6</v>
          </cell>
          <cell r="L709">
            <v>1</v>
          </cell>
          <cell r="M709">
            <v>1</v>
          </cell>
          <cell r="N709">
            <v>4</v>
          </cell>
          <cell r="O709">
            <v>1</v>
          </cell>
          <cell r="P709">
            <v>7</v>
          </cell>
          <cell r="Q709">
            <v>1</v>
          </cell>
          <cell r="R709">
            <v>0</v>
          </cell>
          <cell r="S709">
            <v>17</v>
          </cell>
          <cell r="T709">
            <v>12</v>
          </cell>
          <cell r="U709">
            <v>10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M709">
            <v>5</v>
          </cell>
          <cell r="AN709">
            <v>7</v>
          </cell>
          <cell r="AO709">
            <v>-14</v>
          </cell>
          <cell r="AP709">
            <v>13</v>
          </cell>
          <cell r="AQ709">
            <v>39</v>
          </cell>
          <cell r="AR709">
            <v>0</v>
          </cell>
          <cell r="AS709">
            <v>0</v>
          </cell>
          <cell r="AT709">
            <v>0</v>
          </cell>
          <cell r="AU709">
            <v>0</v>
          </cell>
        </row>
        <row r="710">
          <cell r="A710" t="str">
            <v xml:space="preserve">   Distributions from investments</v>
          </cell>
          <cell r="F710" t="str">
            <v>ND</v>
          </cell>
          <cell r="G710" t="str">
            <v>ND</v>
          </cell>
          <cell r="H710" t="str">
            <v>ND</v>
          </cell>
          <cell r="I710" t="str">
            <v>ND</v>
          </cell>
          <cell r="S710">
            <v>-23</v>
          </cell>
          <cell r="T710">
            <v>-1</v>
          </cell>
          <cell r="U710">
            <v>20</v>
          </cell>
          <cell r="V710">
            <v>-265</v>
          </cell>
          <cell r="AM710">
            <v>14</v>
          </cell>
          <cell r="AN710">
            <v>92</v>
          </cell>
          <cell r="AP710">
            <v>0</v>
          </cell>
          <cell r="AQ710">
            <v>-4</v>
          </cell>
          <cell r="AR710">
            <v>-265</v>
          </cell>
          <cell r="AS710">
            <v>0</v>
          </cell>
          <cell r="AT710">
            <v>0</v>
          </cell>
          <cell r="AU710">
            <v>0</v>
          </cell>
        </row>
        <row r="711">
          <cell r="A711" t="str">
            <v xml:space="preserve">   Capital Expenditures</v>
          </cell>
          <cell r="F711" t="str">
            <v>ND</v>
          </cell>
          <cell r="G711" t="str">
            <v>ND</v>
          </cell>
          <cell r="H711" t="str">
            <v>ND</v>
          </cell>
          <cell r="I711" t="str">
            <v>ND</v>
          </cell>
          <cell r="J711">
            <v>-17</v>
          </cell>
          <cell r="K711">
            <v>-16</v>
          </cell>
          <cell r="L711">
            <v>-12</v>
          </cell>
          <cell r="M711">
            <v>-22</v>
          </cell>
          <cell r="N711">
            <v>-19</v>
          </cell>
          <cell r="O711">
            <v>-23</v>
          </cell>
          <cell r="P711">
            <v>-26</v>
          </cell>
          <cell r="Q711">
            <v>-75</v>
          </cell>
          <cell r="R711">
            <v>-50</v>
          </cell>
          <cell r="S711">
            <v>-46</v>
          </cell>
          <cell r="T711">
            <v>-40</v>
          </cell>
          <cell r="U711">
            <v>-64</v>
          </cell>
          <cell r="V711">
            <v>-33</v>
          </cell>
          <cell r="W711">
            <v>-30.2265083434866</v>
          </cell>
          <cell r="X711">
            <v>-27.607212475633528</v>
          </cell>
          <cell r="Y711">
            <v>-25.666788420429814</v>
          </cell>
          <cell r="Z711">
            <v>-26.782912155195842</v>
          </cell>
          <cell r="AA711">
            <v>-28.265331958708227</v>
          </cell>
          <cell r="AB711">
            <v>-29.970862849335987</v>
          </cell>
          <cell r="AC711">
            <v>-31.80634900060139</v>
          </cell>
          <cell r="AD711">
            <v>-23.557109405449808</v>
          </cell>
          <cell r="AE711">
            <v>-23.810095846762415</v>
          </cell>
          <cell r="AF711">
            <v>-23.935111381199668</v>
          </cell>
          <cell r="AG711">
            <v>-23.946864887047909</v>
          </cell>
          <cell r="AH711">
            <v>-20.953042132811994</v>
          </cell>
          <cell r="AI711">
            <v>-22.321149099444131</v>
          </cell>
          <cell r="AJ711">
            <v>-23.717191432496161</v>
          </cell>
          <cell r="AK711">
            <v>-25.141157684325492</v>
          </cell>
          <cell r="AM711">
            <v>-195</v>
          </cell>
          <cell r="AN711">
            <v>-151</v>
          </cell>
          <cell r="AO711">
            <v>-67</v>
          </cell>
          <cell r="AP711">
            <v>-143</v>
          </cell>
          <cell r="AQ711">
            <v>-200</v>
          </cell>
          <cell r="AR711">
            <v>-116.50050923954994</v>
          </cell>
          <cell r="AS711">
            <v>-116.82545596384145</v>
          </cell>
          <cell r="AT711">
            <v>-95.2491815204598</v>
          </cell>
          <cell r="AU711">
            <v>-92.132540349077786</v>
          </cell>
        </row>
        <row r="712">
          <cell r="A712" t="str">
            <v xml:space="preserve">   Proceeds from Sale of PP&amp;E</v>
          </cell>
          <cell r="F712" t="str">
            <v>ND</v>
          </cell>
          <cell r="G712" t="str">
            <v>ND</v>
          </cell>
          <cell r="H712" t="str">
            <v>ND</v>
          </cell>
          <cell r="I712" t="str">
            <v>ND</v>
          </cell>
          <cell r="J712">
            <v>2</v>
          </cell>
          <cell r="K712">
            <v>1</v>
          </cell>
          <cell r="L712">
            <v>4</v>
          </cell>
          <cell r="M712">
            <v>14</v>
          </cell>
          <cell r="O712">
            <v>1</v>
          </cell>
          <cell r="P712">
            <v>0</v>
          </cell>
          <cell r="S712">
            <v>1</v>
          </cell>
          <cell r="AM712">
            <v>18</v>
          </cell>
          <cell r="AN712">
            <v>11</v>
          </cell>
          <cell r="AO712">
            <v>21</v>
          </cell>
          <cell r="AP712">
            <v>1</v>
          </cell>
          <cell r="AQ712">
            <v>1</v>
          </cell>
          <cell r="AR712">
            <v>0</v>
          </cell>
          <cell r="AS712">
            <v>0</v>
          </cell>
          <cell r="AT712">
            <v>0</v>
          </cell>
          <cell r="AU712">
            <v>0</v>
          </cell>
        </row>
        <row r="713">
          <cell r="A713" t="str">
            <v xml:space="preserve">   Purchases of ST Investments</v>
          </cell>
          <cell r="F713" t="str">
            <v>ND</v>
          </cell>
          <cell r="G713" t="str">
            <v>ND</v>
          </cell>
          <cell r="H713" t="str">
            <v>ND</v>
          </cell>
          <cell r="I713" t="str">
            <v>ND</v>
          </cell>
          <cell r="J713">
            <v>29</v>
          </cell>
          <cell r="K713">
            <v>-14</v>
          </cell>
          <cell r="L713">
            <v>0</v>
          </cell>
          <cell r="M713">
            <v>0</v>
          </cell>
          <cell r="N713">
            <v>0</v>
          </cell>
          <cell r="O713">
            <v>0</v>
          </cell>
          <cell r="P713">
            <v>0</v>
          </cell>
          <cell r="Q713">
            <v>0</v>
          </cell>
          <cell r="R713">
            <v>0</v>
          </cell>
          <cell r="S713">
            <v>0</v>
          </cell>
          <cell r="T713">
            <v>4</v>
          </cell>
          <cell r="U713">
            <v>1</v>
          </cell>
          <cell r="V713">
            <v>-1</v>
          </cell>
          <cell r="W713">
            <v>0</v>
          </cell>
          <cell r="X713">
            <v>0</v>
          </cell>
          <cell r="Y713">
            <v>0</v>
          </cell>
          <cell r="Z713">
            <v>0</v>
          </cell>
          <cell r="AA713">
            <v>0</v>
          </cell>
          <cell r="AB713">
            <v>0</v>
          </cell>
          <cell r="AC713">
            <v>0</v>
          </cell>
          <cell r="AD713">
            <v>0</v>
          </cell>
          <cell r="AE713">
            <v>0</v>
          </cell>
          <cell r="AF713">
            <v>0</v>
          </cell>
          <cell r="AG713">
            <v>0</v>
          </cell>
          <cell r="AH713">
            <v>0</v>
          </cell>
          <cell r="AI713">
            <v>0</v>
          </cell>
          <cell r="AJ713">
            <v>0</v>
          </cell>
          <cell r="AK713">
            <v>0</v>
          </cell>
          <cell r="AM713">
            <v>0</v>
          </cell>
          <cell r="AN713">
            <v>-29</v>
          </cell>
          <cell r="AO713">
            <v>15</v>
          </cell>
          <cell r="AP713">
            <v>0</v>
          </cell>
          <cell r="AQ713">
            <v>5</v>
          </cell>
          <cell r="AR713">
            <v>-1</v>
          </cell>
          <cell r="AS713">
            <v>0</v>
          </cell>
          <cell r="AT713">
            <v>0</v>
          </cell>
          <cell r="AU713">
            <v>0</v>
          </cell>
        </row>
        <row r="714">
          <cell r="A714" t="str">
            <v>CFI, net</v>
          </cell>
          <cell r="F714" t="str">
            <v>ND</v>
          </cell>
          <cell r="G714" t="str">
            <v>ND</v>
          </cell>
          <cell r="H714" t="str">
            <v>ND</v>
          </cell>
          <cell r="I714" t="str">
            <v>ND</v>
          </cell>
          <cell r="J714">
            <v>-18</v>
          </cell>
          <cell r="K714">
            <v>-26</v>
          </cell>
          <cell r="L714">
            <v>-15</v>
          </cell>
          <cell r="M714">
            <v>-7</v>
          </cell>
          <cell r="N714">
            <v>-35</v>
          </cell>
          <cell r="O714">
            <v>-21</v>
          </cell>
          <cell r="P714">
            <v>-65</v>
          </cell>
          <cell r="Q714">
            <v>-156</v>
          </cell>
          <cell r="R714">
            <v>-61</v>
          </cell>
          <cell r="S714">
            <v>-84</v>
          </cell>
          <cell r="T714">
            <v>-46</v>
          </cell>
          <cell r="U714">
            <v>-40</v>
          </cell>
          <cell r="V714">
            <v>-319</v>
          </cell>
          <cell r="W714">
            <v>-30.2265083434866</v>
          </cell>
          <cell r="X714">
            <v>-27.607212475633528</v>
          </cell>
          <cell r="Y714">
            <v>-25.666788420429814</v>
          </cell>
          <cell r="Z714">
            <v>-26.782912155195842</v>
          </cell>
          <cell r="AA714">
            <v>-28.265331958708227</v>
          </cell>
          <cell r="AB714">
            <v>-29.970862849335987</v>
          </cell>
          <cell r="AC714">
            <v>-31.80634900060139</v>
          </cell>
          <cell r="AD714">
            <v>-23.557109405449808</v>
          </cell>
          <cell r="AE714">
            <v>-23.810095846762415</v>
          </cell>
          <cell r="AF714">
            <v>-23.935111381199668</v>
          </cell>
          <cell r="AG714">
            <v>-23.946864887047909</v>
          </cell>
          <cell r="AH714">
            <v>-20.953042132811994</v>
          </cell>
          <cell r="AI714">
            <v>-22.321149099444131</v>
          </cell>
          <cell r="AJ714">
            <v>-23.717191432496161</v>
          </cell>
          <cell r="AK714">
            <v>-25.141157684325492</v>
          </cell>
          <cell r="AM714">
            <v>-677</v>
          </cell>
          <cell r="AN714">
            <v>-143</v>
          </cell>
          <cell r="AO714">
            <v>-66</v>
          </cell>
          <cell r="AP714">
            <v>-277</v>
          </cell>
          <cell r="AQ714">
            <v>-231</v>
          </cell>
          <cell r="AR714">
            <v>-402.50050923954996</v>
          </cell>
          <cell r="AS714">
            <v>-116.82545596384145</v>
          </cell>
          <cell r="AT714">
            <v>-95.2491815204598</v>
          </cell>
          <cell r="AU714">
            <v>-92.132540349077786</v>
          </cell>
        </row>
        <row r="716">
          <cell r="A716" t="str">
            <v>Cash Flows From Financing</v>
          </cell>
          <cell r="F716" t="str">
            <v>ND</v>
          </cell>
          <cell r="G716" t="str">
            <v>ND</v>
          </cell>
          <cell r="H716" t="str">
            <v>ND</v>
          </cell>
          <cell r="I716" t="str">
            <v>ND</v>
          </cell>
        </row>
        <row r="717">
          <cell r="A717" t="str">
            <v xml:space="preserve">   Net transfers from Motorola, Inc.</v>
          </cell>
          <cell r="F717" t="str">
            <v>ND</v>
          </cell>
          <cell r="G717" t="str">
            <v>ND</v>
          </cell>
          <cell r="H717" t="str">
            <v>ND</v>
          </cell>
          <cell r="I717" t="str">
            <v>ND</v>
          </cell>
          <cell r="J717">
            <v>1128</v>
          </cell>
          <cell r="K717">
            <v>291</v>
          </cell>
          <cell r="L717">
            <v>6</v>
          </cell>
          <cell r="M717">
            <v>-239</v>
          </cell>
          <cell r="N717">
            <v>-51</v>
          </cell>
          <cell r="O717">
            <v>23</v>
          </cell>
          <cell r="P717">
            <v>-265</v>
          </cell>
          <cell r="Q717">
            <v>-90</v>
          </cell>
          <cell r="R717">
            <v>3032</v>
          </cell>
          <cell r="T717">
            <v>75</v>
          </cell>
          <cell r="U717">
            <v>150</v>
          </cell>
          <cell r="AM717">
            <v>764</v>
          </cell>
          <cell r="AN717">
            <v>1298</v>
          </cell>
          <cell r="AO717">
            <v>1186</v>
          </cell>
          <cell r="AP717">
            <v>-383</v>
          </cell>
          <cell r="AQ717">
            <v>3257</v>
          </cell>
          <cell r="AR717">
            <v>0</v>
          </cell>
          <cell r="AS717">
            <v>0</v>
          </cell>
          <cell r="AT717">
            <v>0</v>
          </cell>
          <cell r="AU717">
            <v>0</v>
          </cell>
        </row>
        <row r="718">
          <cell r="A718" t="str">
            <v xml:space="preserve">   Proceeds from CP &amp; ST Borrowings</v>
          </cell>
          <cell r="F718" t="str">
            <v>ND</v>
          </cell>
          <cell r="G718" t="str">
            <v>ND</v>
          </cell>
          <cell r="H718" t="str">
            <v>ND</v>
          </cell>
          <cell r="I718" t="str">
            <v>ND</v>
          </cell>
          <cell r="AP718">
            <v>0</v>
          </cell>
          <cell r="AQ718">
            <v>0</v>
          </cell>
          <cell r="AR718">
            <v>0</v>
          </cell>
          <cell r="AS718">
            <v>0</v>
          </cell>
          <cell r="AT718">
            <v>0</v>
          </cell>
          <cell r="AU718">
            <v>0</v>
          </cell>
        </row>
        <row r="719">
          <cell r="A719" t="str">
            <v xml:space="preserve">   Debt Repayment</v>
          </cell>
          <cell r="F719" t="str">
            <v>ND</v>
          </cell>
          <cell r="G719" t="str">
            <v>ND</v>
          </cell>
          <cell r="H719" t="str">
            <v>ND</v>
          </cell>
          <cell r="I719" t="str">
            <v>ND</v>
          </cell>
          <cell r="AM719">
            <v>-38</v>
          </cell>
          <cell r="AP719">
            <v>0</v>
          </cell>
          <cell r="AQ719">
            <v>0</v>
          </cell>
          <cell r="AR719">
            <v>0</v>
          </cell>
          <cell r="AS719">
            <v>0</v>
          </cell>
          <cell r="AT719">
            <v>0</v>
          </cell>
          <cell r="AU719">
            <v>0</v>
          </cell>
        </row>
        <row r="720">
          <cell r="A720" t="str">
            <v xml:space="preserve">   Common Stock Issuance</v>
          </cell>
          <cell r="F720" t="str">
            <v>ND</v>
          </cell>
          <cell r="G720" t="str">
            <v>ND</v>
          </cell>
          <cell r="H720" t="str">
            <v>ND</v>
          </cell>
          <cell r="I720" t="str">
            <v>ND</v>
          </cell>
          <cell r="R720">
            <v>16</v>
          </cell>
          <cell r="S720">
            <v>-14</v>
          </cell>
          <cell r="T720">
            <v>46</v>
          </cell>
          <cell r="U720">
            <v>45</v>
          </cell>
          <cell r="V720">
            <v>22</v>
          </cell>
          <cell r="AP720">
            <v>0</v>
          </cell>
          <cell r="AQ720">
            <v>93</v>
          </cell>
          <cell r="AR720">
            <v>22</v>
          </cell>
          <cell r="AS720">
            <v>0</v>
          </cell>
          <cell r="AT720">
            <v>0</v>
          </cell>
          <cell r="AU720">
            <v>0</v>
          </cell>
        </row>
        <row r="721">
          <cell r="A721" t="str">
            <v xml:space="preserve">   Share Repurchase</v>
          </cell>
          <cell r="F721" t="str">
            <v>ND</v>
          </cell>
          <cell r="G721" t="str">
            <v>ND</v>
          </cell>
          <cell r="H721" t="str">
            <v>ND</v>
          </cell>
          <cell r="I721" t="str">
            <v>ND</v>
          </cell>
          <cell r="AP721">
            <v>0</v>
          </cell>
          <cell r="AQ721">
            <v>0</v>
          </cell>
          <cell r="AR721">
            <v>0</v>
          </cell>
          <cell r="AS721">
            <v>0</v>
          </cell>
          <cell r="AT721">
            <v>0</v>
          </cell>
          <cell r="AU721">
            <v>0</v>
          </cell>
        </row>
        <row r="722">
          <cell r="A722" t="str">
            <v xml:space="preserve">   Other </v>
          </cell>
          <cell r="F722" t="str">
            <v>ND</v>
          </cell>
          <cell r="G722" t="str">
            <v>ND</v>
          </cell>
          <cell r="H722" t="str">
            <v>ND</v>
          </cell>
          <cell r="I722" t="str">
            <v>ND</v>
          </cell>
          <cell r="R722">
            <v>15</v>
          </cell>
          <cell r="T722">
            <v>-1</v>
          </cell>
          <cell r="V722">
            <v>-1</v>
          </cell>
          <cell r="AP722">
            <v>0</v>
          </cell>
          <cell r="AQ722">
            <v>14</v>
          </cell>
          <cell r="AR722">
            <v>-1</v>
          </cell>
          <cell r="AS722">
            <v>0</v>
          </cell>
          <cell r="AT722">
            <v>0</v>
          </cell>
          <cell r="AU722">
            <v>0</v>
          </cell>
        </row>
        <row r="723">
          <cell r="A723" t="str">
            <v xml:space="preserve">   Dividends</v>
          </cell>
          <cell r="F723" t="str">
            <v>ND</v>
          </cell>
          <cell r="G723" t="str">
            <v>ND</v>
          </cell>
          <cell r="H723" t="str">
            <v>ND</v>
          </cell>
          <cell r="I723" t="str">
            <v>ND</v>
          </cell>
          <cell r="J723">
            <v>0</v>
          </cell>
          <cell r="K723">
            <v>0</v>
          </cell>
          <cell r="L723">
            <v>0</v>
          </cell>
          <cell r="M723">
            <v>0</v>
          </cell>
          <cell r="N723">
            <v>0</v>
          </cell>
          <cell r="O723">
            <v>0</v>
          </cell>
          <cell r="P723">
            <v>0</v>
          </cell>
          <cell r="Q723">
            <v>0</v>
          </cell>
          <cell r="R723">
            <v>0</v>
          </cell>
          <cell r="S723">
            <v>0</v>
          </cell>
          <cell r="T723">
            <v>0</v>
          </cell>
          <cell r="U723">
            <v>0</v>
          </cell>
          <cell r="V723">
            <v>0</v>
          </cell>
          <cell r="AM723">
            <v>0</v>
          </cell>
          <cell r="AN723">
            <v>0</v>
          </cell>
          <cell r="AO723">
            <v>0</v>
          </cell>
          <cell r="AP723">
            <v>0</v>
          </cell>
          <cell r="AQ723">
            <v>0</v>
          </cell>
          <cell r="AR723">
            <v>0</v>
          </cell>
          <cell r="AS723">
            <v>0</v>
          </cell>
          <cell r="AT723">
            <v>0</v>
          </cell>
          <cell r="AU723">
            <v>0</v>
          </cell>
        </row>
        <row r="724">
          <cell r="A724" t="str">
            <v>CFF, net</v>
          </cell>
          <cell r="F724" t="str">
            <v>ND</v>
          </cell>
          <cell r="G724" t="str">
            <v>ND</v>
          </cell>
          <cell r="H724" t="str">
            <v>ND</v>
          </cell>
          <cell r="I724" t="str">
            <v>ND</v>
          </cell>
          <cell r="J724">
            <v>1128</v>
          </cell>
          <cell r="K724">
            <v>291</v>
          </cell>
          <cell r="L724">
            <v>6</v>
          </cell>
          <cell r="M724">
            <v>-239</v>
          </cell>
          <cell r="N724">
            <v>-51</v>
          </cell>
          <cell r="O724">
            <v>23</v>
          </cell>
          <cell r="P724">
            <v>-265</v>
          </cell>
          <cell r="Q724">
            <v>-90</v>
          </cell>
          <cell r="R724">
            <v>3063</v>
          </cell>
          <cell r="S724">
            <v>-14</v>
          </cell>
          <cell r="T724">
            <v>120</v>
          </cell>
          <cell r="U724">
            <v>195</v>
          </cell>
          <cell r="V724">
            <v>21</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M724">
            <v>726</v>
          </cell>
          <cell r="AN724">
            <v>1298</v>
          </cell>
          <cell r="AO724">
            <v>1186</v>
          </cell>
          <cell r="AP724">
            <v>-383</v>
          </cell>
          <cell r="AQ724">
            <v>3364</v>
          </cell>
          <cell r="AR724">
            <v>21</v>
          </cell>
          <cell r="AS724">
            <v>0</v>
          </cell>
          <cell r="AT724">
            <v>0</v>
          </cell>
          <cell r="AU724">
            <v>0</v>
          </cell>
        </row>
        <row r="726">
          <cell r="A726" t="str">
            <v xml:space="preserve">   F/X Impact on Cash</v>
          </cell>
          <cell r="F726" t="str">
            <v>ND</v>
          </cell>
          <cell r="G726" t="str">
            <v>ND</v>
          </cell>
          <cell r="H726" t="str">
            <v>ND</v>
          </cell>
          <cell r="I726" t="str">
            <v>ND</v>
          </cell>
          <cell r="J726">
            <v>33</v>
          </cell>
          <cell r="K726">
            <v>-68</v>
          </cell>
          <cell r="L726">
            <v>5</v>
          </cell>
          <cell r="M726">
            <v>14</v>
          </cell>
          <cell r="N726">
            <v>60</v>
          </cell>
          <cell r="O726">
            <v>-33</v>
          </cell>
          <cell r="P726">
            <v>6</v>
          </cell>
          <cell r="Q726">
            <v>21</v>
          </cell>
          <cell r="R726">
            <v>7</v>
          </cell>
          <cell r="S726">
            <v>8</v>
          </cell>
          <cell r="T726">
            <v>-47</v>
          </cell>
          <cell r="U726">
            <v>-7</v>
          </cell>
          <cell r="V726">
            <v>10</v>
          </cell>
          <cell r="AM726">
            <v>-106</v>
          </cell>
          <cell r="AN726">
            <v>81</v>
          </cell>
          <cell r="AO726">
            <v>-16</v>
          </cell>
          <cell r="AP726">
            <v>54</v>
          </cell>
          <cell r="AQ726">
            <v>-39</v>
          </cell>
          <cell r="AR726">
            <v>10</v>
          </cell>
          <cell r="AS726">
            <v>0</v>
          </cell>
          <cell r="AT726">
            <v>0</v>
          </cell>
          <cell r="AU726">
            <v>0</v>
          </cell>
        </row>
        <row r="728">
          <cell r="A728" t="str">
            <v>Cash, Beginning</v>
          </cell>
          <cell r="F728" t="str">
            <v>ND</v>
          </cell>
          <cell r="G728" t="str">
            <v>ND</v>
          </cell>
          <cell r="H728" t="str">
            <v>ND</v>
          </cell>
          <cell r="I728" t="str">
            <v>ND</v>
          </cell>
          <cell r="J728">
            <v>0</v>
          </cell>
          <cell r="K728">
            <v>0</v>
          </cell>
          <cell r="L728">
            <v>0</v>
          </cell>
          <cell r="M728">
            <v>0</v>
          </cell>
          <cell r="N728">
            <v>0</v>
          </cell>
          <cell r="O728">
            <v>0</v>
          </cell>
          <cell r="P728">
            <v>0</v>
          </cell>
          <cell r="Q728">
            <v>0</v>
          </cell>
          <cell r="R728">
            <v>0</v>
          </cell>
          <cell r="S728">
            <v>3116</v>
          </cell>
          <cell r="T728">
            <v>3026</v>
          </cell>
          <cell r="U728">
            <v>3078</v>
          </cell>
          <cell r="V728">
            <v>3451</v>
          </cell>
          <cell r="W728">
            <v>3065</v>
          </cell>
          <cell r="X728">
            <v>3011.5110169113541</v>
          </cell>
          <cell r="Y728">
            <v>2989.6624387586071</v>
          </cell>
          <cell r="Z728">
            <v>2981.3528986317942</v>
          </cell>
          <cell r="AA728">
            <v>2986.8828513647559</v>
          </cell>
          <cell r="AB728">
            <v>2997.759442927947</v>
          </cell>
          <cell r="AC728">
            <v>3027.4532092422332</v>
          </cell>
          <cell r="AD728">
            <v>3091.4670008265753</v>
          </cell>
          <cell r="AE728">
            <v>2996.551460905815</v>
          </cell>
          <cell r="AF728">
            <v>3006.4258155971702</v>
          </cell>
          <cell r="AG728">
            <v>3019.5576270168167</v>
          </cell>
          <cell r="AH728">
            <v>3045.1028849812778</v>
          </cell>
          <cell r="AI728">
            <v>3021.5052203100754</v>
          </cell>
          <cell r="AJ728">
            <v>3048.9417657150766</v>
          </cell>
          <cell r="AK728">
            <v>3076.8333917830005</v>
          </cell>
          <cell r="AN728">
            <v>0</v>
          </cell>
          <cell r="AO728">
            <v>0</v>
          </cell>
          <cell r="AP728">
            <v>0</v>
          </cell>
          <cell r="AQ728">
            <v>0</v>
          </cell>
          <cell r="AR728">
            <v>3451</v>
          </cell>
          <cell r="AS728">
            <v>2981.3528986317942</v>
          </cell>
          <cell r="AT728">
            <v>3091.4670008265753</v>
          </cell>
          <cell r="AU728">
            <v>3045.1028849812774</v>
          </cell>
        </row>
        <row r="729">
          <cell r="A729" t="str">
            <v xml:space="preserve">   Net Change in Cash</v>
          </cell>
          <cell r="F729" t="str">
            <v>ND</v>
          </cell>
          <cell r="G729" t="str">
            <v>ND</v>
          </cell>
          <cell r="H729" t="str">
            <v>ND</v>
          </cell>
          <cell r="I729" t="str">
            <v>ND</v>
          </cell>
          <cell r="J729">
            <v>0</v>
          </cell>
          <cell r="K729">
            <v>0</v>
          </cell>
          <cell r="L729">
            <v>0</v>
          </cell>
          <cell r="M729">
            <v>0</v>
          </cell>
          <cell r="N729">
            <v>0</v>
          </cell>
          <cell r="O729">
            <v>0</v>
          </cell>
          <cell r="P729">
            <v>0</v>
          </cell>
          <cell r="Q729">
            <v>0</v>
          </cell>
          <cell r="R729">
            <v>3116</v>
          </cell>
          <cell r="S729">
            <v>-90</v>
          </cell>
          <cell r="T729">
            <v>52</v>
          </cell>
          <cell r="U729">
            <v>373</v>
          </cell>
          <cell r="V729">
            <v>-386</v>
          </cell>
          <cell r="W729">
            <v>-53.488983088645725</v>
          </cell>
          <cell r="X729">
            <v>-21.848578152747077</v>
          </cell>
          <cell r="Y729">
            <v>-8.3095401268130651</v>
          </cell>
          <cell r="Z729">
            <v>5.5299527329617355</v>
          </cell>
          <cell r="AA729">
            <v>10.876591563191173</v>
          </cell>
          <cell r="AB729">
            <v>29.693766314286137</v>
          </cell>
          <cell r="AC729">
            <v>64.013791584341959</v>
          </cell>
          <cell r="AD729">
            <v>-94.915539920760239</v>
          </cell>
          <cell r="AE729">
            <v>9.8743546913551086</v>
          </cell>
          <cell r="AF729">
            <v>13.131811419646496</v>
          </cell>
          <cell r="AG729">
            <v>25.545257964460973</v>
          </cell>
          <cell r="AH729">
            <v>-23.597664671202416</v>
          </cell>
          <cell r="AI729">
            <v>27.436545405001421</v>
          </cell>
          <cell r="AJ729">
            <v>27.891626067923671</v>
          </cell>
          <cell r="AK729">
            <v>39.019260907086249</v>
          </cell>
          <cell r="AM729">
            <v>0</v>
          </cell>
          <cell r="AN729">
            <v>0</v>
          </cell>
          <cell r="AO729">
            <v>0</v>
          </cell>
          <cell r="AP729">
            <v>0</v>
          </cell>
          <cell r="AQ729">
            <v>3451</v>
          </cell>
          <cell r="AR729">
            <v>-469.64710136820588</v>
          </cell>
          <cell r="AS729">
            <v>110.114102194781</v>
          </cell>
          <cell r="AT729">
            <v>-46.364115845297661</v>
          </cell>
          <cell r="AU729">
            <v>70.749767708808903</v>
          </cell>
        </row>
        <row r="730">
          <cell r="A730" t="str">
            <v>Cash, Ending</v>
          </cell>
          <cell r="F730" t="str">
            <v>ND</v>
          </cell>
          <cell r="G730" t="str">
            <v>ND</v>
          </cell>
          <cell r="H730" t="str">
            <v>ND</v>
          </cell>
          <cell r="I730">
            <v>0</v>
          </cell>
          <cell r="J730">
            <v>0</v>
          </cell>
          <cell r="K730">
            <v>0</v>
          </cell>
          <cell r="L730">
            <v>0</v>
          </cell>
          <cell r="M730">
            <v>0</v>
          </cell>
          <cell r="N730">
            <v>0</v>
          </cell>
          <cell r="O730">
            <v>0</v>
          </cell>
          <cell r="P730">
            <v>0</v>
          </cell>
          <cell r="Q730">
            <v>0</v>
          </cell>
          <cell r="R730">
            <v>3116</v>
          </cell>
          <cell r="S730">
            <v>3026</v>
          </cell>
          <cell r="T730">
            <v>3078</v>
          </cell>
          <cell r="U730">
            <v>3451</v>
          </cell>
          <cell r="V730">
            <v>3065</v>
          </cell>
          <cell r="W730">
            <v>3011.5110169113541</v>
          </cell>
          <cell r="X730">
            <v>2989.6624387586071</v>
          </cell>
          <cell r="Y730">
            <v>2981.3528986317942</v>
          </cell>
          <cell r="Z730">
            <v>2986.8828513647559</v>
          </cell>
          <cell r="AA730">
            <v>2997.759442927947</v>
          </cell>
          <cell r="AB730">
            <v>3027.4532092422332</v>
          </cell>
          <cell r="AC730">
            <v>3091.4670008265753</v>
          </cell>
          <cell r="AD730">
            <v>2996.551460905815</v>
          </cell>
          <cell r="AE730">
            <v>3006.4258155971702</v>
          </cell>
          <cell r="AF730">
            <v>3019.5576270168167</v>
          </cell>
          <cell r="AG730">
            <v>3045.1028849812778</v>
          </cell>
          <cell r="AH730">
            <v>3021.5052203100754</v>
          </cell>
          <cell r="AI730">
            <v>3048.9417657150766</v>
          </cell>
          <cell r="AJ730">
            <v>3076.8333917830005</v>
          </cell>
          <cell r="AK730">
            <v>3115.8526526900869</v>
          </cell>
          <cell r="AN730">
            <v>0</v>
          </cell>
          <cell r="AO730">
            <v>0</v>
          </cell>
          <cell r="AP730">
            <v>0</v>
          </cell>
          <cell r="AQ730">
            <v>3451</v>
          </cell>
          <cell r="AR730">
            <v>2981.3528986317942</v>
          </cell>
          <cell r="AS730">
            <v>3091.4670008265753</v>
          </cell>
          <cell r="AT730">
            <v>3045.1028849812774</v>
          </cell>
          <cell r="AU730">
            <v>3115.8526526900864</v>
          </cell>
        </row>
        <row r="733">
          <cell r="A733" t="str">
            <v>Change in Non-Cash Working Capital</v>
          </cell>
        </row>
        <row r="734">
          <cell r="A734" t="str">
            <v>Assets, source/(use)</v>
          </cell>
        </row>
        <row r="735">
          <cell r="A735" t="str">
            <v xml:space="preserve">    Accounts receivable</v>
          </cell>
          <cell r="J735">
            <v>-228</v>
          </cell>
          <cell r="K735">
            <v>57</v>
          </cell>
          <cell r="L735">
            <v>129</v>
          </cell>
          <cell r="M735">
            <v>-25</v>
          </cell>
          <cell r="N735">
            <v>148</v>
          </cell>
          <cell r="O735">
            <v>-97</v>
          </cell>
          <cell r="P735">
            <v>-276</v>
          </cell>
          <cell r="Q735">
            <v>-3</v>
          </cell>
          <cell r="R735">
            <v>21</v>
          </cell>
          <cell r="S735">
            <v>-284</v>
          </cell>
          <cell r="T735">
            <v>17</v>
          </cell>
          <cell r="U735">
            <v>-17</v>
          </cell>
          <cell r="V735">
            <v>74</v>
          </cell>
          <cell r="W735">
            <v>143.80134013013389</v>
          </cell>
          <cell r="X735">
            <v>135.80652211807933</v>
          </cell>
          <cell r="Y735">
            <v>100.60804722586499</v>
          </cell>
          <cell r="Z735">
            <v>-57.869324551050568</v>
          </cell>
          <cell r="AA735">
            <v>-76.861220721505788</v>
          </cell>
          <cell r="AB735">
            <v>-88.429192541336306</v>
          </cell>
          <cell r="AC735">
            <v>-95.167175903488214</v>
          </cell>
          <cell r="AD735">
            <v>427.71057416073813</v>
          </cell>
          <cell r="AE735">
            <v>-13.116963669268671</v>
          </cell>
          <cell r="AF735">
            <v>-6.4818660430948967</v>
          </cell>
          <cell r="AG735">
            <v>-0.60940146988923516</v>
          </cell>
          <cell r="AH735">
            <v>155.22517371204981</v>
          </cell>
          <cell r="AI735">
            <v>-70.934273330532733</v>
          </cell>
          <cell r="AJ735">
            <v>-72.382679753091679</v>
          </cell>
          <cell r="AK735">
            <v>-73.830492632726873</v>
          </cell>
        </row>
        <row r="736">
          <cell r="A736" t="str">
            <v xml:space="preserve">    Inventories</v>
          </cell>
          <cell r="J736">
            <v>481</v>
          </cell>
          <cell r="K736">
            <v>325</v>
          </cell>
          <cell r="L736">
            <v>143</v>
          </cell>
          <cell r="M736">
            <v>206</v>
          </cell>
          <cell r="N736">
            <v>105</v>
          </cell>
          <cell r="O736">
            <v>-45</v>
          </cell>
          <cell r="P736">
            <v>-226</v>
          </cell>
          <cell r="Q736">
            <v>12</v>
          </cell>
          <cell r="R736">
            <v>-16</v>
          </cell>
          <cell r="S736">
            <v>115</v>
          </cell>
          <cell r="T736">
            <v>-19</v>
          </cell>
          <cell r="U736">
            <v>42</v>
          </cell>
          <cell r="V736">
            <v>138</v>
          </cell>
          <cell r="W736">
            <v>68.704563802397729</v>
          </cell>
          <cell r="X736">
            <v>40.824443046869249</v>
          </cell>
          <cell r="Y736">
            <v>43.13868750080195</v>
          </cell>
          <cell r="Z736">
            <v>-23.555356713497986</v>
          </cell>
          <cell r="AA736">
            <v>-18.527780896844718</v>
          </cell>
          <cell r="AB736">
            <v>-26.433717665084487</v>
          </cell>
          <cell r="AC736">
            <v>-23.506571250425452</v>
          </cell>
          <cell r="AD736">
            <v>121.88974232900779</v>
          </cell>
          <cell r="AE736">
            <v>-0.53158230652542215</v>
          </cell>
          <cell r="AF736">
            <v>-1.8861309694431725</v>
          </cell>
          <cell r="AG736">
            <v>3.3378467779556331</v>
          </cell>
          <cell r="AH736">
            <v>41.111037743938994</v>
          </cell>
          <cell r="AI736">
            <v>-18.778054324002539</v>
          </cell>
          <cell r="AJ736">
            <v>-21.995670594511466</v>
          </cell>
          <cell r="AK736">
            <v>-18.699182483431912</v>
          </cell>
        </row>
        <row r="737">
          <cell r="A737" t="str">
            <v xml:space="preserve">    Deferred taxes, Pre-paid Expenses &amp; other</v>
          </cell>
          <cell r="J737">
            <v>-5</v>
          </cell>
          <cell r="K737">
            <v>-14</v>
          </cell>
          <cell r="L737">
            <v>282</v>
          </cell>
          <cell r="M737">
            <v>-256</v>
          </cell>
          <cell r="N737">
            <v>70</v>
          </cell>
          <cell r="O737">
            <v>9</v>
          </cell>
          <cell r="P737">
            <v>-86</v>
          </cell>
          <cell r="Q737">
            <v>96</v>
          </cell>
          <cell r="R737">
            <v>22</v>
          </cell>
          <cell r="S737">
            <v>23</v>
          </cell>
          <cell r="T737">
            <v>-45</v>
          </cell>
          <cell r="U737">
            <v>4</v>
          </cell>
          <cell r="V737">
            <v>-8</v>
          </cell>
          <cell r="W737">
            <v>72.446963876198538</v>
          </cell>
          <cell r="X737">
            <v>68.419182972404542</v>
          </cell>
          <cell r="Y737">
            <v>50.686228351078739</v>
          </cell>
          <cell r="Z737">
            <v>-29.154504829342955</v>
          </cell>
          <cell r="AA737">
            <v>-38.722602140232539</v>
          </cell>
          <cell r="AB737">
            <v>-44.550534173367623</v>
          </cell>
          <cell r="AC737">
            <v>-47.945123102750813</v>
          </cell>
          <cell r="AD737">
            <v>215.48013730365653</v>
          </cell>
          <cell r="AE737">
            <v>-6.6083124973172289</v>
          </cell>
          <cell r="AF737">
            <v>-3.2655572934821748</v>
          </cell>
          <cell r="AG737">
            <v>-0.30701581942969369</v>
          </cell>
          <cell r="AH737">
            <v>78.202279216707666</v>
          </cell>
          <cell r="AI737">
            <v>-35.736612279906012</v>
          </cell>
          <cell r="AJ737">
            <v>-36.466317911844044</v>
          </cell>
          <cell r="AK737">
            <v>-37.195724517481267</v>
          </cell>
        </row>
        <row r="739">
          <cell r="A739" t="str">
            <v>Liabilities, source/(use)</v>
          </cell>
        </row>
        <row r="740">
          <cell r="A740" t="str">
            <v xml:space="preserve">    Accounts payable</v>
          </cell>
          <cell r="J740">
            <v>-953</v>
          </cell>
          <cell r="K740">
            <v>-370</v>
          </cell>
          <cell r="L740">
            <v>-416</v>
          </cell>
          <cell r="M740">
            <v>371</v>
          </cell>
          <cell r="N740">
            <v>-201</v>
          </cell>
          <cell r="O740">
            <v>112</v>
          </cell>
          <cell r="P740">
            <v>775</v>
          </cell>
          <cell r="Q740">
            <v>-57</v>
          </cell>
          <cell r="R740">
            <v>1</v>
          </cell>
          <cell r="S740">
            <v>94</v>
          </cell>
          <cell r="T740">
            <v>30</v>
          </cell>
          <cell r="U740">
            <v>155</v>
          </cell>
          <cell r="V740">
            <v>-327</v>
          </cell>
          <cell r="W740">
            <v>-371.65815008083746</v>
          </cell>
          <cell r="X740">
            <v>-286.29865267009131</v>
          </cell>
          <cell r="Y740">
            <v>-246.76964345302008</v>
          </cell>
          <cell r="Z740">
            <v>138.55863222914127</v>
          </cell>
          <cell r="AA740">
            <v>149.72597818369582</v>
          </cell>
          <cell r="AB740">
            <v>186.02080756459304</v>
          </cell>
          <cell r="AC740">
            <v>186.9081187340737</v>
          </cell>
          <cell r="AD740">
            <v>-883.70148752802629</v>
          </cell>
          <cell r="AE740">
            <v>18.479139411735787</v>
          </cell>
          <cell r="AF740">
            <v>13.496959620493499</v>
          </cell>
          <cell r="AG740">
            <v>-8.1831144124348612</v>
          </cell>
          <cell r="AH740">
            <v>-312.31012744186182</v>
          </cell>
          <cell r="AI740">
            <v>142.69495299490472</v>
          </cell>
          <cell r="AJ740">
            <v>153.22956568842619</v>
          </cell>
          <cell r="AK740">
            <v>146.24744957998678</v>
          </cell>
        </row>
        <row r="742">
          <cell r="A742" t="str">
            <v>Projected change in non-cash working capital</v>
          </cell>
          <cell r="J742">
            <v>-705</v>
          </cell>
          <cell r="K742">
            <v>-2</v>
          </cell>
          <cell r="L742">
            <v>138</v>
          </cell>
          <cell r="M742">
            <v>296</v>
          </cell>
          <cell r="N742">
            <v>122</v>
          </cell>
          <cell r="O742">
            <v>-21</v>
          </cell>
          <cell r="P742">
            <v>187</v>
          </cell>
          <cell r="Q742">
            <v>48</v>
          </cell>
          <cell r="R742">
            <v>28</v>
          </cell>
          <cell r="S742">
            <v>-52</v>
          </cell>
          <cell r="T742">
            <v>-17</v>
          </cell>
          <cell r="U742">
            <v>184</v>
          </cell>
          <cell r="V742">
            <v>-123</v>
          </cell>
          <cell r="W742">
            <v>-86.705282272107297</v>
          </cell>
          <cell r="X742">
            <v>-41.248504532738195</v>
          </cell>
          <cell r="Y742">
            <v>-52.336680375274398</v>
          </cell>
          <cell r="Z742">
            <v>27.979446135249759</v>
          </cell>
          <cell r="AA742">
            <v>15.614374425112771</v>
          </cell>
          <cell r="AB742">
            <v>26.607363184804626</v>
          </cell>
          <cell r="AC742">
            <v>20.289248477409217</v>
          </cell>
          <cell r="AD742">
            <v>-118.62103373462378</v>
          </cell>
          <cell r="AE742">
            <v>-1.7777190613755351</v>
          </cell>
          <cell r="AF742">
            <v>1.8634053144732547</v>
          </cell>
          <cell r="AG742">
            <v>-5.7616849237981569</v>
          </cell>
          <cell r="AH742">
            <v>-37.771636769165355</v>
          </cell>
          <cell r="AI742">
            <v>17.24601306046344</v>
          </cell>
          <cell r="AJ742">
            <v>22.384897428979002</v>
          </cell>
          <cell r="AK742">
            <v>16.522049946346726</v>
          </cell>
        </row>
        <row r="744">
          <cell r="A744" t="str">
            <v xml:space="preserve">    Other benefits / (charges)</v>
          </cell>
          <cell r="J744">
            <v>53</v>
          </cell>
          <cell r="K744">
            <v>-12</v>
          </cell>
          <cell r="L744">
            <v>25</v>
          </cell>
          <cell r="M744">
            <v>36</v>
          </cell>
          <cell r="N744">
            <v>34</v>
          </cell>
          <cell r="O744">
            <v>-131</v>
          </cell>
          <cell r="P744">
            <v>55</v>
          </cell>
          <cell r="Q744">
            <v>29</v>
          </cell>
          <cell r="R744">
            <v>78</v>
          </cell>
          <cell r="S744">
            <v>2</v>
          </cell>
          <cell r="T744">
            <v>16</v>
          </cell>
          <cell r="U744">
            <v>36</v>
          </cell>
          <cell r="V744">
            <v>17</v>
          </cell>
          <cell r="W744">
            <v>-5.6310285147393415</v>
          </cell>
          <cell r="X744">
            <v>-16.317964337762305</v>
          </cell>
          <cell r="Y744">
            <v>-14.939648839352969</v>
          </cell>
          <cell r="Z744">
            <v>-8.7339305991113747</v>
          </cell>
          <cell r="AA744">
            <v>-7.9902385807475866</v>
          </cell>
          <cell r="AB744">
            <v>-7.5372554644830529</v>
          </cell>
          <cell r="AC744">
            <v>-7.2734069050066523</v>
          </cell>
          <cell r="AD744">
            <v>-27.748456147731929</v>
          </cell>
          <cell r="AE744">
            <v>-10.486360861577452</v>
          </cell>
          <cell r="AF744">
            <v>-10.746180581597059</v>
          </cell>
          <cell r="AG744">
            <v>-10.976136821459704</v>
          </cell>
          <cell r="AH744">
            <v>-17.078367410115277</v>
          </cell>
          <cell r="AI744">
            <v>-8.2223282798681225</v>
          </cell>
          <cell r="AJ744">
            <v>-8.1656110207731558</v>
          </cell>
          <cell r="AK744">
            <v>-8.1089170038616203</v>
          </cell>
        </row>
        <row r="746">
          <cell r="A746" t="str">
            <v xml:space="preserve"> Actual change in non-cash working capital</v>
          </cell>
          <cell r="J746">
            <v>-652</v>
          </cell>
          <cell r="K746">
            <v>-14</v>
          </cell>
          <cell r="L746">
            <v>163</v>
          </cell>
          <cell r="M746">
            <v>332</v>
          </cell>
          <cell r="N746">
            <v>156</v>
          </cell>
          <cell r="O746">
            <v>-152</v>
          </cell>
          <cell r="P746">
            <v>242</v>
          </cell>
          <cell r="Q746">
            <v>77</v>
          </cell>
          <cell r="R746">
            <v>106</v>
          </cell>
          <cell r="S746">
            <v>-50</v>
          </cell>
          <cell r="T746">
            <v>-1</v>
          </cell>
          <cell r="U746">
            <v>220</v>
          </cell>
          <cell r="V746">
            <v>-106</v>
          </cell>
          <cell r="W746">
            <v>-92.336310786846639</v>
          </cell>
          <cell r="X746">
            <v>-57.566468870500501</v>
          </cell>
          <cell r="Y746">
            <v>-67.276329214627367</v>
          </cell>
          <cell r="Z746">
            <v>19.245515536138385</v>
          </cell>
          <cell r="AA746">
            <v>7.6241358443651848</v>
          </cell>
          <cell r="AB746">
            <v>19.070107720321573</v>
          </cell>
          <cell r="AC746">
            <v>13.015841572402564</v>
          </cell>
          <cell r="AD746">
            <v>-146.36948988235571</v>
          </cell>
          <cell r="AE746">
            <v>-12.264079922952988</v>
          </cell>
          <cell r="AF746">
            <v>-8.8827752671238045</v>
          </cell>
          <cell r="AG746">
            <v>-16.737821745257861</v>
          </cell>
          <cell r="AH746">
            <v>-54.850004179280631</v>
          </cell>
          <cell r="AI746">
            <v>9.0236847805953175</v>
          </cell>
          <cell r="AJ746">
            <v>14.219286408205846</v>
          </cell>
          <cell r="AK746">
            <v>8.413132942485106</v>
          </cell>
        </row>
        <row r="747">
          <cell r="A747" t="str">
            <v xml:space="preserve"> % of sales</v>
          </cell>
          <cell r="J747">
            <v>-0.23071479122434538</v>
          </cell>
          <cell r="K747">
            <v>-4.9261083743842365E-3</v>
          </cell>
          <cell r="L747">
            <v>6.369675654552559E-2</v>
          </cell>
          <cell r="M747">
            <v>0.11760538434289762</v>
          </cell>
          <cell r="N747">
            <v>6.2903225806451607E-2</v>
          </cell>
          <cell r="O747">
            <v>-5.8259869681870448E-2</v>
          </cell>
          <cell r="P747">
            <v>8.2145281737949757E-2</v>
          </cell>
          <cell r="Q747">
            <v>2.2481751824817518E-2</v>
          </cell>
          <cell r="R747">
            <v>3.4960422163588391E-2</v>
          </cell>
          <cell r="S747">
            <v>-1.4983518130056937E-2</v>
          </cell>
          <cell r="T747">
            <v>-3.0684258975145751E-4</v>
          </cell>
          <cell r="U747">
            <v>6.4027939464493602E-2</v>
          </cell>
          <cell r="V747">
            <v>-3.4437946718648471E-2</v>
          </cell>
          <cell r="W747">
            <v>-3.2751399393631642E-2</v>
          </cell>
          <cell r="X747">
            <v>-2.2355910240971069E-2</v>
          </cell>
          <cell r="Y747">
            <v>-2.8101925681108159E-2</v>
          </cell>
          <cell r="Z747">
            <v>7.704014236826138E-3</v>
          </cell>
          <cell r="AA747">
            <v>2.8918906016558543E-3</v>
          </cell>
          <cell r="AB747">
            <v>6.8218037951451021E-3</v>
          </cell>
          <cell r="AC747">
            <v>4.3873649170003415E-3</v>
          </cell>
          <cell r="AD747">
            <v>-6.661528414803565E-2</v>
          </cell>
          <cell r="AE747">
            <v>-5.5222892774958272E-3</v>
          </cell>
          <cell r="AF747">
            <v>-3.9788589729841707E-3</v>
          </cell>
          <cell r="AG747">
            <v>-7.4936878563689868E-3</v>
          </cell>
          <cell r="AH747">
            <v>-2.8065636957609857E-2</v>
          </cell>
          <cell r="AI747">
            <v>4.3342373654423911E-3</v>
          </cell>
          <cell r="AJ747">
            <v>6.427763177208042E-3</v>
          </cell>
          <cell r="AK747">
            <v>3.5877139069064221E-3</v>
          </cell>
        </row>
        <row r="750">
          <cell r="A750" t="str">
            <v>Free Cash Flow</v>
          </cell>
        </row>
        <row r="751">
          <cell r="A751" t="str">
            <v>EBITDA</v>
          </cell>
          <cell r="J751">
            <v>-307</v>
          </cell>
          <cell r="K751">
            <v>-152</v>
          </cell>
          <cell r="L751">
            <v>-102</v>
          </cell>
          <cell r="M751">
            <v>-11</v>
          </cell>
          <cell r="N751">
            <v>-65</v>
          </cell>
          <cell r="O751">
            <v>-3</v>
          </cell>
          <cell r="P751">
            <v>124</v>
          </cell>
          <cell r="Q751">
            <v>193</v>
          </cell>
          <cell r="R751">
            <v>58</v>
          </cell>
          <cell r="S751">
            <v>99</v>
          </cell>
          <cell r="T751">
            <v>104</v>
          </cell>
          <cell r="U751">
            <v>107</v>
          </cell>
          <cell r="V751">
            <v>44</v>
          </cell>
          <cell r="W751">
            <v>70.672157206403654</v>
          </cell>
          <cell r="X751">
            <v>63.825171812998491</v>
          </cell>
          <cell r="Y751">
            <v>99.878925618855916</v>
          </cell>
          <cell r="Z751">
            <v>22.326677737665342</v>
          </cell>
          <cell r="AA751">
            <v>51.792861548129828</v>
          </cell>
          <cell r="AB751">
            <v>66.684046281621733</v>
          </cell>
          <cell r="AC751">
            <v>128.12214036574238</v>
          </cell>
          <cell r="AD751">
            <v>36.280784629085964</v>
          </cell>
          <cell r="AE751">
            <v>63.071294597307478</v>
          </cell>
          <cell r="AF751">
            <v>62.250104685815359</v>
          </cell>
          <cell r="AG751">
            <v>90.505067269946252</v>
          </cell>
          <cell r="AH751">
            <v>46.58061907102433</v>
          </cell>
          <cell r="AI751">
            <v>65.358110223066717</v>
          </cell>
          <cell r="AJ751">
            <v>60.998324866505399</v>
          </cell>
          <cell r="AK751">
            <v>87.605173725634671</v>
          </cell>
          <cell r="AO751">
            <v>-572</v>
          </cell>
          <cell r="AP751">
            <v>249</v>
          </cell>
          <cell r="AQ751">
            <v>368</v>
          </cell>
          <cell r="AR751">
            <v>278.37625463825805</v>
          </cell>
          <cell r="AS751">
            <v>268.9257259331593</v>
          </cell>
          <cell r="AT751">
            <v>252.10725118215504</v>
          </cell>
          <cell r="AU751">
            <v>260.5422278862311</v>
          </cell>
        </row>
        <row r="752">
          <cell r="A752" t="str">
            <v xml:space="preserve">  - Cash Taxes</v>
          </cell>
          <cell r="J752">
            <v>-18</v>
          </cell>
          <cell r="K752">
            <v>-9</v>
          </cell>
          <cell r="L752">
            <v>-10</v>
          </cell>
          <cell r="M752">
            <v>-4</v>
          </cell>
          <cell r="N752">
            <v>65.92</v>
          </cell>
          <cell r="O752">
            <v>38.625</v>
          </cell>
          <cell r="P752">
            <v>-34.505000000000003</v>
          </cell>
          <cell r="Q752">
            <v>-66.95</v>
          </cell>
          <cell r="R752">
            <v>-2.5750000000000002</v>
          </cell>
          <cell r="S752">
            <v>-33.475000000000001</v>
          </cell>
          <cell r="T752">
            <v>-33.475000000000001</v>
          </cell>
          <cell r="U752">
            <v>-33.475000000000001</v>
          </cell>
          <cell r="V752">
            <v>-3.605</v>
          </cell>
          <cell r="W752">
            <v>-12.268473309966163</v>
          </cell>
          <cell r="X752">
            <v>-8.8992000000000004</v>
          </cell>
          <cell r="Y752">
            <v>-27.678645757513223</v>
          </cell>
          <cell r="Z752">
            <v>12.012767971290605</v>
          </cell>
          <cell r="AA752">
            <v>-3.3724579445586165</v>
          </cell>
          <cell r="AB752">
            <v>-11.206769598253377</v>
          </cell>
          <cell r="AC752">
            <v>-42.964724316752516</v>
          </cell>
          <cell r="AD752">
            <v>4.2651229033892024</v>
          </cell>
          <cell r="AE752">
            <v>-9.7927366968978422</v>
          </cell>
          <cell r="AF752">
            <v>-9.6125813562397511</v>
          </cell>
          <cell r="AG752">
            <v>-24.392514602120688</v>
          </cell>
          <cell r="AH752">
            <v>-1.9892548520157689</v>
          </cell>
          <cell r="AI752">
            <v>-11.938403710940138</v>
          </cell>
          <cell r="AJ752">
            <v>-9.9266178699546046</v>
          </cell>
          <cell r="AK752">
            <v>-23.818830628344777</v>
          </cell>
          <cell r="AO752">
            <v>-41</v>
          </cell>
          <cell r="AP752">
            <v>3.0899999999999892</v>
          </cell>
          <cell r="AQ752">
            <v>-103</v>
          </cell>
          <cell r="AR752">
            <v>-52.451319067479389</v>
          </cell>
          <cell r="AS752">
            <v>-45.531183888273901</v>
          </cell>
          <cell r="AT752">
            <v>-39.532709751869078</v>
          </cell>
          <cell r="AU752">
            <v>-47.673107061255287</v>
          </cell>
        </row>
        <row r="753">
          <cell r="A753" t="str">
            <v xml:space="preserve">  - Net Interest Expense</v>
          </cell>
          <cell r="J753">
            <v>-11</v>
          </cell>
          <cell r="K753">
            <v>-6</v>
          </cell>
          <cell r="L753">
            <v>-17</v>
          </cell>
          <cell r="M753">
            <v>-7</v>
          </cell>
          <cell r="N753">
            <v>-11</v>
          </cell>
          <cell r="O753">
            <v>-18</v>
          </cell>
          <cell r="P753">
            <v>-11</v>
          </cell>
          <cell r="Q753">
            <v>-12</v>
          </cell>
          <cell r="R753">
            <v>2</v>
          </cell>
          <cell r="S753">
            <v>1</v>
          </cell>
          <cell r="T753">
            <v>7</v>
          </cell>
          <cell r="U753">
            <v>0</v>
          </cell>
          <cell r="V753">
            <v>3</v>
          </cell>
          <cell r="W753">
            <v>4.2288447898028192</v>
          </cell>
          <cell r="X753">
            <v>4.1851451973682829</v>
          </cell>
          <cell r="Y753">
            <v>4.175510727698418</v>
          </cell>
          <cell r="Z753">
            <v>4.1582792518288851</v>
          </cell>
          <cell r="AA753">
            <v>4.1276793125036502</v>
          </cell>
          <cell r="AB753">
            <v>4.1278175402723738</v>
          </cell>
          <cell r="AC753">
            <v>4.1616517990556918</v>
          </cell>
          <cell r="AD753">
            <v>4.1604749859864123</v>
          </cell>
          <cell r="AE753">
            <v>4.1229067402570552</v>
          </cell>
          <cell r="AF753">
            <v>4.1105763159315067</v>
          </cell>
          <cell r="AG753">
            <v>4.1205131228027936</v>
          </cell>
          <cell r="AH753">
            <v>4.1158948059706351</v>
          </cell>
          <cell r="AI753">
            <v>4.0942628813610185</v>
          </cell>
          <cell r="AJ753">
            <v>4.0930461032459684</v>
          </cell>
          <cell r="AK753">
            <v>4.1129008920425942</v>
          </cell>
          <cell r="AO753">
            <v>-41</v>
          </cell>
          <cell r="AP753">
            <v>-52</v>
          </cell>
          <cell r="AQ753">
            <v>10</v>
          </cell>
          <cell r="AR753">
            <v>15.589500714869521</v>
          </cell>
          <cell r="AS753">
            <v>16.575427903660604</v>
          </cell>
          <cell r="AT753">
            <v>16.514471164977767</v>
          </cell>
          <cell r="AU753">
            <v>16.416104682620215</v>
          </cell>
        </row>
        <row r="754">
          <cell r="A754" t="str">
            <v xml:space="preserve">  - Increase in Working Capital</v>
          </cell>
          <cell r="J754">
            <v>-652</v>
          </cell>
          <cell r="K754">
            <v>-14</v>
          </cell>
          <cell r="L754">
            <v>163</v>
          </cell>
          <cell r="M754">
            <v>332</v>
          </cell>
          <cell r="N754">
            <v>156</v>
          </cell>
          <cell r="O754">
            <v>-152</v>
          </cell>
          <cell r="P754">
            <v>242</v>
          </cell>
          <cell r="Q754">
            <v>77</v>
          </cell>
          <cell r="R754">
            <v>106</v>
          </cell>
          <cell r="S754">
            <v>-50</v>
          </cell>
          <cell r="T754">
            <v>-1</v>
          </cell>
          <cell r="U754">
            <v>220</v>
          </cell>
          <cell r="V754">
            <v>-106</v>
          </cell>
          <cell r="W754">
            <v>-92.336310786846639</v>
          </cell>
          <cell r="X754">
            <v>-57.566468870500501</v>
          </cell>
          <cell r="Y754">
            <v>-67.276329214627367</v>
          </cell>
          <cell r="Z754">
            <v>19.245515536138385</v>
          </cell>
          <cell r="AA754">
            <v>7.6241358443651848</v>
          </cell>
          <cell r="AB754">
            <v>19.070107720321573</v>
          </cell>
          <cell r="AC754">
            <v>13.015841572402564</v>
          </cell>
          <cell r="AD754">
            <v>-146.36948988235571</v>
          </cell>
          <cell r="AE754">
            <v>-12.264079922952988</v>
          </cell>
          <cell r="AF754">
            <v>-8.8827752671238045</v>
          </cell>
          <cell r="AG754">
            <v>-16.737821745257861</v>
          </cell>
          <cell r="AH754">
            <v>-54.850004179280631</v>
          </cell>
          <cell r="AI754">
            <v>9.0236847805953175</v>
          </cell>
          <cell r="AJ754">
            <v>14.219286408205846</v>
          </cell>
          <cell r="AK754">
            <v>8.413132942485106</v>
          </cell>
          <cell r="AO754">
            <v>-171</v>
          </cell>
          <cell r="AP754">
            <v>323</v>
          </cell>
          <cell r="AQ754">
            <v>275</v>
          </cell>
          <cell r="AR754">
            <v>-323.17910887197451</v>
          </cell>
          <cell r="AS754">
            <v>58.955600673227707</v>
          </cell>
          <cell r="AT754">
            <v>-184.25416681769036</v>
          </cell>
          <cell r="AU754">
            <v>-23.193900047994362</v>
          </cell>
        </row>
        <row r="755">
          <cell r="A755" t="str">
            <v>Operating Cash Flow</v>
          </cell>
          <cell r="F755">
            <v>0</v>
          </cell>
          <cell r="G755">
            <v>0</v>
          </cell>
          <cell r="H755">
            <v>0</v>
          </cell>
          <cell r="I755">
            <v>0</v>
          </cell>
          <cell r="J755">
            <v>-988</v>
          </cell>
          <cell r="K755">
            <v>-181</v>
          </cell>
          <cell r="L755">
            <v>34</v>
          </cell>
          <cell r="M755">
            <v>310</v>
          </cell>
          <cell r="N755">
            <v>145.92000000000002</v>
          </cell>
          <cell r="O755">
            <v>-134.375</v>
          </cell>
          <cell r="P755">
            <v>320.495</v>
          </cell>
          <cell r="Q755">
            <v>191.05</v>
          </cell>
          <cell r="R755">
            <v>163.42500000000001</v>
          </cell>
          <cell r="S755">
            <v>16.525000000000006</v>
          </cell>
          <cell r="T755">
            <v>76.525000000000006</v>
          </cell>
          <cell r="U755">
            <v>293.52499999999998</v>
          </cell>
          <cell r="V755">
            <v>-62.604999999999997</v>
          </cell>
          <cell r="W755">
            <v>-29.703782100606325</v>
          </cell>
          <cell r="X755">
            <v>1.5446481398662755</v>
          </cell>
          <cell r="Y755">
            <v>9.0994613744137496</v>
          </cell>
          <cell r="Z755">
            <v>57.743240496923221</v>
          </cell>
          <cell r="AA755">
            <v>60.172218760440046</v>
          </cell>
          <cell r="AB755">
            <v>78.675201943962307</v>
          </cell>
          <cell r="AC755">
            <v>102.33490942044811</v>
          </cell>
          <cell r="AD755">
            <v>-101.66310736389413</v>
          </cell>
          <cell r="AE755">
            <v>45.137384717713708</v>
          </cell>
          <cell r="AF755">
            <v>47.865324378383306</v>
          </cell>
          <cell r="AG755">
            <v>53.495244045370498</v>
          </cell>
          <cell r="AH755">
            <v>-6.1427451543014371</v>
          </cell>
          <cell r="AI755">
            <v>66.537654174082917</v>
          </cell>
          <cell r="AJ755">
            <v>69.384039508002616</v>
          </cell>
          <cell r="AK755">
            <v>76.312376931817596</v>
          </cell>
          <cell r="AO755">
            <v>-825</v>
          </cell>
          <cell r="AP755">
            <v>523.08999999999992</v>
          </cell>
          <cell r="AQ755">
            <v>550</v>
          </cell>
          <cell r="AR755">
            <v>-81.664672586326333</v>
          </cell>
          <cell r="AS755">
            <v>298.92557062177366</v>
          </cell>
          <cell r="AT755">
            <v>44.834845777573378</v>
          </cell>
          <cell r="AU755">
            <v>206.09132545960168</v>
          </cell>
        </row>
        <row r="756">
          <cell r="A756" t="str">
            <v xml:space="preserve">  - Capital Expenditures</v>
          </cell>
          <cell r="J756">
            <v>-17</v>
          </cell>
          <cell r="K756">
            <v>-16</v>
          </cell>
          <cell r="L756">
            <v>-12</v>
          </cell>
          <cell r="M756">
            <v>-22</v>
          </cell>
          <cell r="N756">
            <v>-19</v>
          </cell>
          <cell r="O756">
            <v>-23</v>
          </cell>
          <cell r="P756">
            <v>-26</v>
          </cell>
          <cell r="Q756">
            <v>-75</v>
          </cell>
          <cell r="R756">
            <v>-50</v>
          </cell>
          <cell r="S756">
            <v>-46</v>
          </cell>
          <cell r="T756">
            <v>-40</v>
          </cell>
          <cell r="U756">
            <v>-64</v>
          </cell>
          <cell r="V756">
            <v>-33</v>
          </cell>
          <cell r="W756">
            <v>-30.2265083434866</v>
          </cell>
          <cell r="X756">
            <v>-27.607212475633528</v>
          </cell>
          <cell r="Y756">
            <v>-25.666788420429814</v>
          </cell>
          <cell r="Z756">
            <v>-26.782912155195842</v>
          </cell>
          <cell r="AA756">
            <v>-28.265331958708227</v>
          </cell>
          <cell r="AB756">
            <v>-29.970862849335987</v>
          </cell>
          <cell r="AC756">
            <v>-31.80634900060139</v>
          </cell>
          <cell r="AD756">
            <v>-23.557109405449808</v>
          </cell>
          <cell r="AE756">
            <v>-23.810095846762415</v>
          </cell>
          <cell r="AF756">
            <v>-23.935111381199668</v>
          </cell>
          <cell r="AG756">
            <v>-23.946864887047909</v>
          </cell>
          <cell r="AH756">
            <v>-20.953042132811994</v>
          </cell>
          <cell r="AI756">
            <v>-22.321149099444131</v>
          </cell>
          <cell r="AJ756">
            <v>-23.717191432496161</v>
          </cell>
          <cell r="AK756">
            <v>-25.141157684325492</v>
          </cell>
          <cell r="AO756">
            <v>-67</v>
          </cell>
          <cell r="AP756">
            <v>-143</v>
          </cell>
          <cell r="AQ756">
            <v>-200</v>
          </cell>
          <cell r="AR756">
            <v>-116.50050923954994</v>
          </cell>
          <cell r="AS756">
            <v>-116.82545596384145</v>
          </cell>
          <cell r="AT756">
            <v>-95.2491815204598</v>
          </cell>
          <cell r="AU756">
            <v>-92.132540349077786</v>
          </cell>
        </row>
        <row r="757">
          <cell r="A757" t="str">
            <v>Free Cash Flow</v>
          </cell>
          <cell r="F757">
            <v>0</v>
          </cell>
          <cell r="G757">
            <v>0</v>
          </cell>
          <cell r="H757">
            <v>0</v>
          </cell>
          <cell r="I757">
            <v>0</v>
          </cell>
          <cell r="J757">
            <v>-1005</v>
          </cell>
          <cell r="K757">
            <v>-197</v>
          </cell>
          <cell r="L757">
            <v>22</v>
          </cell>
          <cell r="M757">
            <v>288</v>
          </cell>
          <cell r="N757">
            <v>126.92000000000002</v>
          </cell>
          <cell r="O757">
            <v>-157.375</v>
          </cell>
          <cell r="P757">
            <v>294.495</v>
          </cell>
          <cell r="Q757">
            <v>116.05000000000001</v>
          </cell>
          <cell r="R757">
            <v>113.42500000000001</v>
          </cell>
          <cell r="S757">
            <v>-29.474999999999994</v>
          </cell>
          <cell r="T757">
            <v>36.525000000000006</v>
          </cell>
          <cell r="U757">
            <v>229.52499999999998</v>
          </cell>
          <cell r="V757">
            <v>-95.60499999999999</v>
          </cell>
          <cell r="W757">
            <v>-59.930290444092925</v>
          </cell>
          <cell r="X757">
            <v>-26.062564335767252</v>
          </cell>
          <cell r="Y757">
            <v>-16.567327046016064</v>
          </cell>
          <cell r="Z757">
            <v>30.960328341727379</v>
          </cell>
          <cell r="AA757">
            <v>31.906886801731819</v>
          </cell>
          <cell r="AB757">
            <v>48.70433909462632</v>
          </cell>
          <cell r="AC757">
            <v>70.528560419846727</v>
          </cell>
          <cell r="AD757">
            <v>-125.22021676934393</v>
          </cell>
          <cell r="AE757">
            <v>21.327288870951293</v>
          </cell>
          <cell r="AF757">
            <v>23.930212997183638</v>
          </cell>
          <cell r="AG757">
            <v>29.548379158322589</v>
          </cell>
          <cell r="AH757">
            <v>-27.095787287113431</v>
          </cell>
          <cell r="AI757">
            <v>44.216505074638789</v>
          </cell>
          <cell r="AJ757">
            <v>45.666848075506451</v>
          </cell>
          <cell r="AK757">
            <v>51.171219247492104</v>
          </cell>
          <cell r="AO757">
            <v>-892</v>
          </cell>
          <cell r="AP757">
            <v>380.08999999999992</v>
          </cell>
          <cell r="AQ757">
            <v>350</v>
          </cell>
          <cell r="AR757">
            <v>-198.16518182587629</v>
          </cell>
          <cell r="AS757">
            <v>182.10011465793221</v>
          </cell>
          <cell r="AT757">
            <v>-50.414335742886422</v>
          </cell>
          <cell r="AU757">
            <v>113.95878511052389</v>
          </cell>
        </row>
        <row r="759">
          <cell r="A759" t="str">
            <v>BoP Cash, ST and LT Invs</v>
          </cell>
          <cell r="K759">
            <v>0</v>
          </cell>
          <cell r="L759">
            <v>0</v>
          </cell>
          <cell r="M759">
            <v>0</v>
          </cell>
          <cell r="N759">
            <v>0</v>
          </cell>
          <cell r="O759">
            <v>0</v>
          </cell>
          <cell r="P759">
            <v>0</v>
          </cell>
          <cell r="Q759">
            <v>0</v>
          </cell>
          <cell r="R759">
            <v>0</v>
          </cell>
          <cell r="S759">
            <v>3116</v>
          </cell>
          <cell r="T759">
            <v>3026</v>
          </cell>
          <cell r="U759">
            <v>3078</v>
          </cell>
          <cell r="V759">
            <v>3451</v>
          </cell>
          <cell r="W759">
            <v>3065</v>
          </cell>
          <cell r="X759">
            <v>3011.5110169113541</v>
          </cell>
          <cell r="Y759">
            <v>2989.6624387586071</v>
          </cell>
          <cell r="Z759">
            <v>2981.3528986317942</v>
          </cell>
          <cell r="AA759">
            <v>2986.8828513647559</v>
          </cell>
          <cell r="AB759">
            <v>2997.759442927947</v>
          </cell>
          <cell r="AC759">
            <v>3027.4532092422332</v>
          </cell>
          <cell r="AD759">
            <v>3091.4670008265753</v>
          </cell>
          <cell r="AE759">
            <v>2996.551460905815</v>
          </cell>
          <cell r="AF759">
            <v>3006.4258155971702</v>
          </cell>
          <cell r="AG759">
            <v>3019.5576270168167</v>
          </cell>
          <cell r="AH759">
            <v>3045.1028849812778</v>
          </cell>
          <cell r="AI759">
            <v>3021.5052203100754</v>
          </cell>
          <cell r="AJ759">
            <v>3048.9417657150766</v>
          </cell>
          <cell r="AK759">
            <v>3076.8333917830005</v>
          </cell>
          <cell r="AP759">
            <v>0</v>
          </cell>
          <cell r="AQ759">
            <v>0</v>
          </cell>
          <cell r="AR759">
            <v>3451</v>
          </cell>
          <cell r="AS759">
            <v>2981.3528986317942</v>
          </cell>
          <cell r="AT759">
            <v>3091.4670008265753</v>
          </cell>
          <cell r="AU759">
            <v>3045.1028849812778</v>
          </cell>
        </row>
        <row r="760">
          <cell r="A760" t="str">
            <v xml:space="preserve">  + Operating Cash Flow</v>
          </cell>
          <cell r="F760">
            <v>0</v>
          </cell>
          <cell r="G760">
            <v>0</v>
          </cell>
          <cell r="H760">
            <v>0</v>
          </cell>
          <cell r="I760">
            <v>0</v>
          </cell>
          <cell r="J760">
            <v>-988</v>
          </cell>
          <cell r="K760">
            <v>-181</v>
          </cell>
          <cell r="L760">
            <v>34</v>
          </cell>
          <cell r="M760">
            <v>310</v>
          </cell>
          <cell r="N760">
            <v>145.92000000000002</v>
          </cell>
          <cell r="O760">
            <v>-134.375</v>
          </cell>
          <cell r="P760">
            <v>320.495</v>
          </cell>
          <cell r="Q760">
            <v>191.05</v>
          </cell>
          <cell r="R760">
            <v>163.42500000000001</v>
          </cell>
          <cell r="S760">
            <v>16.525000000000006</v>
          </cell>
          <cell r="T760">
            <v>76.525000000000006</v>
          </cell>
          <cell r="U760">
            <v>293.52499999999998</v>
          </cell>
          <cell r="V760">
            <v>-62.604999999999997</v>
          </cell>
          <cell r="W760">
            <v>-29.703782100606325</v>
          </cell>
          <cell r="X760">
            <v>1.5446481398662755</v>
          </cell>
          <cell r="Y760">
            <v>9.0994613744137496</v>
          </cell>
          <cell r="Z760">
            <v>57.743240496923221</v>
          </cell>
          <cell r="AA760">
            <v>60.172218760440046</v>
          </cell>
          <cell r="AB760">
            <v>78.675201943962307</v>
          </cell>
          <cell r="AC760">
            <v>102.33490942044811</v>
          </cell>
          <cell r="AD760">
            <v>-101.66310736389413</v>
          </cell>
          <cell r="AE760">
            <v>45.137384717713708</v>
          </cell>
          <cell r="AF760">
            <v>47.865324378383306</v>
          </cell>
          <cell r="AG760">
            <v>53.495244045370498</v>
          </cell>
          <cell r="AH760">
            <v>-6.1427451543014371</v>
          </cell>
          <cell r="AI760">
            <v>66.537654174082917</v>
          </cell>
          <cell r="AJ760">
            <v>69.384039508002616</v>
          </cell>
          <cell r="AK760">
            <v>76.312376931817596</v>
          </cell>
          <cell r="AO760">
            <v>-825</v>
          </cell>
          <cell r="AP760">
            <v>523.09</v>
          </cell>
          <cell r="AQ760">
            <v>550</v>
          </cell>
          <cell r="AR760">
            <v>-81.664672586326304</v>
          </cell>
          <cell r="AS760">
            <v>298.92557062177372</v>
          </cell>
          <cell r="AT760">
            <v>44.834845777573385</v>
          </cell>
          <cell r="AU760">
            <v>206.09132545960171</v>
          </cell>
        </row>
        <row r="761">
          <cell r="A761" t="str">
            <v xml:space="preserve">  + Investing Cash Flow</v>
          </cell>
          <cell r="F761" t="e">
            <v>#VALUE!</v>
          </cell>
          <cell r="G761" t="e">
            <v>#VALUE!</v>
          </cell>
          <cell r="H761" t="e">
            <v>#VALUE!</v>
          </cell>
          <cell r="I761" t="e">
            <v>#VALUE!</v>
          </cell>
          <cell r="J761">
            <v>-1</v>
          </cell>
          <cell r="K761">
            <v>-10</v>
          </cell>
          <cell r="L761">
            <v>-3</v>
          </cell>
          <cell r="M761">
            <v>15</v>
          </cell>
          <cell r="N761">
            <v>-16</v>
          </cell>
          <cell r="O761">
            <v>2</v>
          </cell>
          <cell r="P761">
            <v>-39</v>
          </cell>
          <cell r="Q761">
            <v>-156</v>
          </cell>
          <cell r="R761">
            <v>-61</v>
          </cell>
          <cell r="S761">
            <v>-84</v>
          </cell>
          <cell r="T761">
            <v>-46</v>
          </cell>
          <cell r="U761">
            <v>-40</v>
          </cell>
          <cell r="V761">
            <v>-319</v>
          </cell>
          <cell r="W761">
            <v>-30.2265083434866</v>
          </cell>
          <cell r="X761">
            <v>-27.607212475633528</v>
          </cell>
          <cell r="Y761">
            <v>-25.666788420429814</v>
          </cell>
          <cell r="Z761">
            <v>-26.782912155195842</v>
          </cell>
          <cell r="AA761">
            <v>-28.265331958708227</v>
          </cell>
          <cell r="AB761">
            <v>-29.970862849335987</v>
          </cell>
          <cell r="AC761">
            <v>-31.80634900060139</v>
          </cell>
          <cell r="AD761">
            <v>-23.557109405449808</v>
          </cell>
          <cell r="AE761">
            <v>-23.810095846762415</v>
          </cell>
          <cell r="AF761">
            <v>-23.935111381199668</v>
          </cell>
          <cell r="AG761">
            <v>-23.946864887047909</v>
          </cell>
          <cell r="AH761">
            <v>-20.953042132811994</v>
          </cell>
          <cell r="AI761">
            <v>-22.321149099444131</v>
          </cell>
          <cell r="AJ761">
            <v>-23.717191432496161</v>
          </cell>
          <cell r="AK761">
            <v>-25.141157684325492</v>
          </cell>
          <cell r="AO761">
            <v>1</v>
          </cell>
          <cell r="AP761">
            <v>-209</v>
          </cell>
          <cell r="AQ761">
            <v>-231</v>
          </cell>
          <cell r="AR761">
            <v>-402.50050923954996</v>
          </cell>
          <cell r="AS761">
            <v>-116.82545596384145</v>
          </cell>
          <cell r="AT761">
            <v>-95.2491815204598</v>
          </cell>
          <cell r="AU761">
            <v>-92.132540349077786</v>
          </cell>
        </row>
        <row r="762">
          <cell r="A762" t="str">
            <v xml:space="preserve">  + Financing Cash Flow</v>
          </cell>
          <cell r="F762" t="str">
            <v>ND</v>
          </cell>
          <cell r="G762" t="str">
            <v>ND</v>
          </cell>
          <cell r="H762" t="str">
            <v>ND</v>
          </cell>
          <cell r="I762" t="str">
            <v>ND</v>
          </cell>
          <cell r="J762">
            <v>1128</v>
          </cell>
          <cell r="K762">
            <v>291</v>
          </cell>
          <cell r="L762">
            <v>6</v>
          </cell>
          <cell r="M762">
            <v>-239</v>
          </cell>
          <cell r="N762">
            <v>-51</v>
          </cell>
          <cell r="O762">
            <v>23</v>
          </cell>
          <cell r="P762">
            <v>-265</v>
          </cell>
          <cell r="Q762">
            <v>-90</v>
          </cell>
          <cell r="R762">
            <v>3063</v>
          </cell>
          <cell r="S762">
            <v>-14</v>
          </cell>
          <cell r="T762">
            <v>120</v>
          </cell>
          <cell r="U762">
            <v>195</v>
          </cell>
          <cell r="V762">
            <v>21</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O762">
            <v>1186</v>
          </cell>
          <cell r="AP762">
            <v>-383</v>
          </cell>
          <cell r="AQ762">
            <v>3364</v>
          </cell>
          <cell r="AR762">
            <v>21</v>
          </cell>
          <cell r="AS762">
            <v>0</v>
          </cell>
          <cell r="AT762">
            <v>0</v>
          </cell>
          <cell r="AU762">
            <v>0</v>
          </cell>
        </row>
        <row r="763">
          <cell r="A763" t="str">
            <v xml:space="preserve">  +/- Other / restructuring</v>
          </cell>
          <cell r="J763">
            <v>-139</v>
          </cell>
          <cell r="K763">
            <v>-100</v>
          </cell>
          <cell r="L763">
            <v>-37</v>
          </cell>
          <cell r="M763">
            <v>-86</v>
          </cell>
          <cell r="N763">
            <v>-78.920000000000016</v>
          </cell>
          <cell r="O763">
            <v>109.375</v>
          </cell>
          <cell r="P763">
            <v>-16.495000000000005</v>
          </cell>
          <cell r="Q763">
            <v>0</v>
          </cell>
          <cell r="R763">
            <v>0</v>
          </cell>
          <cell r="S763">
            <v>0</v>
          </cell>
          <cell r="T763">
            <v>0</v>
          </cell>
          <cell r="U763">
            <v>0</v>
          </cell>
          <cell r="V763">
            <v>0</v>
          </cell>
          <cell r="W763">
            <v>0</v>
          </cell>
          <cell r="X763">
            <v>0</v>
          </cell>
          <cell r="Y763">
            <v>0</v>
          </cell>
          <cell r="Z763">
            <v>0</v>
          </cell>
          <cell r="AA763">
            <v>0</v>
          </cell>
          <cell r="AB763">
            <v>0</v>
          </cell>
          <cell r="AC763">
            <v>0</v>
          </cell>
          <cell r="AD763">
            <v>0</v>
          </cell>
          <cell r="AE763">
            <v>0</v>
          </cell>
          <cell r="AF763">
            <v>0</v>
          </cell>
          <cell r="AG763">
            <v>0</v>
          </cell>
          <cell r="AH763">
            <v>0</v>
          </cell>
          <cell r="AI763">
            <v>0</v>
          </cell>
          <cell r="AJ763">
            <v>0</v>
          </cell>
          <cell r="AK763">
            <v>0</v>
          </cell>
          <cell r="AO763">
            <v>-362</v>
          </cell>
          <cell r="AP763">
            <v>13.95999999999998</v>
          </cell>
          <cell r="AQ763">
            <v>0</v>
          </cell>
          <cell r="AR763">
            <v>0</v>
          </cell>
          <cell r="AS763">
            <v>0</v>
          </cell>
          <cell r="AT763">
            <v>0</v>
          </cell>
          <cell r="AU763">
            <v>0</v>
          </cell>
        </row>
        <row r="764">
          <cell r="A764" t="str">
            <v>End of Period Cash and Investments</v>
          </cell>
          <cell r="J764">
            <v>0</v>
          </cell>
          <cell r="K764">
            <v>0</v>
          </cell>
          <cell r="L764">
            <v>0</v>
          </cell>
          <cell r="M764">
            <v>0</v>
          </cell>
          <cell r="N764">
            <v>0</v>
          </cell>
          <cell r="O764">
            <v>0</v>
          </cell>
          <cell r="P764">
            <v>0</v>
          </cell>
          <cell r="Q764">
            <v>0</v>
          </cell>
          <cell r="R764">
            <v>3116</v>
          </cell>
          <cell r="S764">
            <v>3026</v>
          </cell>
          <cell r="T764">
            <v>3078</v>
          </cell>
          <cell r="U764">
            <v>3451</v>
          </cell>
          <cell r="V764">
            <v>3065</v>
          </cell>
          <cell r="W764">
            <v>3011.5110169113541</v>
          </cell>
          <cell r="X764">
            <v>2989.6624387586071</v>
          </cell>
          <cell r="Y764">
            <v>2981.3528986317942</v>
          </cell>
          <cell r="Z764">
            <v>2986.8828513647559</v>
          </cell>
          <cell r="AA764">
            <v>2997.759442927947</v>
          </cell>
          <cell r="AB764">
            <v>3027.4532092422332</v>
          </cell>
          <cell r="AC764">
            <v>3091.4670008265753</v>
          </cell>
          <cell r="AD764">
            <v>2996.551460905815</v>
          </cell>
          <cell r="AE764">
            <v>3006.4258155971702</v>
          </cell>
          <cell r="AF764">
            <v>3019.5576270168167</v>
          </cell>
          <cell r="AG764">
            <v>3045.1028849812778</v>
          </cell>
          <cell r="AH764">
            <v>3021.5052203100754</v>
          </cell>
          <cell r="AI764">
            <v>3048.9417657150766</v>
          </cell>
          <cell r="AJ764">
            <v>3076.8333917830005</v>
          </cell>
          <cell r="AK764">
            <v>3115.8526526900869</v>
          </cell>
          <cell r="AO764">
            <v>0</v>
          </cell>
          <cell r="AP764">
            <v>-54.949999999999989</v>
          </cell>
          <cell r="AQ764">
            <v>3683</v>
          </cell>
          <cell r="AR764">
            <v>2987.8348181741239</v>
          </cell>
          <cell r="AS764">
            <v>3163.4530132897266</v>
          </cell>
          <cell r="AT764">
            <v>3041.0526650836887</v>
          </cell>
          <cell r="AU764">
            <v>3159.0616700918017</v>
          </cell>
        </row>
        <row r="765">
          <cell r="A765" t="str">
            <v xml:space="preserve">    Cash (burn) / gain</v>
          </cell>
          <cell r="H765">
            <v>0</v>
          </cell>
          <cell r="I765">
            <v>0</v>
          </cell>
          <cell r="J765">
            <v>0</v>
          </cell>
          <cell r="K765">
            <v>0</v>
          </cell>
          <cell r="L765">
            <v>0</v>
          </cell>
          <cell r="M765">
            <v>0</v>
          </cell>
          <cell r="N765">
            <v>0</v>
          </cell>
          <cell r="O765">
            <v>0</v>
          </cell>
          <cell r="P765">
            <v>0</v>
          </cell>
          <cell r="Q765">
            <v>0</v>
          </cell>
          <cell r="R765">
            <v>3116</v>
          </cell>
          <cell r="S765">
            <v>-90</v>
          </cell>
          <cell r="T765">
            <v>52</v>
          </cell>
          <cell r="U765">
            <v>373</v>
          </cell>
          <cell r="V765">
            <v>-386</v>
          </cell>
          <cell r="W765">
            <v>-53.488983088645909</v>
          </cell>
          <cell r="X765">
            <v>-21.848578152746995</v>
          </cell>
          <cell r="Y765">
            <v>-8.3095401268128626</v>
          </cell>
          <cell r="Z765">
            <v>5.5299527329616467</v>
          </cell>
          <cell r="AA765">
            <v>10.876591563191141</v>
          </cell>
          <cell r="AB765">
            <v>29.693766314286222</v>
          </cell>
          <cell r="AC765">
            <v>64.013791584342016</v>
          </cell>
          <cell r="AD765">
            <v>-94.915539920760239</v>
          </cell>
          <cell r="AE765">
            <v>9.8743546913551654</v>
          </cell>
          <cell r="AF765">
            <v>13.13181141964651</v>
          </cell>
          <cell r="AG765">
            <v>25.545257964461143</v>
          </cell>
          <cell r="AH765">
            <v>-23.597664671202438</v>
          </cell>
          <cell r="AI765">
            <v>27.436545405001198</v>
          </cell>
          <cell r="AJ765">
            <v>27.89162606792388</v>
          </cell>
          <cell r="AK765">
            <v>39.019260907086391</v>
          </cell>
          <cell r="AQ765">
            <v>3737.95</v>
          </cell>
          <cell r="AR765">
            <v>-695.16518182587606</v>
          </cell>
          <cell r="AS765">
            <v>175.6181951156027</v>
          </cell>
          <cell r="AT765">
            <v>-122.40034820603796</v>
          </cell>
          <cell r="AU765">
            <v>118.00900500811304</v>
          </cell>
        </row>
        <row r="771">
          <cell r="A771" t="str">
            <v>Note: 2008 &amp; 2007 only annual restated data avail; quarterly data is approximate</v>
          </cell>
        </row>
      </sheetData>
      <sheetData sheetId="6"/>
      <sheetData sheetId="7"/>
      <sheetData sheetId="8"/>
      <sheetData sheetId="9"/>
      <sheetData sheetId="10"/>
      <sheetData sheetId="11" refreshError="1"/>
      <sheetData sheetId="12"/>
      <sheetData sheetId="13"/>
      <sheetData sheetId="14"/>
      <sheetData sheetId="15"/>
      <sheetData sheetId="16"/>
      <sheetData sheetId="17"/>
      <sheetData sheetId="18" refreshError="1"/>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ipping"/>
      <sheetName val="merchandise"/>
      <sheetName val="FX"/>
      <sheetName val="ROAA"/>
      <sheetName val="gm"/>
      <sheetName val="Sheet1"/>
      <sheetName val="#REF"/>
    </sheetNames>
    <sheetDataSet>
      <sheetData sheetId="0" refreshError="1">
        <row r="2">
          <cell r="C2" t="str">
            <v>Active</v>
          </cell>
          <cell r="D2" t="str">
            <v>Outbound</v>
          </cell>
          <cell r="E2" t="str">
            <v>Avg LTM</v>
          </cell>
          <cell r="F2" t="str">
            <v>LTM Out</v>
          </cell>
          <cell r="G2" t="str">
            <v>LTM Shipping</v>
          </cell>
        </row>
        <row r="3">
          <cell r="C3" t="str">
            <v>Accounts</v>
          </cell>
          <cell r="D3" t="str">
            <v>Shipping</v>
          </cell>
          <cell r="E3" t="str">
            <v>Accounts</v>
          </cell>
          <cell r="F3" t="str">
            <v>Shipping</v>
          </cell>
          <cell r="G3" t="str">
            <v>/ Account</v>
          </cell>
        </row>
        <row r="4">
          <cell r="B4">
            <v>36525</v>
          </cell>
          <cell r="C4">
            <v>14.1</v>
          </cell>
          <cell r="D4">
            <v>97</v>
          </cell>
          <cell r="I4">
            <v>676.04200000000003</v>
          </cell>
          <cell r="J4">
            <v>92.5</v>
          </cell>
          <cell r="K4">
            <v>583.54200000000003</v>
          </cell>
        </row>
        <row r="5">
          <cell r="B5">
            <v>36616</v>
          </cell>
          <cell r="C5">
            <v>15.9</v>
          </cell>
          <cell r="D5">
            <v>78</v>
          </cell>
          <cell r="I5">
            <v>573.88900000000001</v>
          </cell>
          <cell r="J5">
            <v>74.599999999999994</v>
          </cell>
          <cell r="K5">
            <v>499.28899999999999</v>
          </cell>
        </row>
        <row r="6">
          <cell r="B6">
            <v>36707</v>
          </cell>
          <cell r="C6">
            <v>17</v>
          </cell>
          <cell r="D6">
            <v>62.6</v>
          </cell>
          <cell r="I6">
            <v>577.87599999999998</v>
          </cell>
          <cell r="J6">
            <v>73.5</v>
          </cell>
          <cell r="K6">
            <v>504.37599999999998</v>
          </cell>
        </row>
        <row r="7">
          <cell r="B7">
            <v>36799</v>
          </cell>
          <cell r="C7">
            <v>18.2</v>
          </cell>
          <cell r="D7">
            <v>69.900000000000006</v>
          </cell>
          <cell r="E7">
            <v>16.3</v>
          </cell>
          <cell r="F7">
            <v>307.5</v>
          </cell>
          <cell r="G7">
            <v>18.865030674846626</v>
          </cell>
          <cell r="I7">
            <v>637.85799999999995</v>
          </cell>
          <cell r="J7">
            <v>78.099999999999994</v>
          </cell>
          <cell r="K7">
            <v>559.75799999999992</v>
          </cell>
          <cell r="L7">
            <v>2146.9650000000001</v>
          </cell>
        </row>
        <row r="8">
          <cell r="B8">
            <v>36891</v>
          </cell>
          <cell r="C8">
            <v>19.8</v>
          </cell>
          <cell r="D8">
            <v>129.5</v>
          </cell>
          <cell r="E8">
            <v>17.724999999999998</v>
          </cell>
          <cell r="F8">
            <v>340</v>
          </cell>
          <cell r="G8">
            <v>19.181946403385052</v>
          </cell>
          <cell r="I8">
            <v>972.36</v>
          </cell>
          <cell r="J8">
            <v>112.8</v>
          </cell>
          <cell r="K8">
            <v>859.56000000000006</v>
          </cell>
          <cell r="L8">
            <v>2422.9829999999997</v>
          </cell>
        </row>
        <row r="9">
          <cell r="B9">
            <v>36981</v>
          </cell>
          <cell r="C9">
            <v>20.5</v>
          </cell>
          <cell r="D9">
            <v>87</v>
          </cell>
          <cell r="E9">
            <v>18.875</v>
          </cell>
          <cell r="F9">
            <v>349</v>
          </cell>
          <cell r="G9">
            <v>18.490066225165563</v>
          </cell>
          <cell r="I9">
            <v>700.35599999999999</v>
          </cell>
          <cell r="J9">
            <v>82</v>
          </cell>
          <cell r="K9">
            <v>618.35599999999999</v>
          </cell>
          <cell r="L9">
            <v>2542.0500000000002</v>
          </cell>
        </row>
        <row r="10">
          <cell r="B10">
            <v>37072</v>
          </cell>
          <cell r="C10">
            <v>21.1</v>
          </cell>
          <cell r="D10">
            <v>78</v>
          </cell>
          <cell r="E10">
            <v>19.899999999999999</v>
          </cell>
          <cell r="F10">
            <v>364.4</v>
          </cell>
          <cell r="G10">
            <v>18.311557788944725</v>
          </cell>
          <cell r="I10">
            <v>667.625</v>
          </cell>
          <cell r="J10">
            <v>76</v>
          </cell>
          <cell r="K10">
            <v>591.625</v>
          </cell>
          <cell r="L10">
            <v>2629.299</v>
          </cell>
          <cell r="P10" t="str">
            <v>Sales / Account y/y</v>
          </cell>
          <cell r="Q10" t="str">
            <v>Shipping / Account y/y</v>
          </cell>
        </row>
        <row r="11">
          <cell r="B11">
            <v>37164</v>
          </cell>
          <cell r="C11">
            <v>23</v>
          </cell>
          <cell r="D11">
            <v>76</v>
          </cell>
          <cell r="E11">
            <v>21.1</v>
          </cell>
          <cell r="F11">
            <v>370.5</v>
          </cell>
          <cell r="G11">
            <v>17.559241706161135</v>
          </cell>
          <cell r="H11">
            <v>-6.9217431510808169E-2</v>
          </cell>
          <cell r="I11">
            <v>639.28100000000006</v>
          </cell>
          <cell r="J11">
            <v>74</v>
          </cell>
          <cell r="K11">
            <v>565.28100000000006</v>
          </cell>
          <cell r="L11">
            <v>2634.8220000000001</v>
          </cell>
          <cell r="M11">
            <v>0.22723099817649572</v>
          </cell>
          <cell r="N11">
            <v>0.29644842968730389</v>
          </cell>
          <cell r="O11">
            <v>37164</v>
          </cell>
          <cell r="P11">
            <v>0.22723099817649572</v>
          </cell>
          <cell r="Q11">
            <v>-6.9217431510808169E-2</v>
          </cell>
        </row>
        <row r="12">
          <cell r="B12">
            <v>37256</v>
          </cell>
          <cell r="C12">
            <v>24.7</v>
          </cell>
          <cell r="D12">
            <v>135</v>
          </cell>
          <cell r="E12">
            <v>22.324999999999999</v>
          </cell>
          <cell r="F12">
            <v>376</v>
          </cell>
          <cell r="G12">
            <v>16.842105263157894</v>
          </cell>
          <cell r="H12">
            <v>-0.12198142414860691</v>
          </cell>
          <cell r="I12">
            <v>1115.1709999999998</v>
          </cell>
          <cell r="J12">
            <v>125</v>
          </cell>
          <cell r="K12">
            <v>990.17099999999982</v>
          </cell>
          <cell r="L12">
            <v>2765.433</v>
          </cell>
          <cell r="M12">
            <v>0.14133404980554976</v>
          </cell>
          <cell r="N12">
            <v>0.26331547395415666</v>
          </cell>
          <cell r="O12">
            <v>37256</v>
          </cell>
          <cell r="P12">
            <v>0.14133404980554976</v>
          </cell>
          <cell r="Q12">
            <v>-0.12198142414860691</v>
          </cell>
        </row>
        <row r="13">
          <cell r="B13">
            <v>37346</v>
          </cell>
          <cell r="C13">
            <v>26.2</v>
          </cell>
          <cell r="D13">
            <v>90</v>
          </cell>
          <cell r="E13">
            <v>23.75</v>
          </cell>
          <cell r="F13">
            <v>379</v>
          </cell>
          <cell r="G13">
            <v>15.957894736842105</v>
          </cell>
          <cell r="H13">
            <v>-0.13694767003468555</v>
          </cell>
          <cell r="I13">
            <v>847.42200000000014</v>
          </cell>
          <cell r="J13">
            <v>89</v>
          </cell>
          <cell r="K13">
            <v>758.42200000000014</v>
          </cell>
          <cell r="L13">
            <v>2905.4989999999998</v>
          </cell>
          <cell r="M13">
            <v>0.14297476446175317</v>
          </cell>
          <cell r="N13">
            <v>0.27992243449643872</v>
          </cell>
          <cell r="O13">
            <v>37346</v>
          </cell>
          <cell r="P13">
            <v>0.14297476446175317</v>
          </cell>
          <cell r="Q13">
            <v>-0.13694767003468555</v>
          </cell>
        </row>
        <row r="14">
          <cell r="B14">
            <v>37437</v>
          </cell>
          <cell r="C14">
            <v>27.3</v>
          </cell>
          <cell r="D14">
            <v>83</v>
          </cell>
          <cell r="E14">
            <v>25.3</v>
          </cell>
          <cell r="F14">
            <v>384</v>
          </cell>
          <cell r="G14">
            <v>15.177865612648221</v>
          </cell>
          <cell r="H14">
            <v>-0.1711319273004952</v>
          </cell>
          <cell r="I14">
            <v>805.60500000000002</v>
          </cell>
          <cell r="J14">
            <v>81</v>
          </cell>
          <cell r="K14">
            <v>724.60500000000002</v>
          </cell>
          <cell r="L14">
            <v>3038.4789999999998</v>
          </cell>
          <cell r="M14">
            <v>0.15562322885301372</v>
          </cell>
          <cell r="N14">
            <v>0.32675515615350892</v>
          </cell>
          <cell r="O14">
            <v>37437</v>
          </cell>
          <cell r="P14">
            <v>0.15562322885301372</v>
          </cell>
          <cell r="Q14">
            <v>-0.1711319273004952</v>
          </cell>
        </row>
        <row r="15">
          <cell r="B15">
            <v>37529</v>
          </cell>
          <cell r="C15">
            <v>29</v>
          </cell>
          <cell r="D15">
            <v>83</v>
          </cell>
          <cell r="E15">
            <v>26.8</v>
          </cell>
          <cell r="F15">
            <v>391</v>
          </cell>
          <cell r="G15">
            <v>14.58955223880597</v>
          </cell>
          <cell r="H15">
            <v>-0.1691240155497814</v>
          </cell>
          <cell r="I15">
            <v>851.29899999999998</v>
          </cell>
          <cell r="J15">
            <v>73</v>
          </cell>
          <cell r="K15">
            <v>778.29899999999998</v>
          </cell>
          <cell r="L15">
            <v>3251.4969999999998</v>
          </cell>
          <cell r="M15">
            <v>0.23404806852227567</v>
          </cell>
          <cell r="N15">
            <v>0.40317208407205707</v>
          </cell>
          <cell r="O15">
            <v>37529</v>
          </cell>
          <cell r="P15">
            <v>0.23404806852227567</v>
          </cell>
          <cell r="Q15">
            <v>-0.1691240155497814</v>
          </cell>
        </row>
        <row r="16">
          <cell r="B16">
            <v>37621</v>
          </cell>
          <cell r="C16">
            <v>31</v>
          </cell>
          <cell r="D16">
            <v>148.303</v>
          </cell>
          <cell r="E16">
            <v>28.375</v>
          </cell>
          <cell r="F16">
            <v>404.303</v>
          </cell>
          <cell r="G16">
            <v>14.248563876651982</v>
          </cell>
          <cell r="H16">
            <v>-0.15399151982378856</v>
          </cell>
          <cell r="I16">
            <v>1428.61</v>
          </cell>
          <cell r="J16">
            <v>121.74900000000002</v>
          </cell>
          <cell r="K16">
            <v>1306.8609999999999</v>
          </cell>
          <cell r="L16">
            <v>3568.1869999999999</v>
          </cell>
          <cell r="M16">
            <v>0.29028148575648016</v>
          </cell>
          <cell r="N16">
            <v>0.44427300558026872</v>
          </cell>
          <cell r="O16">
            <v>37621</v>
          </cell>
          <cell r="P16">
            <v>0.29028148575648016</v>
          </cell>
          <cell r="Q16">
            <v>-0.15399151982378856</v>
          </cell>
        </row>
        <row r="17">
          <cell r="B17">
            <v>37711</v>
          </cell>
          <cell r="C17">
            <v>33.4</v>
          </cell>
          <cell r="D17">
            <v>105</v>
          </cell>
          <cell r="E17">
            <v>30.174999999999997</v>
          </cell>
          <cell r="F17">
            <v>419.303</v>
          </cell>
          <cell r="G17">
            <v>13.895708367854185</v>
          </cell>
          <cell r="H17">
            <v>-0.1292267183732535</v>
          </cell>
          <cell r="I17">
            <v>1083.559</v>
          </cell>
          <cell r="J17">
            <v>78</v>
          </cell>
          <cell r="K17">
            <v>1005.559</v>
          </cell>
          <cell r="L17">
            <v>3815.3239999999996</v>
          </cell>
          <cell r="M17">
            <v>0.31313898232282988</v>
          </cell>
          <cell r="N17">
            <v>0.44236570069608339</v>
          </cell>
          <cell r="O17">
            <v>37711</v>
          </cell>
          <cell r="P17">
            <v>0.31313898232282988</v>
          </cell>
          <cell r="Q17">
            <v>-0.1292267183732535</v>
          </cell>
        </row>
        <row r="18">
          <cell r="B18">
            <v>37802</v>
          </cell>
          <cell r="C18">
            <v>34.700000000000003</v>
          </cell>
          <cell r="D18">
            <v>106</v>
          </cell>
          <cell r="E18">
            <v>32.025000000000006</v>
          </cell>
          <cell r="F18">
            <v>442.303</v>
          </cell>
          <cell r="G18">
            <v>13.811178766588601</v>
          </cell>
          <cell r="H18">
            <v>-9.0044732305490593E-2</v>
          </cell>
          <cell r="I18">
            <v>1099.912</v>
          </cell>
          <cell r="J18">
            <v>80</v>
          </cell>
          <cell r="K18">
            <v>1019.912</v>
          </cell>
          <cell r="L18">
            <v>4110.6310000000003</v>
          </cell>
          <cell r="M18">
            <v>0.35285812408116057</v>
          </cell>
          <cell r="N18">
            <v>0.44290285638665117</v>
          </cell>
          <cell r="O18">
            <v>37802</v>
          </cell>
          <cell r="P18">
            <v>0.35285812408116057</v>
          </cell>
          <cell r="Q18">
            <v>-9.0044732305490593E-2</v>
          </cell>
        </row>
        <row r="19">
          <cell r="B19">
            <v>37894</v>
          </cell>
          <cell r="C19">
            <v>36.9</v>
          </cell>
          <cell r="D19">
            <v>104</v>
          </cell>
          <cell r="E19">
            <v>34</v>
          </cell>
          <cell r="F19">
            <v>463.303</v>
          </cell>
          <cell r="G19">
            <v>13.626558823529411</v>
          </cell>
          <cell r="H19">
            <v>-6.600568677598917E-2</v>
          </cell>
          <cell r="I19">
            <v>1134.4560000000001</v>
          </cell>
          <cell r="J19">
            <v>77</v>
          </cell>
          <cell r="K19">
            <v>1057.4560000000001</v>
          </cell>
          <cell r="L19">
            <v>4389.7880000000005</v>
          </cell>
          <cell r="M19">
            <v>0.35008213139978306</v>
          </cell>
          <cell r="N19">
            <v>0.41608781817577223</v>
          </cell>
          <cell r="O19">
            <v>37894</v>
          </cell>
          <cell r="P19">
            <v>0.35008213139978306</v>
          </cell>
          <cell r="Q19">
            <v>-6.600568677598917E-2</v>
          </cell>
        </row>
        <row r="20">
          <cell r="B20">
            <v>37986</v>
          </cell>
          <cell r="C20">
            <v>39.49</v>
          </cell>
          <cell r="D20">
            <v>193.46800000000002</v>
          </cell>
          <cell r="E20">
            <v>36.122500000000002</v>
          </cell>
          <cell r="F20">
            <v>508.46800000000002</v>
          </cell>
          <cell r="G20">
            <v>14.076212886704962</v>
          </cell>
          <cell r="H20">
            <v>-1.2096025356593154E-2</v>
          </cell>
          <cell r="I20">
            <v>1945.7719999999999</v>
          </cell>
          <cell r="J20">
            <v>137</v>
          </cell>
          <cell r="K20">
            <v>1808.7719999999999</v>
          </cell>
          <cell r="L20">
            <v>4891.6990000000005</v>
          </cell>
          <cell r="M20">
            <v>0.37092002184863082</v>
          </cell>
          <cell r="N20">
            <v>0.38301604720522398</v>
          </cell>
          <cell r="O20">
            <v>37986</v>
          </cell>
          <cell r="P20">
            <v>0.37092002184863082</v>
          </cell>
          <cell r="Q20">
            <v>-1.2096025356593154E-2</v>
          </cell>
        </row>
        <row r="21">
          <cell r="B21">
            <v>38077</v>
          </cell>
          <cell r="C21">
            <v>41</v>
          </cell>
          <cell r="D21">
            <v>136.6</v>
          </cell>
          <cell r="E21">
            <v>38.022500000000001</v>
          </cell>
          <cell r="F21">
            <v>540.06799999999998</v>
          </cell>
          <cell r="G21">
            <v>14.203905582221052</v>
          </cell>
          <cell r="H21">
            <v>2.217930933840262E-2</v>
          </cell>
          <cell r="I21">
            <v>1530.3489999999999</v>
          </cell>
          <cell r="J21">
            <v>93.6</v>
          </cell>
          <cell r="K21">
            <v>1436.749</v>
          </cell>
          <cell r="L21">
            <v>5322.8890000000001</v>
          </cell>
          <cell r="M21">
            <v>0.39513420092238571</v>
          </cell>
          <cell r="N21">
            <v>0.37295489158398309</v>
          </cell>
          <cell r="O21">
            <v>38077</v>
          </cell>
          <cell r="P21">
            <v>0.39513420092238571</v>
          </cell>
          <cell r="Q21">
            <v>2.217930933840262E-2</v>
          </cell>
        </row>
        <row r="22">
          <cell r="B22">
            <v>38168</v>
          </cell>
          <cell r="C22">
            <v>42.1</v>
          </cell>
          <cell r="D22">
            <v>119</v>
          </cell>
          <cell r="E22">
            <v>39.872500000000002</v>
          </cell>
          <cell r="F22">
            <v>553.06799999999998</v>
          </cell>
          <cell r="G22">
            <v>13.870913536898865</v>
          </cell>
          <cell r="H22">
            <v>4.3251029705568822E-3</v>
          </cell>
          <cell r="I22">
            <v>1387.3409999999999</v>
          </cell>
          <cell r="J22">
            <v>84</v>
          </cell>
          <cell r="K22">
            <v>1303.3409999999999</v>
          </cell>
          <cell r="L22">
            <v>5606.3179999999993</v>
          </cell>
          <cell r="M22">
            <v>0.36385824949989409</v>
          </cell>
          <cell r="N22">
            <v>0.35953314652933721</v>
          </cell>
          <cell r="O22">
            <v>38168</v>
          </cell>
          <cell r="P22">
            <v>0.36385824949989409</v>
          </cell>
          <cell r="Q22">
            <v>4.3251029705568822E-3</v>
          </cell>
        </row>
        <row r="23">
          <cell r="B23">
            <v>38260</v>
          </cell>
          <cell r="C23">
            <v>44</v>
          </cell>
          <cell r="D23">
            <v>128</v>
          </cell>
          <cell r="E23">
            <v>41.647500000000001</v>
          </cell>
          <cell r="F23">
            <v>577.06799999999998</v>
          </cell>
          <cell r="G23">
            <v>13.856005762650819</v>
          </cell>
          <cell r="H23">
            <v>1.6838215876279428E-2</v>
          </cell>
          <cell r="I23">
            <v>1462.4749999999999</v>
          </cell>
          <cell r="J23">
            <v>87</v>
          </cell>
          <cell r="K23">
            <v>1375.4749999999999</v>
          </cell>
          <cell r="L23">
            <v>5924.3369999999995</v>
          </cell>
          <cell r="M23">
            <v>0.34957246226924821</v>
          </cell>
          <cell r="N23">
            <v>0.33273424639296878</v>
          </cell>
          <cell r="O23">
            <v>38260</v>
          </cell>
          <cell r="P23">
            <v>0.34957246226924821</v>
          </cell>
          <cell r="Q23">
            <v>1.6838215876279428E-2</v>
          </cell>
        </row>
        <row r="24">
          <cell r="B24">
            <v>38352</v>
          </cell>
          <cell r="C24">
            <v>47</v>
          </cell>
          <cell r="D24">
            <v>232.97199999999998</v>
          </cell>
          <cell r="E24">
            <v>43.524999999999999</v>
          </cell>
          <cell r="F24">
            <v>616.572</v>
          </cell>
          <cell r="G24">
            <v>14.165927627800116</v>
          </cell>
          <cell r="H24">
            <v>6.3734998765108131E-3</v>
          </cell>
          <cell r="I24">
            <v>2540.9589999999998</v>
          </cell>
          <cell r="J24">
            <v>155.45299999999997</v>
          </cell>
          <cell r="K24">
            <v>2385.5059999999999</v>
          </cell>
          <cell r="L24">
            <v>6501.0709999999999</v>
          </cell>
          <cell r="M24">
            <v>0.3290006192122612</v>
          </cell>
          <cell r="N24">
            <v>0.32262711933575039</v>
          </cell>
          <cell r="O24">
            <v>38352</v>
          </cell>
          <cell r="P24">
            <v>0.3290006192122612</v>
          </cell>
          <cell r="Q24">
            <v>6.3734998765108131E-3</v>
          </cell>
        </row>
        <row r="25">
          <cell r="B25">
            <v>38442</v>
          </cell>
          <cell r="C25">
            <v>48.5</v>
          </cell>
          <cell r="D25">
            <v>163.1</v>
          </cell>
          <cell r="E25">
            <v>45.4</v>
          </cell>
          <cell r="F25">
            <v>643.072</v>
          </cell>
          <cell r="G25">
            <v>14.164581497797357</v>
          </cell>
          <cell r="H25">
            <v>-2.7685402578934148E-3</v>
          </cell>
          <cell r="I25">
            <v>1901.923</v>
          </cell>
          <cell r="J25">
            <v>107.8</v>
          </cell>
          <cell r="K25">
            <v>1794.123</v>
          </cell>
          <cell r="L25">
            <v>6858.4449999999997</v>
          </cell>
          <cell r="M25">
            <v>0.28848168729424928</v>
          </cell>
          <cell r="N25">
            <v>0.29125022755214269</v>
          </cell>
          <cell r="O25">
            <v>38442</v>
          </cell>
          <cell r="P25">
            <v>0.28848168729424928</v>
          </cell>
          <cell r="Q25">
            <v>-2.7685402578934148E-3</v>
          </cell>
        </row>
        <row r="26">
          <cell r="B26">
            <v>38533</v>
          </cell>
          <cell r="C26">
            <v>50</v>
          </cell>
          <cell r="D26">
            <v>148</v>
          </cell>
          <cell r="E26">
            <v>47.375</v>
          </cell>
          <cell r="F26">
            <v>672.072</v>
          </cell>
          <cell r="G26">
            <v>14.186216358839051</v>
          </cell>
          <cell r="H26">
            <v>2.2731222503941773E-2</v>
          </cell>
          <cell r="I26">
            <v>1753</v>
          </cell>
          <cell r="J26">
            <v>103</v>
          </cell>
          <cell r="K26">
            <v>1650</v>
          </cell>
          <cell r="L26">
            <v>7205.1039999999994</v>
          </cell>
          <cell r="M26">
            <v>0.28517576063291461</v>
          </cell>
          <cell r="N26">
            <v>0.26244453812897284</v>
          </cell>
          <cell r="O26">
            <v>38533</v>
          </cell>
          <cell r="P26">
            <v>0.28517576063291461</v>
          </cell>
          <cell r="Q26">
            <v>2.2731222503941773E-2</v>
          </cell>
        </row>
        <row r="27">
          <cell r="B27">
            <v>38625</v>
          </cell>
          <cell r="C27">
            <v>52.2</v>
          </cell>
          <cell r="D27">
            <v>159</v>
          </cell>
          <cell r="E27">
            <v>49.424999999999997</v>
          </cell>
          <cell r="F27">
            <v>703.072</v>
          </cell>
          <cell r="G27">
            <v>14.225027819929187</v>
          </cell>
          <cell r="H27">
            <v>2.6632643172903148E-2</v>
          </cell>
          <cell r="I27">
            <v>1858</v>
          </cell>
          <cell r="J27">
            <v>112</v>
          </cell>
          <cell r="K27">
            <v>1746</v>
          </cell>
          <cell r="L27">
            <v>7575.6289999999999</v>
          </cell>
          <cell r="M27">
            <v>0.27873026129337353</v>
          </cell>
          <cell r="N27">
            <v>0.25209761812047038</v>
          </cell>
          <cell r="O27">
            <v>38625</v>
          </cell>
          <cell r="P27">
            <v>0.27873026129337353</v>
          </cell>
          <cell r="Q27">
            <v>2.6632643172903148E-2</v>
          </cell>
        </row>
        <row r="28">
          <cell r="B28">
            <v>38717</v>
          </cell>
          <cell r="C28">
            <v>55</v>
          </cell>
          <cell r="D28">
            <v>279.89999999999998</v>
          </cell>
          <cell r="E28">
            <v>51.424999999999997</v>
          </cell>
          <cell r="F28">
            <v>750</v>
          </cell>
          <cell r="G28">
            <v>14.584346135148275</v>
          </cell>
          <cell r="H28">
            <v>2.9536964916228037E-2</v>
          </cell>
          <cell r="I28">
            <v>2977</v>
          </cell>
          <cell r="J28">
            <v>188.2</v>
          </cell>
          <cell r="K28">
            <v>2788.8</v>
          </cell>
          <cell r="L28">
            <v>7978.9229999999998</v>
          </cell>
          <cell r="M28">
            <v>0.22732439008895611</v>
          </cell>
          <cell r="N28">
            <v>0.19778742517272807</v>
          </cell>
          <cell r="O28">
            <v>38717</v>
          </cell>
          <cell r="P28">
            <v>0.22732439008895611</v>
          </cell>
          <cell r="Q28">
            <v>2.9536964916228037E-2</v>
          </cell>
        </row>
        <row r="29">
          <cell r="B29">
            <v>38807</v>
          </cell>
          <cell r="C29">
            <v>57.5</v>
          </cell>
          <cell r="D29">
            <v>197</v>
          </cell>
          <cell r="E29">
            <v>53.674999999999997</v>
          </cell>
          <cell r="F29">
            <v>783.9</v>
          </cell>
          <cell r="G29">
            <v>14.604564508616674</v>
          </cell>
          <cell r="H29">
            <v>3.1062196287813704E-2</v>
          </cell>
          <cell r="I29">
            <v>2279</v>
          </cell>
          <cell r="J29">
            <v>129</v>
          </cell>
          <cell r="K29">
            <v>2150</v>
          </cell>
          <cell r="L29">
            <v>8334.7999999999993</v>
          </cell>
          <cell r="M29">
            <v>0.21526089368654255</v>
          </cell>
          <cell r="N29">
            <v>0.18419869739872885</v>
          </cell>
          <cell r="O29">
            <v>38807</v>
          </cell>
          <cell r="P29">
            <v>0.21526089368654255</v>
          </cell>
          <cell r="Q29">
            <v>3.1062196287813704E-2</v>
          </cell>
        </row>
        <row r="30">
          <cell r="B30">
            <v>38898</v>
          </cell>
          <cell r="C30">
            <v>59</v>
          </cell>
          <cell r="D30">
            <v>188</v>
          </cell>
          <cell r="E30">
            <v>55.924999999999997</v>
          </cell>
          <cell r="F30">
            <v>823.9</v>
          </cell>
          <cell r="G30">
            <v>14.732230666070631</v>
          </cell>
          <cell r="H30">
            <v>3.8489072309359829E-2</v>
          </cell>
          <cell r="I30">
            <v>2139</v>
          </cell>
          <cell r="J30">
            <v>128</v>
          </cell>
          <cell r="K30">
            <v>2011</v>
          </cell>
          <cell r="L30">
            <v>8695.7999999999993</v>
          </cell>
          <cell r="M30">
            <v>0.20689444593721351</v>
          </cell>
          <cell r="N30">
            <v>0.16840537362785368</v>
          </cell>
          <cell r="O30">
            <v>38898</v>
          </cell>
          <cell r="P30">
            <v>0.20689444593721351</v>
          </cell>
          <cell r="Q30">
            <v>3.8489072309359829E-2</v>
          </cell>
        </row>
        <row r="31">
          <cell r="B31">
            <v>38990</v>
          </cell>
          <cell r="C31">
            <v>61.3</v>
          </cell>
          <cell r="D31">
            <v>182</v>
          </cell>
          <cell r="E31">
            <v>58.2</v>
          </cell>
          <cell r="F31">
            <v>846.9</v>
          </cell>
          <cell r="G31">
            <v>14.551546391752575</v>
          </cell>
          <cell r="H31">
            <v>2.2953809015820559E-2</v>
          </cell>
          <cell r="I31">
            <v>2307</v>
          </cell>
          <cell r="J31">
            <v>118</v>
          </cell>
          <cell r="K31">
            <v>2189</v>
          </cell>
          <cell r="L31">
            <v>9138.7999999999993</v>
          </cell>
          <cell r="M31">
            <v>0.20634207403768046</v>
          </cell>
          <cell r="N31">
            <v>0.1833882650218599</v>
          </cell>
          <cell r="O31">
            <v>38990</v>
          </cell>
          <cell r="P31">
            <v>0.20634207403768046</v>
          </cell>
          <cell r="Q31">
            <v>2.2953809015820559E-2</v>
          </cell>
        </row>
        <row r="32">
          <cell r="B32">
            <v>39082</v>
          </cell>
          <cell r="C32">
            <v>64</v>
          </cell>
          <cell r="D32">
            <v>317</v>
          </cell>
          <cell r="E32">
            <v>60.45</v>
          </cell>
          <cell r="F32">
            <v>884</v>
          </cell>
          <cell r="G32">
            <v>14.623655913978494</v>
          </cell>
          <cell r="H32">
            <v>2.6953405017919874E-3</v>
          </cell>
          <cell r="I32">
            <v>3986</v>
          </cell>
          <cell r="J32">
            <v>192</v>
          </cell>
          <cell r="K32">
            <v>3794</v>
          </cell>
          <cell r="L32">
            <v>10144</v>
          </cell>
          <cell r="M32">
            <v>0.27134952925350952</v>
          </cell>
          <cell r="N32">
            <v>0.26865418875171754</v>
          </cell>
          <cell r="O32">
            <v>39082</v>
          </cell>
          <cell r="P32">
            <v>0.27134952925350952</v>
          </cell>
          <cell r="Q32">
            <v>2.6953405017919874E-3</v>
          </cell>
        </row>
        <row r="33">
          <cell r="B33">
            <v>39172</v>
          </cell>
          <cell r="C33">
            <v>66</v>
          </cell>
          <cell r="D33">
            <v>238</v>
          </cell>
          <cell r="E33">
            <v>62.575000000000003</v>
          </cell>
          <cell r="F33">
            <v>925</v>
          </cell>
          <cell r="G33">
            <v>14.782261286456253</v>
          </cell>
          <cell r="H33">
            <v>1.216720825429185E-2</v>
          </cell>
          <cell r="I33">
            <v>3015</v>
          </cell>
          <cell r="J33">
            <v>151</v>
          </cell>
          <cell r="K33">
            <v>2864</v>
          </cell>
          <cell r="L33">
            <v>10858</v>
          </cell>
          <cell r="M33">
            <v>0.3027307193933868</v>
          </cell>
          <cell r="N33">
            <v>0.29056351113909495</v>
          </cell>
          <cell r="O33">
            <v>39172</v>
          </cell>
          <cell r="P33">
            <v>0.3027307193933868</v>
          </cell>
          <cell r="Q33">
            <v>1.216720825429185E-2</v>
          </cell>
        </row>
        <row r="34">
          <cell r="B34">
            <v>39263</v>
          </cell>
          <cell r="C34">
            <v>69</v>
          </cell>
          <cell r="D34">
            <v>227</v>
          </cell>
          <cell r="E34">
            <v>65.075000000000003</v>
          </cell>
          <cell r="F34">
            <v>964</v>
          </cell>
          <cell r="G34">
            <v>14.813676527084134</v>
          </cell>
          <cell r="H34">
            <v>5.5284133719870621E-3</v>
          </cell>
          <cell r="I34">
            <v>2886</v>
          </cell>
          <cell r="J34">
            <v>152</v>
          </cell>
          <cell r="K34">
            <v>2734</v>
          </cell>
          <cell r="L34">
            <v>11581</v>
          </cell>
          <cell r="M34">
            <v>0.33179235952988817</v>
          </cell>
          <cell r="N34">
            <v>0.32626394615790111</v>
          </cell>
          <cell r="O34">
            <v>39263</v>
          </cell>
          <cell r="P34">
            <v>0.33179235952988817</v>
          </cell>
          <cell r="Q34">
            <v>5.5284133719870621E-3</v>
          </cell>
        </row>
        <row r="35">
          <cell r="B35">
            <v>39355</v>
          </cell>
          <cell r="C35">
            <v>72</v>
          </cell>
          <cell r="D35">
            <v>260</v>
          </cell>
          <cell r="E35">
            <v>67.75</v>
          </cell>
          <cell r="F35">
            <v>1042</v>
          </cell>
          <cell r="G35">
            <v>15.380073800738007</v>
          </cell>
          <cell r="H35">
            <v>5.6937413157341021E-2</v>
          </cell>
          <cell r="I35">
            <v>3262</v>
          </cell>
          <cell r="J35">
            <v>171</v>
          </cell>
          <cell r="K35">
            <v>3091</v>
          </cell>
          <cell r="L35">
            <v>12483</v>
          </cell>
          <cell r="M35">
            <v>0.36593425832713278</v>
          </cell>
          <cell r="N35">
            <v>0.30899684516979176</v>
          </cell>
          <cell r="O35">
            <v>39355</v>
          </cell>
          <cell r="P35">
            <v>0.36593425832713278</v>
          </cell>
          <cell r="Q35">
            <v>5.6937413157341021E-2</v>
          </cell>
        </row>
        <row r="36">
          <cell r="B36">
            <v>39447</v>
          </cell>
          <cell r="C36">
            <v>76</v>
          </cell>
          <cell r="D36">
            <v>449</v>
          </cell>
          <cell r="E36">
            <v>70.75</v>
          </cell>
          <cell r="F36">
            <v>1174</v>
          </cell>
          <cell r="G36">
            <v>16.593639575971732</v>
          </cell>
          <cell r="H36">
            <v>0.13471211806277283</v>
          </cell>
          <cell r="I36">
            <v>5673</v>
          </cell>
          <cell r="J36">
            <v>266</v>
          </cell>
          <cell r="K36">
            <v>5407</v>
          </cell>
          <cell r="L36">
            <v>14096</v>
          </cell>
          <cell r="M36">
            <v>0.38958990536277605</v>
          </cell>
          <cell r="N36">
            <v>0.25487778730000321</v>
          </cell>
          <cell r="O36">
            <v>39447</v>
          </cell>
          <cell r="P36">
            <v>0.38958990536277605</v>
          </cell>
          <cell r="Q36">
            <v>0.13471211806277283</v>
          </cell>
        </row>
        <row r="37">
          <cell r="B37">
            <v>39538</v>
          </cell>
          <cell r="C37">
            <v>79</v>
          </cell>
          <cell r="D37">
            <v>321</v>
          </cell>
          <cell r="E37">
            <v>74</v>
          </cell>
          <cell r="F37">
            <v>1257</v>
          </cell>
          <cell r="G37">
            <v>16.986486486486488</v>
          </cell>
          <cell r="H37">
            <v>0.14911285609934266</v>
          </cell>
          <cell r="I37">
            <v>4135</v>
          </cell>
          <cell r="J37">
            <v>192</v>
          </cell>
          <cell r="K37">
            <v>3943</v>
          </cell>
          <cell r="L37">
            <v>15175</v>
          </cell>
          <cell r="M37">
            <v>0.39758703260268935</v>
          </cell>
          <cell r="N37">
            <v>0.24847417650334669</v>
          </cell>
          <cell r="O37">
            <v>39538</v>
          </cell>
          <cell r="P37">
            <v>0.39758703260268935</v>
          </cell>
          <cell r="Q37">
            <v>0.14911285609934266</v>
          </cell>
        </row>
        <row r="38">
          <cell r="B38">
            <v>39629</v>
          </cell>
          <cell r="C38">
            <v>81</v>
          </cell>
          <cell r="D38">
            <v>314</v>
          </cell>
          <cell r="E38">
            <v>77</v>
          </cell>
          <cell r="F38">
            <v>1344</v>
          </cell>
          <cell r="G38">
            <v>17.454545454545453</v>
          </cell>
          <cell r="H38">
            <v>0.17827235005658237</v>
          </cell>
          <cell r="I38">
            <v>4063</v>
          </cell>
          <cell r="J38">
            <v>186</v>
          </cell>
          <cell r="K38">
            <v>3877</v>
          </cell>
          <cell r="L38">
            <v>16318</v>
          </cell>
          <cell r="M38">
            <v>0.40903203523011822</v>
          </cell>
          <cell r="N38">
            <v>0.23075968517353584</v>
          </cell>
          <cell r="O38">
            <v>39629</v>
          </cell>
          <cell r="P38">
            <v>0.40903203523011822</v>
          </cell>
          <cell r="Q38">
            <v>0.17827235005658237</v>
          </cell>
        </row>
        <row r="39">
          <cell r="B39">
            <v>39721</v>
          </cell>
          <cell r="C39">
            <v>84</v>
          </cell>
          <cell r="D39">
            <v>323</v>
          </cell>
          <cell r="E39">
            <v>80</v>
          </cell>
          <cell r="F39">
            <v>1407</v>
          </cell>
          <cell r="G39">
            <v>17.587499999999999</v>
          </cell>
          <cell r="H39">
            <v>0.1435250719769674</v>
          </cell>
          <cell r="I39">
            <v>4264</v>
          </cell>
          <cell r="J39">
            <v>191</v>
          </cell>
          <cell r="K39">
            <v>4073</v>
          </cell>
          <cell r="L39">
            <v>17300</v>
          </cell>
          <cell r="M39">
            <v>0.38588480333253217</v>
          </cell>
          <cell r="N39">
            <v>0.24235973135556477</v>
          </cell>
          <cell r="O39">
            <v>39721</v>
          </cell>
          <cell r="P39">
            <v>0.38588480333253217</v>
          </cell>
          <cell r="Q39">
            <v>0.1435250719769674</v>
          </cell>
        </row>
        <row r="40">
          <cell r="B40">
            <v>39813</v>
          </cell>
          <cell r="C40">
            <v>88</v>
          </cell>
          <cell r="D40">
            <v>508</v>
          </cell>
          <cell r="E40">
            <v>83</v>
          </cell>
          <cell r="F40">
            <v>1466</v>
          </cell>
          <cell r="G40">
            <v>17.662650602409638</v>
          </cell>
          <cell r="H40">
            <v>6.4422938773834648E-2</v>
          </cell>
          <cell r="I40">
            <v>6704</v>
          </cell>
          <cell r="J40">
            <v>266</v>
          </cell>
          <cell r="K40">
            <v>6438</v>
          </cell>
          <cell r="L40">
            <v>18331</v>
          </cell>
          <cell r="M40">
            <v>0.30043984108967092</v>
          </cell>
          <cell r="N40">
            <v>0.23601690231583627</v>
          </cell>
          <cell r="O40">
            <v>39813</v>
          </cell>
          <cell r="P40">
            <v>0.30043984108967092</v>
          </cell>
          <cell r="Q40">
            <v>6.4422938773834648E-2</v>
          </cell>
        </row>
        <row r="41">
          <cell r="B41">
            <v>39903</v>
          </cell>
          <cell r="C41">
            <v>91</v>
          </cell>
          <cell r="D41">
            <v>358</v>
          </cell>
          <cell r="E41">
            <v>86</v>
          </cell>
          <cell r="F41">
            <v>1503</v>
          </cell>
          <cell r="G41">
            <v>17.476744186046513</v>
          </cell>
          <cell r="H41">
            <v>2.8861630682133654E-2</v>
          </cell>
          <cell r="I41">
            <v>4889</v>
          </cell>
          <cell r="J41">
            <v>190</v>
          </cell>
          <cell r="K41">
            <v>4699</v>
          </cell>
          <cell r="L41">
            <v>19087</v>
          </cell>
          <cell r="M41">
            <v>0.25779242174629324</v>
          </cell>
          <cell r="N41">
            <v>0.22893079106415959</v>
          </cell>
          <cell r="O41">
            <v>39903</v>
          </cell>
          <cell r="P41">
            <v>0.25779242174629324</v>
          </cell>
          <cell r="Q41">
            <v>2.8861630682133654E-2</v>
          </cell>
        </row>
        <row r="42">
          <cell r="B42">
            <v>39994</v>
          </cell>
          <cell r="C42">
            <v>94</v>
          </cell>
          <cell r="D42">
            <v>332</v>
          </cell>
          <cell r="E42">
            <v>89.25</v>
          </cell>
          <cell r="F42">
            <v>1521</v>
          </cell>
          <cell r="G42">
            <v>17.042016806722689</v>
          </cell>
          <cell r="H42">
            <v>-2.3634453781512521E-2</v>
          </cell>
          <cell r="I42">
            <v>4651</v>
          </cell>
          <cell r="J42">
            <v>185</v>
          </cell>
          <cell r="K42">
            <v>4466</v>
          </cell>
          <cell r="L42">
            <v>19676</v>
          </cell>
          <cell r="M42">
            <v>0.2057850226743474</v>
          </cell>
          <cell r="N42">
            <v>0.22941947645585992</v>
          </cell>
          <cell r="O42">
            <v>39994</v>
          </cell>
          <cell r="P42">
            <v>0.2057850226743474</v>
          </cell>
          <cell r="Q42">
            <v>-2.3634453781512521E-2</v>
          </cell>
        </row>
        <row r="43">
          <cell r="B43">
            <v>40086</v>
          </cell>
          <cell r="C43">
            <v>98</v>
          </cell>
          <cell r="D43">
            <v>388</v>
          </cell>
          <cell r="E43">
            <v>92.75</v>
          </cell>
          <cell r="F43">
            <v>1586</v>
          </cell>
          <cell r="G43">
            <v>17.099730458221025</v>
          </cell>
          <cell r="H43">
            <v>-2.773387586518683E-2</v>
          </cell>
          <cell r="I43">
            <v>5449</v>
          </cell>
          <cell r="J43">
            <v>208</v>
          </cell>
          <cell r="K43">
            <v>5241</v>
          </cell>
          <cell r="L43">
            <v>20844</v>
          </cell>
          <cell r="M43">
            <v>0.20485549132947978</v>
          </cell>
          <cell r="N43">
            <v>0.23258936719466661</v>
          </cell>
          <cell r="O43">
            <v>40086</v>
          </cell>
          <cell r="P43">
            <v>0.20485549132947978</v>
          </cell>
          <cell r="Q43">
            <v>-2.773387586518683E-2</v>
          </cell>
        </row>
        <row r="44">
          <cell r="B44">
            <v>40178</v>
          </cell>
          <cell r="C44">
            <v>105</v>
          </cell>
          <cell r="D44">
            <v>696</v>
          </cell>
          <cell r="E44">
            <v>97</v>
          </cell>
          <cell r="F44">
            <v>1774</v>
          </cell>
          <cell r="G44">
            <v>18.288659793814432</v>
          </cell>
          <cell r="H44">
            <v>3.5442539486083113E-2</v>
          </cell>
          <cell r="I44">
            <v>9519</v>
          </cell>
          <cell r="J44">
            <v>341</v>
          </cell>
          <cell r="K44">
            <v>9178</v>
          </cell>
          <cell r="L44">
            <v>23584</v>
          </cell>
          <cell r="M44">
            <v>0.28656374447656985</v>
          </cell>
          <cell r="N44">
            <v>0.25112120499048673</v>
          </cell>
          <cell r="O44">
            <v>40178</v>
          </cell>
          <cell r="P44">
            <v>0.28656374447656985</v>
          </cell>
          <cell r="Q44">
            <v>3.5442539486083113E-2</v>
          </cell>
        </row>
        <row r="45">
          <cell r="B45">
            <v>40268</v>
          </cell>
          <cell r="C45">
            <v>114</v>
          </cell>
          <cell r="D45">
            <v>518</v>
          </cell>
          <cell r="E45">
            <v>102.75</v>
          </cell>
          <cell r="F45">
            <v>1934</v>
          </cell>
          <cell r="G45">
            <v>18.822384428223845</v>
          </cell>
          <cell r="H45">
            <v>7.6996048454591071E-2</v>
          </cell>
          <cell r="I45">
            <v>7131</v>
          </cell>
          <cell r="J45">
            <v>248</v>
          </cell>
          <cell r="K45">
            <v>6883</v>
          </cell>
          <cell r="L45">
            <v>25768</v>
          </cell>
          <cell r="M45">
            <v>0.35002881542411068</v>
          </cell>
          <cell r="N45">
            <v>0.27303276696951961</v>
          </cell>
          <cell r="O45">
            <v>40268</v>
          </cell>
          <cell r="P45">
            <v>0.35002881542411068</v>
          </cell>
          <cell r="Q45">
            <v>7.6996048454591071E-2</v>
          </cell>
        </row>
        <row r="46">
          <cell r="B46">
            <v>40359</v>
          </cell>
          <cell r="C46">
            <v>118</v>
          </cell>
          <cell r="D46">
            <v>487</v>
          </cell>
          <cell r="E46">
            <v>108.75</v>
          </cell>
          <cell r="F46">
            <v>2089</v>
          </cell>
          <cell r="G46">
            <v>19.20919540229885</v>
          </cell>
          <cell r="H46">
            <v>0.12716679135777276</v>
          </cell>
          <cell r="I46">
            <v>6566</v>
          </cell>
          <cell r="J46">
            <v>239</v>
          </cell>
          <cell r="K46">
            <v>6327</v>
          </cell>
          <cell r="L46">
            <v>27629</v>
          </cell>
          <cell r="M46">
            <v>0.40419800772514747</v>
          </cell>
          <cell r="N46">
            <v>0.27703121636737471</v>
          </cell>
          <cell r="O46">
            <v>40359</v>
          </cell>
          <cell r="P46">
            <v>0.40419800772514747</v>
          </cell>
          <cell r="Q46">
            <v>0.12716679135777276</v>
          </cell>
        </row>
        <row r="47">
          <cell r="B47">
            <v>40451</v>
          </cell>
          <cell r="C47">
            <v>121</v>
          </cell>
          <cell r="D47">
            <v>576</v>
          </cell>
          <cell r="E47">
            <v>114.5</v>
          </cell>
          <cell r="F47">
            <v>2277</v>
          </cell>
          <cell r="G47">
            <v>19.886462882096069</v>
          </cell>
          <cell r="H47">
            <v>0.16296937724742144</v>
          </cell>
          <cell r="I47">
            <v>7560</v>
          </cell>
          <cell r="J47">
            <v>270</v>
          </cell>
          <cell r="K47">
            <v>7290</v>
          </cell>
          <cell r="L47">
            <v>29678</v>
          </cell>
          <cell r="M47">
            <v>0.42381500671656114</v>
          </cell>
          <cell r="N47">
            <v>0.26084562946913969</v>
          </cell>
          <cell r="O47">
            <v>40451</v>
          </cell>
          <cell r="P47">
            <v>0.42381500671656114</v>
          </cell>
          <cell r="Q47">
            <v>0.16296937724742144</v>
          </cell>
        </row>
        <row r="48">
          <cell r="B48">
            <v>40543</v>
          </cell>
          <cell r="C48">
            <v>130</v>
          </cell>
          <cell r="D48">
            <v>999</v>
          </cell>
          <cell r="E48">
            <v>120.75</v>
          </cell>
          <cell r="F48">
            <v>2580</v>
          </cell>
          <cell r="G48">
            <v>21.366459627329192</v>
          </cell>
          <cell r="H48">
            <v>0.16829006981450489</v>
          </cell>
          <cell r="I48">
            <v>12948</v>
          </cell>
          <cell r="J48">
            <v>437</v>
          </cell>
          <cell r="K48">
            <v>12511</v>
          </cell>
          <cell r="L48">
            <v>33011</v>
          </cell>
          <cell r="M48">
            <v>0.39972014925373145</v>
          </cell>
          <cell r="N48">
            <v>0.23143007943922655</v>
          </cell>
          <cell r="O48">
            <v>40543</v>
          </cell>
          <cell r="P48">
            <v>0.39972014925373145</v>
          </cell>
          <cell r="Q48">
            <v>0.16829006981450489</v>
          </cell>
        </row>
        <row r="49">
          <cell r="B49">
            <v>40633</v>
          </cell>
          <cell r="C49">
            <v>137</v>
          </cell>
          <cell r="D49">
            <v>786</v>
          </cell>
          <cell r="E49">
            <v>126.5</v>
          </cell>
          <cell r="F49">
            <v>2848</v>
          </cell>
          <cell r="G49">
            <v>22.513833992094863</v>
          </cell>
          <cell r="H49">
            <v>0.19612018753244409</v>
          </cell>
          <cell r="I49">
            <v>9857</v>
          </cell>
          <cell r="J49">
            <v>330</v>
          </cell>
          <cell r="K49">
            <v>9527</v>
          </cell>
          <cell r="L49">
            <v>35655</v>
          </cell>
          <cell r="M49">
            <v>0.38369295249922386</v>
          </cell>
          <cell r="N49">
            <v>0.18757276496677977</v>
          </cell>
          <cell r="O49">
            <v>40633</v>
          </cell>
          <cell r="P49">
            <v>0.38369295249922386</v>
          </cell>
          <cell r="Q49">
            <v>0.19612018753244409</v>
          </cell>
        </row>
        <row r="50">
          <cell r="B50">
            <v>40724</v>
          </cell>
          <cell r="C50">
            <v>144</v>
          </cell>
          <cell r="D50">
            <v>820</v>
          </cell>
          <cell r="E50">
            <v>133</v>
          </cell>
          <cell r="F50">
            <v>3181</v>
          </cell>
          <cell r="G50">
            <v>23.917293233082706</v>
          </cell>
          <cell r="H50">
            <v>0.24509604552309461</v>
          </cell>
          <cell r="I50">
            <v>9913</v>
          </cell>
          <cell r="J50">
            <v>331</v>
          </cell>
          <cell r="K50">
            <v>9582</v>
          </cell>
          <cell r="L50">
            <v>38910</v>
          </cell>
          <cell r="M50">
            <v>0.40830287017264477</v>
          </cell>
          <cell r="N50">
            <v>0.16320682464955016</v>
          </cell>
          <cell r="O50">
            <v>40724</v>
          </cell>
          <cell r="P50">
            <v>0.40830287017264477</v>
          </cell>
          <cell r="Q50">
            <v>0.24509604552309461</v>
          </cell>
        </row>
        <row r="51">
          <cell r="B51">
            <v>40816</v>
          </cell>
          <cell r="C51">
            <v>152</v>
          </cell>
          <cell r="D51">
            <v>918</v>
          </cell>
          <cell r="E51">
            <v>140.75</v>
          </cell>
          <cell r="F51">
            <v>3523</v>
          </cell>
          <cell r="G51">
            <v>25.03019538188277</v>
          </cell>
          <cell r="H51">
            <v>0.25865497199190912</v>
          </cell>
          <cell r="I51">
            <v>10876</v>
          </cell>
          <cell r="J51">
            <v>360</v>
          </cell>
          <cell r="K51">
            <v>10516</v>
          </cell>
          <cell r="L51">
            <v>42136</v>
          </cell>
          <cell r="M51">
            <v>0.41977222184783347</v>
          </cell>
          <cell r="N51">
            <v>0.16111724985592435</v>
          </cell>
          <cell r="O51">
            <v>40816</v>
          </cell>
          <cell r="P51">
            <v>0.41977222184783347</v>
          </cell>
          <cell r="Q51">
            <v>0.25865497199190912</v>
          </cell>
        </row>
      </sheetData>
      <sheetData sheetId="1" refreshError="1">
        <row r="2">
          <cell r="F2" t="str">
            <v>Fiscal Quarter-End</v>
          </cell>
          <cell r="J2" t="str">
            <v>Fiscal Quarter-End</v>
          </cell>
          <cell r="N2" t="str">
            <v>Fiscal Quarter-End</v>
          </cell>
          <cell r="R2" t="str">
            <v>Fiscal Quarter-End</v>
          </cell>
          <cell r="V2" t="str">
            <v>Fiscal Quarter-End</v>
          </cell>
          <cell r="Z2" t="str">
            <v>Fiscal Quarter-End</v>
          </cell>
          <cell r="AD2" t="str">
            <v>Fiscal Quarter-End</v>
          </cell>
          <cell r="AH2" t="str">
            <v>Fiscal Quarter-End</v>
          </cell>
          <cell r="AL2" t="str">
            <v>Fiscal Quarter-End</v>
          </cell>
          <cell r="AP2" t="str">
            <v>Fiscal Quarter-End</v>
          </cell>
          <cell r="AT2" t="str">
            <v>Fiscal Quarter-End</v>
          </cell>
          <cell r="AX2" t="str">
            <v>Fiscal Quarter-End</v>
          </cell>
          <cell r="BB2" t="str">
            <v>Fiscal Quarter-End</v>
          </cell>
        </row>
        <row r="3">
          <cell r="F3">
            <v>36250</v>
          </cell>
          <cell r="G3">
            <v>36341</v>
          </cell>
          <cell r="H3">
            <v>36433</v>
          </cell>
          <cell r="I3">
            <v>36525</v>
          </cell>
          <cell r="J3">
            <v>36616</v>
          </cell>
          <cell r="K3">
            <v>36707</v>
          </cell>
          <cell r="L3">
            <v>36799</v>
          </cell>
          <cell r="M3">
            <v>36891</v>
          </cell>
          <cell r="N3">
            <v>36981</v>
          </cell>
          <cell r="O3">
            <v>37072</v>
          </cell>
          <cell r="P3">
            <v>37164</v>
          </cell>
          <cell r="Q3">
            <v>37256</v>
          </cell>
          <cell r="R3">
            <v>37346</v>
          </cell>
          <cell r="S3">
            <v>37437</v>
          </cell>
          <cell r="T3">
            <v>37529</v>
          </cell>
          <cell r="U3">
            <v>37621</v>
          </cell>
          <cell r="V3">
            <v>37711</v>
          </cell>
          <cell r="W3">
            <v>37802</v>
          </cell>
          <cell r="X3">
            <v>37894</v>
          </cell>
          <cell r="Y3">
            <v>37986</v>
          </cell>
          <cell r="Z3">
            <v>38077</v>
          </cell>
          <cell r="AA3">
            <v>38168</v>
          </cell>
          <cell r="AB3">
            <v>38260</v>
          </cell>
          <cell r="AC3">
            <v>38352</v>
          </cell>
          <cell r="AD3">
            <v>38442</v>
          </cell>
          <cell r="AE3">
            <v>38533</v>
          </cell>
          <cell r="AF3">
            <v>38625</v>
          </cell>
          <cell r="AG3">
            <v>38717</v>
          </cell>
          <cell r="AH3">
            <v>38807</v>
          </cell>
          <cell r="AI3">
            <v>38898</v>
          </cell>
          <cell r="AJ3">
            <v>38990</v>
          </cell>
          <cell r="AK3">
            <v>39082</v>
          </cell>
          <cell r="AL3">
            <v>39172</v>
          </cell>
          <cell r="AM3">
            <v>39263</v>
          </cell>
          <cell r="AN3">
            <v>39355</v>
          </cell>
          <cell r="AO3">
            <v>39447</v>
          </cell>
          <cell r="AP3">
            <v>39538</v>
          </cell>
          <cell r="AQ3">
            <v>39629</v>
          </cell>
          <cell r="AR3">
            <v>39721</v>
          </cell>
          <cell r="AS3">
            <v>39813</v>
          </cell>
          <cell r="AT3">
            <v>39903</v>
          </cell>
          <cell r="AU3">
            <v>39994</v>
          </cell>
          <cell r="AV3">
            <v>40086</v>
          </cell>
          <cell r="AW3">
            <v>40178</v>
          </cell>
          <cell r="AX3">
            <v>40268</v>
          </cell>
          <cell r="AY3">
            <v>40359</v>
          </cell>
          <cell r="AZ3">
            <v>40451</v>
          </cell>
          <cell r="BA3">
            <v>40543</v>
          </cell>
          <cell r="BB3">
            <v>40633</v>
          </cell>
          <cell r="BC3">
            <v>40724</v>
          </cell>
          <cell r="BD3">
            <v>40816</v>
          </cell>
        </row>
        <row r="5">
          <cell r="A5">
            <v>0</v>
          </cell>
          <cell r="B5">
            <v>0</v>
          </cell>
          <cell r="F5">
            <v>293.64299999999997</v>
          </cell>
          <cell r="G5">
            <v>314.37700000000001</v>
          </cell>
          <cell r="H5">
            <v>355.77699999999999</v>
          </cell>
          <cell r="I5">
            <v>676.04200000000003</v>
          </cell>
          <cell r="J5">
            <v>573.88900000000001</v>
          </cell>
          <cell r="K5">
            <v>577.87599999999998</v>
          </cell>
          <cell r="L5">
            <v>637.85799999999995</v>
          </cell>
          <cell r="M5">
            <v>972.36</v>
          </cell>
          <cell r="N5">
            <v>700.35599999999999</v>
          </cell>
          <cell r="O5">
            <v>667.625</v>
          </cell>
          <cell r="P5">
            <v>639.28100000000006</v>
          </cell>
          <cell r="Q5">
            <v>1115.1709999999998</v>
          </cell>
          <cell r="R5">
            <v>847.42200000000014</v>
          </cell>
          <cell r="S5">
            <v>805.60500000000002</v>
          </cell>
          <cell r="T5">
            <v>851.29899999999998</v>
          </cell>
          <cell r="U5">
            <v>1428.61</v>
          </cell>
          <cell r="V5">
            <v>1083.559</v>
          </cell>
          <cell r="W5">
            <v>1099.912</v>
          </cell>
          <cell r="X5">
            <v>1134.4560000000001</v>
          </cell>
          <cell r="Y5">
            <v>1945.7719999999999</v>
          </cell>
          <cell r="Z5">
            <v>1530.3489999999999</v>
          </cell>
          <cell r="AA5">
            <v>1387.3409999999999</v>
          </cell>
          <cell r="AB5">
            <v>1462.4749999999999</v>
          </cell>
          <cell r="AC5">
            <v>2540.9589999999998</v>
          </cell>
          <cell r="AD5">
            <v>1901.923</v>
          </cell>
          <cell r="AE5">
            <v>1753</v>
          </cell>
          <cell r="AF5">
            <v>1858</v>
          </cell>
          <cell r="AG5">
            <v>2977</v>
          </cell>
          <cell r="AH5">
            <v>2279</v>
          </cell>
          <cell r="AI5">
            <v>2139</v>
          </cell>
          <cell r="AJ5">
            <v>2307</v>
          </cell>
          <cell r="AK5">
            <v>3986</v>
          </cell>
          <cell r="AL5">
            <v>3015</v>
          </cell>
          <cell r="AM5">
            <v>2886</v>
          </cell>
          <cell r="AN5">
            <v>3262</v>
          </cell>
          <cell r="AO5">
            <v>5673</v>
          </cell>
          <cell r="AP5">
            <v>4135</v>
          </cell>
          <cell r="AQ5">
            <v>4063</v>
          </cell>
          <cell r="AR5">
            <v>4264</v>
          </cell>
          <cell r="AS5">
            <v>6704</v>
          </cell>
          <cell r="AT5">
            <v>4889</v>
          </cell>
          <cell r="AU5">
            <v>4651</v>
          </cell>
          <cell r="AV5">
            <v>5449</v>
          </cell>
          <cell r="AW5">
            <v>9519</v>
          </cell>
          <cell r="AX5">
            <v>7131</v>
          </cell>
          <cell r="AY5">
            <v>6566</v>
          </cell>
          <cell r="AZ5">
            <v>7560</v>
          </cell>
          <cell r="BA5">
            <v>12948</v>
          </cell>
          <cell r="BB5">
            <v>9857</v>
          </cell>
          <cell r="BC5">
            <v>9913</v>
          </cell>
          <cell r="BD5">
            <v>10876</v>
          </cell>
        </row>
        <row r="6">
          <cell r="A6">
            <v>0</v>
          </cell>
          <cell r="B6">
            <v>0</v>
          </cell>
          <cell r="F6">
            <v>-228.852</v>
          </cell>
          <cell r="G6">
            <v>-246.846</v>
          </cell>
          <cell r="H6">
            <v>-285.3</v>
          </cell>
          <cell r="I6">
            <v>-588.19600000000003</v>
          </cell>
          <cell r="J6">
            <v>-445.755</v>
          </cell>
          <cell r="K6">
            <v>-441.81200000000001</v>
          </cell>
          <cell r="L6">
            <v>-470.57900000000001</v>
          </cell>
          <cell r="M6">
            <v>-748.06</v>
          </cell>
          <cell r="N6">
            <v>-517.75900000000001</v>
          </cell>
          <cell r="O6">
            <v>-487.90499999999997</v>
          </cell>
          <cell r="P6">
            <v>-477.089</v>
          </cell>
          <cell r="Q6">
            <v>-841.12199999999996</v>
          </cell>
          <cell r="R6">
            <v>-624.29700000000003</v>
          </cell>
          <cell r="S6">
            <v>-587.43799999999999</v>
          </cell>
          <cell r="T6">
            <v>-635.13199999999995</v>
          </cell>
          <cell r="U6">
            <v>-1093.451</v>
          </cell>
          <cell r="V6">
            <v>-812.97699999999998</v>
          </cell>
          <cell r="W6">
            <v>-825.98400000000004</v>
          </cell>
          <cell r="X6">
            <v>-848.63499999999999</v>
          </cell>
          <cell r="Y6">
            <v>-1518.9349999999999</v>
          </cell>
          <cell r="Z6">
            <v>-1169.5150000000001</v>
          </cell>
          <cell r="AA6">
            <v>-1046.2950000000001</v>
          </cell>
          <cell r="AB6">
            <v>-1106.8240000000001</v>
          </cell>
          <cell r="AC6">
            <v>-1997</v>
          </cell>
          <cell r="AD6">
            <v>-1443.923</v>
          </cell>
          <cell r="AE6">
            <v>-1303</v>
          </cell>
          <cell r="AF6">
            <v>-1395</v>
          </cell>
          <cell r="AG6">
            <v>-2310</v>
          </cell>
          <cell r="AH6">
            <v>-1732</v>
          </cell>
          <cell r="AI6">
            <v>-1630</v>
          </cell>
          <cell r="AJ6">
            <v>-1758</v>
          </cell>
          <cell r="AK6">
            <v>-3136</v>
          </cell>
          <cell r="AL6">
            <v>-2296</v>
          </cell>
          <cell r="AM6">
            <v>-2185</v>
          </cell>
          <cell r="AN6">
            <v>-2500</v>
          </cell>
          <cell r="AO6">
            <v>-4503</v>
          </cell>
          <cell r="AP6">
            <v>-3179</v>
          </cell>
          <cell r="AQ6">
            <v>-3096</v>
          </cell>
          <cell r="AR6">
            <v>-3265</v>
          </cell>
          <cell r="AS6">
            <v>-5356</v>
          </cell>
          <cell r="AT6">
            <v>-3741</v>
          </cell>
          <cell r="AU6">
            <v>-3518</v>
          </cell>
          <cell r="AV6">
            <v>-4176</v>
          </cell>
          <cell r="AW6">
            <v>-7543</v>
          </cell>
          <cell r="AX6">
            <v>-5501</v>
          </cell>
          <cell r="AY6">
            <v>-4957</v>
          </cell>
          <cell r="AZ6">
            <v>-5786</v>
          </cell>
          <cell r="BA6">
            <v>-10317</v>
          </cell>
          <cell r="BB6">
            <v>-7608</v>
          </cell>
          <cell r="BC6">
            <v>-7525</v>
          </cell>
          <cell r="BD6">
            <v>-8325</v>
          </cell>
        </row>
        <row r="7">
          <cell r="A7">
            <v>0</v>
          </cell>
          <cell r="B7">
            <v>0</v>
          </cell>
          <cell r="F7">
            <v>64.790999999999968</v>
          </cell>
          <cell r="G7">
            <v>67.531000000000006</v>
          </cell>
          <cell r="H7">
            <v>70.476999999999975</v>
          </cell>
          <cell r="I7">
            <v>87.846000000000004</v>
          </cell>
          <cell r="J7">
            <v>128.13400000000001</v>
          </cell>
          <cell r="K7">
            <v>136.06399999999996</v>
          </cell>
          <cell r="L7">
            <v>167.27899999999994</v>
          </cell>
          <cell r="M7">
            <v>224.30000000000007</v>
          </cell>
          <cell r="N7">
            <v>182.59699999999998</v>
          </cell>
          <cell r="O7">
            <v>179.72000000000003</v>
          </cell>
          <cell r="P7">
            <v>162.19200000000006</v>
          </cell>
          <cell r="Q7">
            <v>274.04899999999986</v>
          </cell>
          <cell r="R7">
            <v>223.12500000000011</v>
          </cell>
          <cell r="S7">
            <v>218.16700000000003</v>
          </cell>
          <cell r="T7">
            <v>216.16700000000003</v>
          </cell>
          <cell r="U7">
            <v>335.15899999999988</v>
          </cell>
          <cell r="V7">
            <v>270.58199999999999</v>
          </cell>
          <cell r="W7">
            <v>273.928</v>
          </cell>
          <cell r="X7">
            <v>285.82100000000014</v>
          </cell>
          <cell r="Y7">
            <v>426.83699999999999</v>
          </cell>
          <cell r="Z7">
            <v>360.83399999999983</v>
          </cell>
          <cell r="AA7">
            <v>341.04599999999982</v>
          </cell>
          <cell r="AB7">
            <v>355.65099999999984</v>
          </cell>
          <cell r="AC7">
            <v>543.95899999999983</v>
          </cell>
          <cell r="AD7">
            <v>458</v>
          </cell>
          <cell r="AE7">
            <v>450</v>
          </cell>
          <cell r="AF7">
            <v>463</v>
          </cell>
          <cell r="AG7">
            <v>667</v>
          </cell>
          <cell r="AH7">
            <v>547</v>
          </cell>
          <cell r="AI7">
            <v>509</v>
          </cell>
          <cell r="AJ7">
            <v>549</v>
          </cell>
          <cell r="AK7">
            <v>850</v>
          </cell>
          <cell r="AL7">
            <v>719</v>
          </cell>
          <cell r="AM7">
            <v>701</v>
          </cell>
          <cell r="AN7">
            <v>762</v>
          </cell>
          <cell r="AO7">
            <v>1170</v>
          </cell>
          <cell r="AP7">
            <v>956</v>
          </cell>
          <cell r="AQ7">
            <v>967</v>
          </cell>
          <cell r="AR7">
            <v>999</v>
          </cell>
          <cell r="AS7">
            <v>1348</v>
          </cell>
          <cell r="AT7">
            <v>1148</v>
          </cell>
          <cell r="AU7">
            <v>1133</v>
          </cell>
          <cell r="AV7">
            <v>1273</v>
          </cell>
          <cell r="AW7">
            <v>1976</v>
          </cell>
          <cell r="AX7">
            <v>1630</v>
          </cell>
          <cell r="AY7">
            <v>1609</v>
          </cell>
          <cell r="AZ7">
            <v>1774</v>
          </cell>
          <cell r="BA7">
            <v>2631</v>
          </cell>
          <cell r="BB7">
            <v>2249</v>
          </cell>
          <cell r="BC7">
            <v>2388</v>
          </cell>
          <cell r="BD7">
            <v>2551</v>
          </cell>
        </row>
        <row r="8">
          <cell r="A8">
            <v>0</v>
          </cell>
          <cell r="B8">
            <v>0</v>
          </cell>
        </row>
        <row r="9">
          <cell r="A9">
            <v>0</v>
          </cell>
          <cell r="B9">
            <v>0</v>
          </cell>
          <cell r="F9">
            <v>0.22064547767186676</v>
          </cell>
          <cell r="G9">
            <v>0.21480897139421778</v>
          </cell>
          <cell r="H9">
            <v>0.19809318758660616</v>
          </cell>
          <cell r="I9">
            <v>0.12994163084542085</v>
          </cell>
          <cell r="J9">
            <v>0.22327314167025333</v>
          </cell>
          <cell r="K9">
            <v>0.23545535720465977</v>
          </cell>
          <cell r="L9">
            <v>0.26225115934894594</v>
          </cell>
          <cell r="M9">
            <v>0.23067588136081293</v>
          </cell>
          <cell r="N9">
            <v>0.26072026226661865</v>
          </cell>
          <cell r="O9">
            <v>0.26919303501217007</v>
          </cell>
          <cell r="P9">
            <v>0.25371002735886106</v>
          </cell>
          <cell r="Q9">
            <v>0.24574616807646532</v>
          </cell>
          <cell r="R9">
            <v>0.26329856907184385</v>
          </cell>
          <cell r="S9">
            <v>0.27081137778439807</v>
          </cell>
          <cell r="T9">
            <v>0.25392605888177955</v>
          </cell>
          <cell r="U9">
            <v>0.23460496566592695</v>
          </cell>
          <cell r="V9">
            <v>0.24971598224000724</v>
          </cell>
          <cell r="W9">
            <v>0.2490453781757086</v>
          </cell>
          <cell r="X9">
            <v>0.25194542582524143</v>
          </cell>
          <cell r="Y9">
            <v>0.21936640058547455</v>
          </cell>
          <cell r="Z9">
            <v>0.23578543195048962</v>
          </cell>
          <cell r="AA9">
            <v>0.24582708937456604</v>
          </cell>
          <cell r="AB9">
            <v>0.24318432793722961</v>
          </cell>
          <cell r="AC9">
            <v>0.21407626018365503</v>
          </cell>
          <cell r="AD9">
            <v>0.24080890761613377</v>
          </cell>
          <cell r="AE9">
            <v>0.25670279520821448</v>
          </cell>
          <cell r="AF9">
            <v>0.24919268030139935</v>
          </cell>
          <cell r="AG9">
            <v>0.22405105811219347</v>
          </cell>
          <cell r="AH9">
            <v>0.24001755155770074</v>
          </cell>
          <cell r="AI9">
            <v>0.23796166432912577</v>
          </cell>
          <cell r="AJ9">
            <v>0.23797139141742524</v>
          </cell>
          <cell r="AK9">
            <v>0.21324636226793778</v>
          </cell>
          <cell r="AL9">
            <v>0.23847429519071311</v>
          </cell>
          <cell r="AM9">
            <v>0.2428967428967429</v>
          </cell>
          <cell r="AN9">
            <v>0.23359901900674432</v>
          </cell>
          <cell r="AO9">
            <v>0.20624008461131677</v>
          </cell>
          <cell r="AP9">
            <v>0.23119709794437726</v>
          </cell>
          <cell r="AQ9">
            <v>0.23800147674132416</v>
          </cell>
          <cell r="AR9">
            <v>0.23428705440900563</v>
          </cell>
          <cell r="AS9">
            <v>0.20107398568019094</v>
          </cell>
          <cell r="AT9">
            <v>0.23481284516260995</v>
          </cell>
          <cell r="AU9">
            <v>0.24360352612341432</v>
          </cell>
          <cell r="AV9">
            <v>0.23362084786199303</v>
          </cell>
          <cell r="AW9">
            <v>0.20758483033932135</v>
          </cell>
          <cell r="AX9">
            <v>0.22857944187351004</v>
          </cell>
          <cell r="AY9">
            <v>0.24505025890953397</v>
          </cell>
          <cell r="AZ9">
            <v>0.23465608465608465</v>
          </cell>
          <cell r="BA9">
            <v>0.20319740500463393</v>
          </cell>
          <cell r="BB9">
            <v>0.22816272699604342</v>
          </cell>
          <cell r="BC9">
            <v>0.24089579340260264</v>
          </cell>
          <cell r="BD9">
            <v>0.23455314453843323</v>
          </cell>
        </row>
        <row r="10">
          <cell r="A10">
            <v>0</v>
          </cell>
          <cell r="B10">
            <v>0</v>
          </cell>
        </row>
        <row r="11">
          <cell r="A11">
            <v>0</v>
          </cell>
          <cell r="B11">
            <v>0</v>
          </cell>
          <cell r="F11">
            <v>44.2</v>
          </cell>
          <cell r="G11">
            <v>49</v>
          </cell>
          <cell r="H11">
            <v>53.3</v>
          </cell>
          <cell r="I11">
            <v>92.5</v>
          </cell>
          <cell r="J11">
            <v>74.599999999999994</v>
          </cell>
          <cell r="K11">
            <v>73.5</v>
          </cell>
          <cell r="L11">
            <v>78.099999999999994</v>
          </cell>
          <cell r="M11">
            <v>112.8</v>
          </cell>
          <cell r="N11">
            <v>82</v>
          </cell>
          <cell r="O11">
            <v>76</v>
          </cell>
          <cell r="P11">
            <v>74</v>
          </cell>
          <cell r="Q11">
            <v>125</v>
          </cell>
          <cell r="R11">
            <v>89</v>
          </cell>
          <cell r="S11">
            <v>81</v>
          </cell>
          <cell r="T11">
            <v>73</v>
          </cell>
          <cell r="U11">
            <v>121.74900000000002</v>
          </cell>
          <cell r="V11">
            <v>78</v>
          </cell>
          <cell r="W11">
            <v>80</v>
          </cell>
          <cell r="X11">
            <v>77</v>
          </cell>
          <cell r="Y11">
            <v>137</v>
          </cell>
          <cell r="Z11">
            <v>93.6</v>
          </cell>
          <cell r="AA11">
            <v>84</v>
          </cell>
          <cell r="AB11">
            <v>87</v>
          </cell>
          <cell r="AC11">
            <v>155.45299999999997</v>
          </cell>
          <cell r="AD11">
            <v>107.8</v>
          </cell>
          <cell r="AE11">
            <v>103</v>
          </cell>
          <cell r="AF11">
            <v>112</v>
          </cell>
          <cell r="AG11">
            <v>188.2</v>
          </cell>
          <cell r="AH11">
            <v>129</v>
          </cell>
          <cell r="AI11">
            <v>128</v>
          </cell>
          <cell r="AJ11">
            <v>118</v>
          </cell>
          <cell r="AK11">
            <v>192</v>
          </cell>
          <cell r="AL11">
            <v>151</v>
          </cell>
          <cell r="AM11">
            <v>152</v>
          </cell>
          <cell r="AN11">
            <v>171</v>
          </cell>
          <cell r="AO11">
            <v>266</v>
          </cell>
          <cell r="AP11">
            <v>192</v>
          </cell>
          <cell r="AQ11">
            <v>186</v>
          </cell>
          <cell r="AR11">
            <v>191</v>
          </cell>
          <cell r="AS11">
            <v>266</v>
          </cell>
          <cell r="AT11">
            <v>190</v>
          </cell>
          <cell r="AU11">
            <v>185</v>
          </cell>
          <cell r="AV11">
            <v>208</v>
          </cell>
          <cell r="AW11">
            <v>341</v>
          </cell>
          <cell r="AX11">
            <v>248</v>
          </cell>
          <cell r="AY11">
            <v>239</v>
          </cell>
          <cell r="AZ11">
            <v>270</v>
          </cell>
          <cell r="BA11">
            <v>437</v>
          </cell>
          <cell r="BB11">
            <v>330</v>
          </cell>
          <cell r="BC11">
            <v>331</v>
          </cell>
          <cell r="BD11">
            <v>360</v>
          </cell>
        </row>
        <row r="12">
          <cell r="A12">
            <v>0</v>
          </cell>
          <cell r="B12">
            <v>0</v>
          </cell>
          <cell r="F12">
            <v>-37.299999999999997</v>
          </cell>
          <cell r="G12">
            <v>-44.3</v>
          </cell>
          <cell r="H12">
            <v>-48.4</v>
          </cell>
          <cell r="I12">
            <v>-97</v>
          </cell>
          <cell r="J12">
            <v>-78</v>
          </cell>
          <cell r="K12">
            <v>-62.6</v>
          </cell>
          <cell r="L12">
            <v>-69.900000000000006</v>
          </cell>
          <cell r="M12">
            <v>-129.5</v>
          </cell>
          <cell r="N12">
            <v>-87</v>
          </cell>
          <cell r="O12">
            <v>-78</v>
          </cell>
          <cell r="P12">
            <v>-76</v>
          </cell>
          <cell r="Q12">
            <v>-135</v>
          </cell>
          <cell r="R12">
            <v>-90</v>
          </cell>
          <cell r="S12">
            <v>-83</v>
          </cell>
          <cell r="T12">
            <v>-83</v>
          </cell>
          <cell r="U12">
            <v>-148.303</v>
          </cell>
          <cell r="V12">
            <v>-105</v>
          </cell>
          <cell r="W12">
            <v>-106</v>
          </cell>
          <cell r="X12">
            <v>-104</v>
          </cell>
          <cell r="Y12">
            <v>-193.46800000000002</v>
          </cell>
          <cell r="Z12">
            <v>-136.6</v>
          </cell>
          <cell r="AA12">
            <v>-119</v>
          </cell>
          <cell r="AB12">
            <v>-128</v>
          </cell>
          <cell r="AC12">
            <v>-232.97199999999998</v>
          </cell>
          <cell r="AD12">
            <v>-163.1</v>
          </cell>
          <cell r="AE12">
            <v>-148</v>
          </cell>
          <cell r="AF12">
            <v>-159</v>
          </cell>
          <cell r="AG12">
            <v>-279.89999999999998</v>
          </cell>
          <cell r="AH12">
            <v>-197</v>
          </cell>
          <cell r="AI12">
            <v>-188</v>
          </cell>
          <cell r="AJ12">
            <v>-182</v>
          </cell>
          <cell r="AK12">
            <v>-317</v>
          </cell>
          <cell r="AL12">
            <v>-238</v>
          </cell>
          <cell r="AM12">
            <v>-227</v>
          </cell>
          <cell r="AN12">
            <v>-260</v>
          </cell>
          <cell r="AO12">
            <v>-449</v>
          </cell>
          <cell r="AP12">
            <v>-321</v>
          </cell>
          <cell r="AQ12">
            <v>-314</v>
          </cell>
          <cell r="AR12">
            <v>-323</v>
          </cell>
          <cell r="AS12">
            <v>-508</v>
          </cell>
          <cell r="AT12">
            <v>-358</v>
          </cell>
          <cell r="AU12">
            <v>-332</v>
          </cell>
          <cell r="AV12">
            <v>-388</v>
          </cell>
          <cell r="AW12">
            <v>-696</v>
          </cell>
          <cell r="AX12">
            <v>-518</v>
          </cell>
          <cell r="AY12">
            <v>-487</v>
          </cell>
          <cell r="AZ12">
            <v>-576</v>
          </cell>
          <cell r="BA12">
            <v>-999</v>
          </cell>
          <cell r="BB12">
            <v>-786</v>
          </cell>
          <cell r="BC12">
            <v>-820</v>
          </cell>
          <cell r="BD12">
            <v>-918</v>
          </cell>
        </row>
        <row r="13">
          <cell r="A13">
            <v>0</v>
          </cell>
          <cell r="B13">
            <v>0</v>
          </cell>
          <cell r="F13">
            <v>6.9000000000000057</v>
          </cell>
          <cell r="G13">
            <v>4.7000000000000028</v>
          </cell>
          <cell r="H13">
            <v>4.8999999999999986</v>
          </cell>
          <cell r="I13">
            <v>-4.5</v>
          </cell>
          <cell r="J13">
            <v>-3.4000000000000057</v>
          </cell>
          <cell r="K13">
            <v>10.899999999999999</v>
          </cell>
          <cell r="L13">
            <v>8.1999999999999886</v>
          </cell>
          <cell r="M13">
            <v>-16.700000000000003</v>
          </cell>
          <cell r="N13">
            <v>-5</v>
          </cell>
          <cell r="O13">
            <v>-2</v>
          </cell>
          <cell r="P13">
            <v>-2</v>
          </cell>
          <cell r="Q13">
            <v>-10</v>
          </cell>
          <cell r="R13">
            <v>-1</v>
          </cell>
          <cell r="S13">
            <v>-2</v>
          </cell>
          <cell r="T13">
            <v>-10</v>
          </cell>
          <cell r="U13">
            <v>-26.553999999999974</v>
          </cell>
          <cell r="V13">
            <v>-27</v>
          </cell>
          <cell r="W13">
            <v>-26</v>
          </cell>
          <cell r="X13">
            <v>-27</v>
          </cell>
          <cell r="Y13">
            <v>-56.468000000000018</v>
          </cell>
          <cell r="Z13">
            <v>-43</v>
          </cell>
          <cell r="AA13">
            <v>-35</v>
          </cell>
          <cell r="AB13">
            <v>-41</v>
          </cell>
          <cell r="AC13">
            <v>-77.519000000000005</v>
          </cell>
          <cell r="AD13">
            <v>-55.3</v>
          </cell>
          <cell r="AE13">
            <v>-45</v>
          </cell>
          <cell r="AF13">
            <v>-47</v>
          </cell>
          <cell r="AG13">
            <v>-91.699999999999989</v>
          </cell>
          <cell r="AH13">
            <v>-68</v>
          </cell>
          <cell r="AI13">
            <v>-60</v>
          </cell>
          <cell r="AJ13">
            <v>-64</v>
          </cell>
          <cell r="AK13">
            <v>-125</v>
          </cell>
          <cell r="AL13">
            <v>-87</v>
          </cell>
          <cell r="AM13">
            <v>-75</v>
          </cell>
          <cell r="AN13">
            <v>-89</v>
          </cell>
          <cell r="AO13">
            <v>-183</v>
          </cell>
          <cell r="AP13">
            <v>-129</v>
          </cell>
          <cell r="AQ13">
            <v>-128</v>
          </cell>
          <cell r="AR13">
            <v>-132</v>
          </cell>
          <cell r="AS13">
            <v>-242</v>
          </cell>
          <cell r="AT13">
            <v>-168</v>
          </cell>
          <cell r="AU13">
            <v>-147</v>
          </cell>
          <cell r="AV13">
            <v>-180</v>
          </cell>
          <cell r="AW13">
            <v>-355</v>
          </cell>
          <cell r="AX13">
            <v>-270</v>
          </cell>
          <cell r="AY13">
            <v>-248</v>
          </cell>
          <cell r="AZ13">
            <v>-306</v>
          </cell>
          <cell r="BA13">
            <v>-562</v>
          </cell>
          <cell r="BB13">
            <v>-456</v>
          </cell>
          <cell r="BC13">
            <v>-489</v>
          </cell>
          <cell r="BD13">
            <v>-558</v>
          </cell>
        </row>
        <row r="14">
          <cell r="A14">
            <v>0</v>
          </cell>
          <cell r="B14">
            <v>0</v>
          </cell>
        </row>
        <row r="15">
          <cell r="A15">
            <v>0</v>
          </cell>
          <cell r="B15">
            <v>0</v>
          </cell>
          <cell r="F15">
            <v>249.44299999999998</v>
          </cell>
          <cell r="G15">
            <v>265.37700000000001</v>
          </cell>
          <cell r="H15">
            <v>302.47699999999998</v>
          </cell>
          <cell r="I15">
            <v>583.54200000000003</v>
          </cell>
          <cell r="J15">
            <v>499.28899999999999</v>
          </cell>
          <cell r="K15">
            <v>504.37599999999998</v>
          </cell>
          <cell r="L15">
            <v>559.75799999999992</v>
          </cell>
          <cell r="M15">
            <v>859.56000000000006</v>
          </cell>
          <cell r="N15">
            <v>618.35599999999999</v>
          </cell>
          <cell r="O15">
            <v>591.625</v>
          </cell>
          <cell r="P15">
            <v>565.28100000000006</v>
          </cell>
          <cell r="Q15">
            <v>990.17099999999982</v>
          </cell>
          <cell r="R15">
            <v>758.42200000000014</v>
          </cell>
          <cell r="S15">
            <v>724.60500000000002</v>
          </cell>
          <cell r="T15">
            <v>778.29899999999998</v>
          </cell>
          <cell r="U15">
            <v>1306.8609999999999</v>
          </cell>
          <cell r="V15">
            <v>1005.559</v>
          </cell>
          <cell r="W15">
            <v>1019.912</v>
          </cell>
          <cell r="X15">
            <v>1057.4560000000001</v>
          </cell>
          <cell r="Y15">
            <v>1808.7719999999999</v>
          </cell>
          <cell r="Z15">
            <v>1436.749</v>
          </cell>
          <cell r="AA15">
            <v>1303.3409999999999</v>
          </cell>
          <cell r="AB15">
            <v>1375.4749999999999</v>
          </cell>
          <cell r="AC15">
            <v>2385.5059999999999</v>
          </cell>
          <cell r="AD15">
            <v>1794.123</v>
          </cell>
          <cell r="AE15">
            <v>1650</v>
          </cell>
          <cell r="AF15">
            <v>1746</v>
          </cell>
          <cell r="AG15">
            <v>2788.8</v>
          </cell>
          <cell r="AH15">
            <v>2150</v>
          </cell>
          <cell r="AI15">
            <v>2011</v>
          </cell>
          <cell r="AJ15">
            <v>2189</v>
          </cell>
          <cell r="AK15">
            <v>3794</v>
          </cell>
          <cell r="AL15">
            <v>2864</v>
          </cell>
          <cell r="AM15">
            <v>2734</v>
          </cell>
          <cell r="AN15">
            <v>3091</v>
          </cell>
          <cell r="AO15">
            <v>5407</v>
          </cell>
          <cell r="AP15">
            <v>3943</v>
          </cell>
          <cell r="AQ15">
            <v>3877</v>
          </cell>
          <cell r="AR15">
            <v>4073</v>
          </cell>
          <cell r="AS15">
            <v>6438</v>
          </cell>
          <cell r="AT15">
            <v>4699</v>
          </cell>
          <cell r="AU15">
            <v>4466</v>
          </cell>
          <cell r="AV15">
            <v>5241</v>
          </cell>
          <cell r="AW15">
            <v>9178</v>
          </cell>
          <cell r="AX15">
            <v>6883</v>
          </cell>
          <cell r="AY15">
            <v>6327</v>
          </cell>
          <cell r="AZ15">
            <v>7290</v>
          </cell>
          <cell r="BA15">
            <v>12511</v>
          </cell>
          <cell r="BB15">
            <v>9527</v>
          </cell>
          <cell r="BC15">
            <v>9582</v>
          </cell>
          <cell r="BD15">
            <v>10516</v>
          </cell>
        </row>
        <row r="16">
          <cell r="A16">
            <v>0</v>
          </cell>
          <cell r="B16">
            <v>0</v>
          </cell>
          <cell r="F16">
            <v>-191.55200000000002</v>
          </cell>
          <cell r="G16">
            <v>-202.54599999999999</v>
          </cell>
          <cell r="H16">
            <v>-236.9</v>
          </cell>
          <cell r="I16">
            <v>-491.19600000000003</v>
          </cell>
          <cell r="J16">
            <v>-367.755</v>
          </cell>
          <cell r="K16">
            <v>-379.21199999999999</v>
          </cell>
          <cell r="L16">
            <v>-400.67899999999997</v>
          </cell>
          <cell r="M16">
            <v>-618.55999999999995</v>
          </cell>
          <cell r="N16">
            <v>-430.75900000000001</v>
          </cell>
          <cell r="O16">
            <v>-409.90499999999997</v>
          </cell>
          <cell r="P16">
            <v>-401.089</v>
          </cell>
          <cell r="Q16">
            <v>-706.12199999999996</v>
          </cell>
          <cell r="R16">
            <v>-534.29700000000003</v>
          </cell>
          <cell r="S16">
            <v>-504.43799999999999</v>
          </cell>
          <cell r="T16">
            <v>-552.13199999999995</v>
          </cell>
          <cell r="U16">
            <v>-945.14800000000002</v>
          </cell>
          <cell r="V16">
            <v>-707.97699999999998</v>
          </cell>
          <cell r="W16">
            <v>-719.98400000000004</v>
          </cell>
          <cell r="X16">
            <v>-744.63499999999999</v>
          </cell>
          <cell r="Y16">
            <v>-1325.4669999999999</v>
          </cell>
          <cell r="Z16">
            <v>-1032.9150000000002</v>
          </cell>
          <cell r="AA16">
            <v>-927.29500000000007</v>
          </cell>
          <cell r="AB16">
            <v>-978.82400000000007</v>
          </cell>
          <cell r="AC16">
            <v>-1764.028</v>
          </cell>
          <cell r="AD16">
            <v>-1280.8230000000001</v>
          </cell>
          <cell r="AE16">
            <v>-1155</v>
          </cell>
          <cell r="AF16">
            <v>-1236</v>
          </cell>
          <cell r="AG16">
            <v>-2030.1</v>
          </cell>
          <cell r="AH16">
            <v>-1535</v>
          </cell>
          <cell r="AI16">
            <v>-1442</v>
          </cell>
          <cell r="AJ16">
            <v>-1576</v>
          </cell>
          <cell r="AK16">
            <v>-2819</v>
          </cell>
          <cell r="AL16">
            <v>-2058</v>
          </cell>
          <cell r="AM16">
            <v>-1958</v>
          </cell>
          <cell r="AN16">
            <v>-2240</v>
          </cell>
          <cell r="AO16">
            <v>-4054</v>
          </cell>
          <cell r="AP16">
            <v>-2858</v>
          </cell>
          <cell r="AQ16">
            <v>-2782</v>
          </cell>
          <cell r="AR16">
            <v>-2942</v>
          </cell>
          <cell r="AS16">
            <v>-4848</v>
          </cell>
          <cell r="AT16">
            <v>-3383</v>
          </cell>
          <cell r="AU16">
            <v>-3186</v>
          </cell>
          <cell r="AV16">
            <v>-3788</v>
          </cell>
          <cell r="AW16">
            <v>-6847</v>
          </cell>
          <cell r="AX16">
            <v>-4983</v>
          </cell>
          <cell r="AY16">
            <v>-4470</v>
          </cell>
          <cell r="AZ16">
            <v>-5210</v>
          </cell>
          <cell r="BA16">
            <v>-9318</v>
          </cell>
          <cell r="BB16">
            <v>-6822</v>
          </cell>
          <cell r="BC16">
            <v>-6705</v>
          </cell>
          <cell r="BD16">
            <v>-7407</v>
          </cell>
        </row>
        <row r="17">
          <cell r="A17">
            <v>0</v>
          </cell>
          <cell r="B17">
            <v>0</v>
          </cell>
          <cell r="F17">
            <v>57.890999999999963</v>
          </cell>
          <cell r="G17">
            <v>62.831000000000017</v>
          </cell>
          <cell r="H17">
            <v>65.57699999999997</v>
          </cell>
          <cell r="I17">
            <v>92.346000000000004</v>
          </cell>
          <cell r="J17">
            <v>131.53399999999999</v>
          </cell>
          <cell r="K17">
            <v>125.16399999999999</v>
          </cell>
          <cell r="L17">
            <v>159.07899999999995</v>
          </cell>
          <cell r="M17">
            <v>241.00000000000011</v>
          </cell>
          <cell r="N17">
            <v>187.59699999999998</v>
          </cell>
          <cell r="O17">
            <v>181.72000000000003</v>
          </cell>
          <cell r="P17">
            <v>164.19200000000006</v>
          </cell>
          <cell r="Q17">
            <v>284.04899999999986</v>
          </cell>
          <cell r="R17">
            <v>224.12500000000011</v>
          </cell>
          <cell r="S17">
            <v>220.16700000000003</v>
          </cell>
          <cell r="T17">
            <v>226.16700000000003</v>
          </cell>
          <cell r="U17">
            <v>361.71299999999985</v>
          </cell>
          <cell r="V17">
            <v>297.58199999999999</v>
          </cell>
          <cell r="W17">
            <v>299.928</v>
          </cell>
          <cell r="X17">
            <v>312.82100000000014</v>
          </cell>
          <cell r="Y17">
            <v>483.30500000000006</v>
          </cell>
          <cell r="Z17">
            <v>403.83399999999983</v>
          </cell>
          <cell r="AA17">
            <v>376.04599999999982</v>
          </cell>
          <cell r="AB17">
            <v>396.65099999999984</v>
          </cell>
          <cell r="AC17">
            <v>621.47799999999984</v>
          </cell>
          <cell r="AD17">
            <v>513.29999999999995</v>
          </cell>
          <cell r="AE17">
            <v>495</v>
          </cell>
          <cell r="AF17">
            <v>510</v>
          </cell>
          <cell r="AG17">
            <v>758.70000000000027</v>
          </cell>
          <cell r="AH17">
            <v>615</v>
          </cell>
          <cell r="AI17">
            <v>569</v>
          </cell>
          <cell r="AJ17">
            <v>613</v>
          </cell>
          <cell r="AK17">
            <v>975</v>
          </cell>
          <cell r="AL17">
            <v>806</v>
          </cell>
          <cell r="AM17">
            <v>776</v>
          </cell>
          <cell r="AN17">
            <v>851</v>
          </cell>
          <cell r="AO17">
            <v>1353</v>
          </cell>
          <cell r="AP17">
            <v>1085</v>
          </cell>
          <cell r="AQ17">
            <v>1095</v>
          </cell>
          <cell r="AR17">
            <v>1131</v>
          </cell>
          <cell r="AS17">
            <v>1590</v>
          </cell>
          <cell r="AT17">
            <v>1316</v>
          </cell>
          <cell r="AU17">
            <v>1280</v>
          </cell>
          <cell r="AV17">
            <v>1453</v>
          </cell>
          <cell r="AW17">
            <v>2331</v>
          </cell>
          <cell r="AX17">
            <v>1900</v>
          </cell>
          <cell r="AY17">
            <v>1857</v>
          </cell>
          <cell r="AZ17">
            <v>2080</v>
          </cell>
          <cell r="BA17">
            <v>3193</v>
          </cell>
          <cell r="BB17">
            <v>2705</v>
          </cell>
          <cell r="BC17">
            <v>2877</v>
          </cell>
          <cell r="BD17">
            <v>3109</v>
          </cell>
        </row>
        <row r="18">
          <cell r="A18">
            <v>0</v>
          </cell>
          <cell r="B18">
            <v>0</v>
          </cell>
        </row>
        <row r="19">
          <cell r="A19">
            <v>0</v>
          </cell>
          <cell r="B19">
            <v>0</v>
          </cell>
          <cell r="F19">
            <v>0.23208107663875099</v>
          </cell>
          <cell r="G19">
            <v>0.23676128677315675</v>
          </cell>
          <cell r="H19">
            <v>0.21679995503790361</v>
          </cell>
          <cell r="I19">
            <v>0.1582508199923913</v>
          </cell>
          <cell r="J19">
            <v>0.26344261539909752</v>
          </cell>
          <cell r="K19">
            <v>0.24815613748473359</v>
          </cell>
          <cell r="L19">
            <v>0.28419245459645054</v>
          </cell>
          <cell r="M19">
            <v>0.28037600632881948</v>
          </cell>
          <cell r="N19">
            <v>0.30338025344623482</v>
          </cell>
          <cell r="O19">
            <v>0.30715402493133326</v>
          </cell>
          <cell r="P19">
            <v>0.29046085044429237</v>
          </cell>
          <cell r="Q19">
            <v>0.28686863178178307</v>
          </cell>
          <cell r="R19">
            <v>0.29551489803829539</v>
          </cell>
          <cell r="S19">
            <v>0.30384416337176812</v>
          </cell>
          <cell r="T19">
            <v>0.29059140510266623</v>
          </cell>
          <cell r="U19">
            <v>0.27678000950368853</v>
          </cell>
          <cell r="V19">
            <v>0.29593688684602298</v>
          </cell>
          <cell r="W19">
            <v>0.29407242977825537</v>
          </cell>
          <cell r="X19">
            <v>0.29582412885264264</v>
          </cell>
          <cell r="Y19">
            <v>0.26720062008920975</v>
          </cell>
          <cell r="Z19">
            <v>0.28107484327464283</v>
          </cell>
          <cell r="AA19">
            <v>0.28852464550720025</v>
          </cell>
          <cell r="AB19">
            <v>0.28837383449353848</v>
          </cell>
          <cell r="AC19">
            <v>0.26052250549778533</v>
          </cell>
          <cell r="AD19">
            <v>0.28610078573208186</v>
          </cell>
          <cell r="AE19">
            <v>0.3</v>
          </cell>
          <cell r="AF19">
            <v>0.29209621993127149</v>
          </cell>
          <cell r="AG19">
            <v>0.27205249569707407</v>
          </cell>
          <cell r="AH19">
            <v>0.28604651162790695</v>
          </cell>
          <cell r="AI19">
            <v>0.28294380905022376</v>
          </cell>
          <cell r="AJ19">
            <v>0.28003654636820469</v>
          </cell>
          <cell r="AK19">
            <v>0.25698471270426992</v>
          </cell>
          <cell r="AL19">
            <v>0.28142458100558659</v>
          </cell>
          <cell r="AM19">
            <v>0.28383321141185075</v>
          </cell>
          <cell r="AN19">
            <v>0.27531543189906177</v>
          </cell>
          <cell r="AO19">
            <v>0.25023118180136861</v>
          </cell>
          <cell r="AP19">
            <v>0.27517118944965763</v>
          </cell>
          <cell r="AQ19">
            <v>0.28243487232396181</v>
          </cell>
          <cell r="AR19">
            <v>0.27768229806039774</v>
          </cell>
          <cell r="AS19">
            <v>0.24697110904007455</v>
          </cell>
          <cell r="AT19">
            <v>0.28005958714620133</v>
          </cell>
          <cell r="AU19">
            <v>0.28660994178235555</v>
          </cell>
          <cell r="AV19">
            <v>0.27723716847929786</v>
          </cell>
          <cell r="AW19">
            <v>0.25397690128568318</v>
          </cell>
          <cell r="AX19">
            <v>0.27604242336190615</v>
          </cell>
          <cell r="AY19">
            <v>0.29350403034613559</v>
          </cell>
          <cell r="AZ19">
            <v>0.28532235939643347</v>
          </cell>
          <cell r="BA19">
            <v>0.25521541043881385</v>
          </cell>
          <cell r="BB19">
            <v>0.2839298834890312</v>
          </cell>
          <cell r="BC19">
            <v>0.30025046963055729</v>
          </cell>
          <cell r="BD19">
            <v>0.29564473183720047</v>
          </cell>
        </row>
        <row r="20">
          <cell r="A20">
            <v>0</v>
          </cell>
          <cell r="B20">
            <v>0</v>
          </cell>
        </row>
        <row r="21">
          <cell r="A21">
            <v>0</v>
          </cell>
          <cell r="B21">
            <v>0</v>
          </cell>
          <cell r="I21">
            <v>1639.8389999999999</v>
          </cell>
          <cell r="J21">
            <v>1920.085</v>
          </cell>
          <cell r="K21">
            <v>2183.5839999999998</v>
          </cell>
          <cell r="L21">
            <v>2465.665</v>
          </cell>
          <cell r="M21">
            <v>2761.9829999999997</v>
          </cell>
          <cell r="N21">
            <v>2888.45</v>
          </cell>
          <cell r="O21">
            <v>2978.1989999999996</v>
          </cell>
          <cell r="P21">
            <v>2979.6219999999998</v>
          </cell>
          <cell r="Q21">
            <v>3122.433</v>
          </cell>
          <cell r="R21">
            <v>3269.4989999999998</v>
          </cell>
          <cell r="S21">
            <v>3407.4789999999998</v>
          </cell>
          <cell r="T21">
            <v>3619.4969999999998</v>
          </cell>
          <cell r="U21">
            <v>3932.9359999999997</v>
          </cell>
          <cell r="V21">
            <v>4169.0730000000003</v>
          </cell>
          <cell r="W21">
            <v>4463.38</v>
          </cell>
          <cell r="X21">
            <v>4746.5370000000003</v>
          </cell>
          <cell r="Y21">
            <v>5263.6990000000005</v>
          </cell>
          <cell r="Z21">
            <v>5710.4890000000005</v>
          </cell>
          <cell r="AA21">
            <v>5997.9179999999997</v>
          </cell>
          <cell r="AB21">
            <v>6325.9369999999999</v>
          </cell>
          <cell r="AC21">
            <v>6921.1239999999989</v>
          </cell>
          <cell r="AD21">
            <v>7292.6979999999994</v>
          </cell>
          <cell r="AE21">
            <v>7658.357</v>
          </cell>
          <cell r="AF21">
            <v>8053.8819999999996</v>
          </cell>
          <cell r="AG21">
            <v>8489.9229999999989</v>
          </cell>
          <cell r="AH21">
            <v>8867</v>
          </cell>
          <cell r="AI21">
            <v>9253</v>
          </cell>
          <cell r="AJ21">
            <v>9702</v>
          </cell>
          <cell r="AK21">
            <v>10711</v>
          </cell>
          <cell r="AL21">
            <v>11447</v>
          </cell>
          <cell r="AM21">
            <v>12194</v>
          </cell>
          <cell r="AN21">
            <v>13149</v>
          </cell>
          <cell r="AO21">
            <v>14836</v>
          </cell>
          <cell r="AP21">
            <v>15956</v>
          </cell>
          <cell r="AQ21">
            <v>17133</v>
          </cell>
          <cell r="AR21">
            <v>18135</v>
          </cell>
          <cell r="AS21">
            <v>19166</v>
          </cell>
          <cell r="AT21">
            <v>19920</v>
          </cell>
          <cell r="AU21">
            <v>20508</v>
          </cell>
          <cell r="AV21">
            <v>21693</v>
          </cell>
          <cell r="AW21">
            <v>24508</v>
          </cell>
          <cell r="AX21">
            <v>26750</v>
          </cell>
          <cell r="AY21">
            <v>28665</v>
          </cell>
          <cell r="AZ21">
            <v>30776</v>
          </cell>
          <cell r="BA21">
            <v>34205</v>
          </cell>
          <cell r="BB21">
            <v>36931</v>
          </cell>
          <cell r="BC21">
            <v>40278</v>
          </cell>
          <cell r="BD21">
            <v>43594</v>
          </cell>
        </row>
        <row r="22">
          <cell r="A22">
            <v>0</v>
          </cell>
          <cell r="B22">
            <v>0</v>
          </cell>
          <cell r="I22">
            <v>-1349.194</v>
          </cell>
          <cell r="J22">
            <v>-1566.0970000000002</v>
          </cell>
          <cell r="K22">
            <v>-1761.0630000000001</v>
          </cell>
          <cell r="L22">
            <v>-1946.3419999999999</v>
          </cell>
          <cell r="M22">
            <v>-2106.2060000000001</v>
          </cell>
          <cell r="N22">
            <v>-2178.21</v>
          </cell>
          <cell r="O22">
            <v>-2224.3029999999999</v>
          </cell>
          <cell r="P22">
            <v>-2230.8130000000001</v>
          </cell>
          <cell r="Q22">
            <v>-2323.875</v>
          </cell>
          <cell r="R22">
            <v>-2430.413</v>
          </cell>
          <cell r="S22">
            <v>-2529.9459999999999</v>
          </cell>
          <cell r="T22">
            <v>-2687.989</v>
          </cell>
          <cell r="U22">
            <v>-2940.3180000000002</v>
          </cell>
          <cell r="V22">
            <v>-3128.9979999999996</v>
          </cell>
          <cell r="W22">
            <v>-3367.5439999999999</v>
          </cell>
          <cell r="X22">
            <v>-3581.0469999999996</v>
          </cell>
          <cell r="Y22">
            <v>-4006.5309999999999</v>
          </cell>
          <cell r="Z22">
            <v>-4363.0690000000004</v>
          </cell>
          <cell r="AA22">
            <v>-4583.38</v>
          </cell>
          <cell r="AB22">
            <v>-4841.5689999999995</v>
          </cell>
          <cell r="AC22">
            <v>-5319.634</v>
          </cell>
          <cell r="AD22">
            <v>-5594.0420000000004</v>
          </cell>
          <cell r="AE22">
            <v>-5850.7470000000003</v>
          </cell>
          <cell r="AF22">
            <v>-6138.9229999999998</v>
          </cell>
          <cell r="AG22">
            <v>-6451.9229999999998</v>
          </cell>
          <cell r="AH22">
            <v>-6740</v>
          </cell>
          <cell r="AI22">
            <v>-7067</v>
          </cell>
          <cell r="AJ22">
            <v>-7430</v>
          </cell>
          <cell r="AK22">
            <v>-8256</v>
          </cell>
          <cell r="AL22">
            <v>-8820</v>
          </cell>
          <cell r="AM22">
            <v>-9375</v>
          </cell>
          <cell r="AN22">
            <v>-10117</v>
          </cell>
          <cell r="AO22">
            <v>-11484</v>
          </cell>
          <cell r="AP22">
            <v>-12367</v>
          </cell>
          <cell r="AQ22">
            <v>-13278</v>
          </cell>
          <cell r="AR22">
            <v>-14043</v>
          </cell>
          <cell r="AS22">
            <v>-14896</v>
          </cell>
          <cell r="AT22">
            <v>-15458</v>
          </cell>
          <cell r="AU22">
            <v>-15880</v>
          </cell>
          <cell r="AV22">
            <v>-16791</v>
          </cell>
          <cell r="AW22">
            <v>-18978</v>
          </cell>
          <cell r="AX22">
            <v>-20738</v>
          </cell>
          <cell r="AY22">
            <v>-22177</v>
          </cell>
          <cell r="AZ22">
            <v>-23787</v>
          </cell>
          <cell r="BA22">
            <v>-26561</v>
          </cell>
          <cell r="BB22">
            <v>-28668</v>
          </cell>
          <cell r="BC22">
            <v>-31236</v>
          </cell>
          <cell r="BD22">
            <v>-33775</v>
          </cell>
        </row>
        <row r="23">
          <cell r="A23">
            <v>0</v>
          </cell>
          <cell r="B23">
            <v>0</v>
          </cell>
          <cell r="I23">
            <v>290.64499999999998</v>
          </cell>
          <cell r="J23">
            <v>353.98799999999983</v>
          </cell>
          <cell r="K23">
            <v>422.52099999999973</v>
          </cell>
          <cell r="L23">
            <v>519.32300000000009</v>
          </cell>
          <cell r="M23">
            <v>655.77699999999959</v>
          </cell>
          <cell r="N23">
            <v>710.23999999999978</v>
          </cell>
          <cell r="O23">
            <v>753.89599999999973</v>
          </cell>
          <cell r="P23">
            <v>748.80899999999974</v>
          </cell>
          <cell r="Q23">
            <v>798.55799999999999</v>
          </cell>
          <cell r="R23">
            <v>839.08599999999979</v>
          </cell>
          <cell r="S23">
            <v>877.5329999999999</v>
          </cell>
          <cell r="T23">
            <v>931.50799999999981</v>
          </cell>
          <cell r="U23">
            <v>992.61799999999948</v>
          </cell>
          <cell r="V23">
            <v>1040.0750000000007</v>
          </cell>
          <cell r="W23">
            <v>1095.8360000000002</v>
          </cell>
          <cell r="X23">
            <v>1165.4900000000007</v>
          </cell>
          <cell r="Y23">
            <v>1257.1680000000006</v>
          </cell>
          <cell r="Z23">
            <v>1347.42</v>
          </cell>
          <cell r="AA23">
            <v>1414.5379999999996</v>
          </cell>
          <cell r="AB23">
            <v>1484.3680000000004</v>
          </cell>
          <cell r="AC23">
            <v>1601.4899999999989</v>
          </cell>
          <cell r="AD23">
            <v>1698.655999999999</v>
          </cell>
          <cell r="AE23">
            <v>1807.6099999999997</v>
          </cell>
          <cell r="AF23">
            <v>1914.9589999999998</v>
          </cell>
          <cell r="AG23">
            <v>2037.9999999999991</v>
          </cell>
          <cell r="AH23">
            <v>2127</v>
          </cell>
          <cell r="AI23">
            <v>2186</v>
          </cell>
          <cell r="AJ23">
            <v>2272</v>
          </cell>
          <cell r="AK23">
            <v>2455</v>
          </cell>
          <cell r="AL23">
            <v>2627</v>
          </cell>
          <cell r="AM23">
            <v>2819</v>
          </cell>
          <cell r="AN23">
            <v>3032</v>
          </cell>
          <cell r="AO23">
            <v>3352</v>
          </cell>
          <cell r="AP23">
            <v>3589</v>
          </cell>
          <cell r="AQ23">
            <v>3855</v>
          </cell>
          <cell r="AR23">
            <v>4092</v>
          </cell>
          <cell r="AS23">
            <v>4270</v>
          </cell>
          <cell r="AT23">
            <v>4462</v>
          </cell>
          <cell r="AU23">
            <v>4628</v>
          </cell>
          <cell r="AV23">
            <v>4902</v>
          </cell>
          <cell r="AW23">
            <v>5530</v>
          </cell>
          <cell r="AX23">
            <v>6012</v>
          </cell>
          <cell r="AY23">
            <v>6488</v>
          </cell>
          <cell r="AZ23">
            <v>6989</v>
          </cell>
          <cell r="BA23">
            <v>7644</v>
          </cell>
          <cell r="BB23">
            <v>8263</v>
          </cell>
          <cell r="BC23">
            <v>9042</v>
          </cell>
          <cell r="BD23">
            <v>9819</v>
          </cell>
        </row>
        <row r="24">
          <cell r="A24">
            <v>0</v>
          </cell>
          <cell r="B24">
            <v>0</v>
          </cell>
        </row>
        <row r="25">
          <cell r="A25">
            <v>0</v>
          </cell>
          <cell r="B25">
            <v>0</v>
          </cell>
          <cell r="I25">
            <v>0.17723996075224457</v>
          </cell>
          <cell r="J25">
            <v>0.18436058820312634</v>
          </cell>
          <cell r="K25">
            <v>0.19349885326142699</v>
          </cell>
          <cell r="L25">
            <v>0.21062188091245165</v>
          </cell>
          <cell r="M25">
            <v>0.2374297741876035</v>
          </cell>
          <cell r="N25">
            <v>0.24588966400664711</v>
          </cell>
          <cell r="O25">
            <v>0.25313822212686254</v>
          </cell>
          <cell r="P25">
            <v>0.25131006550495322</v>
          </cell>
          <cell r="Q25">
            <v>0.25574864216461968</v>
          </cell>
          <cell r="R25">
            <v>0.25664054339823927</v>
          </cell>
          <cell r="S25">
            <v>0.25753144773599485</v>
          </cell>
          <cell r="T25">
            <v>0.2573584119561364</v>
          </cell>
          <cell r="U25">
            <v>0.25238600373868264</v>
          </cell>
          <cell r="V25">
            <v>0.24947392381951591</v>
          </cell>
          <cell r="W25">
            <v>0.24551707450407542</v>
          </cell>
          <cell r="X25">
            <v>0.2455453312594004</v>
          </cell>
          <cell r="Y25">
            <v>0.23883736513049103</v>
          </cell>
          <cell r="Z25">
            <v>0.235955274583315</v>
          </cell>
          <cell r="AA25">
            <v>0.23583816917803804</v>
          </cell>
          <cell r="AB25">
            <v>0.23464792646528101</v>
          </cell>
          <cell r="AC25">
            <v>0.23139160633446232</v>
          </cell>
          <cell r="AD25">
            <v>0.23292559214710373</v>
          </cell>
          <cell r="AE25">
            <v>0.23603104425662053</v>
          </cell>
          <cell r="AF25">
            <v>0.23776844508027309</v>
          </cell>
          <cell r="AG25">
            <v>0.24004929137755424</v>
          </cell>
          <cell r="AH25">
            <v>0.23987820006766664</v>
          </cell>
          <cell r="AI25">
            <v>0.23624770344753054</v>
          </cell>
          <cell r="AJ25">
            <v>0.23417851989280561</v>
          </cell>
          <cell r="AK25">
            <v>0.22920362244421622</v>
          </cell>
          <cell r="AL25">
            <v>0.22949244343496111</v>
          </cell>
          <cell r="AM25">
            <v>0.23117926849270132</v>
          </cell>
          <cell r="AN25">
            <v>0.23058787740512587</v>
          </cell>
          <cell r="AO25">
            <v>0.22593691021838772</v>
          </cell>
          <cell r="AP25">
            <v>0.22493106041614438</v>
          </cell>
          <cell r="AQ25">
            <v>0.22500437751707231</v>
          </cell>
          <cell r="AR25">
            <v>0.22564102564102564</v>
          </cell>
          <cell r="AS25">
            <v>0.22279035792549307</v>
          </cell>
          <cell r="AT25">
            <v>0.22399598393574296</v>
          </cell>
          <cell r="AU25">
            <v>0.22566803198751706</v>
          </cell>
          <cell r="AV25">
            <v>0.22597151154750381</v>
          </cell>
          <cell r="AW25">
            <v>0.22564060714868614</v>
          </cell>
          <cell r="AX25">
            <v>0.22474766355140188</v>
          </cell>
          <cell r="AY25">
            <v>0.22633874062445491</v>
          </cell>
          <cell r="AZ25">
            <v>0.22709253964127893</v>
          </cell>
          <cell r="BA25">
            <v>0.22347609998538226</v>
          </cell>
          <cell r="BB25">
            <v>0.22374157212098236</v>
          </cell>
          <cell r="BC25">
            <v>0.22448979591836735</v>
          </cell>
          <cell r="BD25">
            <v>0.22523741799330183</v>
          </cell>
        </row>
        <row r="26">
          <cell r="A26">
            <v>0</v>
          </cell>
          <cell r="B26">
            <v>0</v>
          </cell>
        </row>
        <row r="27">
          <cell r="A27">
            <v>0</v>
          </cell>
          <cell r="B27">
            <v>0</v>
          </cell>
          <cell r="I27">
            <v>239</v>
          </cell>
          <cell r="J27">
            <v>269.39999999999998</v>
          </cell>
          <cell r="K27">
            <v>293.89999999999998</v>
          </cell>
          <cell r="L27">
            <v>318.7</v>
          </cell>
          <cell r="M27">
            <v>339</v>
          </cell>
          <cell r="N27">
            <v>346.4</v>
          </cell>
          <cell r="O27">
            <v>348.9</v>
          </cell>
          <cell r="P27">
            <v>344.8</v>
          </cell>
          <cell r="Q27">
            <v>357</v>
          </cell>
          <cell r="R27">
            <v>364</v>
          </cell>
          <cell r="S27">
            <v>369</v>
          </cell>
          <cell r="T27">
            <v>368</v>
          </cell>
          <cell r="U27">
            <v>364.74900000000002</v>
          </cell>
          <cell r="V27">
            <v>353.74900000000002</v>
          </cell>
          <cell r="W27">
            <v>352.74900000000002</v>
          </cell>
          <cell r="X27">
            <v>356.74900000000002</v>
          </cell>
          <cell r="Y27">
            <v>372</v>
          </cell>
          <cell r="Z27">
            <v>387.6</v>
          </cell>
          <cell r="AA27">
            <v>391.6</v>
          </cell>
          <cell r="AB27">
            <v>401.6</v>
          </cell>
          <cell r="AC27">
            <v>420.053</v>
          </cell>
          <cell r="AD27">
            <v>434.25299999999999</v>
          </cell>
          <cell r="AE27">
            <v>453.25299999999999</v>
          </cell>
          <cell r="AF27">
            <v>478.25299999999999</v>
          </cell>
          <cell r="AG27">
            <v>511</v>
          </cell>
          <cell r="AH27">
            <v>532.20000000000005</v>
          </cell>
          <cell r="AI27">
            <v>557.20000000000005</v>
          </cell>
          <cell r="AJ27">
            <v>563.20000000000005</v>
          </cell>
          <cell r="AK27">
            <v>567</v>
          </cell>
          <cell r="AL27">
            <v>589</v>
          </cell>
          <cell r="AM27">
            <v>613</v>
          </cell>
          <cell r="AN27">
            <v>666</v>
          </cell>
          <cell r="AO27">
            <v>740</v>
          </cell>
          <cell r="AP27">
            <v>781</v>
          </cell>
          <cell r="AQ27">
            <v>815</v>
          </cell>
          <cell r="AR27">
            <v>835</v>
          </cell>
          <cell r="AS27">
            <v>835</v>
          </cell>
          <cell r="AT27">
            <v>833</v>
          </cell>
          <cell r="AU27">
            <v>832</v>
          </cell>
          <cell r="AV27">
            <v>849</v>
          </cell>
          <cell r="AW27">
            <v>924</v>
          </cell>
          <cell r="AX27">
            <v>982</v>
          </cell>
          <cell r="AY27">
            <v>1036</v>
          </cell>
          <cell r="AZ27">
            <v>1098</v>
          </cell>
          <cell r="BA27">
            <v>1194</v>
          </cell>
          <cell r="BB27">
            <v>1276</v>
          </cell>
          <cell r="BC27">
            <v>1368</v>
          </cell>
          <cell r="BD27">
            <v>1458</v>
          </cell>
        </row>
        <row r="28">
          <cell r="A28">
            <v>0</v>
          </cell>
          <cell r="B28">
            <v>0</v>
          </cell>
          <cell r="I28">
            <v>-227</v>
          </cell>
          <cell r="J28">
            <v>-267.7</v>
          </cell>
          <cell r="K28">
            <v>-286</v>
          </cell>
          <cell r="L28">
            <v>-307.5</v>
          </cell>
          <cell r="M28">
            <v>-340</v>
          </cell>
          <cell r="N28">
            <v>-349</v>
          </cell>
          <cell r="O28">
            <v>-364.4</v>
          </cell>
          <cell r="P28">
            <v>-370.5</v>
          </cell>
          <cell r="Q28">
            <v>-376</v>
          </cell>
          <cell r="R28">
            <v>-379</v>
          </cell>
          <cell r="S28">
            <v>-384</v>
          </cell>
          <cell r="T28">
            <v>-391</v>
          </cell>
          <cell r="U28">
            <v>-404.303</v>
          </cell>
          <cell r="V28">
            <v>-419.303</v>
          </cell>
          <cell r="W28">
            <v>-442.303</v>
          </cell>
          <cell r="X28">
            <v>-463.303</v>
          </cell>
          <cell r="Y28">
            <v>-508.46800000000002</v>
          </cell>
          <cell r="Z28">
            <v>-540.06799999999998</v>
          </cell>
          <cell r="AA28">
            <v>-553.06799999999998</v>
          </cell>
          <cell r="AB28">
            <v>-577.06799999999998</v>
          </cell>
          <cell r="AC28">
            <v>-616.572</v>
          </cell>
          <cell r="AD28">
            <v>-643.072</v>
          </cell>
          <cell r="AE28">
            <v>-672.072</v>
          </cell>
          <cell r="AF28">
            <v>-703.072</v>
          </cell>
          <cell r="AG28">
            <v>-750</v>
          </cell>
          <cell r="AH28">
            <v>-783.9</v>
          </cell>
          <cell r="AI28">
            <v>-823.9</v>
          </cell>
          <cell r="AJ28">
            <v>-846.9</v>
          </cell>
          <cell r="AK28">
            <v>-884</v>
          </cell>
          <cell r="AL28">
            <v>-925</v>
          </cell>
          <cell r="AM28">
            <v>-964</v>
          </cell>
          <cell r="AN28">
            <v>-1042</v>
          </cell>
          <cell r="AO28">
            <v>-1174</v>
          </cell>
          <cell r="AP28">
            <v>-1257</v>
          </cell>
          <cell r="AQ28">
            <v>-1344</v>
          </cell>
          <cell r="AR28">
            <v>-1407</v>
          </cell>
          <cell r="AS28">
            <v>-1466</v>
          </cell>
          <cell r="AT28">
            <v>-1503</v>
          </cell>
          <cell r="AU28">
            <v>-1521</v>
          </cell>
          <cell r="AV28">
            <v>-1586</v>
          </cell>
          <cell r="AW28">
            <v>-1774</v>
          </cell>
          <cell r="AX28">
            <v>-1934</v>
          </cell>
          <cell r="AY28">
            <v>-2089</v>
          </cell>
          <cell r="AZ28">
            <v>-2277</v>
          </cell>
          <cell r="BA28">
            <v>-2580</v>
          </cell>
          <cell r="BB28">
            <v>-2848</v>
          </cell>
          <cell r="BC28">
            <v>-3181</v>
          </cell>
          <cell r="BD28">
            <v>-3523</v>
          </cell>
        </row>
        <row r="29">
          <cell r="A29">
            <v>0</v>
          </cell>
          <cell r="B29">
            <v>0</v>
          </cell>
          <cell r="I29">
            <v>12</v>
          </cell>
          <cell r="J29">
            <v>1.6999999999999886</v>
          </cell>
          <cell r="K29">
            <v>7.8999999999999773</v>
          </cell>
          <cell r="L29">
            <v>11.199999999999989</v>
          </cell>
          <cell r="M29">
            <v>-1</v>
          </cell>
          <cell r="N29">
            <v>-2.6000000000000227</v>
          </cell>
          <cell r="O29">
            <v>-15.5</v>
          </cell>
          <cell r="P29">
            <v>-25.699999999999989</v>
          </cell>
          <cell r="Q29">
            <v>-19</v>
          </cell>
          <cell r="R29">
            <v>-15</v>
          </cell>
          <cell r="S29">
            <v>-15</v>
          </cell>
          <cell r="T29">
            <v>-23</v>
          </cell>
          <cell r="U29">
            <v>-39.553999999999974</v>
          </cell>
          <cell r="V29">
            <v>-65.553999999999974</v>
          </cell>
          <cell r="W29">
            <v>-89.553999999999974</v>
          </cell>
          <cell r="X29">
            <v>-106.55399999999997</v>
          </cell>
          <cell r="Y29">
            <v>-136.46800000000002</v>
          </cell>
          <cell r="Z29">
            <v>-152.46799999999996</v>
          </cell>
          <cell r="AA29">
            <v>-161.46799999999996</v>
          </cell>
          <cell r="AB29">
            <v>-175.46799999999996</v>
          </cell>
          <cell r="AC29">
            <v>-196.51900000000001</v>
          </cell>
          <cell r="AD29">
            <v>-208.81900000000002</v>
          </cell>
          <cell r="AE29">
            <v>-218.81900000000002</v>
          </cell>
          <cell r="AF29">
            <v>-224.81900000000002</v>
          </cell>
          <cell r="AG29">
            <v>-239</v>
          </cell>
          <cell r="AH29">
            <v>-251.69999999999993</v>
          </cell>
          <cell r="AI29">
            <v>-266.69999999999993</v>
          </cell>
          <cell r="AJ29">
            <v>-283.69999999999993</v>
          </cell>
          <cell r="AK29">
            <v>-317</v>
          </cell>
          <cell r="AL29">
            <v>-336</v>
          </cell>
          <cell r="AM29">
            <v>-351</v>
          </cell>
          <cell r="AN29">
            <v>-376</v>
          </cell>
          <cell r="AO29">
            <v>-434</v>
          </cell>
          <cell r="AP29">
            <v>-476</v>
          </cell>
          <cell r="AQ29">
            <v>-529</v>
          </cell>
          <cell r="AR29">
            <v>-572</v>
          </cell>
          <cell r="AS29">
            <v>-631</v>
          </cell>
          <cell r="AT29">
            <v>-670</v>
          </cell>
          <cell r="AU29">
            <v>-689</v>
          </cell>
          <cell r="AV29">
            <v>-737</v>
          </cell>
          <cell r="AW29">
            <v>-850</v>
          </cell>
          <cell r="AX29">
            <v>-952</v>
          </cell>
          <cell r="AY29">
            <v>-1053</v>
          </cell>
          <cell r="AZ29">
            <v>-1179</v>
          </cell>
          <cell r="BA29">
            <v>-1386</v>
          </cell>
          <cell r="BB29">
            <v>-1572</v>
          </cell>
          <cell r="BC29">
            <v>-1813</v>
          </cell>
          <cell r="BD29">
            <v>-2065</v>
          </cell>
        </row>
        <row r="30">
          <cell r="A30">
            <v>0</v>
          </cell>
          <cell r="B30">
            <v>0</v>
          </cell>
        </row>
        <row r="31">
          <cell r="A31">
            <v>0</v>
          </cell>
          <cell r="B31">
            <v>0</v>
          </cell>
          <cell r="I31">
            <v>1400.8389999999999</v>
          </cell>
          <cell r="J31">
            <v>1650.6849999999999</v>
          </cell>
          <cell r="K31">
            <v>1889.6839999999997</v>
          </cell>
          <cell r="L31">
            <v>2146.9650000000001</v>
          </cell>
          <cell r="M31">
            <v>2422.9829999999997</v>
          </cell>
          <cell r="N31">
            <v>2542.0499999999997</v>
          </cell>
          <cell r="O31">
            <v>2629.2989999999995</v>
          </cell>
          <cell r="P31">
            <v>2634.8219999999997</v>
          </cell>
          <cell r="Q31">
            <v>2765.433</v>
          </cell>
          <cell r="R31">
            <v>2905.4989999999998</v>
          </cell>
          <cell r="S31">
            <v>3038.4789999999998</v>
          </cell>
          <cell r="T31">
            <v>3251.4969999999998</v>
          </cell>
          <cell r="U31">
            <v>3568.1869999999999</v>
          </cell>
          <cell r="V31">
            <v>3815.3240000000005</v>
          </cell>
          <cell r="W31">
            <v>4110.6310000000003</v>
          </cell>
          <cell r="X31">
            <v>4389.7880000000005</v>
          </cell>
          <cell r="Y31">
            <v>4891.6990000000005</v>
          </cell>
          <cell r="Z31">
            <v>5322.8890000000001</v>
          </cell>
          <cell r="AA31">
            <v>5606.3179999999993</v>
          </cell>
          <cell r="AB31">
            <v>5924.3369999999995</v>
          </cell>
          <cell r="AC31">
            <v>6501.070999999999</v>
          </cell>
          <cell r="AD31">
            <v>6858.4449999999997</v>
          </cell>
          <cell r="AE31">
            <v>7205.1040000000003</v>
          </cell>
          <cell r="AF31">
            <v>7575.6289999999999</v>
          </cell>
          <cell r="AG31">
            <v>7978.9229999999989</v>
          </cell>
          <cell r="AH31">
            <v>8334.7999999999993</v>
          </cell>
          <cell r="AI31">
            <v>8695.7999999999993</v>
          </cell>
          <cell r="AJ31">
            <v>9138.7999999999993</v>
          </cell>
          <cell r="AK31">
            <v>10144</v>
          </cell>
          <cell r="AL31">
            <v>10858</v>
          </cell>
          <cell r="AM31">
            <v>11581</v>
          </cell>
          <cell r="AN31">
            <v>12483</v>
          </cell>
          <cell r="AO31">
            <v>14096</v>
          </cell>
          <cell r="AP31">
            <v>15175</v>
          </cell>
          <cell r="AQ31">
            <v>16318</v>
          </cell>
          <cell r="AR31">
            <v>17300</v>
          </cell>
          <cell r="AS31">
            <v>18331</v>
          </cell>
          <cell r="AT31">
            <v>19087</v>
          </cell>
          <cell r="AU31">
            <v>19676</v>
          </cell>
          <cell r="AV31">
            <v>20844</v>
          </cell>
          <cell r="AW31">
            <v>23584</v>
          </cell>
          <cell r="AX31">
            <v>25768</v>
          </cell>
          <cell r="AY31">
            <v>27629</v>
          </cell>
          <cell r="AZ31">
            <v>29678</v>
          </cell>
          <cell r="BA31">
            <v>33011</v>
          </cell>
          <cell r="BB31">
            <v>35655</v>
          </cell>
          <cell r="BC31">
            <v>38910</v>
          </cell>
          <cell r="BD31">
            <v>42136</v>
          </cell>
        </row>
        <row r="32">
          <cell r="A32">
            <v>0</v>
          </cell>
          <cell r="B32">
            <v>0</v>
          </cell>
          <cell r="I32">
            <v>-1122.194</v>
          </cell>
          <cell r="J32">
            <v>-1298.3970000000002</v>
          </cell>
          <cell r="K32">
            <v>-1475.0630000000001</v>
          </cell>
          <cell r="L32">
            <v>-1638.8419999999999</v>
          </cell>
          <cell r="M32">
            <v>-1766.2060000000001</v>
          </cell>
          <cell r="N32">
            <v>-1829.21</v>
          </cell>
          <cell r="O32">
            <v>-1859.9029999999998</v>
          </cell>
          <cell r="P32">
            <v>-1860.3130000000001</v>
          </cell>
          <cell r="Q32">
            <v>-1947.875</v>
          </cell>
          <cell r="R32">
            <v>-2051.413</v>
          </cell>
          <cell r="S32">
            <v>-2145.9459999999999</v>
          </cell>
          <cell r="T32">
            <v>-2296.989</v>
          </cell>
          <cell r="U32">
            <v>-2536.0150000000003</v>
          </cell>
          <cell r="V32">
            <v>-2709.6949999999997</v>
          </cell>
          <cell r="W32">
            <v>-2925.241</v>
          </cell>
          <cell r="X32">
            <v>-3117.7439999999997</v>
          </cell>
          <cell r="Y32">
            <v>-3498.0630000000001</v>
          </cell>
          <cell r="Z32">
            <v>-3823.0010000000002</v>
          </cell>
          <cell r="AA32">
            <v>-4030.3119999999999</v>
          </cell>
          <cell r="AB32">
            <v>-4264.5009999999993</v>
          </cell>
          <cell r="AC32">
            <v>-4703.0619999999999</v>
          </cell>
          <cell r="AD32">
            <v>-4950.97</v>
          </cell>
          <cell r="AE32">
            <v>-5178.6750000000002</v>
          </cell>
          <cell r="AF32">
            <v>-5435.8509999999997</v>
          </cell>
          <cell r="AG32">
            <v>-5701.9229999999998</v>
          </cell>
          <cell r="AH32">
            <v>-5956.1</v>
          </cell>
          <cell r="AI32">
            <v>-6243.1</v>
          </cell>
          <cell r="AJ32">
            <v>-6583.1</v>
          </cell>
          <cell r="AK32">
            <v>-7372</v>
          </cell>
          <cell r="AL32">
            <v>-7895</v>
          </cell>
          <cell r="AM32">
            <v>-8411</v>
          </cell>
          <cell r="AN32">
            <v>-9075</v>
          </cell>
          <cell r="AO32">
            <v>-10310</v>
          </cell>
          <cell r="AP32">
            <v>-11110</v>
          </cell>
          <cell r="AQ32">
            <v>-11934</v>
          </cell>
          <cell r="AR32">
            <v>-12636</v>
          </cell>
          <cell r="AS32">
            <v>-13430</v>
          </cell>
          <cell r="AT32">
            <v>-13955</v>
          </cell>
          <cell r="AU32">
            <v>-14359</v>
          </cell>
          <cell r="AV32">
            <v>-15205</v>
          </cell>
          <cell r="AW32">
            <v>-17204</v>
          </cell>
          <cell r="AX32">
            <v>-18804</v>
          </cell>
          <cell r="AY32">
            <v>-20088</v>
          </cell>
          <cell r="AZ32">
            <v>-21510</v>
          </cell>
          <cell r="BA32">
            <v>-23981</v>
          </cell>
          <cell r="BB32">
            <v>-25820</v>
          </cell>
          <cell r="BC32">
            <v>-28055</v>
          </cell>
          <cell r="BD32">
            <v>-30252</v>
          </cell>
        </row>
        <row r="33">
          <cell r="B33" t="str">
            <v>Merchandise Gross Profit</v>
          </cell>
          <cell r="I33">
            <v>278.64499999999998</v>
          </cell>
          <cell r="J33">
            <v>352.28799999999978</v>
          </cell>
          <cell r="K33">
            <v>414.62099999999964</v>
          </cell>
          <cell r="L33">
            <v>508.12300000000027</v>
          </cell>
          <cell r="M33">
            <v>656.77699999999959</v>
          </cell>
          <cell r="N33">
            <v>712.83999999999969</v>
          </cell>
          <cell r="O33">
            <v>769.39599999999973</v>
          </cell>
          <cell r="P33">
            <v>774.50899999999956</v>
          </cell>
          <cell r="Q33">
            <v>817.55799999999999</v>
          </cell>
          <cell r="R33">
            <v>854.08599999999979</v>
          </cell>
          <cell r="S33">
            <v>892.5329999999999</v>
          </cell>
          <cell r="T33">
            <v>954.50799999999981</v>
          </cell>
          <cell r="U33">
            <v>1032.1719999999996</v>
          </cell>
          <cell r="V33">
            <v>1105.6290000000008</v>
          </cell>
          <cell r="W33">
            <v>1185.3900000000003</v>
          </cell>
          <cell r="X33">
            <v>1272.0440000000008</v>
          </cell>
          <cell r="Y33">
            <v>1393.6360000000004</v>
          </cell>
          <cell r="Z33">
            <v>1499.8879999999999</v>
          </cell>
          <cell r="AA33">
            <v>1576.0059999999994</v>
          </cell>
          <cell r="AB33">
            <v>1659.8360000000002</v>
          </cell>
          <cell r="AC33">
            <v>1798.0089999999991</v>
          </cell>
          <cell r="AD33">
            <v>1907.4749999999995</v>
          </cell>
          <cell r="AE33">
            <v>2026.4290000000001</v>
          </cell>
          <cell r="AF33">
            <v>2139.7780000000002</v>
          </cell>
          <cell r="AG33">
            <v>2276.9999999999991</v>
          </cell>
          <cell r="AH33">
            <v>2378.6999999999989</v>
          </cell>
          <cell r="AI33">
            <v>2452.6999999999989</v>
          </cell>
          <cell r="AJ33">
            <v>2555.6999999999989</v>
          </cell>
          <cell r="AK33">
            <v>2772</v>
          </cell>
          <cell r="AL33">
            <v>2963</v>
          </cell>
          <cell r="AM33">
            <v>3170</v>
          </cell>
          <cell r="AN33">
            <v>3408</v>
          </cell>
          <cell r="AO33">
            <v>3786</v>
          </cell>
          <cell r="AP33">
            <v>4065</v>
          </cell>
          <cell r="AQ33">
            <v>4384</v>
          </cell>
          <cell r="AR33">
            <v>4664</v>
          </cell>
          <cell r="AS33">
            <v>4901</v>
          </cell>
          <cell r="AT33">
            <v>5132</v>
          </cell>
          <cell r="AU33">
            <v>5317</v>
          </cell>
          <cell r="AV33">
            <v>5639</v>
          </cell>
          <cell r="AW33">
            <v>6380</v>
          </cell>
          <cell r="AX33">
            <v>6964</v>
          </cell>
          <cell r="AY33">
            <v>7541</v>
          </cell>
          <cell r="AZ33">
            <v>8168</v>
          </cell>
          <cell r="BA33">
            <v>9030</v>
          </cell>
          <cell r="BB33">
            <v>9835</v>
          </cell>
          <cell r="BC33">
            <v>10855</v>
          </cell>
          <cell r="BD33">
            <v>11884</v>
          </cell>
        </row>
        <row r="34">
          <cell r="BC34">
            <v>32997.199999999997</v>
          </cell>
          <cell r="BD34">
            <v>3.6106709852497048</v>
          </cell>
        </row>
        <row r="35">
          <cell r="B35" t="str">
            <v>Merchandise Gross Profit Margin</v>
          </cell>
          <cell r="I35">
            <v>0.19891293717550695</v>
          </cell>
          <cell r="J35">
            <v>0.21341927745148215</v>
          </cell>
          <cell r="K35">
            <v>0.21941287538022214</v>
          </cell>
          <cell r="L35">
            <v>0.23667036956820453</v>
          </cell>
          <cell r="M35">
            <v>0.2710613322503706</v>
          </cell>
          <cell r="N35">
            <v>0.28041934659035023</v>
          </cell>
          <cell r="O35">
            <v>0.29262400358422525</v>
          </cell>
          <cell r="P35">
            <v>0.29395116634064833</v>
          </cell>
          <cell r="Q35">
            <v>0.29563471615475767</v>
          </cell>
          <cell r="R35">
            <v>0.29395501426777287</v>
          </cell>
          <cell r="S35">
            <v>0.29374334987998929</v>
          </cell>
          <cell r="T35">
            <v>0.2935595511851925</v>
          </cell>
          <cell r="U35">
            <v>0.28927071367055585</v>
          </cell>
          <cell r="V35">
            <v>0.28978639821939123</v>
          </cell>
          <cell r="W35">
            <v>0.2883717852563269</v>
          </cell>
          <cell r="X35">
            <v>0.28977344691816564</v>
          </cell>
          <cell r="Y35">
            <v>0.28489815092874687</v>
          </cell>
          <cell r="Z35">
            <v>0.2817808148920633</v>
          </cell>
          <cell r="AA35">
            <v>0.28111248773259018</v>
          </cell>
          <cell r="AB35">
            <v>0.28017244798869484</v>
          </cell>
          <cell r="AC35">
            <v>0.27657119880708875</v>
          </cell>
          <cell r="AD35">
            <v>0.27812062355242329</v>
          </cell>
          <cell r="AE35">
            <v>0.28124909786173802</v>
          </cell>
          <cell r="AF35">
            <v>0.28245548983457353</v>
          </cell>
          <cell r="AG35">
            <v>0.28537686101244486</v>
          </cell>
          <cell r="AH35">
            <v>0.28539377069635735</v>
          </cell>
          <cell r="AI35">
            <v>0.28205570505301397</v>
          </cell>
          <cell r="AJ35">
            <v>0.27965378386659068</v>
          </cell>
          <cell r="AK35">
            <v>0.27326498422712936</v>
          </cell>
          <cell r="AL35">
            <v>0.2728863510775465</v>
          </cell>
          <cell r="AM35">
            <v>0.27372420343666348</v>
          </cell>
          <cell r="AN35">
            <v>0.27301129536169189</v>
          </cell>
          <cell r="AO35">
            <v>0.26858683314415438</v>
          </cell>
          <cell r="AP35">
            <v>0.26787479406919273</v>
          </cell>
          <cell r="AQ35">
            <v>0.26866037504596152</v>
          </cell>
          <cell r="AR35">
            <v>0.26959537572254333</v>
          </cell>
          <cell r="AS35">
            <v>0.26736130052915824</v>
          </cell>
          <cell r="AT35">
            <v>0.26887410279247653</v>
          </cell>
          <cell r="AU35">
            <v>0.27022768855458429</v>
          </cell>
          <cell r="AV35">
            <v>0.27053348685473039</v>
          </cell>
          <cell r="AW35">
            <v>0.27052238805970147</v>
          </cell>
          <cell r="AX35">
            <v>0.27025768394908412</v>
          </cell>
          <cell r="AY35">
            <v>0.27293785515219515</v>
          </cell>
          <cell r="AZ35">
            <v>0.27522070220365252</v>
          </cell>
          <cell r="BA35">
            <v>0.27354518190906063</v>
          </cell>
          <cell r="BB35">
            <v>0.27583789089889216</v>
          </cell>
          <cell r="BC35">
            <v>0.27897712670264713</v>
          </cell>
          <cell r="BD35">
            <v>0.28203911144864247</v>
          </cell>
        </row>
        <row r="38">
          <cell r="I38">
            <v>227</v>
          </cell>
          <cell r="J38">
            <v>267.7</v>
          </cell>
          <cell r="K38">
            <v>286</v>
          </cell>
          <cell r="L38">
            <v>307.5</v>
          </cell>
          <cell r="M38">
            <v>340</v>
          </cell>
          <cell r="N38">
            <v>349</v>
          </cell>
          <cell r="O38">
            <v>364.4</v>
          </cell>
          <cell r="P38">
            <v>370.5</v>
          </cell>
          <cell r="Q38">
            <v>376</v>
          </cell>
          <cell r="R38">
            <v>379</v>
          </cell>
          <cell r="S38">
            <v>384</v>
          </cell>
          <cell r="T38">
            <v>391</v>
          </cell>
          <cell r="U38">
            <v>404.303</v>
          </cell>
          <cell r="V38">
            <v>419.303</v>
          </cell>
          <cell r="W38">
            <v>442.303</v>
          </cell>
          <cell r="X38">
            <v>463.303</v>
          </cell>
          <cell r="Y38">
            <v>508.46800000000002</v>
          </cell>
          <cell r="Z38">
            <v>540.06799999999998</v>
          </cell>
          <cell r="AA38">
            <v>553.06799999999998</v>
          </cell>
          <cell r="AB38">
            <v>577.06799999999998</v>
          </cell>
          <cell r="AC38">
            <v>616.572</v>
          </cell>
          <cell r="AD38">
            <v>643.072</v>
          </cell>
          <cell r="AE38">
            <v>672.072</v>
          </cell>
          <cell r="AF38">
            <v>703.072</v>
          </cell>
          <cell r="AG38">
            <v>750</v>
          </cell>
          <cell r="AH38">
            <v>783.9</v>
          </cell>
          <cell r="AI38">
            <v>823.9</v>
          </cell>
          <cell r="AJ38">
            <v>846.9</v>
          </cell>
          <cell r="AK38">
            <v>884</v>
          </cell>
          <cell r="AL38">
            <v>925</v>
          </cell>
          <cell r="AM38">
            <v>964</v>
          </cell>
          <cell r="AN38">
            <v>1042</v>
          </cell>
          <cell r="AO38">
            <v>1174</v>
          </cell>
          <cell r="AP38">
            <v>1257</v>
          </cell>
          <cell r="AQ38">
            <v>1344</v>
          </cell>
          <cell r="AR38">
            <v>1407</v>
          </cell>
          <cell r="AS38">
            <v>1466</v>
          </cell>
          <cell r="AT38">
            <v>1503</v>
          </cell>
          <cell r="AU38">
            <v>1521</v>
          </cell>
          <cell r="AV38">
            <v>1586</v>
          </cell>
          <cell r="AW38">
            <v>1774</v>
          </cell>
          <cell r="AX38">
            <v>1934</v>
          </cell>
          <cell r="AY38">
            <v>2089</v>
          </cell>
          <cell r="AZ38">
            <v>2277</v>
          </cell>
          <cell r="BA38">
            <v>2580</v>
          </cell>
          <cell r="BB38">
            <v>2848</v>
          </cell>
          <cell r="BC38">
            <v>3181</v>
          </cell>
          <cell r="BD38">
            <v>3523</v>
          </cell>
        </row>
        <row r="39">
          <cell r="I39">
            <v>1400.8389999999999</v>
          </cell>
          <cell r="J39">
            <v>1650.6849999999999</v>
          </cell>
          <cell r="K39">
            <v>1889.6839999999997</v>
          </cell>
          <cell r="L39">
            <v>2146.9650000000001</v>
          </cell>
          <cell r="M39">
            <v>2422.9829999999997</v>
          </cell>
          <cell r="N39">
            <v>2542.0499999999997</v>
          </cell>
          <cell r="O39">
            <v>2629.2989999999995</v>
          </cell>
          <cell r="P39">
            <v>2634.8219999999997</v>
          </cell>
          <cell r="Q39">
            <v>2765.433</v>
          </cell>
          <cell r="R39">
            <v>2905.4989999999998</v>
          </cell>
          <cell r="S39">
            <v>3038.4789999999998</v>
          </cell>
          <cell r="T39">
            <v>3251.4969999999998</v>
          </cell>
          <cell r="U39">
            <v>3568.1869999999999</v>
          </cell>
          <cell r="V39">
            <v>3815.3240000000005</v>
          </cell>
          <cell r="W39">
            <v>4110.6310000000003</v>
          </cell>
          <cell r="X39">
            <v>4389.7880000000005</v>
          </cell>
          <cell r="Y39">
            <v>4891.6990000000005</v>
          </cell>
          <cell r="Z39">
            <v>5322.8890000000001</v>
          </cell>
          <cell r="AA39">
            <v>5606.3179999999993</v>
          </cell>
          <cell r="AB39">
            <v>5924.3369999999995</v>
          </cell>
          <cell r="AC39">
            <v>6501.070999999999</v>
          </cell>
          <cell r="AD39">
            <v>6858.4449999999997</v>
          </cell>
          <cell r="AE39">
            <v>7205.1040000000003</v>
          </cell>
          <cell r="AF39">
            <v>7575.6289999999999</v>
          </cell>
          <cell r="AG39">
            <v>7978.9229999999989</v>
          </cell>
          <cell r="AH39">
            <v>8334.7999999999993</v>
          </cell>
          <cell r="AI39">
            <v>8695.7999999999993</v>
          </cell>
          <cell r="AJ39">
            <v>9138.7999999999993</v>
          </cell>
          <cell r="AK39">
            <v>10144</v>
          </cell>
          <cell r="AL39">
            <v>10858</v>
          </cell>
          <cell r="AM39">
            <v>11581</v>
          </cell>
          <cell r="AN39">
            <v>12483</v>
          </cell>
          <cell r="AO39">
            <v>14096</v>
          </cell>
          <cell r="AP39">
            <v>15175</v>
          </cell>
          <cell r="AQ39">
            <v>16318</v>
          </cell>
          <cell r="AR39">
            <v>17300</v>
          </cell>
          <cell r="AS39">
            <v>18331</v>
          </cell>
          <cell r="AT39">
            <v>19087</v>
          </cell>
          <cell r="AU39">
            <v>19676</v>
          </cell>
          <cell r="AV39">
            <v>20844</v>
          </cell>
          <cell r="AW39">
            <v>23584</v>
          </cell>
          <cell r="AX39">
            <v>25768</v>
          </cell>
          <cell r="AY39">
            <v>27629</v>
          </cell>
          <cell r="AZ39">
            <v>29678</v>
          </cell>
          <cell r="BA39">
            <v>33011</v>
          </cell>
          <cell r="BB39">
            <v>35655</v>
          </cell>
          <cell r="BC39">
            <v>38910</v>
          </cell>
          <cell r="BD39">
            <v>42136</v>
          </cell>
        </row>
        <row r="40">
          <cell r="M40">
            <v>0.49779735682819393</v>
          </cell>
          <cell r="N40">
            <v>0.3036981695928278</v>
          </cell>
          <cell r="O40">
            <v>0.27412587412587408</v>
          </cell>
          <cell r="P40">
            <v>0.20487804878048776</v>
          </cell>
          <cell r="Q40">
            <v>0.10588235294117654</v>
          </cell>
          <cell r="R40">
            <v>8.5959885386819535E-2</v>
          </cell>
          <cell r="S40">
            <v>5.3787047200878124E-2</v>
          </cell>
          <cell r="T40">
            <v>5.5330634278002666E-2</v>
          </cell>
          <cell r="U40">
            <v>7.527393617021283E-2</v>
          </cell>
          <cell r="V40">
            <v>0.10634036939313973</v>
          </cell>
          <cell r="W40">
            <v>0.15183072916666673</v>
          </cell>
          <cell r="X40">
            <v>0.18491815856777483</v>
          </cell>
          <cell r="Y40">
            <v>0.25764092772005154</v>
          </cell>
          <cell r="Z40">
            <v>0.28801367984488535</v>
          </cell>
          <cell r="AA40">
            <v>0.25042787410440348</v>
          </cell>
          <cell r="AB40">
            <v>0.24555204693256893</v>
          </cell>
          <cell r="AC40">
            <v>0.21260728305419407</v>
          </cell>
          <cell r="AD40">
            <v>0.19072413103535113</v>
          </cell>
          <cell r="AE40">
            <v>0.21517064809390529</v>
          </cell>
          <cell r="AF40">
            <v>0.21835208329001099</v>
          </cell>
          <cell r="AG40">
            <v>0.21640295050699665</v>
          </cell>
          <cell r="AH40">
            <v>0.2189925855891719</v>
          </cell>
          <cell r="AI40">
            <v>0.22591031913247384</v>
          </cell>
          <cell r="AJ40">
            <v>0.20457079786991939</v>
          </cell>
          <cell r="AK40">
            <v>0.17866666666666675</v>
          </cell>
          <cell r="AL40">
            <v>0.17999744865416512</v>
          </cell>
          <cell r="AM40">
            <v>0.17004490836266539</v>
          </cell>
          <cell r="AN40">
            <v>0.23036958318573619</v>
          </cell>
          <cell r="AO40">
            <v>0.32805429864253388</v>
          </cell>
          <cell r="AP40">
            <v>0.35891891891891903</v>
          </cell>
          <cell r="AQ40">
            <v>0.39419087136929454</v>
          </cell>
          <cell r="AR40">
            <v>0.35028790786948183</v>
          </cell>
          <cell r="AS40">
            <v>0.24872231686541735</v>
          </cell>
          <cell r="AT40">
            <v>0.19570405727923634</v>
          </cell>
          <cell r="AU40">
            <v>0.1316964285714286</v>
          </cell>
          <cell r="AV40">
            <v>0.12722103766879878</v>
          </cell>
          <cell r="AW40">
            <v>0.21009549795361537</v>
          </cell>
          <cell r="AX40">
            <v>0.28675981370592152</v>
          </cell>
          <cell r="AY40">
            <v>0.37343852728468119</v>
          </cell>
          <cell r="AZ40">
            <v>0.43568726355611598</v>
          </cell>
          <cell r="BA40">
            <v>0.45434047350620066</v>
          </cell>
          <cell r="BB40">
            <v>0.47259565667011372</v>
          </cell>
          <cell r="BC40">
            <v>0.52273815222594533</v>
          </cell>
          <cell r="BD40">
            <v>0.54721124286341682</v>
          </cell>
        </row>
        <row r="41">
          <cell r="M41">
            <v>0.72966557898516515</v>
          </cell>
          <cell r="N41">
            <v>0.5399970315353928</v>
          </cell>
          <cell r="O41">
            <v>0.39139612760652032</v>
          </cell>
          <cell r="P41">
            <v>0.2272309981764955</v>
          </cell>
          <cell r="Q41">
            <v>0.14133404980554976</v>
          </cell>
          <cell r="R41">
            <v>0.14297476446175339</v>
          </cell>
          <cell r="S41">
            <v>0.15562322885301372</v>
          </cell>
          <cell r="T41">
            <v>0.23404806852227589</v>
          </cell>
          <cell r="U41">
            <v>0.29028148575648016</v>
          </cell>
          <cell r="V41">
            <v>0.31313898232283011</v>
          </cell>
          <cell r="W41">
            <v>0.35285812408116057</v>
          </cell>
          <cell r="X41">
            <v>0.35008213139978306</v>
          </cell>
          <cell r="Y41">
            <v>0.37092002184863082</v>
          </cell>
          <cell r="Z41">
            <v>0.39513420092238549</v>
          </cell>
          <cell r="AA41">
            <v>0.36385824949989409</v>
          </cell>
          <cell r="AB41">
            <v>0.34957246226924821</v>
          </cell>
          <cell r="AC41">
            <v>0.32900061921226098</v>
          </cell>
          <cell r="AD41">
            <v>0.28848168729424928</v>
          </cell>
          <cell r="AE41">
            <v>0.28517576063291461</v>
          </cell>
          <cell r="AF41">
            <v>0.27873026129337353</v>
          </cell>
          <cell r="AG41">
            <v>0.22732439008895611</v>
          </cell>
          <cell r="AH41">
            <v>0.21526089368654255</v>
          </cell>
          <cell r="AI41">
            <v>0.20689444593721329</v>
          </cell>
          <cell r="AJ41">
            <v>0.20634207403768046</v>
          </cell>
          <cell r="AK41">
            <v>0.27134952925350975</v>
          </cell>
          <cell r="AL41">
            <v>0.3027307193933868</v>
          </cell>
          <cell r="AM41">
            <v>0.33179235952988817</v>
          </cell>
          <cell r="AN41">
            <v>0.36593425832713278</v>
          </cell>
          <cell r="AO41">
            <v>0.38958990536277605</v>
          </cell>
          <cell r="AP41">
            <v>0.39758703260268935</v>
          </cell>
          <cell r="AQ41">
            <v>0.40903203523011822</v>
          </cell>
          <cell r="AR41">
            <v>0.38588480333253217</v>
          </cell>
          <cell r="AS41">
            <v>0.30043984108967092</v>
          </cell>
          <cell r="AT41">
            <v>0.25779242174629324</v>
          </cell>
          <cell r="AU41">
            <v>0.2057850226743474</v>
          </cell>
          <cell r="AV41">
            <v>0.20485549132947978</v>
          </cell>
          <cell r="AW41">
            <v>0.28656374447656985</v>
          </cell>
          <cell r="AX41">
            <v>0.35002881542411068</v>
          </cell>
          <cell r="AY41">
            <v>0.40419800772514747</v>
          </cell>
          <cell r="AZ41">
            <v>0.42381500671656114</v>
          </cell>
          <cell r="BA41">
            <v>0.39972014925373145</v>
          </cell>
          <cell r="BB41">
            <v>0.38369295249922386</v>
          </cell>
          <cell r="BC41">
            <v>0.40830287017264477</v>
          </cell>
          <cell r="BD41">
            <v>0.41977222184783347</v>
          </cell>
        </row>
        <row r="42">
          <cell r="AZ42">
            <v>-118.72256839554839</v>
          </cell>
          <cell r="BA42">
            <v>-546.20324252469209</v>
          </cell>
          <cell r="BB42">
            <v>-889.02704170889854</v>
          </cell>
          <cell r="BC42">
            <v>-1144.3528205330056</v>
          </cell>
          <cell r="BD42">
            <v>-1274.3902101558335</v>
          </cell>
        </row>
        <row r="43">
          <cell r="M43">
            <v>0.14032289950032667</v>
          </cell>
          <cell r="N43">
            <v>0.13729076926102951</v>
          </cell>
          <cell r="O43">
            <v>0.1385920734005528</v>
          </cell>
          <cell r="P43">
            <v>0.1406167095917675</v>
          </cell>
          <cell r="Q43">
            <v>0.13596424140451061</v>
          </cell>
          <cell r="R43">
            <v>0.13044230956541372</v>
          </cell>
          <cell r="S43">
            <v>0.12637902055600847</v>
          </cell>
          <cell r="T43">
            <v>0.12025230224724182</v>
          </cell>
          <cell r="U43">
            <v>0.11330768258502147</v>
          </cell>
          <cell r="V43">
            <v>0.10989970969700082</v>
          </cell>
          <cell r="W43">
            <v>0.10759978212590718</v>
          </cell>
          <cell r="X43">
            <v>0.10554108763338912</v>
          </cell>
          <cell r="Y43">
            <v>0.10394507102746918</v>
          </cell>
          <cell r="Z43">
            <v>0.10146144321251109</v>
          </cell>
          <cell r="AA43">
            <v>9.8650843566133795E-2</v>
          </cell>
          <cell r="AB43">
            <v>9.7406342684421901E-2</v>
          </cell>
          <cell r="AC43">
            <v>9.48416037911292E-2</v>
          </cell>
          <cell r="AD43">
            <v>9.3763528030041801E-2</v>
          </cell>
          <cell r="AE43">
            <v>9.3277210155467569E-2</v>
          </cell>
          <cell r="AF43">
            <v>9.2807079121746849E-2</v>
          </cell>
          <cell r="AG43">
            <v>9.3997648554823759E-2</v>
          </cell>
          <cell r="AH43">
            <v>9.4051446945337625E-2</v>
          </cell>
          <cell r="AI43">
            <v>9.4746889302881859E-2</v>
          </cell>
          <cell r="AJ43">
            <v>9.267081017201384E-2</v>
          </cell>
          <cell r="AK43">
            <v>8.7145110410094637E-2</v>
          </cell>
          <cell r="AL43">
            <v>8.5190642843986003E-2</v>
          </cell>
          <cell r="AM43">
            <v>8.3239789310076848E-2</v>
          </cell>
          <cell r="AN43">
            <v>8.3473523992629972E-2</v>
          </cell>
          <cell r="AO43">
            <v>8.3286038592508507E-2</v>
          </cell>
          <cell r="AP43">
            <v>8.2833607907742995E-2</v>
          </cell>
          <cell r="AQ43">
            <v>8.236303468562324E-2</v>
          </cell>
          <cell r="AR43">
            <v>8.1329479768786128E-2</v>
          </cell>
          <cell r="AS43">
            <v>7.9973814849162619E-2</v>
          </cell>
          <cell r="AT43">
            <v>7.8744695342379628E-2</v>
          </cell>
          <cell r="AU43">
            <v>7.7302297214881077E-2</v>
          </cell>
          <cell r="AV43">
            <v>7.608904241028594E-2</v>
          </cell>
          <cell r="AW43">
            <v>7.5220488466757121E-2</v>
          </cell>
          <cell r="AX43">
            <v>7.5054330953120155E-2</v>
          </cell>
          <cell r="AY43">
            <v>7.5608961598320604E-2</v>
          </cell>
          <cell r="AZ43">
            <v>7.6723498888065234E-2</v>
          </cell>
          <cell r="BA43">
            <v>7.8155766259731599E-2</v>
          </cell>
          <cell r="BB43">
            <v>7.9876595147945595E-2</v>
          </cell>
          <cell r="BC43">
            <v>8.1752762785916214E-2</v>
          </cell>
          <cell r="BD43">
            <v>8.3610214543383327E-2</v>
          </cell>
        </row>
        <row r="49">
          <cell r="P49">
            <v>40816</v>
          </cell>
          <cell r="BD49">
            <v>23.853275820517883</v>
          </cell>
        </row>
        <row r="50">
          <cell r="C50" t="str">
            <v>Gross Margin</v>
          </cell>
          <cell r="D50" t="str">
            <v>Merchandise Gross Margin</v>
          </cell>
          <cell r="P50">
            <v>3770</v>
          </cell>
        </row>
        <row r="51">
          <cell r="B51">
            <v>36525</v>
          </cell>
          <cell r="C51">
            <v>0.17723996075224457</v>
          </cell>
          <cell r="D51">
            <v>0.19891293717550695</v>
          </cell>
          <cell r="P51">
            <v>1496</v>
          </cell>
        </row>
        <row r="52">
          <cell r="B52">
            <v>36616</v>
          </cell>
          <cell r="C52">
            <v>0.18436058820312634</v>
          </cell>
          <cell r="D52">
            <v>0.21341927745148215</v>
          </cell>
          <cell r="P52">
            <v>6552</v>
          </cell>
        </row>
        <row r="53">
          <cell r="B53">
            <v>36707</v>
          </cell>
          <cell r="C53">
            <v>0.19349885326142699</v>
          </cell>
          <cell r="D53">
            <v>0.21941287538022214</v>
          </cell>
          <cell r="P53">
            <v>2426</v>
          </cell>
        </row>
        <row r="54">
          <cell r="B54">
            <v>36799</v>
          </cell>
          <cell r="C54">
            <v>0.21062188091245165</v>
          </cell>
          <cell r="D54">
            <v>0.23667036956820453</v>
          </cell>
          <cell r="P54">
            <v>3712</v>
          </cell>
        </row>
        <row r="55">
          <cell r="B55">
            <v>36891</v>
          </cell>
          <cell r="C55">
            <v>0.2374297741876035</v>
          </cell>
          <cell r="D55">
            <v>0.2710613322503706</v>
          </cell>
          <cell r="P55">
            <v>2627</v>
          </cell>
        </row>
        <row r="56">
          <cell r="B56">
            <v>36981</v>
          </cell>
          <cell r="C56">
            <v>0.24588966400664711</v>
          </cell>
          <cell r="D56">
            <v>0.28041934659035023</v>
          </cell>
          <cell r="P56">
            <v>1.4130186524552721</v>
          </cell>
        </row>
        <row r="57">
          <cell r="B57">
            <v>37072</v>
          </cell>
          <cell r="C57">
            <v>0.25313822212686254</v>
          </cell>
          <cell r="D57">
            <v>0.29262400358422525</v>
          </cell>
        </row>
        <row r="58">
          <cell r="B58">
            <v>37164</v>
          </cell>
          <cell r="C58">
            <v>0.25131006550495322</v>
          </cell>
          <cell r="D58">
            <v>0.29395116634064833</v>
          </cell>
        </row>
        <row r="59">
          <cell r="B59">
            <v>37256</v>
          </cell>
          <cell r="C59">
            <v>0.25574864216461968</v>
          </cell>
          <cell r="D59">
            <v>0.29563471615475767</v>
          </cell>
        </row>
        <row r="60">
          <cell r="B60">
            <v>37346</v>
          </cell>
          <cell r="C60">
            <v>0.25664054339823927</v>
          </cell>
          <cell r="D60">
            <v>0.29395501426777287</v>
          </cell>
        </row>
        <row r="61">
          <cell r="B61">
            <v>37437</v>
          </cell>
          <cell r="C61">
            <v>0.25753144773599485</v>
          </cell>
          <cell r="D61">
            <v>0.29374334987998929</v>
          </cell>
        </row>
        <row r="62">
          <cell r="B62">
            <v>37529</v>
          </cell>
          <cell r="C62">
            <v>0.2573584119561364</v>
          </cell>
          <cell r="D62">
            <v>0.2935595511851925</v>
          </cell>
        </row>
        <row r="63">
          <cell r="B63">
            <v>37621</v>
          </cell>
          <cell r="C63">
            <v>0.25238600373868264</v>
          </cell>
          <cell r="D63">
            <v>0.28927071367055585</v>
          </cell>
        </row>
        <row r="64">
          <cell r="B64">
            <v>37711</v>
          </cell>
          <cell r="C64">
            <v>0.24947392381951591</v>
          </cell>
          <cell r="D64">
            <v>0.28978639821939123</v>
          </cell>
        </row>
        <row r="65">
          <cell r="B65">
            <v>37802</v>
          </cell>
          <cell r="C65">
            <v>0.24551707450407542</v>
          </cell>
          <cell r="D65">
            <v>0.2883717852563269</v>
          </cell>
        </row>
        <row r="66">
          <cell r="B66">
            <v>37894</v>
          </cell>
          <cell r="C66">
            <v>0.2455453312594004</v>
          </cell>
          <cell r="D66">
            <v>0.28977344691816564</v>
          </cell>
        </row>
        <row r="67">
          <cell r="B67">
            <v>37986</v>
          </cell>
          <cell r="C67">
            <v>0.23883736513049103</v>
          </cell>
          <cell r="D67">
            <v>0.28489815092874687</v>
          </cell>
        </row>
        <row r="68">
          <cell r="B68">
            <v>38077</v>
          </cell>
          <cell r="C68">
            <v>0.235955274583315</v>
          </cell>
          <cell r="D68">
            <v>0.2817808148920633</v>
          </cell>
        </row>
        <row r="69">
          <cell r="B69">
            <v>38168</v>
          </cell>
          <cell r="C69">
            <v>0.23583816917803804</v>
          </cell>
          <cell r="D69">
            <v>0.28111248773259018</v>
          </cell>
        </row>
        <row r="70">
          <cell r="B70">
            <v>38260</v>
          </cell>
          <cell r="C70">
            <v>0.23464792646528101</v>
          </cell>
          <cell r="D70">
            <v>0.28017244798869484</v>
          </cell>
        </row>
        <row r="71">
          <cell r="B71">
            <v>38352</v>
          </cell>
          <cell r="C71">
            <v>0.23139160633446232</v>
          </cell>
          <cell r="D71">
            <v>0.27657119880708875</v>
          </cell>
        </row>
        <row r="72">
          <cell r="B72">
            <v>38442</v>
          </cell>
          <cell r="C72">
            <v>0.23292559214710373</v>
          </cell>
          <cell r="D72">
            <v>0.27812062355242329</v>
          </cell>
        </row>
        <row r="73">
          <cell r="B73">
            <v>38533</v>
          </cell>
          <cell r="C73">
            <v>0.23603104425662053</v>
          </cell>
          <cell r="D73">
            <v>0.28124909786173802</v>
          </cell>
        </row>
        <row r="74">
          <cell r="B74">
            <v>38625</v>
          </cell>
          <cell r="C74">
            <v>0.23776844508027309</v>
          </cell>
          <cell r="D74">
            <v>0.28245548983457353</v>
          </cell>
        </row>
        <row r="75">
          <cell r="B75">
            <v>38717</v>
          </cell>
          <cell r="C75">
            <v>0.24004929137755424</v>
          </cell>
          <cell r="D75">
            <v>0.28537686101244486</v>
          </cell>
        </row>
        <row r="76">
          <cell r="B76">
            <v>38807</v>
          </cell>
          <cell r="C76">
            <v>0.23987820006766664</v>
          </cell>
          <cell r="D76">
            <v>0.28539377069635735</v>
          </cell>
        </row>
        <row r="77">
          <cell r="B77">
            <v>38898</v>
          </cell>
          <cell r="C77">
            <v>0.23624770344753054</v>
          </cell>
          <cell r="D77">
            <v>0.28205570505301397</v>
          </cell>
        </row>
        <row r="78">
          <cell r="B78">
            <v>38990</v>
          </cell>
          <cell r="C78">
            <v>0.23417851989280561</v>
          </cell>
          <cell r="D78">
            <v>0.27965378386659068</v>
          </cell>
        </row>
        <row r="79">
          <cell r="B79">
            <v>39082</v>
          </cell>
          <cell r="C79">
            <v>0.22920362244421622</v>
          </cell>
          <cell r="D79">
            <v>0.27326498422712936</v>
          </cell>
        </row>
        <row r="80">
          <cell r="B80">
            <v>39172</v>
          </cell>
          <cell r="C80">
            <v>0.22949244343496111</v>
          </cell>
          <cell r="D80">
            <v>0.2728863510775465</v>
          </cell>
        </row>
        <row r="81">
          <cell r="B81">
            <v>39263</v>
          </cell>
          <cell r="C81">
            <v>0.23117926849270132</v>
          </cell>
          <cell r="D81">
            <v>0.27372420343666348</v>
          </cell>
        </row>
        <row r="82">
          <cell r="B82">
            <v>39355</v>
          </cell>
          <cell r="C82">
            <v>0.23058787740512587</v>
          </cell>
          <cell r="D82">
            <v>0.27301129536169189</v>
          </cell>
        </row>
        <row r="83">
          <cell r="B83">
            <v>39447</v>
          </cell>
          <cell r="C83">
            <v>0.22593691021838772</v>
          </cell>
          <cell r="D83">
            <v>0.26858683314415438</v>
          </cell>
        </row>
        <row r="84">
          <cell r="B84">
            <v>39538</v>
          </cell>
          <cell r="C84">
            <v>0.22493106041614438</v>
          </cell>
          <cell r="D84">
            <v>0.26787479406919273</v>
          </cell>
        </row>
        <row r="85">
          <cell r="B85">
            <v>39629</v>
          </cell>
          <cell r="C85">
            <v>0.22500437751707231</v>
          </cell>
          <cell r="D85">
            <v>0.26866037504596152</v>
          </cell>
        </row>
        <row r="86">
          <cell r="B86">
            <v>39721</v>
          </cell>
          <cell r="C86">
            <v>0.22564102564102564</v>
          </cell>
          <cell r="D86">
            <v>0.26959537572254333</v>
          </cell>
        </row>
        <row r="87">
          <cell r="B87">
            <v>39813</v>
          </cell>
          <cell r="C87">
            <v>0.22279035792549307</v>
          </cell>
          <cell r="D87">
            <v>0.26736130052915824</v>
          </cell>
        </row>
        <row r="88">
          <cell r="B88">
            <v>39903</v>
          </cell>
          <cell r="C88">
            <v>0.22399598393574296</v>
          </cell>
          <cell r="D88">
            <v>0.26887410279247653</v>
          </cell>
        </row>
        <row r="89">
          <cell r="B89">
            <v>39994</v>
          </cell>
          <cell r="C89">
            <v>0.22566803198751706</v>
          </cell>
          <cell r="D89">
            <v>0.27022768855458429</v>
          </cell>
        </row>
        <row r="90">
          <cell r="B90">
            <v>40086</v>
          </cell>
          <cell r="C90">
            <v>0.22597151154750381</v>
          </cell>
          <cell r="D90">
            <v>0.27053348685473039</v>
          </cell>
        </row>
        <row r="91">
          <cell r="B91">
            <v>40178</v>
          </cell>
          <cell r="C91">
            <v>0.22564060714868614</v>
          </cell>
          <cell r="D91">
            <v>0.27052238805970147</v>
          </cell>
        </row>
        <row r="92">
          <cell r="B92">
            <v>40268</v>
          </cell>
          <cell r="C92">
            <v>0.22474766355140188</v>
          </cell>
          <cell r="D92">
            <v>0.27025768394908412</v>
          </cell>
        </row>
        <row r="93">
          <cell r="B93">
            <v>40359</v>
          </cell>
          <cell r="C93">
            <v>0.22633874062445491</v>
          </cell>
          <cell r="D93">
            <v>0.27293785515219515</v>
          </cell>
        </row>
        <row r="94">
          <cell r="B94">
            <v>40451</v>
          </cell>
          <cell r="C94">
            <v>0.22709253964127893</v>
          </cell>
          <cell r="D94">
            <v>0.27522070220365252</v>
          </cell>
        </row>
        <row r="95">
          <cell r="B95">
            <v>40543</v>
          </cell>
          <cell r="C95">
            <v>0.22347609998538226</v>
          </cell>
          <cell r="D95">
            <v>0.27354518190906063</v>
          </cell>
        </row>
        <row r="96">
          <cell r="B96">
            <v>40816</v>
          </cell>
          <cell r="C96">
            <v>0.22374157212098236</v>
          </cell>
          <cell r="D96">
            <v>0.27583789089889216</v>
          </cell>
        </row>
        <row r="97">
          <cell r="B97">
            <v>40724</v>
          </cell>
          <cell r="C97">
            <v>0.22448979591836735</v>
          </cell>
          <cell r="D97">
            <v>0.27897712670264713</v>
          </cell>
        </row>
        <row r="98">
          <cell r="B98">
            <v>40816</v>
          </cell>
          <cell r="C98">
            <v>0.22523741799330183</v>
          </cell>
          <cell r="D98">
            <v>0.28203911144864247</v>
          </cell>
        </row>
      </sheetData>
      <sheetData sheetId="2">
        <row r="1">
          <cell r="F1">
            <v>2003</v>
          </cell>
        </row>
      </sheetData>
      <sheetData sheetId="3">
        <row r="4">
          <cell r="B4">
            <v>37986</v>
          </cell>
        </row>
      </sheetData>
      <sheetData sheetId="4">
        <row r="3">
          <cell r="D3">
            <v>38077</v>
          </cell>
        </row>
      </sheetData>
      <sheetData sheetId="5"/>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sheetName val="Act vs. Ests"/>
      <sheetName val="Estimate Changes"/>
      <sheetName val="Drivers &amp; Metrics"/>
      <sheetName val="MW-Cache"/>
      <sheetName val="Model"/>
      <sheetName val="DCF"/>
      <sheetName val="Scenario charts"/>
      <sheetName val="MWA RR"/>
      <sheetName val="RR &amp; marketing book chart"/>
      <sheetName val="Marketing book chart"/>
      <sheetName val="mwareDates"/>
      <sheetName val="mwareSettings"/>
      <sheetName val="TAM"/>
    </sheetNames>
    <sheetDataSet>
      <sheetData sheetId="0"/>
      <sheetData sheetId="1"/>
      <sheetData sheetId="2"/>
      <sheetData sheetId="3" refreshError="1">
        <row r="1">
          <cell r="B1" t="str">
            <v>ElementName</v>
          </cell>
          <cell r="C1" t="str">
            <v>ScaleOverride</v>
          </cell>
          <cell r="D1" t="str">
            <v>UnitOverride</v>
          </cell>
          <cell r="E1" t="str">
            <v>ReverseSign</v>
          </cell>
          <cell r="F1" t="str">
            <v>IsDrivingAssumption</v>
          </cell>
          <cell r="G1" t="str">
            <v>SegmentID</v>
          </cell>
          <cell r="I1" t="str">
            <v>Select Model Case:</v>
          </cell>
          <cell r="K1">
            <v>9</v>
          </cell>
          <cell r="AA1" t="str">
            <v>Jordan Monahan: 212-761-8094 / jordan.monahan@morganstanley.com</v>
          </cell>
          <cell r="AE1" t="str">
            <v>Jordan Monahan: 212-761-8094 / jordan.monahan@morganstanley.com</v>
          </cell>
          <cell r="AI1" t="str">
            <v>Jordan Monahan: 212-761-8094 / jordan.monahan@morganstanley.com</v>
          </cell>
        </row>
        <row r="2">
          <cell r="AA2" t="str">
            <v>Scott Devitt: 212-761-3365 / scott.devitt@morganstanley.com</v>
          </cell>
          <cell r="AE2" t="str">
            <v>Scott Devitt: 212-761-3365 / scott.devitt@morganstanley.com</v>
          </cell>
          <cell r="AI2" t="str">
            <v>Scott Devitt: 212-761-3365 / scott.devitt@morganstanley.com</v>
          </cell>
        </row>
        <row r="3">
          <cell r="AI3" t="str">
            <v>Erhan Soyer-Osman: 212-761-3483 / erhan.soyer@morganstanley.com</v>
          </cell>
        </row>
        <row r="4">
          <cell r="L4" t="str">
            <v>2009-Q1</v>
          </cell>
          <cell r="M4" t="str">
            <v>2009-Q2</v>
          </cell>
          <cell r="N4" t="str">
            <v>2009-Q3</v>
          </cell>
          <cell r="O4" t="str">
            <v>2009-Q4</v>
          </cell>
          <cell r="P4" t="str">
            <v>2010-Q1</v>
          </cell>
          <cell r="Q4" t="str">
            <v>2010-Q2</v>
          </cell>
          <cell r="R4" t="str">
            <v>2010-Q3</v>
          </cell>
          <cell r="S4" t="str">
            <v>2010-Q4</v>
          </cell>
          <cell r="T4" t="str">
            <v>2011-Q1</v>
          </cell>
          <cell r="U4" t="str">
            <v>2011-Q2</v>
          </cell>
          <cell r="V4" t="str">
            <v>2011-Q3</v>
          </cell>
          <cell r="W4" t="str">
            <v>2011-Q4</v>
          </cell>
          <cell r="X4" t="str">
            <v>2012-Q1</v>
          </cell>
          <cell r="Y4" t="str">
            <v>2012-Q2</v>
          </cell>
          <cell r="Z4" t="str">
            <v>2012-Q3</v>
          </cell>
          <cell r="AA4" t="str">
            <v>2012-Q4</v>
          </cell>
          <cell r="AB4" t="str">
            <v>2013-Q1</v>
          </cell>
          <cell r="AC4" t="str">
            <v>2013-Q2</v>
          </cell>
          <cell r="AD4" t="str">
            <v>2013-Q3</v>
          </cell>
          <cell r="AE4" t="str">
            <v>2013-Q4</v>
          </cell>
          <cell r="AF4" t="str">
            <v>2014-Q1</v>
          </cell>
          <cell r="AG4" t="str">
            <v>2008-FY</v>
          </cell>
          <cell r="AH4" t="str">
            <v>2009-FY</v>
          </cell>
          <cell r="AI4" t="str">
            <v>2010-FY</v>
          </cell>
          <cell r="AJ4" t="str">
            <v>2011-FY</v>
          </cell>
          <cell r="AK4" t="str">
            <v>2012-FY</v>
          </cell>
          <cell r="AL4" t="str">
            <v>2013-FY</v>
          </cell>
          <cell r="AM4" t="str">
            <v>2014-FY</v>
          </cell>
          <cell r="AN4" t="str">
            <v>2015-FY</v>
          </cell>
          <cell r="AO4" t="str">
            <v>2016-FY</v>
          </cell>
          <cell r="AP4" t="str">
            <v>2017-FY</v>
          </cell>
          <cell r="AQ4" t="str">
            <v>2018-FY</v>
          </cell>
          <cell r="AR4" t="str">
            <v>2019-FY</v>
          </cell>
          <cell r="AS4" t="str">
            <v>2020-FY</v>
          </cell>
          <cell r="AT4" t="str">
            <v>2017-FY</v>
          </cell>
          <cell r="AU4" t="str">
            <v>2018-FY</v>
          </cell>
          <cell r="AV4" t="str">
            <v>2019-FY</v>
          </cell>
          <cell r="AW4" t="str">
            <v>2020-FY</v>
          </cell>
        </row>
        <row r="5">
          <cell r="I5" t="str">
            <v>Period-End Date</v>
          </cell>
          <cell r="L5">
            <v>39903</v>
          </cell>
          <cell r="M5">
            <v>39994</v>
          </cell>
          <cell r="N5">
            <v>40086</v>
          </cell>
          <cell r="O5">
            <v>40178</v>
          </cell>
          <cell r="P5">
            <v>40268</v>
          </cell>
          <cell r="Q5">
            <v>40359</v>
          </cell>
          <cell r="R5">
            <v>40451</v>
          </cell>
          <cell r="S5">
            <v>40543</v>
          </cell>
          <cell r="T5">
            <v>40633</v>
          </cell>
          <cell r="U5">
            <v>40724</v>
          </cell>
          <cell r="V5">
            <v>40816</v>
          </cell>
          <cell r="W5">
            <v>40908</v>
          </cell>
          <cell r="X5">
            <v>40999</v>
          </cell>
          <cell r="Y5">
            <v>41090</v>
          </cell>
          <cell r="Z5">
            <v>41182</v>
          </cell>
          <cell r="AA5">
            <v>41274</v>
          </cell>
          <cell r="AB5">
            <v>41364</v>
          </cell>
          <cell r="AC5">
            <v>41455</v>
          </cell>
          <cell r="AD5">
            <v>41547</v>
          </cell>
          <cell r="AE5">
            <v>41639</v>
          </cell>
          <cell r="AF5">
            <v>41729</v>
          </cell>
          <cell r="AG5">
            <v>39813</v>
          </cell>
          <cell r="AH5">
            <v>40178</v>
          </cell>
          <cell r="AI5">
            <v>40543</v>
          </cell>
          <cell r="AJ5">
            <v>40908</v>
          </cell>
          <cell r="AK5">
            <v>41274</v>
          </cell>
          <cell r="AL5">
            <v>41639</v>
          </cell>
          <cell r="AM5">
            <v>42004</v>
          </cell>
          <cell r="AN5">
            <v>42369</v>
          </cell>
          <cell r="AO5">
            <v>42735</v>
          </cell>
          <cell r="AP5">
            <v>43100</v>
          </cell>
          <cell r="AQ5">
            <v>43465</v>
          </cell>
          <cell r="AR5">
            <v>43830</v>
          </cell>
          <cell r="AS5">
            <v>44196</v>
          </cell>
          <cell r="AT5">
            <v>43100</v>
          </cell>
          <cell r="AU5">
            <v>43465</v>
          </cell>
          <cell r="AV5">
            <v>43830</v>
          </cell>
          <cell r="AW5">
            <v>44196</v>
          </cell>
        </row>
        <row r="6">
          <cell r="I6" t="str">
            <v>Morgan Stanley | Millennial Media model</v>
          </cell>
          <cell r="L6">
            <v>40178</v>
          </cell>
          <cell r="P6">
            <v>40543</v>
          </cell>
          <cell r="T6">
            <v>40908</v>
          </cell>
          <cell r="X6">
            <v>41274</v>
          </cell>
          <cell r="AB6">
            <v>41639</v>
          </cell>
          <cell r="AF6">
            <v>42004</v>
          </cell>
        </row>
        <row r="7">
          <cell r="I7" t="str">
            <v>(USD millions)</v>
          </cell>
          <cell r="L7">
            <v>1</v>
          </cell>
          <cell r="M7">
            <v>2</v>
          </cell>
          <cell r="N7">
            <v>3</v>
          </cell>
          <cell r="O7">
            <v>4</v>
          </cell>
          <cell r="P7">
            <v>1</v>
          </cell>
          <cell r="Q7">
            <v>2</v>
          </cell>
          <cell r="R7">
            <v>3</v>
          </cell>
          <cell r="S7">
            <v>4</v>
          </cell>
          <cell r="T7">
            <v>1</v>
          </cell>
          <cell r="U7">
            <v>2</v>
          </cell>
          <cell r="V7">
            <v>3</v>
          </cell>
          <cell r="W7">
            <v>4</v>
          </cell>
          <cell r="X7">
            <v>1</v>
          </cell>
          <cell r="Y7">
            <v>2</v>
          </cell>
          <cell r="Z7">
            <v>3</v>
          </cell>
          <cell r="AA7">
            <v>4</v>
          </cell>
          <cell r="AB7">
            <v>1</v>
          </cell>
          <cell r="AC7">
            <v>2</v>
          </cell>
          <cell r="AD7">
            <v>3</v>
          </cell>
          <cell r="AE7">
            <v>4</v>
          </cell>
          <cell r="AF7">
            <v>1</v>
          </cell>
          <cell r="AG7">
            <v>39813</v>
          </cell>
          <cell r="AH7">
            <v>40178</v>
          </cell>
          <cell r="AI7">
            <v>40543</v>
          </cell>
          <cell r="AJ7">
            <v>40908</v>
          </cell>
          <cell r="AK7">
            <v>41274</v>
          </cell>
          <cell r="AL7">
            <v>41639</v>
          </cell>
          <cell r="AM7">
            <v>42004</v>
          </cell>
          <cell r="AN7">
            <v>42369</v>
          </cell>
          <cell r="AO7">
            <v>42735</v>
          </cell>
          <cell r="AP7">
            <v>43100</v>
          </cell>
          <cell r="AQ7">
            <v>43465</v>
          </cell>
          <cell r="AR7">
            <v>43830</v>
          </cell>
          <cell r="AS7">
            <v>44196</v>
          </cell>
          <cell r="AT7">
            <v>43100</v>
          </cell>
          <cell r="AU7">
            <v>43465</v>
          </cell>
          <cell r="AV7">
            <v>43830</v>
          </cell>
          <cell r="AW7">
            <v>44196</v>
          </cell>
        </row>
        <row r="8">
          <cell r="I8" t="str">
            <v>Total revenue</v>
          </cell>
          <cell r="L8">
            <v>1.627</v>
          </cell>
          <cell r="M8">
            <v>3.3879999999999999</v>
          </cell>
          <cell r="N8">
            <v>4.1029999999999998</v>
          </cell>
          <cell r="O8">
            <v>7.1020000000000003</v>
          </cell>
          <cell r="P8">
            <v>8.8249999999999993</v>
          </cell>
          <cell r="Q8">
            <v>9.2579999999999991</v>
          </cell>
          <cell r="R8">
            <v>11.004</v>
          </cell>
          <cell r="S8">
            <v>18.741</v>
          </cell>
          <cell r="T8">
            <v>21.492999999999999</v>
          </cell>
          <cell r="U8">
            <v>22.446999999999999</v>
          </cell>
          <cell r="V8">
            <v>25.189</v>
          </cell>
          <cell r="W8">
            <v>34.548999999999999</v>
          </cell>
          <cell r="X8">
            <v>32.93</v>
          </cell>
          <cell r="Y8">
            <v>39.411000000000001</v>
          </cell>
          <cell r="Z8">
            <v>47.366</v>
          </cell>
          <cell r="AA8">
            <v>57.96</v>
          </cell>
          <cell r="AB8">
            <v>49.438000000000002</v>
          </cell>
          <cell r="AC8">
            <v>57.009</v>
          </cell>
          <cell r="AD8">
            <v>84.785139999999998</v>
          </cell>
          <cell r="AE8">
            <v>127.51200000000001</v>
          </cell>
          <cell r="AF8">
            <v>74.157000000000011</v>
          </cell>
          <cell r="AG8">
            <v>6.2809999999999997</v>
          </cell>
          <cell r="AH8">
            <v>16.22</v>
          </cell>
          <cell r="AI8">
            <v>47.827999999999996</v>
          </cell>
          <cell r="AJ8">
            <v>103.678</v>
          </cell>
          <cell r="AK8">
            <v>182.93167</v>
          </cell>
          <cell r="AL8">
            <v>293.33306170000003</v>
          </cell>
          <cell r="AM8">
            <v>439.99959255000005</v>
          </cell>
          <cell r="AN8">
            <v>624.79942142100003</v>
          </cell>
          <cell r="AO8">
            <v>837.23122470414</v>
          </cell>
          <cell r="AP8">
            <v>1054.9113431272165</v>
          </cell>
          <cell r="AQ8">
            <v>1271.168168468296</v>
          </cell>
          <cell r="AR8">
            <v>1461.8433937385403</v>
          </cell>
          <cell r="AS8">
            <v>1600.7185161437017</v>
          </cell>
          <cell r="AT8">
            <v>1109.74979763648</v>
          </cell>
          <cell r="AU8">
            <v>1337.0265561924311</v>
          </cell>
          <cell r="AV8">
            <v>1556.084987158999</v>
          </cell>
          <cell r="AW8">
            <v>1760.0441585959034</v>
          </cell>
        </row>
        <row r="9">
          <cell r="I9" t="str">
            <v>Period-to-period change</v>
          </cell>
          <cell r="L9" t="str">
            <v>NA</v>
          </cell>
          <cell r="M9">
            <v>1.7609999999999999</v>
          </cell>
          <cell r="N9">
            <v>0.71499999999999986</v>
          </cell>
          <cell r="O9">
            <v>2.9990000000000006</v>
          </cell>
          <cell r="P9">
            <v>1.722999999999999</v>
          </cell>
          <cell r="Q9">
            <v>0.43299999999999983</v>
          </cell>
          <cell r="R9">
            <v>1.7460000000000004</v>
          </cell>
          <cell r="S9">
            <v>7.7370000000000001</v>
          </cell>
          <cell r="T9">
            <v>2.7519999999999989</v>
          </cell>
          <cell r="U9">
            <v>0.95400000000000063</v>
          </cell>
          <cell r="V9">
            <v>2.7420000000000009</v>
          </cell>
          <cell r="W9">
            <v>9.36</v>
          </cell>
          <cell r="X9">
            <v>-1.6189999999999998</v>
          </cell>
          <cell r="Y9">
            <v>6.4810000000000016</v>
          </cell>
          <cell r="Z9">
            <v>7.9549999999999983</v>
          </cell>
          <cell r="AA9">
            <v>10.594000000000001</v>
          </cell>
          <cell r="AB9">
            <v>-8.5219999999999985</v>
          </cell>
          <cell r="AC9">
            <v>7.570999999999998</v>
          </cell>
          <cell r="AD9">
            <v>27.776139999999998</v>
          </cell>
          <cell r="AE9">
            <v>42.726860000000016</v>
          </cell>
          <cell r="AF9">
            <v>-53.355000000000004</v>
          </cell>
          <cell r="AG9">
            <v>11.356499999999983</v>
          </cell>
          <cell r="AH9">
            <v>9.9390000000000001</v>
          </cell>
          <cell r="AI9">
            <v>31.607999999999997</v>
          </cell>
          <cell r="AJ9">
            <v>55.85</v>
          </cell>
          <cell r="AK9">
            <v>79.25367</v>
          </cell>
          <cell r="AL9">
            <v>110.40139170000003</v>
          </cell>
          <cell r="AM9">
            <v>146.66653085000002</v>
          </cell>
          <cell r="AN9">
            <v>184.79982887099999</v>
          </cell>
          <cell r="AO9">
            <v>212.43180328313997</v>
          </cell>
          <cell r="AP9">
            <v>217.68011842307646</v>
          </cell>
          <cell r="AQ9">
            <v>216.25682534107955</v>
          </cell>
          <cell r="AR9">
            <v>190.67522527024425</v>
          </cell>
          <cell r="AS9">
            <v>138.87512240516139</v>
          </cell>
          <cell r="AT9">
            <v>226.19104155647995</v>
          </cell>
          <cell r="AU9">
            <v>227.27675855595112</v>
          </cell>
          <cell r="AV9">
            <v>219.05843096656781</v>
          </cell>
          <cell r="AW9">
            <v>203.9591714369044</v>
          </cell>
        </row>
        <row r="10">
          <cell r="I10" t="str">
            <v>% change Y/Y</v>
          </cell>
          <cell r="L10" t="str">
            <v>NA</v>
          </cell>
          <cell r="M10" t="str">
            <v>NA</v>
          </cell>
          <cell r="N10" t="str">
            <v>NA</v>
          </cell>
          <cell r="O10" t="str">
            <v>NA</v>
          </cell>
          <cell r="P10">
            <v>4.4240934234787952</v>
          </cell>
          <cell r="Q10">
            <v>1.7325855962219596</v>
          </cell>
          <cell r="R10">
            <v>1.6819400438703389</v>
          </cell>
          <cell r="S10">
            <v>1.6388341312306389</v>
          </cell>
          <cell r="T10">
            <v>1.4354674220963175</v>
          </cell>
          <cell r="U10">
            <v>1.4246057463815078</v>
          </cell>
          <cell r="V10">
            <v>1.2890766993820431</v>
          </cell>
          <cell r="W10">
            <v>0.84349821247532142</v>
          </cell>
          <cell r="X10">
            <v>0.53212673893825913</v>
          </cell>
          <cell r="Y10">
            <v>0.75573573306009734</v>
          </cell>
          <cell r="Z10">
            <v>0.88042399460081788</v>
          </cell>
          <cell r="AA10">
            <v>0.67761729717213237</v>
          </cell>
          <cell r="AB10">
            <v>0.50130580018220483</v>
          </cell>
          <cell r="AC10">
            <v>0.44652508182994599</v>
          </cell>
          <cell r="AD10">
            <v>0.79</v>
          </cell>
          <cell r="AE10">
            <v>1.2000000000000002</v>
          </cell>
          <cell r="AF10">
            <v>0.50000000000000022</v>
          </cell>
          <cell r="AG10">
            <v>0.49999999999999978</v>
          </cell>
          <cell r="AH10">
            <v>1.5823913389587645</v>
          </cell>
          <cell r="AI10">
            <v>1.9487053020961773</v>
          </cell>
          <cell r="AJ10">
            <v>1.1677260182319982</v>
          </cell>
          <cell r="AK10">
            <v>0.76442128513281515</v>
          </cell>
          <cell r="AL10">
            <v>0.60351163743270941</v>
          </cell>
          <cell r="AM10">
            <v>0.5</v>
          </cell>
          <cell r="AN10">
            <v>0.41999999999999993</v>
          </cell>
          <cell r="AO10">
            <v>0.33999999999999986</v>
          </cell>
          <cell r="AP10">
            <v>0.26</v>
          </cell>
          <cell r="AQ10">
            <v>0.20500000000000007</v>
          </cell>
          <cell r="AR10">
            <v>0.14999999999999991</v>
          </cell>
          <cell r="AS10">
            <v>9.4999999999999973E-2</v>
          </cell>
          <cell r="AT10">
            <v>1053.2454259562014</v>
          </cell>
          <cell r="AU10">
            <v>1279.6339474815748</v>
          </cell>
          <cell r="AV10">
            <v>1513.4258688857185</v>
          </cell>
          <cell r="AW10">
            <v>1748.456153220551</v>
          </cell>
        </row>
        <row r="11">
          <cell r="I11" t="str">
            <v>% change Q/Q</v>
          </cell>
          <cell r="L11" t="str">
            <v>NA</v>
          </cell>
          <cell r="M11">
            <v>1.082360172095882</v>
          </cell>
          <cell r="N11">
            <v>0.21103896103896091</v>
          </cell>
          <cell r="O11">
            <v>0.73092858883743617</v>
          </cell>
          <cell r="P11">
            <v>0.24260771613629939</v>
          </cell>
          <cell r="Q11">
            <v>4.9065155807365368E-2</v>
          </cell>
          <cell r="R11">
            <v>0.1885936487362283</v>
          </cell>
          <cell r="S11">
            <v>0.70310796074154847</v>
          </cell>
          <cell r="T11">
            <v>0.14684381836614913</v>
          </cell>
          <cell r="U11">
            <v>4.438654445633472E-2</v>
          </cell>
          <cell r="V11">
            <v>0.12215440816144696</v>
          </cell>
          <cell r="W11">
            <v>0.37159077375044669</v>
          </cell>
          <cell r="X11">
            <v>-4.6860980057309876E-2</v>
          </cell>
          <cell r="Y11">
            <v>0.19681141815973291</v>
          </cell>
          <cell r="Z11">
            <v>0.20184720002029888</v>
          </cell>
          <cell r="AA11">
            <v>0.22366254275218522</v>
          </cell>
          <cell r="AB11">
            <v>-0.14703243616287087</v>
          </cell>
          <cell r="AC11">
            <v>0.15314130830535211</v>
          </cell>
          <cell r="AD11">
            <v>0.48722377168517239</v>
          </cell>
          <cell r="AE11">
            <v>0.50394278997475284</v>
          </cell>
          <cell r="AF11">
            <v>-0.41843120647468468</v>
          </cell>
          <cell r="AG11">
            <v>0.15314130830535189</v>
          </cell>
          <cell r="AH11">
            <v>0.48722377168517261</v>
          </cell>
          <cell r="AI11">
            <v>0.50394278997475306</v>
          </cell>
          <cell r="AL11">
            <v>9.9390000000000001</v>
          </cell>
          <cell r="AM11">
            <v>31.607999999999997</v>
          </cell>
          <cell r="AN11">
            <v>55.85</v>
          </cell>
          <cell r="AO11">
            <v>88.643000000000029</v>
          </cell>
          <cell r="AP11">
            <v>101.87599999999998</v>
          </cell>
          <cell r="AQ11">
            <v>149.27684999999997</v>
          </cell>
          <cell r="AR11">
            <v>177.3895399999999</v>
          </cell>
          <cell r="AS11">
            <v>198.67628479999996</v>
          </cell>
          <cell r="AT11">
            <v>209.80215674879992</v>
          </cell>
          <cell r="AU11">
            <v>210.80920710119426</v>
          </cell>
          <cell r="AV11">
            <v>203.18634617241491</v>
          </cell>
          <cell r="AW11">
            <v>189.18111770344285</v>
          </cell>
        </row>
        <row r="12">
          <cell r="I12" t="str">
            <v>DRIVER: Base case - % change Y/Y</v>
          </cell>
          <cell r="L12" t="str">
            <v>NA</v>
          </cell>
          <cell r="M12" t="str">
            <v>NA</v>
          </cell>
          <cell r="N12" t="str">
            <v>NA</v>
          </cell>
          <cell r="O12" t="str">
            <v>NA</v>
          </cell>
          <cell r="P12">
            <v>4.4240934234787952</v>
          </cell>
          <cell r="Q12">
            <v>1.7325855962219596</v>
          </cell>
          <cell r="R12">
            <v>1.6819400438703389</v>
          </cell>
          <cell r="S12">
            <v>1.6388341312306389</v>
          </cell>
          <cell r="T12">
            <v>1.4354674220963175</v>
          </cell>
          <cell r="U12">
            <v>1.4246057463815078</v>
          </cell>
          <cell r="V12">
            <v>1.2890766993820431</v>
          </cell>
          <cell r="W12">
            <v>0.84349821247532142</v>
          </cell>
          <cell r="X12">
            <v>0.40717184395526468</v>
          </cell>
          <cell r="Y12">
            <v>0.75573573306009734</v>
          </cell>
          <cell r="Z12">
            <v>1.4621858747866132</v>
          </cell>
          <cell r="AA12">
            <v>0.83</v>
          </cell>
          <cell r="AB12">
            <v>0.79</v>
          </cell>
          <cell r="AC12">
            <v>0.65</v>
          </cell>
          <cell r="AD12">
            <v>0.56000000000000005</v>
          </cell>
          <cell r="AE12">
            <v>0.51</v>
          </cell>
          <cell r="AF12">
            <v>0.5</v>
          </cell>
          <cell r="AG12">
            <v>0.5</v>
          </cell>
          <cell r="AH12">
            <v>0.5</v>
          </cell>
          <cell r="AI12">
            <v>0.5</v>
          </cell>
          <cell r="AL12">
            <v>1.5823913389587645</v>
          </cell>
          <cell r="AM12">
            <v>0.5</v>
          </cell>
          <cell r="AN12">
            <v>0.42</v>
          </cell>
          <cell r="AO12">
            <v>0.33999999999999997</v>
          </cell>
          <cell r="AP12">
            <v>0.25999999999999995</v>
          </cell>
          <cell r="AQ12">
            <v>0.20499999999999996</v>
          </cell>
          <cell r="AR12">
            <v>0.14999999999999997</v>
          </cell>
          <cell r="AS12">
            <v>9.4999999999999973E-2</v>
          </cell>
          <cell r="AT12">
            <v>0.25600000000000006</v>
          </cell>
          <cell r="AU12">
            <v>0.20480000000000007</v>
          </cell>
          <cell r="AV12">
            <v>0.16384000000000007</v>
          </cell>
          <cell r="AW12">
            <v>0.13107200000000005</v>
          </cell>
        </row>
        <row r="13">
          <cell r="I13" t="str">
            <v>Bull case - % change Y/Y</v>
          </cell>
          <cell r="L13" t="str">
            <v>NA</v>
          </cell>
          <cell r="M13">
            <v>1.082360172095882</v>
          </cell>
          <cell r="N13">
            <v>0.21103896103896091</v>
          </cell>
          <cell r="O13">
            <v>0.73092858883743617</v>
          </cell>
          <cell r="P13">
            <v>0.24260771613629939</v>
          </cell>
          <cell r="Q13">
            <v>4.9065155807365368E-2</v>
          </cell>
          <cell r="R13">
            <v>0.1885936487362283</v>
          </cell>
          <cell r="S13">
            <v>0.70310796074154847</v>
          </cell>
          <cell r="T13">
            <v>0.14684381836614913</v>
          </cell>
          <cell r="U13">
            <v>4.438654445633472E-2</v>
          </cell>
          <cell r="V13">
            <v>0.12215440816144696</v>
          </cell>
          <cell r="W13">
            <v>0.37159077375044669</v>
          </cell>
          <cell r="X13">
            <v>-4.6860980057309876E-2</v>
          </cell>
          <cell r="Y13">
            <v>0.19681141815973291</v>
          </cell>
          <cell r="Z13">
            <v>0.5736723249854101</v>
          </cell>
          <cell r="AA13">
            <v>0.88</v>
          </cell>
          <cell r="AB13">
            <v>0.84000000000000008</v>
          </cell>
          <cell r="AC13">
            <v>0.70000000000000007</v>
          </cell>
          <cell r="AD13">
            <v>0.6100000000000001</v>
          </cell>
          <cell r="AE13">
            <v>0.56000000000000005</v>
          </cell>
          <cell r="AF13">
            <v>0.53</v>
          </cell>
          <cell r="AG13">
            <v>0.53</v>
          </cell>
          <cell r="AH13">
            <v>0.53</v>
          </cell>
          <cell r="AI13">
            <v>0.53</v>
          </cell>
          <cell r="AM13">
            <v>0.53</v>
          </cell>
          <cell r="AN13">
            <v>0.43000000000000005</v>
          </cell>
          <cell r="AO13">
            <v>0.35000000000000009</v>
          </cell>
          <cell r="AP13">
            <v>0.28600000000000003</v>
          </cell>
          <cell r="AQ13">
            <v>0.23480000000000006</v>
          </cell>
          <cell r="AR13">
            <v>0.43000000000000005</v>
          </cell>
          <cell r="AS13">
            <v>0.35000000000000009</v>
          </cell>
          <cell r="AT13">
            <v>0.28600000000000003</v>
          </cell>
          <cell r="AU13">
            <v>0.23480000000000006</v>
          </cell>
          <cell r="AV13">
            <v>0.19384000000000007</v>
          </cell>
          <cell r="AW13">
            <v>0.16107200000000005</v>
          </cell>
        </row>
        <row r="14">
          <cell r="I14" t="str">
            <v>Bull case spread - bps</v>
          </cell>
          <cell r="X14">
            <v>0.37614717061579339</v>
          </cell>
          <cell r="AA14">
            <v>500</v>
          </cell>
          <cell r="AB14">
            <v>200</v>
          </cell>
          <cell r="AC14">
            <v>200</v>
          </cell>
          <cell r="AD14">
            <v>300</v>
          </cell>
          <cell r="AE14">
            <v>0.43</v>
          </cell>
          <cell r="AF14">
            <v>0.42</v>
          </cell>
          <cell r="AG14">
            <v>0.42</v>
          </cell>
          <cell r="AH14">
            <v>0.4</v>
          </cell>
          <cell r="AI14">
            <v>0.4</v>
          </cell>
          <cell r="AM14">
            <v>300</v>
          </cell>
          <cell r="AN14">
            <v>300</v>
          </cell>
          <cell r="AO14">
            <v>300</v>
          </cell>
          <cell r="AP14">
            <v>300</v>
          </cell>
          <cell r="AQ14">
            <v>300</v>
          </cell>
          <cell r="AR14">
            <v>0.35</v>
          </cell>
          <cell r="AS14">
            <v>0.29749999999999999</v>
          </cell>
          <cell r="AT14">
            <v>0.25287499999999996</v>
          </cell>
          <cell r="AU14">
            <v>0.21494374999999996</v>
          </cell>
          <cell r="AV14">
            <v>0.18270218749999997</v>
          </cell>
          <cell r="AW14">
            <v>0.15529685937499998</v>
          </cell>
        </row>
        <row r="15">
          <cell r="I15" t="str">
            <v>Bear case - % change Y/Y</v>
          </cell>
          <cell r="AA15">
            <v>0.79999999999999993</v>
          </cell>
          <cell r="AB15">
            <v>0.48</v>
          </cell>
          <cell r="AC15">
            <v>0.52</v>
          </cell>
          <cell r="AD15">
            <v>0.76</v>
          </cell>
          <cell r="AE15">
            <v>0.45999999999999996</v>
          </cell>
          <cell r="AF15">
            <v>0.44999999999999996</v>
          </cell>
          <cell r="AG15">
            <v>0.44999999999999996</v>
          </cell>
          <cell r="AH15">
            <v>0.43000000000000005</v>
          </cell>
          <cell r="AI15">
            <v>0.43000000000000005</v>
          </cell>
          <cell r="AM15">
            <v>0.47</v>
          </cell>
          <cell r="AN15">
            <v>0.37</v>
          </cell>
          <cell r="AO15">
            <v>0.29000000000000004</v>
          </cell>
          <cell r="AP15">
            <v>0.22600000000000006</v>
          </cell>
          <cell r="AQ15">
            <v>0.17480000000000007</v>
          </cell>
          <cell r="AR15">
            <v>0.38</v>
          </cell>
          <cell r="AS15">
            <v>0.32750000000000001</v>
          </cell>
          <cell r="AT15">
            <v>0.28287499999999999</v>
          </cell>
          <cell r="AU15">
            <v>0.24494374999999996</v>
          </cell>
          <cell r="AV15">
            <v>0.21270218749999997</v>
          </cell>
          <cell r="AW15">
            <v>0.18529685937499998</v>
          </cell>
        </row>
        <row r="16">
          <cell r="I16" t="str">
            <v>Bear case spread - bps</v>
          </cell>
          <cell r="AA16">
            <v>-300</v>
          </cell>
          <cell r="AB16">
            <v>-300</v>
          </cell>
          <cell r="AC16">
            <v>-300</v>
          </cell>
          <cell r="AD16">
            <v>-300</v>
          </cell>
          <cell r="AE16">
            <v>300</v>
          </cell>
          <cell r="AF16">
            <v>300</v>
          </cell>
          <cell r="AG16">
            <v>300</v>
          </cell>
          <cell r="AH16">
            <v>300</v>
          </cell>
          <cell r="AI16">
            <v>300</v>
          </cell>
          <cell r="AM16">
            <v>-300</v>
          </cell>
          <cell r="AN16">
            <v>-300</v>
          </cell>
          <cell r="AO16">
            <v>-300</v>
          </cell>
          <cell r="AP16">
            <v>-300</v>
          </cell>
          <cell r="AQ16">
            <v>-300</v>
          </cell>
          <cell r="AR16">
            <v>300</v>
          </cell>
          <cell r="AS16">
            <v>300</v>
          </cell>
          <cell r="AT16">
            <v>300</v>
          </cell>
          <cell r="AU16">
            <v>300</v>
          </cell>
          <cell r="AV16">
            <v>300</v>
          </cell>
          <cell r="AW16">
            <v>300</v>
          </cell>
        </row>
        <row r="17">
          <cell r="I17" t="str">
            <v>SCENARIO OUTPUT</v>
          </cell>
          <cell r="AA17">
            <v>0.83</v>
          </cell>
          <cell r="AB17">
            <v>0.51</v>
          </cell>
          <cell r="AC17">
            <v>0.55000000000000004</v>
          </cell>
          <cell r="AD17">
            <v>0.79</v>
          </cell>
          <cell r="AE17">
            <v>0.4</v>
          </cell>
          <cell r="AF17">
            <v>0.39</v>
          </cell>
          <cell r="AG17">
            <v>0.39</v>
          </cell>
          <cell r="AH17">
            <v>0.37</v>
          </cell>
          <cell r="AI17">
            <v>0.37</v>
          </cell>
          <cell r="AM17">
            <v>0.5</v>
          </cell>
          <cell r="AN17">
            <v>0.4</v>
          </cell>
          <cell r="AO17">
            <v>0.32000000000000006</v>
          </cell>
          <cell r="AP17">
            <v>0.25600000000000006</v>
          </cell>
          <cell r="AQ17">
            <v>0.20480000000000007</v>
          </cell>
          <cell r="AR17">
            <v>0.31999999999999995</v>
          </cell>
          <cell r="AS17">
            <v>0.26749999999999996</v>
          </cell>
          <cell r="AT17">
            <v>0.22287499999999996</v>
          </cell>
          <cell r="AU17">
            <v>0.18494374999999996</v>
          </cell>
          <cell r="AV17">
            <v>0.15270218749999998</v>
          </cell>
          <cell r="AW17">
            <v>0.12529685937499999</v>
          </cell>
        </row>
        <row r="18">
          <cell r="I18" t="str">
            <v>Bear case spread - bps</v>
          </cell>
          <cell r="AE18">
            <v>-300</v>
          </cell>
          <cell r="AF18">
            <v>-300</v>
          </cell>
          <cell r="AG18">
            <v>-300</v>
          </cell>
          <cell r="AH18">
            <v>-300</v>
          </cell>
          <cell r="AI18">
            <v>-300</v>
          </cell>
          <cell r="AR18">
            <v>-300</v>
          </cell>
          <cell r="AS18">
            <v>-300</v>
          </cell>
          <cell r="AT18">
            <v>-300</v>
          </cell>
          <cell r="AU18">
            <v>-300</v>
          </cell>
          <cell r="AV18">
            <v>-300</v>
          </cell>
          <cell r="AW18">
            <v>-300</v>
          </cell>
        </row>
        <row r="19">
          <cell r="I19" t="str">
            <v>Guidance</v>
          </cell>
          <cell r="X19">
            <v>30</v>
          </cell>
          <cell r="Y19">
            <v>37.5</v>
          </cell>
          <cell r="Z19">
            <v>44.25</v>
          </cell>
          <cell r="AA19">
            <v>62.25</v>
          </cell>
          <cell r="AB19">
            <v>49</v>
          </cell>
          <cell r="AC19">
            <v>59</v>
          </cell>
          <cell r="AD19">
            <v>82.5</v>
          </cell>
          <cell r="AE19">
            <v>0.43</v>
          </cell>
          <cell r="AF19">
            <v>0.42</v>
          </cell>
          <cell r="AG19">
            <v>0.42</v>
          </cell>
          <cell r="AH19">
            <v>0.4</v>
          </cell>
          <cell r="AI19">
            <v>0.4</v>
          </cell>
          <cell r="AK19">
            <v>181.75</v>
          </cell>
          <cell r="AL19">
            <v>345</v>
          </cell>
          <cell r="AM19">
            <v>435.041</v>
          </cell>
          <cell r="AO19">
            <v>181.75</v>
          </cell>
          <cell r="AP19">
            <v>345</v>
          </cell>
          <cell r="AR19">
            <v>0.4</v>
          </cell>
          <cell r="AS19">
            <v>0.32000000000000006</v>
          </cell>
          <cell r="AT19">
            <v>0.25600000000000006</v>
          </cell>
          <cell r="AU19">
            <v>0.20480000000000007</v>
          </cell>
          <cell r="AV19">
            <v>0.16384000000000007</v>
          </cell>
          <cell r="AW19">
            <v>0.13107200000000005</v>
          </cell>
        </row>
        <row r="20">
          <cell r="I20" t="str">
            <v>MS vs. consensus</v>
          </cell>
          <cell r="X20">
            <v>9.7666666666666568E-2</v>
          </cell>
          <cell r="Y20">
            <v>5.0960000000000116E-2</v>
          </cell>
          <cell r="Z20">
            <v>7.0418079096045139E-2</v>
          </cell>
          <cell r="AA20">
            <v>-6.8915662650602449E-2</v>
          </cell>
          <cell r="AB20">
            <v>8.9387755102041666E-3</v>
          </cell>
          <cell r="AC20">
            <v>-3.3745762711864358E-2</v>
          </cell>
          <cell r="AD20">
            <v>2.7698666666666538E-2</v>
          </cell>
          <cell r="AE20">
            <v>0.10256410256410264</v>
          </cell>
          <cell r="AK20">
            <v>-2.2464924346629944E-2</v>
          </cell>
          <cell r="AL20">
            <v>-7.6103942028985516E-2</v>
          </cell>
          <cell r="AM20">
            <v>1.1397989040113465E-2</v>
          </cell>
          <cell r="AO20">
            <v>-2.2464924346629944E-2</v>
          </cell>
          <cell r="AP20">
            <v>-7.6103942028985516E-2</v>
          </cell>
        </row>
        <row r="21">
          <cell r="I21" t="str">
            <v>% change Y/Y</v>
          </cell>
          <cell r="X21">
            <v>0.39580328479039695</v>
          </cell>
          <cell r="Y21">
            <v>0.67060186216420914</v>
          </cell>
          <cell r="Z21">
            <v>0.75671920282663074</v>
          </cell>
          <cell r="AA21">
            <v>0.80178876378476938</v>
          </cell>
          <cell r="AB21">
            <v>0.48800485879137567</v>
          </cell>
          <cell r="AC21">
            <v>0.49704397249498866</v>
          </cell>
          <cell r="AD21">
            <v>0.74175568973525308</v>
          </cell>
          <cell r="AE21">
            <v>1.1610248447204965</v>
          </cell>
          <cell r="AF21">
            <v>74</v>
          </cell>
          <cell r="AG21">
            <v>72.5</v>
          </cell>
          <cell r="AK21">
            <v>0.75302378518104129</v>
          </cell>
          <cell r="AL21">
            <v>0.94183500593807512</v>
          </cell>
          <cell r="AM21">
            <v>0.50548845900958561</v>
          </cell>
          <cell r="AO21">
            <v>0.75302378518104129</v>
          </cell>
          <cell r="AP21">
            <v>329.75900000000001</v>
          </cell>
          <cell r="AQ21">
            <v>410.09880000000004</v>
          </cell>
        </row>
        <row r="22">
          <cell r="I22" t="str">
            <v>% change Q/Q</v>
          </cell>
          <cell r="L22">
            <v>1.3169999999999999</v>
          </cell>
          <cell r="M22">
            <v>2.319</v>
          </cell>
          <cell r="N22">
            <v>2.7930000000000001</v>
          </cell>
          <cell r="O22">
            <v>5.1669999999999998</v>
          </cell>
          <cell r="P22">
            <v>5.859</v>
          </cell>
          <cell r="Q22">
            <v>6.4779999999999998</v>
          </cell>
          <cell r="R22">
            <v>7.09</v>
          </cell>
          <cell r="S22">
            <v>12.175000000000001</v>
          </cell>
          <cell r="T22">
            <v>13.569000000000001</v>
          </cell>
          <cell r="U22">
            <v>13.675000000000001</v>
          </cell>
          <cell r="V22">
            <v>15.292999999999999</v>
          </cell>
          <cell r="W22">
            <v>21.058</v>
          </cell>
          <cell r="X22">
            <v>0.59533333333333327</v>
          </cell>
          <cell r="Y22">
            <v>0.48186666666666667</v>
          </cell>
          <cell r="Z22">
            <v>0.40169491525423728</v>
          </cell>
          <cell r="AA22">
            <v>0.21847389558232932</v>
          </cell>
          <cell r="AB22">
            <v>0.31877551020408168</v>
          </cell>
          <cell r="AC22">
            <v>0.37830508474576252</v>
          </cell>
          <cell r="AD22">
            <v>4.629090909090916E-2</v>
          </cell>
          <cell r="AE22">
            <v>0.11246666666666649</v>
          </cell>
          <cell r="AF22">
            <v>5.6624324324324293E-2</v>
          </cell>
          <cell r="AG22">
            <v>4.992</v>
          </cell>
          <cell r="AH22">
            <v>11.596</v>
          </cell>
          <cell r="AI22">
            <v>31.602</v>
          </cell>
          <cell r="AJ22">
            <v>63.594999999999999</v>
          </cell>
          <cell r="AK22">
            <v>108.98455530000001</v>
          </cell>
          <cell r="AL22">
            <v>314.2</v>
          </cell>
          <cell r="AM22">
            <v>260.69975858587503</v>
          </cell>
          <cell r="AN22">
            <v>368.63165863839009</v>
          </cell>
          <cell r="AO22">
            <v>493.96642257544266</v>
          </cell>
          <cell r="AP22">
            <v>3.3253072698546493E-2</v>
          </cell>
          <cell r="AQ22">
            <v>749.98921939629474</v>
          </cell>
          <cell r="AR22">
            <v>862.48760230573885</v>
          </cell>
          <cell r="AS22">
            <v>944.42392452478407</v>
          </cell>
        </row>
        <row r="23">
          <cell r="I23" t="str">
            <v>Period-to-period change</v>
          </cell>
          <cell r="L23" t="str">
            <v>NA</v>
          </cell>
          <cell r="M23">
            <v>1.002</v>
          </cell>
          <cell r="N23">
            <v>0.4740000000000002</v>
          </cell>
          <cell r="O23">
            <v>2.3739999999999997</v>
          </cell>
          <cell r="P23">
            <v>0.69200000000000017</v>
          </cell>
          <cell r="Q23">
            <v>0.61899999999999977</v>
          </cell>
          <cell r="R23">
            <v>0.6120000000000001</v>
          </cell>
          <cell r="S23">
            <v>5.0850000000000009</v>
          </cell>
          <cell r="T23">
            <v>1.3940000000000001</v>
          </cell>
          <cell r="U23">
            <v>0.10599999999999987</v>
          </cell>
          <cell r="V23">
            <v>1.6179999999999986</v>
          </cell>
          <cell r="W23">
            <v>5.7650000000000006</v>
          </cell>
          <cell r="X23">
            <v>0.39580328479039695</v>
          </cell>
          <cell r="Y23">
            <v>0.67060186216420914</v>
          </cell>
          <cell r="Z23">
            <v>0.75671920282663074</v>
          </cell>
          <cell r="AA23">
            <v>0.80178876378476938</v>
          </cell>
          <cell r="AB23">
            <v>2.3819473464270713E-2</v>
          </cell>
          <cell r="AC23">
            <v>6.1723951772539198E-2</v>
          </cell>
          <cell r="AD23">
            <v>0.33010882708585254</v>
          </cell>
          <cell r="AE23">
            <v>0.28543177323665136</v>
          </cell>
          <cell r="AF23">
            <v>0.14515629835964083</v>
          </cell>
          <cell r="AG23">
            <v>4.992</v>
          </cell>
          <cell r="AH23">
            <v>6.6040000000000001</v>
          </cell>
          <cell r="AI23">
            <v>20.006</v>
          </cell>
          <cell r="AJ23">
            <v>31.992999999999999</v>
          </cell>
          <cell r="AK23">
            <v>45.389555300000012</v>
          </cell>
          <cell r="AL23">
            <v>65.691134402999978</v>
          </cell>
          <cell r="AM23">
            <v>86.024068882875042</v>
          </cell>
          <cell r="AN23">
            <v>107.93190005251506</v>
          </cell>
          <cell r="AO23">
            <v>125.33476393705257</v>
          </cell>
          <cell r="AP23">
            <v>0.36656513540954405</v>
          </cell>
          <cell r="AQ23">
            <v>127.59152695123692</v>
          </cell>
          <cell r="AR23">
            <v>112.4983829094441</v>
          </cell>
          <cell r="AS23">
            <v>81.936322219045223</v>
          </cell>
        </row>
        <row r="24">
          <cell r="I24" t="str">
            <v>Consensus</v>
          </cell>
          <cell r="L24">
            <v>0.19053472649047329</v>
          </cell>
          <cell r="M24">
            <v>0.3155253837072019</v>
          </cell>
          <cell r="N24">
            <v>0.31927857665123072</v>
          </cell>
          <cell r="O24">
            <v>0.27245846240495641</v>
          </cell>
          <cell r="P24">
            <v>0.33609065155807361</v>
          </cell>
          <cell r="Q24">
            <v>0.30028083819399431</v>
          </cell>
          <cell r="R24">
            <v>0.35568884042166482</v>
          </cell>
          <cell r="S24">
            <v>0.35035483698842107</v>
          </cell>
          <cell r="T24">
            <v>0.36867817428930344</v>
          </cell>
          <cell r="U24">
            <v>0.39078718759745174</v>
          </cell>
          <cell r="V24">
            <v>0.39286990352931839</v>
          </cell>
          <cell r="W24">
            <v>0.39048887087904138</v>
          </cell>
          <cell r="X24">
            <v>-0.13166806564589417</v>
          </cell>
          <cell r="Y24">
            <v>-0.216464688675303</v>
          </cell>
          <cell r="Z24">
            <v>-0.2037070361705956</v>
          </cell>
          <cell r="AA24">
            <v>3.6275695284160303E-3</v>
          </cell>
          <cell r="AB24">
            <v>-0.35398813447593935</v>
          </cell>
          <cell r="AC24">
            <v>-8.696997833488096E-2</v>
          </cell>
          <cell r="AD24">
            <v>1.4510575504181E-2</v>
          </cell>
          <cell r="AE24">
            <v>0.12953115768254952</v>
          </cell>
          <cell r="AF24">
            <v>82.2</v>
          </cell>
          <cell r="AG24">
            <v>0.20522209839197575</v>
          </cell>
          <cell r="AH24">
            <v>0.28508014796547465</v>
          </cell>
          <cell r="AI24">
            <v>0.33925733879735714</v>
          </cell>
          <cell r="AJ24">
            <v>0.38661046702289781</v>
          </cell>
          <cell r="AK24">
            <v>0.40423352992950856</v>
          </cell>
          <cell r="AL24">
            <v>0.40451414276088071</v>
          </cell>
          <cell r="AM24">
            <v>0.40749999999999997</v>
          </cell>
          <cell r="AN24">
            <v>0.40999999999999986</v>
          </cell>
          <cell r="AO24">
            <v>0.40999999999999992</v>
          </cell>
          <cell r="AP24">
            <v>0.40999999999999992</v>
          </cell>
          <cell r="AQ24">
            <v>0.40999999999999992</v>
          </cell>
          <cell r="AR24">
            <v>0.40999999999999992</v>
          </cell>
          <cell r="AS24">
            <v>0.40999999999999992</v>
          </cell>
        </row>
        <row r="25">
          <cell r="I25" t="str">
            <v>MS vs. consensus</v>
          </cell>
          <cell r="L25" t="str">
            <v>NA</v>
          </cell>
          <cell r="M25" t="str">
            <v>NA</v>
          </cell>
          <cell r="N25" t="str">
            <v>NA</v>
          </cell>
          <cell r="O25" t="str">
            <v>NA</v>
          </cell>
          <cell r="P25">
            <v>3.4487471526195899</v>
          </cell>
          <cell r="Q25">
            <v>1.7934454506252693</v>
          </cell>
          <cell r="R25">
            <v>1.5384890798424631</v>
          </cell>
          <cell r="S25">
            <v>1.3562995935746085</v>
          </cell>
          <cell r="T25">
            <v>1.3159242191500256</v>
          </cell>
          <cell r="U25">
            <v>1.1109910466193273</v>
          </cell>
          <cell r="V25">
            <v>1.1569816643159379</v>
          </cell>
          <cell r="W25">
            <v>0.72960985626283348</v>
          </cell>
          <cell r="X25">
            <v>0.46775738816419765</v>
          </cell>
          <cell r="Y25">
            <v>0.73755027422303465</v>
          </cell>
          <cell r="Z25">
            <v>0.8312299744981364</v>
          </cell>
          <cell r="AA25">
            <v>0.77141966473549295</v>
          </cell>
          <cell r="AB25">
            <v>6.5444019351834637E-3</v>
          </cell>
          <cell r="AC25">
            <v>-3.7676609105180559E-2</v>
          </cell>
          <cell r="AD25">
            <v>0.25136729934763991</v>
          </cell>
          <cell r="AE25">
            <v>0.45206914614981697</v>
          </cell>
          <cell r="AF25">
            <v>-9.7846715328467004E-2</v>
          </cell>
          <cell r="AG25">
            <v>-0.12830275229357802</v>
          </cell>
          <cell r="AH25">
            <v>1.3229166666666665</v>
          </cell>
          <cell r="AI25">
            <v>1.7252500862366333</v>
          </cell>
          <cell r="AJ25">
            <v>1.012372634643377</v>
          </cell>
          <cell r="AK25">
            <v>0.71372836386508398</v>
          </cell>
          <cell r="AL25">
            <v>0.60275636508469543</v>
          </cell>
          <cell r="AM25">
            <v>0.49247877039524646</v>
          </cell>
          <cell r="AN25">
            <v>0.41400843881856564</v>
          </cell>
          <cell r="AO25">
            <v>0.33999999999999986</v>
          </cell>
          <cell r="AP25">
            <v>0.26000000000000023</v>
          </cell>
          <cell r="AQ25">
            <v>0.20500000000000007</v>
          </cell>
          <cell r="AR25">
            <v>0.14999999999999991</v>
          </cell>
          <cell r="AS25">
            <v>9.4999999999999973E-2</v>
          </cell>
        </row>
        <row r="26">
          <cell r="I26" t="str">
            <v>% change Y/Y</v>
          </cell>
          <cell r="L26" t="str">
            <v>NA</v>
          </cell>
          <cell r="M26">
            <v>0.76082004555808669</v>
          </cell>
          <cell r="N26">
            <v>0.2043984476067271</v>
          </cell>
          <cell r="O26">
            <v>0.84998209810239866</v>
          </cell>
          <cell r="P26">
            <v>0.13392684342945627</v>
          </cell>
          <cell r="Q26">
            <v>0.10564942823007328</v>
          </cell>
          <cell r="R26">
            <v>9.4473602963877745E-2</v>
          </cell>
          <cell r="S26">
            <v>0.71720733427362493</v>
          </cell>
          <cell r="T26">
            <v>0.11449691991786448</v>
          </cell>
          <cell r="U26">
            <v>7.811924239074397E-3</v>
          </cell>
          <cell r="V26">
            <v>0.11831809872029231</v>
          </cell>
          <cell r="W26">
            <v>0.37696985548943962</v>
          </cell>
          <cell r="X26">
            <v>-5.4231171051381866E-2</v>
          </cell>
          <cell r="Y26">
            <v>0.19306085559349251</v>
          </cell>
          <cell r="Z26">
            <v>0.17861201127898663</v>
          </cell>
          <cell r="AA26">
            <v>0.33199626138189653</v>
          </cell>
          <cell r="AB26">
            <v>0.50018220467658692</v>
          </cell>
          <cell r="AC26">
            <v>0.50315901651823092</v>
          </cell>
          <cell r="AD26" t="str">
            <v>N/A</v>
          </cell>
          <cell r="AE26" t="str">
            <v>N/A</v>
          </cell>
          <cell r="AF26" t="str">
            <v>N/A</v>
          </cell>
          <cell r="AG26" t="str">
            <v>N/A</v>
          </cell>
          <cell r="AH26" t="str">
            <v>N/A</v>
          </cell>
          <cell r="AI26" t="str">
            <v>N/A</v>
          </cell>
          <cell r="AK26">
            <v>0.7621481895869906</v>
          </cell>
          <cell r="AL26">
            <v>0.51452999150095402</v>
          </cell>
          <cell r="AM26">
            <v>0.4887878044610936</v>
          </cell>
          <cell r="AP26">
            <v>0.56488824598828136</v>
          </cell>
          <cell r="AQ26">
            <v>0.60217819004492346</v>
          </cell>
          <cell r="AR26">
            <v>593.70899999999995</v>
          </cell>
        </row>
        <row r="27">
          <cell r="I27" t="str">
            <v>% change Q/Q</v>
          </cell>
          <cell r="L27">
            <v>1.3169999999999999</v>
          </cell>
          <cell r="M27">
            <v>2.319</v>
          </cell>
          <cell r="N27">
            <v>2.7930000000000001</v>
          </cell>
          <cell r="O27">
            <v>5.1669999999999998</v>
          </cell>
          <cell r="P27">
            <v>5.859</v>
          </cell>
          <cell r="Q27">
            <v>6.4779999999999998</v>
          </cell>
          <cell r="R27">
            <v>7.09</v>
          </cell>
          <cell r="S27">
            <v>12.175000000000001</v>
          </cell>
          <cell r="T27">
            <v>13.569000000000001</v>
          </cell>
          <cell r="U27">
            <v>13.675000000000001</v>
          </cell>
          <cell r="V27">
            <v>15.292999999999999</v>
          </cell>
          <cell r="W27">
            <v>21.058</v>
          </cell>
          <cell r="X27">
            <v>19.916</v>
          </cell>
          <cell r="Y27">
            <v>23.760999999999999</v>
          </cell>
          <cell r="Z27">
            <v>28.004999999999999</v>
          </cell>
          <cell r="AA27">
            <v>0.41</v>
          </cell>
          <cell r="AB27">
            <v>-0.1476708074534161</v>
          </cell>
          <cell r="AC27" t="str">
            <v>NA</v>
          </cell>
          <cell r="AD27" t="str">
            <v>NA</v>
          </cell>
          <cell r="AE27" t="str">
            <v>NA</v>
          </cell>
          <cell r="AF27" t="str">
            <v>NA</v>
          </cell>
          <cell r="AG27">
            <v>4.992</v>
          </cell>
          <cell r="AH27">
            <v>11.596</v>
          </cell>
          <cell r="AI27">
            <v>31.602</v>
          </cell>
          <cell r="AJ27">
            <v>63.594999999999999</v>
          </cell>
          <cell r="AK27">
            <v>108.98455530000001</v>
          </cell>
          <cell r="AL27">
            <v>174.67568970299999</v>
          </cell>
          <cell r="AM27">
            <v>0.40749999999999997</v>
          </cell>
          <cell r="AN27">
            <v>0.41</v>
          </cell>
          <cell r="AO27">
            <v>0.41</v>
          </cell>
          <cell r="AP27">
            <v>0.41</v>
          </cell>
          <cell r="AQ27">
            <v>0.41</v>
          </cell>
          <cell r="AR27">
            <v>0.41</v>
          </cell>
          <cell r="AS27">
            <v>0.41</v>
          </cell>
        </row>
        <row r="28">
          <cell r="I28" t="str">
            <v>Bull case</v>
          </cell>
          <cell r="L28" t="str">
            <v>NA</v>
          </cell>
          <cell r="M28">
            <v>1.002</v>
          </cell>
          <cell r="N28">
            <v>0.4740000000000002</v>
          </cell>
          <cell r="O28">
            <v>2.3739999999999997</v>
          </cell>
          <cell r="P28">
            <v>0.69200000000000017</v>
          </cell>
          <cell r="Q28">
            <v>0.61899999999999977</v>
          </cell>
          <cell r="R28">
            <v>0.6120000000000001</v>
          </cell>
          <cell r="S28">
            <v>5.0850000000000009</v>
          </cell>
          <cell r="T28">
            <v>1.3940000000000001</v>
          </cell>
          <cell r="U28">
            <v>0.10599999999999987</v>
          </cell>
          <cell r="V28">
            <v>1.6179999999999986</v>
          </cell>
          <cell r="W28">
            <v>5.7650000000000006</v>
          </cell>
          <cell r="X28">
            <v>-1.1419999999999995</v>
          </cell>
          <cell r="Y28">
            <v>3.8449999999999989</v>
          </cell>
          <cell r="Z28">
            <v>4.2439999999999998</v>
          </cell>
          <cell r="AA28">
            <v>0.41249999999999998</v>
          </cell>
          <cell r="AB28">
            <v>0.40250000000000002</v>
          </cell>
          <cell r="AC28">
            <v>0.40250000000000002</v>
          </cell>
          <cell r="AD28" t="str">
            <v>NA</v>
          </cell>
          <cell r="AE28" t="str">
            <v>NA</v>
          </cell>
          <cell r="AF28" t="str">
            <v>NA</v>
          </cell>
          <cell r="AG28">
            <v>4.992</v>
          </cell>
          <cell r="AH28">
            <v>6.6040000000000001</v>
          </cell>
          <cell r="AI28">
            <v>20.006</v>
          </cell>
          <cell r="AJ28">
            <v>31.992999999999999</v>
          </cell>
          <cell r="AK28">
            <v>45.389555300000012</v>
          </cell>
          <cell r="AL28">
            <v>65.691134402999978</v>
          </cell>
          <cell r="AM28">
            <v>0.41249999999999998</v>
          </cell>
          <cell r="AN28">
            <v>0.41499999999999998</v>
          </cell>
          <cell r="AO28">
            <v>0.41499999999999998</v>
          </cell>
          <cell r="AP28">
            <v>0.41499999999999998</v>
          </cell>
          <cell r="AQ28">
            <v>0.41499999999999998</v>
          </cell>
          <cell r="AR28">
            <v>0.41499999999999998</v>
          </cell>
          <cell r="AS28">
            <v>0.41499999999999998</v>
          </cell>
        </row>
        <row r="29">
          <cell r="I29" t="str">
            <v>Bull case spread - bps</v>
          </cell>
          <cell r="L29">
            <v>0.19053472649047329</v>
          </cell>
          <cell r="M29">
            <v>0.3155253837072019</v>
          </cell>
          <cell r="N29">
            <v>0.31927857665123072</v>
          </cell>
          <cell r="O29">
            <v>0.27245846240495641</v>
          </cell>
          <cell r="P29">
            <v>0.33609065155807361</v>
          </cell>
          <cell r="Q29">
            <v>0.30028083819399431</v>
          </cell>
          <cell r="R29">
            <v>0.35568884042166482</v>
          </cell>
          <cell r="S29">
            <v>0.35035483698842107</v>
          </cell>
          <cell r="T29">
            <v>0.36867817428930344</v>
          </cell>
          <cell r="U29">
            <v>0.39078718759745174</v>
          </cell>
          <cell r="V29">
            <v>0.39286990352931839</v>
          </cell>
          <cell r="W29">
            <v>0.39048887087904138</v>
          </cell>
          <cell r="X29">
            <v>0.39520194351655025</v>
          </cell>
          <cell r="Y29">
            <v>0.39709725711095889</v>
          </cell>
          <cell r="Z29">
            <v>0.40875311404805137</v>
          </cell>
          <cell r="AA29">
            <v>25</v>
          </cell>
          <cell r="AB29">
            <v>25</v>
          </cell>
          <cell r="AC29">
            <v>25</v>
          </cell>
          <cell r="AD29" t="str">
            <v>NA</v>
          </cell>
          <cell r="AE29" t="str">
            <v>NA</v>
          </cell>
          <cell r="AF29" t="str">
            <v>NA</v>
          </cell>
          <cell r="AG29">
            <v>0.20522209839197575</v>
          </cell>
          <cell r="AH29">
            <v>0.28508014796547465</v>
          </cell>
          <cell r="AI29">
            <v>0.33925733879735714</v>
          </cell>
          <cell r="AJ29">
            <v>0.38661046702289781</v>
          </cell>
          <cell r="AK29">
            <v>0.40423352992950856</v>
          </cell>
          <cell r="AL29">
            <v>0.40451414276088071</v>
          </cell>
          <cell r="AM29">
            <v>50</v>
          </cell>
          <cell r="AN29">
            <v>50</v>
          </cell>
          <cell r="AO29">
            <v>50</v>
          </cell>
          <cell r="AP29">
            <v>50</v>
          </cell>
          <cell r="AQ29">
            <v>50</v>
          </cell>
          <cell r="AR29">
            <v>50</v>
          </cell>
          <cell r="AS29">
            <v>50</v>
          </cell>
        </row>
        <row r="30">
          <cell r="I30" t="str">
            <v>Bear case</v>
          </cell>
          <cell r="L30" t="str">
            <v>NA</v>
          </cell>
          <cell r="M30" t="str">
            <v>NA</v>
          </cell>
          <cell r="N30" t="str">
            <v>NA</v>
          </cell>
          <cell r="O30" t="str">
            <v>NA</v>
          </cell>
          <cell r="P30">
            <v>3.4487471526195899</v>
          </cell>
          <cell r="Q30">
            <v>1.7934454506252693</v>
          </cell>
          <cell r="R30">
            <v>1.5384890798424631</v>
          </cell>
          <cell r="S30">
            <v>1.3562995935746085</v>
          </cell>
          <cell r="T30">
            <v>1.3159242191500256</v>
          </cell>
          <cell r="U30">
            <v>1.1109910466193273</v>
          </cell>
          <cell r="V30">
            <v>1.1569816643159379</v>
          </cell>
          <cell r="W30">
            <v>0.72960985626283348</v>
          </cell>
          <cell r="X30">
            <v>0.46775738816419765</v>
          </cell>
          <cell r="Y30">
            <v>0.73755027422303465</v>
          </cell>
          <cell r="Z30">
            <v>0.8312299744981364</v>
          </cell>
          <cell r="AA30">
            <v>0.40499999999999997</v>
          </cell>
          <cell r="AB30">
            <v>0.39500000000000002</v>
          </cell>
          <cell r="AC30">
            <v>0.39500000000000002</v>
          </cell>
          <cell r="AD30">
            <v>0.4</v>
          </cell>
          <cell r="AE30">
            <v>0.40499999999999997</v>
          </cell>
          <cell r="AH30">
            <v>1.3229166666666665</v>
          </cell>
          <cell r="AI30">
            <v>1.7252500862366333</v>
          </cell>
          <cell r="AJ30">
            <v>1.012372634643377</v>
          </cell>
          <cell r="AK30">
            <v>0.71372836386508398</v>
          </cell>
          <cell r="AL30">
            <v>0.60275636508469543</v>
          </cell>
          <cell r="AM30">
            <v>0.38749999999999996</v>
          </cell>
          <cell r="AN30">
            <v>0.38999999999999996</v>
          </cell>
          <cell r="AO30">
            <v>0.38999999999999996</v>
          </cell>
          <cell r="AP30">
            <v>0.38999999999999996</v>
          </cell>
          <cell r="AQ30">
            <v>0.38999999999999996</v>
          </cell>
          <cell r="AR30">
            <v>0.38999999999999996</v>
          </cell>
          <cell r="AS30">
            <v>0.38999999999999996</v>
          </cell>
        </row>
        <row r="31">
          <cell r="I31" t="str">
            <v>Bear case spread - bps</v>
          </cell>
          <cell r="L31" t="str">
            <v>NA</v>
          </cell>
          <cell r="M31">
            <v>0.76082004555808669</v>
          </cell>
          <cell r="N31">
            <v>0.2043984476067271</v>
          </cell>
          <cell r="O31">
            <v>0.84998209810239866</v>
          </cell>
          <cell r="P31">
            <v>0.13392684342945627</v>
          </cell>
          <cell r="Q31">
            <v>0.10564942823007328</v>
          </cell>
          <cell r="R31">
            <v>9.4473602963877745E-2</v>
          </cell>
          <cell r="S31">
            <v>0.71720733427362493</v>
          </cell>
          <cell r="T31">
            <v>0.11449691991786448</v>
          </cell>
          <cell r="U31">
            <v>7.811924239074397E-3</v>
          </cell>
          <cell r="V31">
            <v>0.11831809872029231</v>
          </cell>
          <cell r="W31">
            <v>0.37696985548943962</v>
          </cell>
          <cell r="X31">
            <v>-5.4231171051381866E-2</v>
          </cell>
          <cell r="Y31">
            <v>0.19306085559349251</v>
          </cell>
          <cell r="Z31">
            <v>0.17861201127898663</v>
          </cell>
          <cell r="AA31">
            <v>-50</v>
          </cell>
          <cell r="AB31">
            <v>-50</v>
          </cell>
          <cell r="AC31">
            <v>-50</v>
          </cell>
          <cell r="AD31">
            <v>-50</v>
          </cell>
          <cell r="AE31">
            <v>-50</v>
          </cell>
          <cell r="AM31">
            <v>-200</v>
          </cell>
          <cell r="AN31">
            <v>-200</v>
          </cell>
          <cell r="AO31">
            <v>-200</v>
          </cell>
          <cell r="AP31">
            <v>-200</v>
          </cell>
          <cell r="AQ31">
            <v>-200</v>
          </cell>
          <cell r="AR31">
            <v>-200</v>
          </cell>
          <cell r="AS31">
            <v>-200</v>
          </cell>
        </row>
        <row r="32">
          <cell r="I32" t="str">
            <v>Profitability summary</v>
          </cell>
          <cell r="AA32">
            <v>0.41</v>
          </cell>
          <cell r="AB32">
            <v>0.4</v>
          </cell>
          <cell r="AC32">
            <v>0.4</v>
          </cell>
          <cell r="AD32">
            <v>0.40500000000000003</v>
          </cell>
          <cell r="AE32">
            <v>0.41</v>
          </cell>
          <cell r="AM32">
            <v>0.40749999999999997</v>
          </cell>
          <cell r="AN32">
            <v>0.41</v>
          </cell>
          <cell r="AO32">
            <v>0.41</v>
          </cell>
          <cell r="AP32">
            <v>0.41</v>
          </cell>
          <cell r="AQ32">
            <v>0.41</v>
          </cell>
          <cell r="AR32">
            <v>0.41</v>
          </cell>
          <cell r="AS32">
            <v>0.41</v>
          </cell>
        </row>
        <row r="33">
          <cell r="I33" t="str">
            <v>Operating income (adjusted)</v>
          </cell>
          <cell r="L33">
            <v>-2.0245555555555552</v>
          </cell>
          <cell r="M33">
            <v>-1.6831111111111112</v>
          </cell>
          <cell r="N33">
            <v>-1.5919259259259264</v>
          </cell>
          <cell r="O33">
            <v>-1.7630370370370363</v>
          </cell>
          <cell r="P33">
            <v>-1.7170740740740742</v>
          </cell>
          <cell r="Q33">
            <v>-2.0572592592592605</v>
          </cell>
          <cell r="R33">
            <v>-1.2001481481481484</v>
          </cell>
          <cell r="S33">
            <v>-1.5010370370370385</v>
          </cell>
          <cell r="T33">
            <v>0.11903703703703528</v>
          </cell>
          <cell r="U33">
            <v>-0.19744444444444653</v>
          </cell>
          <cell r="V33">
            <v>0.46600000000000108</v>
          </cell>
          <cell r="W33">
            <v>0.96799999999999997</v>
          </cell>
          <cell r="X33">
            <v>-1.8400000000000016</v>
          </cell>
          <cell r="Y33">
            <v>-1.3089999999999975</v>
          </cell>
          <cell r="Z33">
            <v>1.5730000000000004</v>
          </cell>
          <cell r="AA33">
            <v>4.8549999999999969</v>
          </cell>
          <cell r="AB33">
            <v>-1.6419999999999959</v>
          </cell>
          <cell r="AC33">
            <v>0.95300000000000296</v>
          </cell>
          <cell r="AD33">
            <v>-0.74785139999999473</v>
          </cell>
          <cell r="AE33">
            <v>6.4755999999999929</v>
          </cell>
          <cell r="AF33">
            <v>7.5157000000000096</v>
          </cell>
          <cell r="AG33">
            <v>-8.3512222222222228</v>
          </cell>
          <cell r="AH33">
            <v>-7.0626296296296296</v>
          </cell>
          <cell r="AI33">
            <v>-6.4755185185185198</v>
          </cell>
          <cell r="AJ33">
            <v>1.3555925925926005</v>
          </cell>
          <cell r="AK33">
            <v>1.7192334999999872</v>
          </cell>
          <cell r="AL33">
            <v>17.753909895500044</v>
          </cell>
          <cell r="AM33">
            <v>0.41249999999999998</v>
          </cell>
          <cell r="AN33">
            <v>0.41499999999999998</v>
          </cell>
          <cell r="AO33">
            <v>0.41499999999999998</v>
          </cell>
          <cell r="AP33">
            <v>0.41499999999999998</v>
          </cell>
          <cell r="AQ33">
            <v>0.41499999999999998</v>
          </cell>
          <cell r="AR33">
            <v>0.41499999999999998</v>
          </cell>
          <cell r="AS33">
            <v>0.41499999999999998</v>
          </cell>
          <cell r="AT33">
            <v>589.81743853547266</v>
          </cell>
          <cell r="AU33">
            <v>678.20599216523442</v>
          </cell>
          <cell r="AV33">
            <v>756.71293444285891</v>
          </cell>
          <cell r="AW33">
            <v>821.77439201365848</v>
          </cell>
        </row>
        <row r="34">
          <cell r="I34" t="str">
            <v>Adjusted operating margin</v>
          </cell>
          <cell r="L34">
            <v>-1.2443488356211156</v>
          </cell>
          <cell r="M34">
            <v>-0.49678604224058776</v>
          </cell>
          <cell r="N34">
            <v>-0.38799072043039884</v>
          </cell>
          <cell r="O34">
            <v>-0.24824514742847595</v>
          </cell>
          <cell r="P34">
            <v>-0.19456930017836535</v>
          </cell>
          <cell r="Q34">
            <v>-0.22221422113407438</v>
          </cell>
          <cell r="R34">
            <v>-0.10906471720721088</v>
          </cell>
          <cell r="S34">
            <v>-8.0093753643724369E-2</v>
          </cell>
          <cell r="T34">
            <v>5.538409576933666E-3</v>
          </cell>
          <cell r="U34">
            <v>-8.7960281750098686E-3</v>
          </cell>
          <cell r="V34">
            <v>1.8500138949541511E-2</v>
          </cell>
          <cell r="W34">
            <v>2.8018177081825812E-2</v>
          </cell>
          <cell r="X34">
            <v>-5.5876100819921094E-2</v>
          </cell>
          <cell r="Y34">
            <v>-3.3214077288066718E-2</v>
          </cell>
          <cell r="Z34">
            <v>3.320947515095217E-2</v>
          </cell>
          <cell r="AA34">
            <v>8.3764665286404361E-2</v>
          </cell>
          <cell r="AB34">
            <v>-3.3213317690845012E-2</v>
          </cell>
          <cell r="AC34">
            <v>1.6716658773176216E-2</v>
          </cell>
          <cell r="AD34">
            <v>-8.8205480347145118E-3</v>
          </cell>
          <cell r="AE34">
            <v>5.0784239914674636E-2</v>
          </cell>
          <cell r="AF34">
            <v>0.10134849036503646</v>
          </cell>
          <cell r="AG34">
            <v>-1.3296007359054647</v>
          </cell>
          <cell r="AH34">
            <v>-0.43542722747408324</v>
          </cell>
          <cell r="AI34">
            <v>-0.1353917897156168</v>
          </cell>
          <cell r="AJ34">
            <v>1.3075026452985208E-2</v>
          </cell>
          <cell r="AK34">
            <v>9.3982277644980069E-3</v>
          </cell>
          <cell r="AL34">
            <v>6.0524748872861342E-2</v>
          </cell>
          <cell r="AM34">
            <v>50</v>
          </cell>
          <cell r="AN34">
            <v>50</v>
          </cell>
          <cell r="AO34">
            <v>50</v>
          </cell>
          <cell r="AP34">
            <v>50</v>
          </cell>
          <cell r="AQ34">
            <v>50</v>
          </cell>
          <cell r="AR34">
            <v>50</v>
          </cell>
          <cell r="AS34">
            <v>50</v>
          </cell>
          <cell r="AT34">
            <v>93.82637692584791</v>
          </cell>
          <cell r="AU34">
            <v>88.388553629761759</v>
          </cell>
          <cell r="AV34">
            <v>78.506942277624489</v>
          </cell>
          <cell r="AW34">
            <v>65.061457570799575</v>
          </cell>
        </row>
        <row r="35">
          <cell r="I35" t="str">
            <v>Sales and marketing (ex-SBC)</v>
          </cell>
          <cell r="L35">
            <v>0.73399999999999999</v>
          </cell>
          <cell r="M35">
            <v>1.0569999999999999</v>
          </cell>
          <cell r="N35">
            <v>1.0720000000000001</v>
          </cell>
          <cell r="O35">
            <v>1.647</v>
          </cell>
          <cell r="P35">
            <v>2.0019999999999998</v>
          </cell>
          <cell r="Q35">
            <v>1.9119999999999999</v>
          </cell>
          <cell r="R35">
            <v>1.9810000000000001</v>
          </cell>
          <cell r="S35">
            <v>2.4849999999999999</v>
          </cell>
          <cell r="T35">
            <v>3.3689999999999998</v>
          </cell>
          <cell r="U35">
            <v>3.5419999999999998</v>
          </cell>
          <cell r="V35">
            <v>3.1539999999999999</v>
          </cell>
          <cell r="W35">
            <v>4.0590000000000002</v>
          </cell>
          <cell r="X35">
            <v>4.5999999999999996</v>
          </cell>
          <cell r="Y35">
            <v>5.9139999999999997</v>
          </cell>
          <cell r="Z35">
            <v>5.6360000000000001</v>
          </cell>
          <cell r="AA35">
            <v>0.40499999999999997</v>
          </cell>
          <cell r="AB35">
            <v>0.39500000000000002</v>
          </cell>
          <cell r="AC35">
            <v>0.39500000000000002</v>
          </cell>
          <cell r="AD35">
            <v>0.4</v>
          </cell>
          <cell r="AE35">
            <v>0.40499999999999997</v>
          </cell>
          <cell r="AF35">
            <v>0.23396547729379047</v>
          </cell>
          <cell r="AG35">
            <v>3.4430000000000001</v>
          </cell>
          <cell r="AH35">
            <v>4.51</v>
          </cell>
          <cell r="AI35">
            <v>8.379999999999999</v>
          </cell>
          <cell r="AJ35">
            <v>14.123999999999999</v>
          </cell>
          <cell r="AK35">
            <v>23.104713699999998</v>
          </cell>
          <cell r="AL35">
            <v>36.960736937</v>
          </cell>
          <cell r="AM35">
            <v>0.38749999999999996</v>
          </cell>
          <cell r="AN35">
            <v>0.38999999999999996</v>
          </cell>
          <cell r="AO35">
            <v>0.38999999999999996</v>
          </cell>
          <cell r="AP35">
            <v>0.38999999999999996</v>
          </cell>
          <cell r="AQ35">
            <v>0.38999999999999996</v>
          </cell>
          <cell r="AR35">
            <v>0.38999999999999996</v>
          </cell>
          <cell r="AS35">
            <v>0.38999999999999996</v>
          </cell>
          <cell r="AT35">
            <v>0.18916949152542384</v>
          </cell>
          <cell r="AU35">
            <v>0.14985747767857149</v>
          </cell>
          <cell r="AV35">
            <v>0.1157567806603772</v>
          </cell>
          <cell r="AW35">
            <v>8.5979047812499765E-2</v>
          </cell>
        </row>
        <row r="36">
          <cell r="I36" t="str">
            <v>Adjusted EBITDA</v>
          </cell>
          <cell r="L36">
            <v>-2.0239999999999996</v>
          </cell>
          <cell r="M36">
            <v>-1.6820000000000002</v>
          </cell>
          <cell r="N36">
            <v>-1.5860000000000005</v>
          </cell>
          <cell r="O36">
            <v>-1.7559999999999993</v>
          </cell>
          <cell r="P36">
            <v>-1.7030000000000001</v>
          </cell>
          <cell r="Q36">
            <v>-2.043000000000001</v>
          </cell>
          <cell r="R36">
            <v>-1.1820000000000002</v>
          </cell>
          <cell r="S36">
            <v>-1.4290000000000014</v>
          </cell>
          <cell r="T36">
            <v>0.16699999999999823</v>
          </cell>
          <cell r="U36">
            <v>-9.9000000000002086E-2</v>
          </cell>
          <cell r="V36">
            <v>0.6190000000000011</v>
          </cell>
          <cell r="W36">
            <v>1.2049999999999998</v>
          </cell>
          <cell r="X36">
            <v>-2.4240000000000017</v>
          </cell>
          <cell r="Y36">
            <v>-0.72999999999999754</v>
          </cell>
          <cell r="Z36">
            <v>2.1380000000000003</v>
          </cell>
          <cell r="AA36">
            <v>5.5599999999999969</v>
          </cell>
          <cell r="AB36">
            <v>-0.76699999999999602</v>
          </cell>
          <cell r="AC36">
            <v>1.9140000000000028</v>
          </cell>
          <cell r="AD36">
            <v>-4.7851399999994659E-2</v>
          </cell>
          <cell r="AE36">
            <v>7.1755999999999931</v>
          </cell>
          <cell r="AF36">
            <v>8.2157000000000089</v>
          </cell>
          <cell r="AG36">
            <v>3.4430000000000001</v>
          </cell>
          <cell r="AH36">
            <v>1.0669999999999997</v>
          </cell>
          <cell r="AI36">
            <v>3.8699999999999992</v>
          </cell>
          <cell r="AJ36">
            <v>5.7439999999999998</v>
          </cell>
          <cell r="AK36">
            <v>8.980713699999999</v>
          </cell>
          <cell r="AL36">
            <v>13.856023237000002</v>
          </cell>
          <cell r="AM36">
            <v>-200</v>
          </cell>
          <cell r="AN36">
            <v>-200</v>
          </cell>
          <cell r="AO36">
            <v>-200</v>
          </cell>
          <cell r="AP36">
            <v>-200</v>
          </cell>
          <cell r="AQ36">
            <v>-200</v>
          </cell>
          <cell r="AR36">
            <v>-200</v>
          </cell>
          <cell r="AS36">
            <v>-200</v>
          </cell>
          <cell r="AT36">
            <v>194.96973721350525</v>
          </cell>
          <cell r="AU36">
            <v>254.86170073661521</v>
          </cell>
          <cell r="AV36">
            <v>296.54365218442047</v>
          </cell>
          <cell r="AW36">
            <v>335.35255008283139</v>
          </cell>
        </row>
        <row r="37">
          <cell r="I37" t="str">
            <v>% change Y/Y</v>
          </cell>
          <cell r="L37" t="str">
            <v>NA</v>
          </cell>
          <cell r="M37" t="str">
            <v>NA</v>
          </cell>
          <cell r="N37" t="str">
            <v>NA</v>
          </cell>
          <cell r="O37" t="str">
            <v>NA</v>
          </cell>
          <cell r="P37" t="str">
            <v>NM</v>
          </cell>
          <cell r="Q37" t="str">
            <v>NM</v>
          </cell>
          <cell r="R37" t="str">
            <v>NM</v>
          </cell>
          <cell r="S37" t="str">
            <v>NM</v>
          </cell>
          <cell r="T37">
            <v>-1.0980622431004099</v>
          </cell>
          <cell r="U37" t="str">
            <v>NM</v>
          </cell>
          <cell r="V37">
            <v>-1.5236886632825728</v>
          </cell>
          <cell r="W37">
            <v>-1.8432470258922313</v>
          </cell>
          <cell r="X37" t="str">
            <v>NM</v>
          </cell>
          <cell r="Y37" t="str">
            <v>NM</v>
          </cell>
          <cell r="Z37">
            <v>2.4539579967689766</v>
          </cell>
          <cell r="AA37">
            <v>3.6141078838174252</v>
          </cell>
          <cell r="AB37" t="str">
            <v>NM</v>
          </cell>
          <cell r="AC37">
            <v>-3.621917808219191</v>
          </cell>
          <cell r="AD37" t="str">
            <v>NM</v>
          </cell>
          <cell r="AE37">
            <v>0.2905755395683447</v>
          </cell>
          <cell r="AF37">
            <v>-11.71147327249029</v>
          </cell>
          <cell r="AG37">
            <v>0.54816112084063051</v>
          </cell>
          <cell r="AH37">
            <v>0.27805178791615293</v>
          </cell>
          <cell r="AI37">
            <v>0.17521117337124698</v>
          </cell>
          <cell r="AJ37">
            <v>0.13622947973533439</v>
          </cell>
          <cell r="AK37">
            <v>0.12630242592767013</v>
          </cell>
          <cell r="AL37">
            <v>0.12600262896652539</v>
          </cell>
          <cell r="AM37">
            <v>0.40749999999999997</v>
          </cell>
          <cell r="AN37">
            <v>0.41</v>
          </cell>
          <cell r="AO37">
            <v>0.41</v>
          </cell>
          <cell r="AP37">
            <v>0.41</v>
          </cell>
          <cell r="AQ37">
            <v>0.41</v>
          </cell>
          <cell r="AR37">
            <v>0.41</v>
          </cell>
          <cell r="AS37">
            <v>0.41</v>
          </cell>
          <cell r="AT37">
            <v>0.55999999999999983</v>
          </cell>
          <cell r="AU37">
            <v>0.5299999999999998</v>
          </cell>
          <cell r="AV37">
            <v>0.49999999999999978</v>
          </cell>
          <cell r="AW37">
            <v>0.46999999999999975</v>
          </cell>
        </row>
        <row r="38">
          <cell r="I38" t="str">
            <v>% change Q/Q</v>
          </cell>
          <cell r="L38" t="str">
            <v>NA</v>
          </cell>
          <cell r="M38" t="str">
            <v>NM</v>
          </cell>
          <cell r="N38" t="str">
            <v>NM</v>
          </cell>
          <cell r="O38" t="str">
            <v>NM</v>
          </cell>
          <cell r="P38" t="str">
            <v>NM</v>
          </cell>
          <cell r="Q38" t="str">
            <v>NM</v>
          </cell>
          <cell r="R38" t="str">
            <v>NM</v>
          </cell>
          <cell r="S38" t="str">
            <v>NM</v>
          </cell>
          <cell r="T38">
            <v>-1.1168649405178432</v>
          </cell>
          <cell r="U38" t="str">
            <v>NM</v>
          </cell>
          <cell r="V38">
            <v>-7.2525252525251318</v>
          </cell>
          <cell r="W38">
            <v>0.94668820678513366</v>
          </cell>
          <cell r="X38" t="str">
            <v>NM</v>
          </cell>
          <cell r="Y38" t="str">
            <v>NM</v>
          </cell>
          <cell r="Z38">
            <v>-3.9287671232876815</v>
          </cell>
          <cell r="AA38">
            <v>1.6005612722170235</v>
          </cell>
          <cell r="AB38" t="str">
            <v>NM</v>
          </cell>
          <cell r="AC38">
            <v>-3.4954367666232238</v>
          </cell>
          <cell r="AD38" t="str">
            <v>NM</v>
          </cell>
          <cell r="AE38">
            <v>-150.95590515639654</v>
          </cell>
          <cell r="AF38">
            <v>0.14494955125704001</v>
          </cell>
          <cell r="AG38">
            <v>0.13822924400842163</v>
          </cell>
          <cell r="AH38">
            <v>0.30990415335463251</v>
          </cell>
          <cell r="AI38">
            <v>0.85809312638580915</v>
          </cell>
          <cell r="AJ38">
            <v>0.68544152744630082</v>
          </cell>
          <cell r="AK38">
            <v>0.63584775559331641</v>
          </cell>
          <cell r="AL38">
            <v>0.59970547209161063</v>
          </cell>
          <cell r="AM38">
            <v>0.4285416223166254</v>
          </cell>
          <cell r="AN38">
            <v>0.27208333333333323</v>
          </cell>
          <cell r="AO38">
            <v>0.18418604651162807</v>
          </cell>
          <cell r="AP38">
            <v>0.12736842105263158</v>
          </cell>
          <cell r="AQ38">
            <v>0.20500000000000029</v>
          </cell>
          <cell r="AR38">
            <v>0.14999999999999991</v>
          </cell>
          <cell r="AS38">
            <v>9.4999999999999973E-2</v>
          </cell>
        </row>
        <row r="39">
          <cell r="I39" t="str">
            <v>Adjusted EBITDA margin</v>
          </cell>
          <cell r="L39">
            <v>-1.2440073755377994</v>
          </cell>
          <cell r="M39">
            <v>-0.49645808736717834</v>
          </cell>
          <cell r="N39">
            <v>-0.38654642944187195</v>
          </cell>
          <cell r="O39">
            <v>-0.24725429456491119</v>
          </cell>
          <cell r="P39">
            <v>8.7367499999999989</v>
          </cell>
          <cell r="Q39">
            <v>9.0728399999999993</v>
          </cell>
          <cell r="R39">
            <v>10.67388</v>
          </cell>
          <cell r="S39">
            <v>17.838529999999999</v>
          </cell>
          <cell r="T39">
            <v>20.192999999999998</v>
          </cell>
          <cell r="U39">
            <v>20.646999999999998</v>
          </cell>
          <cell r="V39">
            <v>22.166319999999999</v>
          </cell>
          <cell r="W39">
            <v>30.350679999999997</v>
          </cell>
          <cell r="X39">
            <v>28.93</v>
          </cell>
          <cell r="Y39">
            <v>34.811</v>
          </cell>
          <cell r="Z39">
            <v>41.165999999999997</v>
          </cell>
          <cell r="AA39">
            <v>46.535999999999987</v>
          </cell>
          <cell r="AB39">
            <v>37.547920000000005</v>
          </cell>
          <cell r="AC39">
            <v>35.052599999999998</v>
          </cell>
          <cell r="AD39">
            <v>40.960999999999999</v>
          </cell>
          <cell r="AE39">
            <v>55.867051995562953</v>
          </cell>
          <cell r="AF39">
            <v>47.726854197893857</v>
          </cell>
          <cell r="AG39">
            <v>-1.3188982646075467</v>
          </cell>
          <cell r="AH39">
            <v>-0.43452527743526514</v>
          </cell>
          <cell r="AI39">
            <v>-0.13291377435811663</v>
          </cell>
          <cell r="AJ39">
            <v>1.8248808811898453E-2</v>
          </cell>
          <cell r="AK39">
            <v>1.5006879344620793E-2</v>
          </cell>
          <cell r="AL39">
            <v>6.9047484037835075E-2</v>
          </cell>
          <cell r="AM39">
            <v>0.12455387815720932</v>
          </cell>
          <cell r="AN39">
            <v>0.15481102530632881</v>
          </cell>
          <cell r="AO39">
            <v>0.18429512667968154</v>
          </cell>
          <cell r="AP39">
            <v>0.20898202293801882</v>
          </cell>
          <cell r="AQ39">
            <v>0.20877715135474131</v>
          </cell>
          <cell r="AR39">
            <v>0.20864679827948518</v>
          </cell>
          <cell r="AS39">
            <v>0.20857140380673433</v>
          </cell>
          <cell r="AT39">
            <v>0.17568801330601491</v>
          </cell>
          <cell r="AU39">
            <v>0.19061827871422946</v>
          </cell>
          <cell r="AV39">
            <v>0.19057034457085215</v>
          </cell>
          <cell r="AW39">
            <v>0.19053644105745787</v>
          </cell>
        </row>
        <row r="40">
          <cell r="I40" t="str">
            <v>Incremental EBITDA margin</v>
          </cell>
          <cell r="L40" t="str">
            <v>NA</v>
          </cell>
          <cell r="M40" t="str">
            <v>NA</v>
          </cell>
          <cell r="N40" t="str">
            <v>NA</v>
          </cell>
          <cell r="O40" t="str">
            <v>NA</v>
          </cell>
          <cell r="P40">
            <v>8.7367499999999989</v>
          </cell>
          <cell r="Q40">
            <v>0.33609000000000044</v>
          </cell>
          <cell r="R40">
            <v>1.6010400000000011</v>
          </cell>
          <cell r="S40">
            <v>7.1646499999999982</v>
          </cell>
          <cell r="T40">
            <v>2.3544699999999992</v>
          </cell>
          <cell r="U40">
            <v>0.45400000000000063</v>
          </cell>
          <cell r="V40">
            <v>1.5193200000000004</v>
          </cell>
          <cell r="W40">
            <v>8.1843599999999981</v>
          </cell>
          <cell r="X40">
            <v>-1.4206799999999973</v>
          </cell>
          <cell r="Y40">
            <v>5.8810000000000002</v>
          </cell>
          <cell r="Z40">
            <v>6.3549999999999969</v>
          </cell>
          <cell r="AA40">
            <v>5.3699999999999903</v>
          </cell>
          <cell r="AB40">
            <v>-8.9880799999999823</v>
          </cell>
          <cell r="AC40">
            <v>-2.4953200000000066</v>
          </cell>
          <cell r="AD40">
            <v>5.9084000000000003</v>
          </cell>
          <cell r="AE40">
            <v>14.906051995562954</v>
          </cell>
          <cell r="AF40">
            <v>-8.1401977976690958</v>
          </cell>
          <cell r="AG40">
            <v>3.4430000000000001</v>
          </cell>
          <cell r="AH40">
            <v>4.51</v>
          </cell>
          <cell r="AI40">
            <v>8.379999999999999</v>
          </cell>
          <cell r="AJ40">
            <v>14.123999999999999</v>
          </cell>
          <cell r="AK40">
            <v>23.104713699999998</v>
          </cell>
          <cell r="AL40">
            <v>36.960736937</v>
          </cell>
          <cell r="AM40">
            <v>0.12</v>
          </cell>
          <cell r="AN40">
            <v>0.1075</v>
          </cell>
          <cell r="AO40">
            <v>9.5000000000000001E-2</v>
          </cell>
          <cell r="AP40">
            <v>8.5000000000000006E-2</v>
          </cell>
          <cell r="AQ40">
            <v>8.5000000000000006E-2</v>
          </cell>
          <cell r="AR40">
            <v>8.5000000000000006E-2</v>
          </cell>
          <cell r="AS40">
            <v>8.5000000000000006E-2</v>
          </cell>
          <cell r="AT40">
            <v>0.25267939814814816</v>
          </cell>
          <cell r="AU40">
            <v>0.26351996527777705</v>
          </cell>
          <cell r="AV40">
            <v>0.19027777777777777</v>
          </cell>
          <cell r="AW40">
            <v>0.19027777777777749</v>
          </cell>
        </row>
        <row r="41">
          <cell r="I41" t="str">
            <v>Bull case</v>
          </cell>
          <cell r="L41" t="str">
            <v>NA</v>
          </cell>
          <cell r="M41">
            <v>0.32299999999999995</v>
          </cell>
          <cell r="N41">
            <v>1.5000000000000124E-2</v>
          </cell>
          <cell r="O41">
            <v>0.57499999999999996</v>
          </cell>
          <cell r="P41" t="str">
            <v>NA</v>
          </cell>
          <cell r="Q41" t="str">
            <v>NA</v>
          </cell>
          <cell r="R41" t="str">
            <v>NA</v>
          </cell>
          <cell r="S41" t="str">
            <v>NA</v>
          </cell>
          <cell r="T41">
            <v>1.3112713537642717</v>
          </cell>
          <cell r="U41">
            <v>1.2756931677402004</v>
          </cell>
          <cell r="V41">
            <v>1.0766881396455643</v>
          </cell>
          <cell r="W41">
            <v>0.70141149522970769</v>
          </cell>
          <cell r="X41">
            <v>0.43267468924874963</v>
          </cell>
          <cell r="Y41">
            <v>0.68600765244345441</v>
          </cell>
          <cell r="Z41">
            <v>0.85714182597742883</v>
          </cell>
          <cell r="AA41">
            <v>0.53327701389227489</v>
          </cell>
          <cell r="AB41">
            <v>0.2978886968544765</v>
          </cell>
          <cell r="AC41">
            <v>6.9403349515957391E-3</v>
          </cell>
          <cell r="AD41">
            <v>-4.9798377301656371E-3</v>
          </cell>
          <cell r="AE41">
            <v>0.20051254932875562</v>
          </cell>
          <cell r="AF41">
            <v>0.27109182606903004</v>
          </cell>
          <cell r="AG41">
            <v>3.4430000000000001</v>
          </cell>
          <cell r="AH41">
            <v>1.0669999999999997</v>
          </cell>
          <cell r="AI41">
            <v>3.8699999999999992</v>
          </cell>
          <cell r="AJ41">
            <v>5.7439999999999998</v>
          </cell>
          <cell r="AK41">
            <v>8.980713699999999</v>
          </cell>
          <cell r="AL41">
            <v>13.856023237000002</v>
          </cell>
          <cell r="AM41">
            <v>0.11</v>
          </cell>
          <cell r="AN41">
            <v>9.7500000000000003E-2</v>
          </cell>
          <cell r="AO41">
            <v>8.5000000000000006E-2</v>
          </cell>
          <cell r="AP41">
            <v>7.5000000000000011E-2</v>
          </cell>
          <cell r="AQ41">
            <v>7.5000000000000011E-2</v>
          </cell>
          <cell r="AR41">
            <v>7.5000000000000011E-2</v>
          </cell>
          <cell r="AS41">
            <v>7.5000000000000011E-2</v>
          </cell>
        </row>
        <row r="42">
          <cell r="I42" t="str">
            <v>Guidance</v>
          </cell>
          <cell r="L42">
            <v>0.45113706207744314</v>
          </cell>
          <cell r="M42">
            <v>0.31198347107438018</v>
          </cell>
          <cell r="N42">
            <v>0.26127223982451869</v>
          </cell>
          <cell r="O42">
            <v>0.23190650520980005</v>
          </cell>
          <cell r="P42" t="str">
            <v>NA</v>
          </cell>
          <cell r="Q42">
            <v>3.8468538071937619E-2</v>
          </cell>
          <cell r="R42">
            <v>0.17646514211647091</v>
          </cell>
          <cell r="S42">
            <v>0.67123201684860589</v>
          </cell>
          <cell r="T42">
            <v>0.13198789362127927</v>
          </cell>
          <cell r="U42">
            <v>2.2483038676769151E-2</v>
          </cell>
          <cell r="V42">
            <v>7.3585508790623422E-2</v>
          </cell>
          <cell r="W42">
            <v>0.36922502246651678</v>
          </cell>
          <cell r="X42">
            <v>-4.6808835914055269E-2</v>
          </cell>
          <cell r="Y42">
            <v>0.20328378845489103</v>
          </cell>
          <cell r="Z42">
            <v>0.18255723765476417</v>
          </cell>
          <cell r="AA42">
            <v>0.13044745663897372</v>
          </cell>
          <cell r="AB42">
            <v>-0.19314251332301846</v>
          </cell>
          <cell r="AC42">
            <v>-6.6456943553730996E-2</v>
          </cell>
          <cell r="AD42">
            <v>0.16855810981211095</v>
          </cell>
          <cell r="AE42">
            <v>0.36390840056548801</v>
          </cell>
          <cell r="AF42">
            <v>-0.14570659282891107</v>
          </cell>
          <cell r="AG42">
            <v>0.54816112084063051</v>
          </cell>
          <cell r="AH42">
            <v>0.27805178791615293</v>
          </cell>
          <cell r="AI42">
            <v>0.17521117337124698</v>
          </cell>
          <cell r="AJ42">
            <v>0.13622947973533439</v>
          </cell>
          <cell r="AK42">
            <v>0.12630242592767013</v>
          </cell>
          <cell r="AL42">
            <v>0.12600262896652539</v>
          </cell>
          <cell r="AM42">
            <v>-100</v>
          </cell>
          <cell r="AN42">
            <v>-100</v>
          </cell>
          <cell r="AO42">
            <v>-100</v>
          </cell>
          <cell r="AP42">
            <v>-100</v>
          </cell>
          <cell r="AQ42">
            <v>-100</v>
          </cell>
          <cell r="AR42">
            <v>-100</v>
          </cell>
          <cell r="AS42">
            <v>-100</v>
          </cell>
        </row>
        <row r="43">
          <cell r="I43" t="str">
            <v>MS vs. consensus</v>
          </cell>
          <cell r="L43" t="str">
            <v>NA</v>
          </cell>
          <cell r="M43" t="str">
            <v>NA</v>
          </cell>
          <cell r="N43" t="str">
            <v>NA</v>
          </cell>
          <cell r="O43" t="str">
            <v>NA</v>
          </cell>
          <cell r="P43">
            <v>0.99</v>
          </cell>
          <cell r="Q43">
            <v>0.98</v>
          </cell>
          <cell r="R43">
            <v>0.97000000000000008</v>
          </cell>
          <cell r="S43">
            <v>0.95184515233978972</v>
          </cell>
          <cell r="T43">
            <v>0.93951519099241609</v>
          </cell>
          <cell r="U43">
            <v>0.91981111061611798</v>
          </cell>
          <cell r="V43">
            <v>0.88</v>
          </cell>
          <cell r="W43">
            <v>0.878482155778749</v>
          </cell>
          <cell r="X43">
            <v>0.87853021560886735</v>
          </cell>
          <cell r="Y43">
            <v>0.88328131739869575</v>
          </cell>
          <cell r="Z43">
            <v>0.8691044208926233</v>
          </cell>
          <cell r="AA43">
            <v>0.80289855072463767</v>
          </cell>
          <cell r="AB43">
            <v>0.75949512520733042</v>
          </cell>
          <cell r="AC43">
            <v>0.6148608114508235</v>
          </cell>
          <cell r="AD43">
            <v>0.73065054137457408</v>
          </cell>
          <cell r="AE43">
            <v>0.73581068892298163</v>
          </cell>
          <cell r="AF43">
            <v>0.72738893896470569</v>
          </cell>
          <cell r="AG43">
            <v>0.68522538685476475</v>
          </cell>
          <cell r="AH43">
            <v>0.30990415335463251</v>
          </cell>
          <cell r="AI43">
            <v>0.85809312638580915</v>
          </cell>
          <cell r="AJ43">
            <v>0.68544152744630082</v>
          </cell>
          <cell r="AK43">
            <v>0.63584775559331641</v>
          </cell>
          <cell r="AL43">
            <v>0.59970547209161063</v>
          </cell>
          <cell r="AM43">
            <v>0.13</v>
          </cell>
          <cell r="AN43">
            <v>0.11749999999999999</v>
          </cell>
          <cell r="AO43">
            <v>0.105</v>
          </cell>
          <cell r="AP43">
            <v>9.5000000000000001E-2</v>
          </cell>
          <cell r="AQ43">
            <v>9.5000000000000001E-2</v>
          </cell>
          <cell r="AR43">
            <v>9.5000000000000001E-2</v>
          </cell>
          <cell r="AS43">
            <v>9.5000000000000001E-2</v>
          </cell>
        </row>
        <row r="44">
          <cell r="I44" t="str">
            <v>% change Y/Y</v>
          </cell>
          <cell r="L44" t="str">
            <v>NA</v>
          </cell>
          <cell r="M44">
            <v>0.44005449591280654</v>
          </cell>
          <cell r="N44">
            <v>1.4191106906338735E-2</v>
          </cell>
          <cell r="O44">
            <v>0.53638059701492535</v>
          </cell>
          <cell r="P44">
            <v>0.21554341226472351</v>
          </cell>
          <cell r="Q44">
            <v>-4.4955044955044876E-2</v>
          </cell>
          <cell r="R44">
            <v>3.608786610878667E-2</v>
          </cell>
          <cell r="S44">
            <v>0.25441696113074186</v>
          </cell>
          <cell r="T44">
            <v>0.35573440643863186</v>
          </cell>
          <cell r="U44">
            <v>5.1350549124369316E-2</v>
          </cell>
          <cell r="V44">
            <v>-0.10954263128176167</v>
          </cell>
          <cell r="W44">
            <v>0.2869372225745086</v>
          </cell>
          <cell r="X44">
            <v>0.13328406011332827</v>
          </cell>
          <cell r="Y44" t="str">
            <v>NM</v>
          </cell>
          <cell r="Z44" t="str">
            <v>NM</v>
          </cell>
          <cell r="AA44">
            <v>1.6970954356846475</v>
          </cell>
          <cell r="AB44" t="str">
            <v>NM</v>
          </cell>
          <cell r="AC44" t="str">
            <v>NM</v>
          </cell>
          <cell r="AD44" t="str">
            <v>NM</v>
          </cell>
          <cell r="AE44">
            <v>0.83255395683453215</v>
          </cell>
          <cell r="AK44">
            <v>0.18921775898519577</v>
          </cell>
          <cell r="AL44" t="str">
            <v>NM</v>
          </cell>
          <cell r="AM44">
            <v>100</v>
          </cell>
          <cell r="AN44">
            <v>100</v>
          </cell>
          <cell r="AO44">
            <v>100</v>
          </cell>
          <cell r="AP44">
            <v>100</v>
          </cell>
          <cell r="AQ44">
            <v>100</v>
          </cell>
          <cell r="AR44">
            <v>100</v>
          </cell>
          <cell r="AS44">
            <v>100</v>
          </cell>
        </row>
        <row r="45">
          <cell r="I45" t="str">
            <v>% change Q/Q</v>
          </cell>
          <cell r="P45">
            <v>8.8249999999999995E-2</v>
          </cell>
          <cell r="Q45">
            <v>0.18515999999999999</v>
          </cell>
          <cell r="R45">
            <v>0.33011999999999997</v>
          </cell>
          <cell r="S45">
            <v>0.90247000000000011</v>
          </cell>
          <cell r="T45">
            <v>1.3</v>
          </cell>
          <cell r="U45">
            <v>1.8</v>
          </cell>
          <cell r="V45">
            <v>3.0226799999999998</v>
          </cell>
          <cell r="W45">
            <v>4.1983200000000007</v>
          </cell>
          <cell r="X45">
            <v>4</v>
          </cell>
          <cell r="Y45" t="str">
            <v>NM</v>
          </cell>
          <cell r="Z45" t="str">
            <v>NM</v>
          </cell>
          <cell r="AA45">
            <v>0.11</v>
          </cell>
          <cell r="AB45">
            <v>0.13969025204980259</v>
          </cell>
          <cell r="AC45">
            <v>0.14505962802263325</v>
          </cell>
          <cell r="AD45">
            <v>0.11898830384664105</v>
          </cell>
          <cell r="AE45">
            <v>0.11</v>
          </cell>
          <cell r="AF45">
            <v>18.310249885078779</v>
          </cell>
          <cell r="AG45">
            <v>21.613332389249312</v>
          </cell>
          <cell r="AH45">
            <v>24.118640000000006</v>
          </cell>
          <cell r="AI45">
            <v>29.659109638554227</v>
          </cell>
          <cell r="AM45">
            <v>0.12</v>
          </cell>
          <cell r="AN45">
            <v>0.1075</v>
          </cell>
          <cell r="AO45">
            <v>9.5000000000000001E-2</v>
          </cell>
          <cell r="AP45">
            <v>8.5000000000000006E-2</v>
          </cell>
          <cell r="AQ45">
            <v>8.5000000000000006E-2</v>
          </cell>
          <cell r="AR45">
            <v>8.5000000000000006E-2</v>
          </cell>
          <cell r="AS45">
            <v>8.5000000000000006E-2</v>
          </cell>
        </row>
        <row r="46">
          <cell r="I46" t="str">
            <v>Bull case</v>
          </cell>
          <cell r="P46">
            <v>8.8249999999999995E-2</v>
          </cell>
          <cell r="Q46">
            <v>9.6909999999999996E-2</v>
          </cell>
          <cell r="R46">
            <v>0.14495999999999998</v>
          </cell>
          <cell r="S46">
            <v>0.57235000000000014</v>
          </cell>
          <cell r="T46">
            <v>0.39752999999999994</v>
          </cell>
          <cell r="U46">
            <v>0.5</v>
          </cell>
          <cell r="V46">
            <v>1.2226799999999998</v>
          </cell>
          <cell r="W46">
            <v>1.1756400000000009</v>
          </cell>
          <cell r="X46">
            <v>-0.19832000000000072</v>
          </cell>
          <cell r="Y46">
            <v>0.59999999999999964</v>
          </cell>
          <cell r="Z46">
            <v>1.6000000000000005</v>
          </cell>
          <cell r="AA46">
            <v>0.105</v>
          </cell>
          <cell r="AB46">
            <v>0.13469025204980259</v>
          </cell>
          <cell r="AC46">
            <v>0.14005962802263325</v>
          </cell>
          <cell r="AD46">
            <v>0.11398830384664105</v>
          </cell>
          <cell r="AE46">
            <v>0.105</v>
          </cell>
          <cell r="AF46">
            <v>-0.44724983688600872</v>
          </cell>
          <cell r="AG46">
            <v>3.3030825041705327</v>
          </cell>
          <cell r="AH46">
            <v>2.5053076107506946</v>
          </cell>
          <cell r="AI46">
            <v>5.5404696385542209</v>
          </cell>
          <cell r="AM46">
            <v>0.11</v>
          </cell>
          <cell r="AN46">
            <v>9.7500000000000003E-2</v>
          </cell>
          <cell r="AO46">
            <v>8.5000000000000006E-2</v>
          </cell>
          <cell r="AP46">
            <v>7.5000000000000011E-2</v>
          </cell>
          <cell r="AQ46">
            <v>7.5000000000000011E-2</v>
          </cell>
          <cell r="AR46">
            <v>7.5000000000000011E-2</v>
          </cell>
          <cell r="AS46">
            <v>7.5000000000000011E-2</v>
          </cell>
        </row>
        <row r="47">
          <cell r="I47" t="str">
            <v>Consensus</v>
          </cell>
          <cell r="P47" t="str">
            <v>NA</v>
          </cell>
          <cell r="Q47" t="str">
            <v>NA</v>
          </cell>
          <cell r="R47" t="str">
            <v>NA</v>
          </cell>
          <cell r="S47" t="str">
            <v>NA</v>
          </cell>
          <cell r="T47">
            <v>13.730878186968839</v>
          </cell>
          <cell r="U47">
            <v>8.7213220998055743</v>
          </cell>
          <cell r="V47">
            <v>8.1563067975281722</v>
          </cell>
          <cell r="W47">
            <v>3.6520327545513984</v>
          </cell>
          <cell r="X47">
            <v>2.0769230769230766</v>
          </cell>
          <cell r="Y47">
            <v>1.5555555555555554</v>
          </cell>
          <cell r="Z47">
            <v>1.0511598978390038</v>
          </cell>
          <cell r="AA47">
            <v>-50</v>
          </cell>
          <cell r="AB47">
            <v>-50</v>
          </cell>
          <cell r="AC47">
            <v>-50</v>
          </cell>
          <cell r="AD47">
            <v>-50</v>
          </cell>
          <cell r="AE47">
            <v>-50</v>
          </cell>
          <cell r="AF47">
            <v>0.45</v>
          </cell>
          <cell r="AG47">
            <v>4.45</v>
          </cell>
          <cell r="AH47">
            <v>10.15</v>
          </cell>
          <cell r="AI47">
            <v>22.6</v>
          </cell>
          <cell r="AK47">
            <v>2.4889999999999999</v>
          </cell>
          <cell r="AL47">
            <v>12.459</v>
          </cell>
          <cell r="AM47">
            <v>46.228999999999999</v>
          </cell>
          <cell r="AN47">
            <v>-100</v>
          </cell>
          <cell r="AO47">
            <v>-100</v>
          </cell>
          <cell r="AP47">
            <v>12.459</v>
          </cell>
          <cell r="AQ47">
            <v>38.570999999999998</v>
          </cell>
          <cell r="AR47">
            <v>-100</v>
          </cell>
          <cell r="AS47">
            <v>-100</v>
          </cell>
        </row>
        <row r="48">
          <cell r="I48" t="str">
            <v>MS vs. consensus</v>
          </cell>
          <cell r="L48">
            <v>0.218</v>
          </cell>
          <cell r="M48">
            <v>0.25700000000000001</v>
          </cell>
          <cell r="N48">
            <v>0.27500000000000002</v>
          </cell>
          <cell r="O48">
            <v>0.33300000000000002</v>
          </cell>
          <cell r="P48" t="str">
            <v>NA</v>
          </cell>
          <cell r="Q48">
            <v>1.0981303116147307</v>
          </cell>
          <cell r="R48">
            <v>0.78289047310434201</v>
          </cell>
          <cell r="S48">
            <v>1.7337634799466866</v>
          </cell>
          <cell r="T48">
            <v>0.44049109665695241</v>
          </cell>
          <cell r="U48">
            <v>0.38461538461538458</v>
          </cell>
          <cell r="V48">
            <v>0.67926666666666646</v>
          </cell>
          <cell r="W48">
            <v>0.38893961649926578</v>
          </cell>
          <cell r="X48">
            <v>-4.7237942796166221E-2</v>
          </cell>
          <cell r="Y48">
            <v>0.14999999999999991</v>
          </cell>
          <cell r="Z48">
            <v>0.34782608695652195</v>
          </cell>
          <cell r="AA48">
            <v>0.8425806451612905</v>
          </cell>
          <cell r="AB48">
            <v>4.0798319327731036E-2</v>
          </cell>
          <cell r="AC48">
            <v>0.84661499333898482</v>
          </cell>
          <cell r="AD48">
            <v>-0.31227341458526892</v>
          </cell>
          <cell r="AE48">
            <v>0.32839721883688933</v>
          </cell>
          <cell r="AF48">
            <v>-0.10826731501311804</v>
          </cell>
          <cell r="AG48">
            <v>0.65900000000000003</v>
          </cell>
          <cell r="AH48">
            <v>1.083</v>
          </cell>
          <cell r="AI48">
            <v>2.1629999999999998</v>
          </cell>
          <cell r="AJ48">
            <v>4.1739999999999995</v>
          </cell>
          <cell r="AK48">
            <v>10.673356850000001</v>
          </cell>
          <cell r="AL48">
            <v>17.204608843500001</v>
          </cell>
          <cell r="AM48">
            <v>0.13</v>
          </cell>
          <cell r="AN48">
            <v>0.11749999999999999</v>
          </cell>
          <cell r="AO48">
            <v>0.105</v>
          </cell>
          <cell r="AP48">
            <v>9.5000000000000001E-2</v>
          </cell>
          <cell r="AQ48">
            <v>9.5000000000000001E-2</v>
          </cell>
          <cell r="AR48">
            <v>9.5000000000000001E-2</v>
          </cell>
          <cell r="AS48">
            <v>9.5000000000000001E-2</v>
          </cell>
        </row>
        <row r="49">
          <cell r="I49" t="str">
            <v>% change Y/Y</v>
          </cell>
          <cell r="L49" t="str">
            <v>NA</v>
          </cell>
          <cell r="M49">
            <v>3.9000000000000007E-2</v>
          </cell>
          <cell r="N49">
            <v>1.8000000000000016E-2</v>
          </cell>
          <cell r="O49">
            <v>5.7999999999999996E-2</v>
          </cell>
          <cell r="P49">
            <v>0.01</v>
          </cell>
          <cell r="Q49">
            <v>0.02</v>
          </cell>
          <cell r="R49">
            <v>0.03</v>
          </cell>
          <cell r="S49">
            <v>4.8154847660210241E-2</v>
          </cell>
          <cell r="T49">
            <v>6.0484809007583872E-2</v>
          </cell>
          <cell r="U49">
            <v>8.0188889383882037E-2</v>
          </cell>
          <cell r="V49">
            <v>0.12</v>
          </cell>
          <cell r="W49">
            <v>0.121517844221251</v>
          </cell>
          <cell r="X49">
            <v>0.12146978439113271</v>
          </cell>
          <cell r="Y49">
            <v>0.11671868260130419</v>
          </cell>
          <cell r="Z49">
            <v>0.13089557910737659</v>
          </cell>
          <cell r="AA49">
            <v>0.19710144927536238</v>
          </cell>
          <cell r="AB49">
            <v>0.2405048747926696</v>
          </cell>
          <cell r="AC49">
            <v>0.38513918854917639</v>
          </cell>
          <cell r="AD49">
            <v>0.26934945862542586</v>
          </cell>
          <cell r="AE49">
            <v>0.26418931107701837</v>
          </cell>
          <cell r="AF49">
            <v>0.27261106103529437</v>
          </cell>
          <cell r="AG49">
            <v>0.65900000000000003</v>
          </cell>
          <cell r="AH49">
            <v>0.42399999999999993</v>
          </cell>
          <cell r="AI49">
            <v>1.0799999999999998</v>
          </cell>
          <cell r="AJ49">
            <v>2.0109999999999997</v>
          </cell>
          <cell r="AK49">
            <v>6.4993568500000016</v>
          </cell>
          <cell r="AL49">
            <v>6.5312519934999997</v>
          </cell>
          <cell r="AM49">
            <v>100</v>
          </cell>
          <cell r="AN49">
            <v>100</v>
          </cell>
          <cell r="AO49">
            <v>100</v>
          </cell>
          <cell r="AP49">
            <v>100</v>
          </cell>
          <cell r="AQ49">
            <v>100</v>
          </cell>
          <cell r="AR49">
            <v>100</v>
          </cell>
          <cell r="AS49">
            <v>100</v>
          </cell>
        </row>
        <row r="50">
          <cell r="I50" t="str">
            <v>% change Q/Q</v>
          </cell>
          <cell r="L50">
            <v>0.13398893669330056</v>
          </cell>
          <cell r="M50">
            <v>7.5855962219598588E-2</v>
          </cell>
          <cell r="N50">
            <v>6.7024128686327081E-2</v>
          </cell>
          <cell r="O50">
            <v>4.6888200506899465E-2</v>
          </cell>
          <cell r="P50">
            <v>5.5070821529745045E-2</v>
          </cell>
          <cell r="Q50">
            <v>6.038021170879241E-2</v>
          </cell>
          <cell r="R50">
            <v>4.7437295528898589E-2</v>
          </cell>
          <cell r="S50">
            <v>3.1801931593831705E-2</v>
          </cell>
          <cell r="T50">
            <v>2.9963243846833857E-2</v>
          </cell>
          <cell r="U50">
            <v>4.0896333585779834E-2</v>
          </cell>
          <cell r="V50">
            <v>4.4979951566159831E-2</v>
          </cell>
          <cell r="W50">
            <v>4.2808764363657416E-2</v>
          </cell>
          <cell r="X50">
            <v>6.8782265411478902E-2</v>
          </cell>
          <cell r="Y50">
            <v>5.8384714927304564E-2</v>
          </cell>
          <cell r="Z50">
            <v>5.5525060169742006E-2</v>
          </cell>
          <cell r="AA50">
            <v>0.11</v>
          </cell>
          <cell r="AB50" t="str">
            <v>NM</v>
          </cell>
          <cell r="AC50" t="str">
            <v>NA</v>
          </cell>
          <cell r="AD50">
            <v>1.3030303030302997</v>
          </cell>
          <cell r="AE50">
            <v>0.73911070780399268</v>
          </cell>
          <cell r="AF50">
            <v>-0.94129924341247062</v>
          </cell>
          <cell r="AG50">
            <v>0.10491959879000161</v>
          </cell>
          <cell r="AH50">
            <v>6.6769420468557342E-2</v>
          </cell>
          <cell r="AI50">
            <v>4.5224554654177469E-2</v>
          </cell>
          <cell r="AJ50">
            <v>4.0259264260498848E-2</v>
          </cell>
          <cell r="AK50">
            <v>5.8346140118876087E-2</v>
          </cell>
          <cell r="AL50">
            <v>5.8652129916046208E-2</v>
          </cell>
          <cell r="AM50">
            <v>0.12</v>
          </cell>
          <cell r="AN50">
            <v>0.1075</v>
          </cell>
          <cell r="AO50">
            <v>9.5000000000000001E-2</v>
          </cell>
          <cell r="AP50">
            <v>8.5000000000000006E-2</v>
          </cell>
          <cell r="AQ50">
            <v>8.5000000000000006E-2</v>
          </cell>
          <cell r="AR50">
            <v>8.5000000000000006E-2</v>
          </cell>
          <cell r="AS50">
            <v>8.5000000000000006E-2</v>
          </cell>
        </row>
        <row r="51">
          <cell r="I51" t="str">
            <v>% change Y/Y</v>
          </cell>
          <cell r="L51" t="str">
            <v>NA</v>
          </cell>
          <cell r="M51" t="str">
            <v>NA</v>
          </cell>
          <cell r="N51" t="str">
            <v>NA</v>
          </cell>
          <cell r="O51" t="str">
            <v>NA</v>
          </cell>
          <cell r="P51">
            <v>1.2293577981651373</v>
          </cell>
          <cell r="Q51">
            <v>1.1750972762645917</v>
          </cell>
          <cell r="R51">
            <v>0.89818181818181819</v>
          </cell>
          <cell r="S51">
            <v>0.78978978978978964</v>
          </cell>
          <cell r="T51">
            <v>0.32510288065843618</v>
          </cell>
          <cell r="U51">
            <v>0.64221824686940931</v>
          </cell>
          <cell r="V51">
            <v>1.1704980842911876</v>
          </cell>
          <cell r="W51">
            <v>1.4815436241610742</v>
          </cell>
          <cell r="X51">
            <v>2.5170807453416151</v>
          </cell>
          <cell r="Y51">
            <v>1.5065359477124187</v>
          </cell>
          <cell r="Z51">
            <v>1.3212709620476608</v>
          </cell>
          <cell r="AA51">
            <v>1.3511540567951319</v>
          </cell>
          <cell r="AB51">
            <v>0.79</v>
          </cell>
          <cell r="AC51">
            <v>0.64999999999999991</v>
          </cell>
          <cell r="AD51">
            <v>0.56000000000000005</v>
          </cell>
          <cell r="AE51">
            <v>0.51</v>
          </cell>
          <cell r="AH51">
            <v>0.64339908952959024</v>
          </cell>
          <cell r="AI51">
            <v>0.99722991689750673</v>
          </cell>
          <cell r="AJ51">
            <v>0.92972723069810437</v>
          </cell>
          <cell r="AK51">
            <v>1.5571051389554391</v>
          </cell>
          <cell r="AL51">
            <v>0.6119210746242405</v>
          </cell>
          <cell r="AM51">
            <v>0.53447112882046488</v>
          </cell>
          <cell r="AN51">
            <v>0.36083333333333312</v>
          </cell>
          <cell r="AO51">
            <v>0.28173913043478271</v>
          </cell>
          <cell r="AP51">
            <v>0.26</v>
          </cell>
          <cell r="AQ51">
            <v>0.20500000000000007</v>
          </cell>
          <cell r="AR51">
            <v>0.14999999999999991</v>
          </cell>
          <cell r="AS51">
            <v>9.5000000000000195E-2</v>
          </cell>
        </row>
        <row r="52">
          <cell r="I52" t="str">
            <v>% change Q/Q</v>
          </cell>
          <cell r="L52" t="str">
            <v>NA</v>
          </cell>
          <cell r="M52">
            <v>0.17889908256880727</v>
          </cell>
          <cell r="N52">
            <v>7.0038910505836549E-2</v>
          </cell>
          <cell r="O52">
            <v>0.21090909090909093</v>
          </cell>
          <cell r="P52">
            <v>0.45945945945945943</v>
          </cell>
          <cell r="Q52">
            <v>0.15020576131687258</v>
          </cell>
          <cell r="R52">
            <v>-6.6189624329159313E-2</v>
          </cell>
          <cell r="S52">
            <v>0.14176245210727956</v>
          </cell>
          <cell r="T52">
            <v>8.0536912751677958E-2</v>
          </cell>
          <cell r="U52">
            <v>0.42546583850931663</v>
          </cell>
          <cell r="V52">
            <v>0.23420479302832264</v>
          </cell>
          <cell r="W52">
            <v>0.30538393645189776</v>
          </cell>
          <cell r="X52">
            <v>14.93</v>
          </cell>
          <cell r="Y52">
            <v>16.158999999999999</v>
          </cell>
          <cell r="Z52">
            <v>14.658999999999999</v>
          </cell>
          <cell r="AA52">
            <v>17.890000000000008</v>
          </cell>
          <cell r="AB52">
            <v>15.182000000000002</v>
          </cell>
          <cell r="AC52">
            <v>24.310999999999993</v>
          </cell>
          <cell r="AD52">
            <v>30.258000000000003</v>
          </cell>
          <cell r="AE52">
            <v>32.539650000000009</v>
          </cell>
          <cell r="AF52">
            <v>26.146460000000005</v>
          </cell>
          <cell r="AG52">
            <v>40.295339999999996</v>
          </cell>
          <cell r="AH52">
            <v>48.403530000000003</v>
          </cell>
          <cell r="AI52">
            <v>53.148094999999998</v>
          </cell>
          <cell r="AK52">
            <v>0</v>
          </cell>
          <cell r="AL52">
            <v>0</v>
          </cell>
          <cell r="AM52">
            <v>0</v>
          </cell>
          <cell r="AN52">
            <v>0</v>
          </cell>
          <cell r="AO52">
            <v>14.654000000000025</v>
          </cell>
          <cell r="AP52">
            <v>65.81472717794253</v>
          </cell>
          <cell r="AQ52">
            <v>155.45731264075528</v>
          </cell>
          <cell r="AR52">
            <v>217.64023769705733</v>
          </cell>
          <cell r="AS52">
            <v>287.28511376011568</v>
          </cell>
          <cell r="AT52">
            <v>360.83010288270532</v>
          </cell>
          <cell r="AU52">
            <v>434.72810795308339</v>
          </cell>
          <cell r="AV52">
            <v>505.95396116011648</v>
          </cell>
          <cell r="AW52">
            <v>572.2703587572953</v>
          </cell>
        </row>
        <row r="53">
          <cell r="I53" t="str">
            <v>Operating expense drivers</v>
          </cell>
          <cell r="L53">
            <v>0.218</v>
          </cell>
          <cell r="M53">
            <v>0.25700000000000001</v>
          </cell>
          <cell r="N53">
            <v>0.27500000000000002</v>
          </cell>
          <cell r="O53">
            <v>0.33300000000000002</v>
          </cell>
          <cell r="P53">
            <v>0.48599999999999999</v>
          </cell>
          <cell r="Q53">
            <v>0.55900000000000005</v>
          </cell>
          <cell r="R53">
            <v>0.52200000000000002</v>
          </cell>
          <cell r="S53">
            <v>0.59599999999999997</v>
          </cell>
          <cell r="T53">
            <v>0.64400000000000002</v>
          </cell>
          <cell r="U53">
            <v>0.91799999999999993</v>
          </cell>
          <cell r="V53">
            <v>1.133</v>
          </cell>
          <cell r="W53">
            <v>1.4790000000000001</v>
          </cell>
          <cell r="X53">
            <v>2.2650000000000001</v>
          </cell>
          <cell r="Y53">
            <v>2.3010000000000002</v>
          </cell>
          <cell r="Z53">
            <v>2.63</v>
          </cell>
          <cell r="AA53">
            <v>5.5E-2</v>
          </cell>
          <cell r="AB53">
            <v>6.8782265411478902E-2</v>
          </cell>
          <cell r="AC53">
            <v>5.8384714927304564E-2</v>
          </cell>
          <cell r="AD53">
            <v>5.5525060169742006E-2</v>
          </cell>
          <cell r="AE53">
            <v>5.5E-2</v>
          </cell>
          <cell r="AF53">
            <v>-2.6283124443929609</v>
          </cell>
          <cell r="AG53">
            <v>0.65900000000000003</v>
          </cell>
          <cell r="AH53">
            <v>1.083</v>
          </cell>
          <cell r="AI53">
            <v>2.1629999999999998</v>
          </cell>
          <cell r="AJ53">
            <v>4.1739999999999995</v>
          </cell>
          <cell r="AK53">
            <v>10.673356850000001</v>
          </cell>
          <cell r="AL53">
            <v>17.204608843500001</v>
          </cell>
          <cell r="AM53">
            <v>0.06</v>
          </cell>
          <cell r="AN53">
            <v>5.7499999999999996E-2</v>
          </cell>
          <cell r="AO53">
            <v>5.5E-2</v>
          </cell>
          <cell r="AP53">
            <v>5.5E-2</v>
          </cell>
          <cell r="AQ53">
            <v>5.5E-2</v>
          </cell>
          <cell r="AR53">
            <v>5.5E-2</v>
          </cell>
          <cell r="AS53">
            <v>5.5E-2</v>
          </cell>
          <cell r="AT53">
            <v>118.75623274285368</v>
          </cell>
          <cell r="AU53">
            <v>137.99996789561158</v>
          </cell>
          <cell r="AV53">
            <v>155.28497912651926</v>
          </cell>
          <cell r="AW53">
            <v>169.96882676403288</v>
          </cell>
        </row>
        <row r="54">
          <cell r="I54" t="str">
            <v>Cost of revenue (ex-SBC)</v>
          </cell>
          <cell r="L54">
            <v>1.3169999999999999</v>
          </cell>
          <cell r="M54">
            <v>2.319</v>
          </cell>
          <cell r="N54">
            <v>2.7930000000000001</v>
          </cell>
          <cell r="O54">
            <v>5.1669999999999998</v>
          </cell>
          <cell r="P54">
            <v>5.859</v>
          </cell>
          <cell r="Q54">
            <v>6.4779999999999998</v>
          </cell>
          <cell r="R54">
            <v>7.09</v>
          </cell>
          <cell r="S54">
            <v>12.175000000000001</v>
          </cell>
          <cell r="T54">
            <v>13.569000000000001</v>
          </cell>
          <cell r="U54">
            <v>13.675000000000001</v>
          </cell>
          <cell r="V54">
            <v>15.292999999999999</v>
          </cell>
          <cell r="W54">
            <v>21.058</v>
          </cell>
          <cell r="X54">
            <v>19.916</v>
          </cell>
          <cell r="Y54">
            <v>23.760999999999999</v>
          </cell>
          <cell r="Z54">
            <v>28.004999999999999</v>
          </cell>
          <cell r="AA54">
            <v>34.057000000000002</v>
          </cell>
          <cell r="AB54">
            <v>28.873999999999999</v>
          </cell>
          <cell r="AC54">
            <v>32.823999999999998</v>
          </cell>
          <cell r="AD54">
            <v>52.566786799999996</v>
          </cell>
          <cell r="AE54">
            <v>79.057440000000014</v>
          </cell>
          <cell r="AF54">
            <v>45.235770000000002</v>
          </cell>
          <cell r="AG54">
            <v>0.65900000000000003</v>
          </cell>
          <cell r="AH54">
            <v>0.42399999999999993</v>
          </cell>
          <cell r="AI54">
            <v>1.0799999999999998</v>
          </cell>
          <cell r="AJ54">
            <v>2.0109999999999997</v>
          </cell>
          <cell r="AK54">
            <v>6.4993568500000016</v>
          </cell>
          <cell r="AL54">
            <v>6.5312519934999997</v>
          </cell>
          <cell r="AM54">
            <v>4.9999999999999996E-2</v>
          </cell>
          <cell r="AN54">
            <v>4.7499999999999994E-2</v>
          </cell>
          <cell r="AO54">
            <v>4.4999999999999998E-2</v>
          </cell>
          <cell r="AP54">
            <v>4.4999999999999998E-2</v>
          </cell>
          <cell r="AQ54">
            <v>4.4999999999999998E-2</v>
          </cell>
          <cell r="AR54">
            <v>4.4999999999999998E-2</v>
          </cell>
          <cell r="AS54">
            <v>4.4999999999999998E-2</v>
          </cell>
          <cell r="AT54">
            <v>0.34454878048780468</v>
          </cell>
          <cell r="AU54">
            <v>0.29778082386363658</v>
          </cell>
          <cell r="AV54">
            <v>0.25819381648936179</v>
          </cell>
          <cell r="AW54">
            <v>0.22461467093749987</v>
          </cell>
        </row>
        <row r="55">
          <cell r="I55" t="str">
            <v>Period-to-period change</v>
          </cell>
          <cell r="L55" t="str">
            <v>NA</v>
          </cell>
          <cell r="M55">
            <v>1.002</v>
          </cell>
          <cell r="N55">
            <v>0.4740000000000002</v>
          </cell>
          <cell r="O55">
            <v>2.3739999999999997</v>
          </cell>
          <cell r="P55">
            <v>0.69200000000000017</v>
          </cell>
          <cell r="Q55">
            <v>0.61899999999999977</v>
          </cell>
          <cell r="R55">
            <v>0.6120000000000001</v>
          </cell>
          <cell r="S55">
            <v>5.0850000000000009</v>
          </cell>
          <cell r="T55">
            <v>1.3940000000000001</v>
          </cell>
          <cell r="U55">
            <v>0.10599999999999987</v>
          </cell>
          <cell r="V55">
            <v>1.6179999999999986</v>
          </cell>
          <cell r="W55">
            <v>5.7650000000000006</v>
          </cell>
          <cell r="X55">
            <v>-1.1419999999999995</v>
          </cell>
          <cell r="Y55">
            <v>3.8449999999999989</v>
          </cell>
          <cell r="Z55">
            <v>4.2439999999999998</v>
          </cell>
          <cell r="AA55">
            <v>6.0520000000000032</v>
          </cell>
          <cell r="AB55">
            <v>-5.1830000000000034</v>
          </cell>
          <cell r="AC55">
            <v>3.9499999999999993</v>
          </cell>
          <cell r="AD55">
            <v>19.742786799999998</v>
          </cell>
          <cell r="AE55">
            <v>26.490653200000018</v>
          </cell>
          <cell r="AF55">
            <v>-33.821670000000012</v>
          </cell>
          <cell r="AG55">
            <v>0.10491959879000161</v>
          </cell>
          <cell r="AH55">
            <v>6.6769420468557342E-2</v>
          </cell>
          <cell r="AI55">
            <v>4.5224554654177469E-2</v>
          </cell>
          <cell r="AJ55">
            <v>4.0259264260498848E-2</v>
          </cell>
          <cell r="AK55">
            <v>5.8346140118876087E-2</v>
          </cell>
          <cell r="AL55">
            <v>5.8652129916046208E-2</v>
          </cell>
          <cell r="AM55">
            <v>-100</v>
          </cell>
          <cell r="AN55">
            <v>-100</v>
          </cell>
          <cell r="AO55">
            <v>-100</v>
          </cell>
          <cell r="AP55">
            <v>-100</v>
          </cell>
          <cell r="AQ55">
            <v>-100</v>
          </cell>
          <cell r="AR55">
            <v>-100</v>
          </cell>
          <cell r="AS55">
            <v>-100</v>
          </cell>
          <cell r="AT55">
            <v>130.16587594570558</v>
          </cell>
          <cell r="AU55">
            <v>128.54453855982888</v>
          </cell>
          <cell r="AV55">
            <v>129.24447427027508</v>
          </cell>
          <cell r="AW55">
            <v>120.33591114777369</v>
          </cell>
        </row>
        <row r="56">
          <cell r="I56" t="str">
            <v>Gross margin</v>
          </cell>
          <cell r="L56">
            <v>0.19053472649047329</v>
          </cell>
          <cell r="M56">
            <v>0.3155253837072019</v>
          </cell>
          <cell r="N56">
            <v>0.31927857665123072</v>
          </cell>
          <cell r="O56">
            <v>0.27245846240495641</v>
          </cell>
          <cell r="P56">
            <v>0.33609065155807361</v>
          </cell>
          <cell r="Q56">
            <v>0.30028083819399431</v>
          </cell>
          <cell r="R56">
            <v>0.35568884042166482</v>
          </cell>
          <cell r="S56">
            <v>0.35035483698842107</v>
          </cell>
          <cell r="T56">
            <v>0.36867817428930344</v>
          </cell>
          <cell r="U56">
            <v>0.39078718759745174</v>
          </cell>
          <cell r="V56">
            <v>0.39286990352931839</v>
          </cell>
          <cell r="W56">
            <v>0.39048887087904138</v>
          </cell>
          <cell r="X56">
            <v>0.39520194351655025</v>
          </cell>
          <cell r="Y56">
            <v>0.39709725711095889</v>
          </cell>
          <cell r="Z56">
            <v>0.40875311404805137</v>
          </cell>
          <cell r="AA56">
            <v>0.41240510697032434</v>
          </cell>
          <cell r="AB56">
            <v>0.41595533799911005</v>
          </cell>
          <cell r="AC56">
            <v>0.42423126173060399</v>
          </cell>
          <cell r="AD56">
            <v>0.38000000000000006</v>
          </cell>
          <cell r="AE56">
            <v>0.37999999999999995</v>
          </cell>
          <cell r="AF56">
            <v>0.39000000000000007</v>
          </cell>
          <cell r="AG56">
            <v>0.20522209839197575</v>
          </cell>
          <cell r="AH56">
            <v>0.64339908952959024</v>
          </cell>
          <cell r="AI56">
            <v>0.99722991689750673</v>
          </cell>
          <cell r="AJ56">
            <v>0.92972723069810437</v>
          </cell>
          <cell r="AK56">
            <v>1.5571051389554391</v>
          </cell>
          <cell r="AL56">
            <v>0.6119210746242405</v>
          </cell>
          <cell r="AM56">
            <v>6.9999999999999993E-2</v>
          </cell>
          <cell r="AN56">
            <v>6.7499999999999991E-2</v>
          </cell>
          <cell r="AO56">
            <v>6.5000000000000002E-2</v>
          </cell>
          <cell r="AP56">
            <v>6.5000000000000002E-2</v>
          </cell>
          <cell r="AQ56">
            <v>6.5000000000000002E-2</v>
          </cell>
          <cell r="AR56">
            <v>6.5000000000000002E-2</v>
          </cell>
          <cell r="AS56">
            <v>6.5000000000000002E-2</v>
          </cell>
          <cell r="AT56">
            <v>0.44000000000000011</v>
          </cell>
          <cell r="AU56">
            <v>0.47000000000000014</v>
          </cell>
          <cell r="AV56">
            <v>0.50000000000000022</v>
          </cell>
          <cell r="AW56">
            <v>0.53000000000000025</v>
          </cell>
        </row>
        <row r="57">
          <cell r="I57" t="str">
            <v>% change Y/Y</v>
          </cell>
          <cell r="L57" t="str">
            <v>NA</v>
          </cell>
          <cell r="M57" t="str">
            <v>NA</v>
          </cell>
          <cell r="N57" t="str">
            <v>NA</v>
          </cell>
          <cell r="O57" t="str">
            <v>NA</v>
          </cell>
          <cell r="P57">
            <v>3.4487471526195899</v>
          </cell>
          <cell r="Q57">
            <v>1.7934454506252693</v>
          </cell>
          <cell r="R57">
            <v>1.5384890798424631</v>
          </cell>
          <cell r="S57">
            <v>1.3562995935746085</v>
          </cell>
          <cell r="T57">
            <v>1.3159242191500256</v>
          </cell>
          <cell r="U57">
            <v>1.1109910466193273</v>
          </cell>
          <cell r="V57">
            <v>1.1569816643159379</v>
          </cell>
          <cell r="W57">
            <v>0.72960985626283348</v>
          </cell>
          <cell r="X57">
            <v>0.46775738816419765</v>
          </cell>
          <cell r="Y57">
            <v>0.73755027422303465</v>
          </cell>
          <cell r="Z57">
            <v>0.8312299744981364</v>
          </cell>
          <cell r="AA57">
            <v>0.61729508975211322</v>
          </cell>
          <cell r="AB57">
            <v>0.44978911427997592</v>
          </cell>
          <cell r="AC57">
            <v>0.38142334076848616</v>
          </cell>
          <cell r="AD57">
            <v>0.87705005534725933</v>
          </cell>
          <cell r="AE57">
            <v>1.3213271867751124</v>
          </cell>
          <cell r="AF57">
            <v>0.56666100990510504</v>
          </cell>
          <cell r="AG57">
            <v>4.992</v>
          </cell>
          <cell r="AH57">
            <v>1.3229166666666665</v>
          </cell>
          <cell r="AI57">
            <v>1.7252500862366333</v>
          </cell>
          <cell r="AJ57">
            <v>1.012372634643377</v>
          </cell>
          <cell r="AK57">
            <v>0.71372836386508398</v>
          </cell>
          <cell r="AL57">
            <v>0.60275636508469543</v>
          </cell>
          <cell r="AM57">
            <v>100</v>
          </cell>
          <cell r="AN57">
            <v>100</v>
          </cell>
          <cell r="AO57">
            <v>100</v>
          </cell>
          <cell r="AP57">
            <v>100</v>
          </cell>
          <cell r="AQ57">
            <v>100</v>
          </cell>
          <cell r="AR57">
            <v>100</v>
          </cell>
          <cell r="AS57">
            <v>100</v>
          </cell>
          <cell r="AT57">
            <v>0.24553333333333338</v>
          </cell>
          <cell r="AU57">
            <v>0.19467563025210111</v>
          </cell>
          <cell r="AV57">
            <v>0.16383999999999999</v>
          </cell>
          <cell r="AW57">
            <v>0.13107200000000008</v>
          </cell>
        </row>
        <row r="58">
          <cell r="I58" t="str">
            <v>% change Q/Q</v>
          </cell>
          <cell r="L58" t="str">
            <v>NA</v>
          </cell>
          <cell r="M58">
            <v>0.76082004555808669</v>
          </cell>
          <cell r="N58">
            <v>0.2043984476067271</v>
          </cell>
          <cell r="O58">
            <v>0.84998209810239866</v>
          </cell>
          <cell r="P58">
            <v>0.13392684342945627</v>
          </cell>
          <cell r="Q58">
            <v>0.10564942823007328</v>
          </cell>
          <cell r="R58">
            <v>9.4473602963877745E-2</v>
          </cell>
          <cell r="S58">
            <v>0.71720733427362493</v>
          </cell>
          <cell r="T58">
            <v>0.11449691991786448</v>
          </cell>
          <cell r="U58">
            <v>7.811924239074397E-3</v>
          </cell>
          <cell r="V58">
            <v>0.11831809872029231</v>
          </cell>
          <cell r="W58">
            <v>0.37696985548943962</v>
          </cell>
          <cell r="X58">
            <v>-5.4231171051381866E-2</v>
          </cell>
          <cell r="Y58">
            <v>0.19306085559349251</v>
          </cell>
          <cell r="Z58">
            <v>0.17861201127898663</v>
          </cell>
          <cell r="AA58">
            <v>0.21610426709516162</v>
          </cell>
          <cell r="AB58">
            <v>-0.15218604104883005</v>
          </cell>
          <cell r="AC58">
            <v>0.13680127450301316</v>
          </cell>
          <cell r="AD58">
            <v>0.60147412868632699</v>
          </cell>
          <cell r="AE58">
            <v>0.50394278997475306</v>
          </cell>
          <cell r="AF58">
            <v>-0.4278113483057383</v>
          </cell>
          <cell r="AG58">
            <v>0.20522209839197575</v>
          </cell>
          <cell r="AH58">
            <v>0.28508014796547465</v>
          </cell>
          <cell r="AI58">
            <v>0.33925733879735714</v>
          </cell>
          <cell r="AJ58">
            <v>0.38661046702289781</v>
          </cell>
          <cell r="AK58">
            <v>0.40423352992950856</v>
          </cell>
          <cell r="AL58">
            <v>0.40451414276088071</v>
          </cell>
          <cell r="AM58">
            <v>0.06</v>
          </cell>
          <cell r="AN58">
            <v>5.7499999999999996E-2</v>
          </cell>
          <cell r="AO58">
            <v>5.5E-2</v>
          </cell>
          <cell r="AP58">
            <v>5.5E-2</v>
          </cell>
          <cell r="AQ58">
            <v>5.5E-2</v>
          </cell>
          <cell r="AR58">
            <v>5.5E-2</v>
          </cell>
          <cell r="AS58">
            <v>5.5E-2</v>
          </cell>
        </row>
        <row r="59">
          <cell r="I59" t="str">
            <v>DRIVER: Base case - Gross margin</v>
          </cell>
          <cell r="L59" t="str">
            <v>NA</v>
          </cell>
          <cell r="M59" t="str">
            <v>NA</v>
          </cell>
          <cell r="N59" t="str">
            <v>NA</v>
          </cell>
          <cell r="O59" t="str">
            <v>NA</v>
          </cell>
          <cell r="P59">
            <v>3.4487471526195899</v>
          </cell>
          <cell r="Q59">
            <v>1.7934454506252693</v>
          </cell>
          <cell r="R59">
            <v>1.5384890798424631</v>
          </cell>
          <cell r="S59">
            <v>1.3562995935746085</v>
          </cell>
          <cell r="T59">
            <v>1.3159242191500256</v>
          </cell>
          <cell r="U59">
            <v>1.1109910466193273</v>
          </cell>
          <cell r="V59">
            <v>1.1569816643159379</v>
          </cell>
          <cell r="W59">
            <v>0.72960985626283348</v>
          </cell>
          <cell r="X59">
            <v>0.46775738816419765</v>
          </cell>
          <cell r="Y59">
            <v>0.73755027422303465</v>
          </cell>
          <cell r="Z59">
            <v>0.8312299744981364</v>
          </cell>
          <cell r="AA59">
            <v>0.05</v>
          </cell>
          <cell r="AB59">
            <v>0.41</v>
          </cell>
          <cell r="AC59">
            <v>0.41</v>
          </cell>
          <cell r="AD59">
            <v>0.38</v>
          </cell>
          <cell r="AE59">
            <v>0.38</v>
          </cell>
          <cell r="AF59">
            <v>0.39</v>
          </cell>
          <cell r="AG59">
            <v>0.39</v>
          </cell>
          <cell r="AH59">
            <v>0.39</v>
          </cell>
          <cell r="AI59">
            <v>0.39</v>
          </cell>
          <cell r="AJ59">
            <v>1.012372634643377</v>
          </cell>
          <cell r="AK59">
            <v>0.71372836386508398</v>
          </cell>
          <cell r="AL59">
            <v>0.60275636508469543</v>
          </cell>
          <cell r="AM59">
            <v>0.39</v>
          </cell>
          <cell r="AN59">
            <v>0.39500000000000002</v>
          </cell>
          <cell r="AO59">
            <v>0.4</v>
          </cell>
          <cell r="AP59">
            <v>0.40500000000000003</v>
          </cell>
          <cell r="AQ59">
            <v>0.41</v>
          </cell>
          <cell r="AR59">
            <v>0.39500000000000002</v>
          </cell>
          <cell r="AS59">
            <v>0.4</v>
          </cell>
          <cell r="AT59">
            <v>0.40500000000000003</v>
          </cell>
          <cell r="AU59">
            <v>0.41</v>
          </cell>
          <cell r="AV59">
            <v>0.41</v>
          </cell>
          <cell r="AW59">
            <v>0.41</v>
          </cell>
        </row>
        <row r="60">
          <cell r="I60" t="str">
            <v>Bull case</v>
          </cell>
          <cell r="L60" t="str">
            <v>NA</v>
          </cell>
          <cell r="M60">
            <v>0.76082004555808669</v>
          </cell>
          <cell r="N60">
            <v>0.2043984476067271</v>
          </cell>
          <cell r="O60">
            <v>0.84998209810239866</v>
          </cell>
          <cell r="P60">
            <v>0.13392684342945627</v>
          </cell>
          <cell r="Q60">
            <v>0.10564942823007328</v>
          </cell>
          <cell r="R60">
            <v>9.4473602963877745E-2</v>
          </cell>
          <cell r="S60">
            <v>0.71720733427362493</v>
          </cell>
          <cell r="T60">
            <v>0.11449691991786448</v>
          </cell>
          <cell r="U60">
            <v>7.811924239074397E-3</v>
          </cell>
          <cell r="V60">
            <v>0.11831809872029231</v>
          </cell>
          <cell r="W60">
            <v>0.37696985548943962</v>
          </cell>
          <cell r="X60">
            <v>-5.4231171051381866E-2</v>
          </cell>
          <cell r="Y60">
            <v>0.19306085559349251</v>
          </cell>
          <cell r="Z60">
            <v>0.17861201127898663</v>
          </cell>
          <cell r="AA60">
            <v>-50</v>
          </cell>
          <cell r="AB60">
            <v>0.41249999999999998</v>
          </cell>
          <cell r="AC60">
            <v>0.41249999999999998</v>
          </cell>
          <cell r="AD60">
            <v>0.38500000000000001</v>
          </cell>
          <cell r="AE60">
            <v>0.38500000000000001</v>
          </cell>
          <cell r="AF60">
            <v>0.39500000000000002</v>
          </cell>
          <cell r="AG60">
            <v>0.39500000000000002</v>
          </cell>
          <cell r="AH60">
            <v>0.39500000000000002</v>
          </cell>
          <cell r="AI60">
            <v>0.39500000000000002</v>
          </cell>
          <cell r="AM60">
            <v>0.39500000000000002</v>
          </cell>
          <cell r="AN60">
            <v>0.4</v>
          </cell>
          <cell r="AO60">
            <v>0.40500000000000003</v>
          </cell>
          <cell r="AP60">
            <v>0.41000000000000003</v>
          </cell>
          <cell r="AQ60">
            <v>0.41499999999999998</v>
          </cell>
          <cell r="AR60">
            <v>0.4</v>
          </cell>
          <cell r="AS60">
            <v>0.40500000000000003</v>
          </cell>
          <cell r="AT60">
            <v>0.41000000000000003</v>
          </cell>
          <cell r="AU60">
            <v>0.41499999999999998</v>
          </cell>
          <cell r="AV60">
            <v>0.41499999999999998</v>
          </cell>
          <cell r="AW60">
            <v>0.41499999999999998</v>
          </cell>
        </row>
        <row r="61">
          <cell r="I61" t="str">
            <v>Bull case spread - bps</v>
          </cell>
          <cell r="L61">
            <v>1.4159999999999999</v>
          </cell>
          <cell r="M61">
            <v>1.4710000000000001</v>
          </cell>
          <cell r="N61">
            <v>1.585</v>
          </cell>
          <cell r="O61">
            <v>1.7529999999999999</v>
          </cell>
          <cell r="P61">
            <v>2.2229999999999999</v>
          </cell>
          <cell r="Q61">
            <v>2.3969999999999998</v>
          </cell>
          <cell r="R61">
            <v>2.6469999999999998</v>
          </cell>
          <cell r="S61">
            <v>4.9960000000000004</v>
          </cell>
          <cell r="T61">
            <v>3.8319999999999999</v>
          </cell>
          <cell r="U61">
            <v>4.5330000000000004</v>
          </cell>
          <cell r="V61">
            <v>5.21</v>
          </cell>
          <cell r="W61">
            <v>7.0510000000000002</v>
          </cell>
          <cell r="X61">
            <v>8.0560000000000009</v>
          </cell>
          <cell r="Y61">
            <v>8.81</v>
          </cell>
          <cell r="Z61">
            <v>9.5879999999999992</v>
          </cell>
          <cell r="AA61">
            <v>0.06</v>
          </cell>
          <cell r="AB61">
            <v>25</v>
          </cell>
          <cell r="AC61">
            <v>25</v>
          </cell>
          <cell r="AD61">
            <v>50</v>
          </cell>
          <cell r="AE61">
            <v>50</v>
          </cell>
          <cell r="AF61">
            <v>50</v>
          </cell>
          <cell r="AG61">
            <v>5.577</v>
          </cell>
          <cell r="AH61">
            <v>6.2249999999999996</v>
          </cell>
          <cell r="AI61">
            <v>12.263</v>
          </cell>
          <cell r="AJ61">
            <v>20.625999999999998</v>
          </cell>
          <cell r="AK61">
            <v>38.782810650000002</v>
          </cell>
          <cell r="AL61">
            <v>47.138116321000005</v>
          </cell>
          <cell r="AM61">
            <v>6.9999999999999993E-2</v>
          </cell>
          <cell r="AN61">
            <v>6.7499999999999991E-2</v>
          </cell>
          <cell r="AO61">
            <v>6.5000000000000002E-2</v>
          </cell>
          <cell r="AP61">
            <v>6.5000000000000002E-2</v>
          </cell>
          <cell r="AQ61">
            <v>6.5000000000000002E-2</v>
          </cell>
          <cell r="AR61">
            <v>6.5000000000000002E-2</v>
          </cell>
          <cell r="AS61">
            <v>6.5000000000000002E-2</v>
          </cell>
          <cell r="AT61">
            <v>50</v>
          </cell>
          <cell r="AU61">
            <v>50</v>
          </cell>
          <cell r="AV61">
            <v>50</v>
          </cell>
          <cell r="AW61">
            <v>50</v>
          </cell>
        </row>
        <row r="62">
          <cell r="I62" t="str">
            <v>Bear case</v>
          </cell>
          <cell r="L62" t="str">
            <v>NA</v>
          </cell>
          <cell r="M62">
            <v>5.500000000000016E-2</v>
          </cell>
          <cell r="N62">
            <v>0.11399999999999988</v>
          </cell>
          <cell r="O62">
            <v>0.16799999999999993</v>
          </cell>
          <cell r="P62">
            <v>0.47</v>
          </cell>
          <cell r="Q62">
            <v>0.17399999999999993</v>
          </cell>
          <cell r="R62">
            <v>0.25</v>
          </cell>
          <cell r="S62">
            <v>2.3490000000000006</v>
          </cell>
          <cell r="T62">
            <v>-1.1640000000000006</v>
          </cell>
          <cell r="U62">
            <v>0.70100000000000051</v>
          </cell>
          <cell r="V62">
            <v>0.6769999999999996</v>
          </cell>
          <cell r="W62">
            <v>1.8410000000000002</v>
          </cell>
          <cell r="X62">
            <v>1.0050000000000008</v>
          </cell>
          <cell r="Y62">
            <v>0.75399999999999956</v>
          </cell>
          <cell r="Z62">
            <v>0.77799999999999869</v>
          </cell>
          <cell r="AA62">
            <v>50</v>
          </cell>
          <cell r="AB62">
            <v>0.40499999999999997</v>
          </cell>
          <cell r="AC62">
            <v>0.40499999999999997</v>
          </cell>
          <cell r="AD62">
            <v>0.37</v>
          </cell>
          <cell r="AE62">
            <v>0.37</v>
          </cell>
          <cell r="AF62">
            <v>0.38</v>
          </cell>
          <cell r="AG62">
            <v>5.577</v>
          </cell>
          <cell r="AH62">
            <v>0.64799999999999969</v>
          </cell>
          <cell r="AI62">
            <v>6.0380000000000003</v>
          </cell>
          <cell r="AJ62">
            <v>8.3629999999999978</v>
          </cell>
          <cell r="AK62">
            <v>18.156810650000004</v>
          </cell>
          <cell r="AL62">
            <v>8.3553056710000035</v>
          </cell>
          <cell r="AM62">
            <v>100</v>
          </cell>
          <cell r="AN62">
            <v>100</v>
          </cell>
          <cell r="AO62">
            <v>100</v>
          </cell>
          <cell r="AP62">
            <v>100</v>
          </cell>
          <cell r="AQ62">
            <v>100</v>
          </cell>
          <cell r="AR62">
            <v>100</v>
          </cell>
          <cell r="AS62">
            <v>100</v>
          </cell>
          <cell r="AT62">
            <v>0.39500000000000002</v>
          </cell>
          <cell r="AU62">
            <v>0.39999999999999997</v>
          </cell>
          <cell r="AV62">
            <v>0.39999999999999997</v>
          </cell>
          <cell r="AW62">
            <v>0.39999999999999997</v>
          </cell>
        </row>
        <row r="63">
          <cell r="I63" t="str">
            <v>Bear case spread - bps</v>
          </cell>
          <cell r="L63">
            <v>0.87031346035648427</v>
          </cell>
          <cell r="M63">
            <v>0.43417945690672965</v>
          </cell>
          <cell r="N63">
            <v>0.38630270533755789</v>
          </cell>
          <cell r="O63">
            <v>0.2468318783441284</v>
          </cell>
          <cell r="P63">
            <v>0.25189801699716713</v>
          </cell>
          <cell r="Q63">
            <v>0.2589112119248218</v>
          </cell>
          <cell r="R63">
            <v>0.24054889131225007</v>
          </cell>
          <cell r="S63">
            <v>0.26658129235366312</v>
          </cell>
          <cell r="T63">
            <v>0.17829060624389337</v>
          </cell>
          <cell r="U63">
            <v>0.2019423530984096</v>
          </cell>
          <cell r="V63">
            <v>0.20683631744015243</v>
          </cell>
          <cell r="W63">
            <v>0.20408694897102667</v>
          </cell>
          <cell r="X63">
            <v>0.2446401457637413</v>
          </cell>
          <cell r="Y63">
            <v>0.22354165080815003</v>
          </cell>
          <cell r="Z63">
            <v>0.20242367943250431</v>
          </cell>
          <cell r="AA63">
            <v>5.5E-2</v>
          </cell>
          <cell r="AB63">
            <v>-50</v>
          </cell>
          <cell r="AC63">
            <v>-50</v>
          </cell>
          <cell r="AD63">
            <v>-100</v>
          </cell>
          <cell r="AE63">
            <v>-100</v>
          </cell>
          <cell r="AF63">
            <v>-100</v>
          </cell>
          <cell r="AG63">
            <v>0.88791593695271454</v>
          </cell>
          <cell r="AH63">
            <v>0.38378545006165227</v>
          </cell>
          <cell r="AI63">
            <v>0.2563979259011458</v>
          </cell>
          <cell r="AJ63">
            <v>0.19894288084260883</v>
          </cell>
          <cell r="AK63">
            <v>0.21200708794710069</v>
          </cell>
          <cell r="AL63">
            <v>0.16069827263184361</v>
          </cell>
          <cell r="AM63">
            <v>0.06</v>
          </cell>
          <cell r="AN63">
            <v>5.7499999999999996E-2</v>
          </cell>
          <cell r="AO63">
            <v>5.5E-2</v>
          </cell>
          <cell r="AP63">
            <v>5.5E-2</v>
          </cell>
          <cell r="AQ63">
            <v>5.5E-2</v>
          </cell>
          <cell r="AR63">
            <v>5.5E-2</v>
          </cell>
          <cell r="AS63">
            <v>5.5E-2</v>
          </cell>
          <cell r="AT63">
            <v>175.2079652827733</v>
          </cell>
          <cell r="AU63">
            <v>228.55749567797943</v>
          </cell>
          <cell r="AV63">
            <v>273.83912639942929</v>
          </cell>
          <cell r="AW63">
            <v>316.1445775796991</v>
          </cell>
        </row>
        <row r="64">
          <cell r="I64" t="str">
            <v>SCENARIO OUTPUT</v>
          </cell>
          <cell r="L64" t="str">
            <v>NA</v>
          </cell>
          <cell r="M64" t="str">
            <v>NA</v>
          </cell>
          <cell r="N64" t="str">
            <v>NA</v>
          </cell>
          <cell r="O64" t="str">
            <v>NA</v>
          </cell>
          <cell r="P64">
            <v>0.56991525423728806</v>
          </cell>
          <cell r="Q64">
            <v>0.62950373895309286</v>
          </cell>
          <cell r="R64">
            <v>0.67003154574132484</v>
          </cell>
          <cell r="S64">
            <v>1.8499714774671996</v>
          </cell>
          <cell r="T64">
            <v>0.72379667116509228</v>
          </cell>
          <cell r="U64">
            <v>0.89111389236545713</v>
          </cell>
          <cell r="V64">
            <v>0.96826596146581045</v>
          </cell>
          <cell r="W64">
            <v>0.41132906325060037</v>
          </cell>
          <cell r="X64">
            <v>1.1022964509394577</v>
          </cell>
          <cell r="Y64">
            <v>0.94352525921023611</v>
          </cell>
          <cell r="Z64">
            <v>0.84030710172744705</v>
          </cell>
          <cell r="AA64">
            <v>0.74851945114168217</v>
          </cell>
          <cell r="AB64">
            <v>0.41</v>
          </cell>
          <cell r="AC64">
            <v>0.41</v>
          </cell>
          <cell r="AD64">
            <v>0.38</v>
          </cell>
          <cell r="AE64">
            <v>0.38</v>
          </cell>
          <cell r="AF64">
            <v>0.39</v>
          </cell>
          <cell r="AG64">
            <v>0.39</v>
          </cell>
          <cell r="AH64">
            <v>0.11619150080688545</v>
          </cell>
          <cell r="AI64">
            <v>0.9699598393574298</v>
          </cell>
          <cell r="AJ64">
            <v>0.68197015412215589</v>
          </cell>
          <cell r="AK64">
            <v>0.88028753272568627</v>
          </cell>
          <cell r="AL64">
            <v>0.2154383741396011</v>
          </cell>
          <cell r="AM64">
            <v>2.6768970802888425E-2</v>
          </cell>
          <cell r="AN64">
            <v>0.22636363636363632</v>
          </cell>
          <cell r="AO64">
            <v>0.12842105263157877</v>
          </cell>
          <cell r="AP64">
            <v>2.375000000000016E-2</v>
          </cell>
          <cell r="AQ64">
            <v>0.20500000000000007</v>
          </cell>
          <cell r="AR64">
            <v>0.14999999999999991</v>
          </cell>
          <cell r="AS64">
            <v>9.4999999999999973E-2</v>
          </cell>
          <cell r="AT64">
            <v>0.1663505589152772</v>
          </cell>
          <cell r="AU64">
            <v>0.1786116225876935</v>
          </cell>
          <cell r="AV64">
            <v>0.18093990067782262</v>
          </cell>
          <cell r="AW64">
            <v>0.18081355771912258</v>
          </cell>
        </row>
        <row r="65">
          <cell r="I65" t="str">
            <v>% change Q/Q</v>
          </cell>
          <cell r="L65" t="str">
            <v>NA</v>
          </cell>
          <cell r="M65">
            <v>3.8841807909604675E-2</v>
          </cell>
          <cell r="N65">
            <v>7.7498300475866699E-2</v>
          </cell>
          <cell r="O65">
            <v>0.10599369085173493</v>
          </cell>
          <cell r="P65">
            <v>0.26811180832857961</v>
          </cell>
          <cell r="Q65">
            <v>7.8272604588394135E-2</v>
          </cell>
          <cell r="R65">
            <v>0.10429703796412193</v>
          </cell>
          <cell r="S65">
            <v>0.88741972043823236</v>
          </cell>
          <cell r="T65">
            <v>-0.23298638911128911</v>
          </cell>
          <cell r="U65">
            <v>0.18293319415448872</v>
          </cell>
          <cell r="V65">
            <v>0.14934921685418034</v>
          </cell>
          <cell r="W65">
            <v>0.35335892514395395</v>
          </cell>
          <cell r="X65">
            <v>0.14253297404623466</v>
          </cell>
          <cell r="Y65">
            <v>9.3594836146971172E-2</v>
          </cell>
          <cell r="Z65">
            <v>8.8308740068104186E-2</v>
          </cell>
          <cell r="AA65">
            <v>0.28585843241551956</v>
          </cell>
          <cell r="AB65">
            <v>-9.1599885995491404E-2</v>
          </cell>
          <cell r="AC65">
            <v>4.5142579222112955E-2</v>
          </cell>
          <cell r="AD65">
            <v>1.0037242845342131E-2</v>
          </cell>
          <cell r="AE65">
            <v>4.9773436510366142E-2</v>
          </cell>
          <cell r="AM65">
            <v>-200</v>
          </cell>
          <cell r="AN65">
            <v>-200</v>
          </cell>
          <cell r="AO65">
            <v>-200</v>
          </cell>
          <cell r="AP65">
            <v>-200</v>
          </cell>
          <cell r="AQ65">
            <v>-200</v>
          </cell>
          <cell r="AR65">
            <v>-200</v>
          </cell>
          <cell r="AS65">
            <v>-200</v>
          </cell>
        </row>
        <row r="66">
          <cell r="I66" t="str">
            <v>DRIVER: Base case - % of revenue</v>
          </cell>
          <cell r="L66">
            <v>1.4159999999999999</v>
          </cell>
          <cell r="M66">
            <v>1.4710000000000001</v>
          </cell>
          <cell r="N66">
            <v>1.585</v>
          </cell>
          <cell r="O66">
            <v>1.7529999999999999</v>
          </cell>
          <cell r="P66">
            <v>2.2229999999999999</v>
          </cell>
          <cell r="Q66">
            <v>2.3969999999999998</v>
          </cell>
          <cell r="R66">
            <v>2.6469999999999998</v>
          </cell>
          <cell r="S66">
            <v>4.9960000000000004</v>
          </cell>
          <cell r="T66">
            <v>3.8319999999999999</v>
          </cell>
          <cell r="U66">
            <v>4.5330000000000004</v>
          </cell>
          <cell r="V66">
            <v>5.21</v>
          </cell>
          <cell r="W66">
            <v>7.0510000000000002</v>
          </cell>
          <cell r="X66">
            <v>8.0560000000000009</v>
          </cell>
          <cell r="Y66">
            <v>8.81</v>
          </cell>
          <cell r="Z66">
            <v>9.5879999999999992</v>
          </cell>
          <cell r="AA66">
            <v>0.19500000000000001</v>
          </cell>
          <cell r="AB66">
            <v>0.19</v>
          </cell>
          <cell r="AC66">
            <v>0.18</v>
          </cell>
          <cell r="AD66">
            <v>0.16</v>
          </cell>
          <cell r="AE66">
            <v>0.13</v>
          </cell>
          <cell r="AF66">
            <v>5.4966100000000013</v>
          </cell>
          <cell r="AG66">
            <v>5.577</v>
          </cell>
          <cell r="AH66">
            <v>6.2249999999999996</v>
          </cell>
          <cell r="AI66">
            <v>12.263</v>
          </cell>
          <cell r="AJ66">
            <v>20.625999999999998</v>
          </cell>
          <cell r="AK66">
            <v>38.782810650000002</v>
          </cell>
          <cell r="AL66">
            <v>47.138116321000005</v>
          </cell>
          <cell r="AM66">
            <v>0.11</v>
          </cell>
          <cell r="AN66">
            <v>9.5000000000000001E-2</v>
          </cell>
          <cell r="AO66">
            <v>0.08</v>
          </cell>
          <cell r="AP66">
            <v>6.5000000000000002E-2</v>
          </cell>
          <cell r="AQ66">
            <v>6.5000000000000002E-2</v>
          </cell>
          <cell r="AR66">
            <v>6.5000000000000002E-2</v>
          </cell>
          <cell r="AS66">
            <v>6.5000000000000002E-2</v>
          </cell>
          <cell r="AT66">
            <v>179.10887426779627</v>
          </cell>
          <cell r="AU66">
            <v>233.29688066865194</v>
          </cell>
          <cell r="AV66">
            <v>279.44440739530233</v>
          </cell>
          <cell r="AW66">
            <v>322.6203411101456</v>
          </cell>
        </row>
        <row r="67">
          <cell r="I67" t="str">
            <v>Sales and marketing (ex-SBC)</v>
          </cell>
          <cell r="L67">
            <v>0.73399999999999999</v>
          </cell>
          <cell r="M67">
            <v>1.0569999999999999</v>
          </cell>
          <cell r="N67">
            <v>1.0720000000000001</v>
          </cell>
          <cell r="O67">
            <v>1.647</v>
          </cell>
          <cell r="P67">
            <v>2.0019999999999998</v>
          </cell>
          <cell r="Q67">
            <v>1.9119999999999999</v>
          </cell>
          <cell r="R67">
            <v>1.9810000000000001</v>
          </cell>
          <cell r="S67">
            <v>2.4849999999999999</v>
          </cell>
          <cell r="T67">
            <v>3.3689999999999998</v>
          </cell>
          <cell r="U67">
            <v>3.5419999999999998</v>
          </cell>
          <cell r="V67">
            <v>3.1539999999999999</v>
          </cell>
          <cell r="W67">
            <v>4.0590000000000002</v>
          </cell>
          <cell r="X67">
            <v>4.5999999999999996</v>
          </cell>
          <cell r="Y67">
            <v>5.9139999999999997</v>
          </cell>
          <cell r="Z67">
            <v>5.6360000000000001</v>
          </cell>
          <cell r="AA67">
            <v>6.6630000000000003</v>
          </cell>
          <cell r="AB67">
            <v>7.9219999999999997</v>
          </cell>
          <cell r="AC67">
            <v>8.1240000000000006</v>
          </cell>
          <cell r="AD67">
            <v>11.0220682</v>
          </cell>
          <cell r="AE67">
            <v>14.026320000000002</v>
          </cell>
          <cell r="AF67">
            <v>8.1572700000000005</v>
          </cell>
          <cell r="AG67">
            <v>5.577</v>
          </cell>
          <cell r="AH67">
            <v>0.64799999999999969</v>
          </cell>
          <cell r="AI67">
            <v>6.0380000000000003</v>
          </cell>
          <cell r="AJ67">
            <v>8.3629999999999978</v>
          </cell>
          <cell r="AK67">
            <v>18.156810650000004</v>
          </cell>
          <cell r="AL67">
            <v>8.3553056710000035</v>
          </cell>
          <cell r="AM67">
            <v>0.1</v>
          </cell>
          <cell r="AN67">
            <v>8.5000000000000006E-2</v>
          </cell>
          <cell r="AO67">
            <v>7.0000000000000007E-2</v>
          </cell>
          <cell r="AP67">
            <v>5.5E-2</v>
          </cell>
          <cell r="AQ67">
            <v>5.5E-2</v>
          </cell>
          <cell r="AR67">
            <v>5.5E-2</v>
          </cell>
          <cell r="AS67">
            <v>5.5E-2</v>
          </cell>
          <cell r="AT67">
            <v>0.39347683125167032</v>
          </cell>
          <cell r="AU67">
            <v>0.30254227559844948</v>
          </cell>
          <cell r="AV67">
            <v>0.19780601692738897</v>
          </cell>
          <cell r="AW67">
            <v>0.15450634391750961</v>
          </cell>
        </row>
        <row r="68">
          <cell r="I68" t="str">
            <v>Period-to-period change</v>
          </cell>
          <cell r="L68" t="str">
            <v>NA</v>
          </cell>
          <cell r="M68">
            <v>0.32299999999999995</v>
          </cell>
          <cell r="N68">
            <v>1.5000000000000124E-2</v>
          </cell>
          <cell r="O68">
            <v>0.57499999999999996</v>
          </cell>
          <cell r="P68">
            <v>0.35499999999999976</v>
          </cell>
          <cell r="Q68">
            <v>-8.9999999999999858E-2</v>
          </cell>
          <cell r="R68">
            <v>6.9000000000000172E-2</v>
          </cell>
          <cell r="S68">
            <v>0.50399999999999978</v>
          </cell>
          <cell r="T68">
            <v>0.8839999999999999</v>
          </cell>
          <cell r="U68">
            <v>0.17300000000000004</v>
          </cell>
          <cell r="V68">
            <v>-0.3879999999999999</v>
          </cell>
          <cell r="W68">
            <v>0.90500000000000025</v>
          </cell>
          <cell r="X68">
            <v>0.54099999999999948</v>
          </cell>
          <cell r="Y68">
            <v>1.3140000000000001</v>
          </cell>
          <cell r="Z68">
            <v>-0.27799999999999958</v>
          </cell>
          <cell r="AA68">
            <v>1.0270000000000001</v>
          </cell>
          <cell r="AB68">
            <v>1.2589999999999995</v>
          </cell>
          <cell r="AC68">
            <v>0.20200000000000085</v>
          </cell>
          <cell r="AD68">
            <v>2.8980681999999991</v>
          </cell>
          <cell r="AE68">
            <v>3.0042518000000022</v>
          </cell>
          <cell r="AF68">
            <v>-5.8690500000000014</v>
          </cell>
          <cell r="AG68">
            <v>0.88791593695271454</v>
          </cell>
          <cell r="AH68">
            <v>0.38378545006165227</v>
          </cell>
          <cell r="AI68">
            <v>0.2563979259011458</v>
          </cell>
          <cell r="AJ68">
            <v>0.19894288084260883</v>
          </cell>
          <cell r="AK68">
            <v>0.21200708794710069</v>
          </cell>
          <cell r="AL68">
            <v>0.16069827263184361</v>
          </cell>
          <cell r="AM68">
            <v>-100</v>
          </cell>
          <cell r="AN68">
            <v>-100</v>
          </cell>
          <cell r="AO68">
            <v>-100</v>
          </cell>
          <cell r="AP68">
            <v>-100</v>
          </cell>
          <cell r="AQ68">
            <v>-100</v>
          </cell>
          <cell r="AR68">
            <v>-100</v>
          </cell>
          <cell r="AS68">
            <v>-100</v>
          </cell>
          <cell r="AT68">
            <v>14.808444751900794</v>
          </cell>
          <cell r="AU68">
            <v>19.318524477255849</v>
          </cell>
          <cell r="AV68">
            <v>18.619966632158267</v>
          </cell>
          <cell r="AW68">
            <v>17.336529572136868</v>
          </cell>
        </row>
        <row r="69">
          <cell r="I69" t="str">
            <v>% of revenue</v>
          </cell>
          <cell r="L69">
            <v>0.45113706207744314</v>
          </cell>
          <cell r="M69">
            <v>0.31198347107438018</v>
          </cell>
          <cell r="N69">
            <v>0.26127223982451869</v>
          </cell>
          <cell r="O69">
            <v>0.23190650520980005</v>
          </cell>
          <cell r="P69">
            <v>0.22685552407932011</v>
          </cell>
          <cell r="Q69">
            <v>0.20652408727586952</v>
          </cell>
          <cell r="R69">
            <v>0.18002544529262088</v>
          </cell>
          <cell r="S69">
            <v>0.1325969798836775</v>
          </cell>
          <cell r="T69">
            <v>0.15674870888196157</v>
          </cell>
          <cell r="U69">
            <v>0.15779391455428343</v>
          </cell>
          <cell r="V69">
            <v>0.12521338679582358</v>
          </cell>
          <cell r="W69">
            <v>0.11748531071811051</v>
          </cell>
          <cell r="X69">
            <v>0.13969025204980259</v>
          </cell>
          <cell r="Y69">
            <v>0.15005962802263326</v>
          </cell>
          <cell r="Z69">
            <v>0.11898830384664105</v>
          </cell>
          <cell r="AA69">
            <v>0.11495859213250517</v>
          </cell>
          <cell r="AB69">
            <v>0.16024111007726849</v>
          </cell>
          <cell r="AC69">
            <v>0.14250381518707572</v>
          </cell>
          <cell r="AD69">
            <v>0.13</v>
          </cell>
          <cell r="AE69">
            <v>0.11</v>
          </cell>
          <cell r="AF69">
            <v>0.10999999999999999</v>
          </cell>
          <cell r="AG69">
            <v>0.54816112084063051</v>
          </cell>
          <cell r="AH69">
            <v>0.11619150080688545</v>
          </cell>
          <cell r="AI69">
            <v>0.9699598393574298</v>
          </cell>
          <cell r="AJ69">
            <v>0.68197015412215589</v>
          </cell>
          <cell r="AK69">
            <v>0.88028753272568627</v>
          </cell>
          <cell r="AL69">
            <v>0.2154383741396011</v>
          </cell>
          <cell r="AM69">
            <v>0.12</v>
          </cell>
          <cell r="AN69">
            <v>0.105</v>
          </cell>
          <cell r="AO69">
            <v>0.09</v>
          </cell>
          <cell r="AP69">
            <v>7.4999999999999997E-2</v>
          </cell>
          <cell r="AQ69">
            <v>7.4999999999999997E-2</v>
          </cell>
          <cell r="AR69">
            <v>7.4999999999999997E-2</v>
          </cell>
          <cell r="AS69">
            <v>7.4999999999999997E-2</v>
          </cell>
          <cell r="AT69">
            <v>0.17005426261898088</v>
          </cell>
          <cell r="AU69">
            <v>0.18231532629139721</v>
          </cell>
          <cell r="AV69">
            <v>0.18464360438152633</v>
          </cell>
          <cell r="AW69">
            <v>0.18451726142282629</v>
          </cell>
        </row>
        <row r="70">
          <cell r="I70" t="str">
            <v>% change Y/Y</v>
          </cell>
          <cell r="L70" t="str">
            <v>NA</v>
          </cell>
          <cell r="M70" t="str">
            <v>NA</v>
          </cell>
          <cell r="N70" t="str">
            <v>NA</v>
          </cell>
          <cell r="O70" t="str">
            <v>NA</v>
          </cell>
          <cell r="P70">
            <v>1.7275204359673024</v>
          </cell>
          <cell r="Q70">
            <v>0.80889309366130568</v>
          </cell>
          <cell r="R70">
            <v>0.84794776119402981</v>
          </cell>
          <cell r="S70">
            <v>0.50880388585306613</v>
          </cell>
          <cell r="T70">
            <v>0.68281718281718295</v>
          </cell>
          <cell r="U70">
            <v>0.85251046025104604</v>
          </cell>
          <cell r="V70">
            <v>0.59212518929833413</v>
          </cell>
          <cell r="W70">
            <v>0.63340040241448703</v>
          </cell>
          <cell r="X70">
            <v>0.36539032353814194</v>
          </cell>
          <cell r="Y70">
            <v>0.66967814793901748</v>
          </cell>
          <cell r="Z70">
            <v>0.7869372225745086</v>
          </cell>
          <cell r="AA70">
            <v>0.64153732446415379</v>
          </cell>
          <cell r="AB70">
            <v>0.72217391304347833</v>
          </cell>
          <cell r="AC70">
            <v>0.37368955021981765</v>
          </cell>
          <cell r="AD70">
            <v>0.95565440028388915</v>
          </cell>
          <cell r="AE70">
            <v>1.1051058081945073</v>
          </cell>
          <cell r="AF70">
            <v>2.9698308507952742E-2</v>
          </cell>
          <cell r="AG70">
            <v>3.4430000000000001</v>
          </cell>
          <cell r="AH70">
            <v>0.30990415335463251</v>
          </cell>
          <cell r="AI70">
            <v>0.85809312638580915</v>
          </cell>
          <cell r="AJ70">
            <v>0.68544152744630082</v>
          </cell>
          <cell r="AK70">
            <v>0.63584775559331641</v>
          </cell>
          <cell r="AL70">
            <v>0.59970547209161063</v>
          </cell>
          <cell r="AM70">
            <v>100</v>
          </cell>
          <cell r="AN70">
            <v>100</v>
          </cell>
          <cell r="AO70">
            <v>100</v>
          </cell>
          <cell r="AP70">
            <v>100</v>
          </cell>
          <cell r="AQ70">
            <v>100</v>
          </cell>
          <cell r="AR70">
            <v>100</v>
          </cell>
          <cell r="AS70">
            <v>100</v>
          </cell>
          <cell r="AT70">
            <v>0.23790785595283878</v>
          </cell>
          <cell r="AU70">
            <v>0.23935845349289209</v>
          </cell>
          <cell r="AV70">
            <v>0.19738717424233665</v>
          </cell>
          <cell r="AW70">
            <v>0.18370370370370359</v>
          </cell>
        </row>
        <row r="71">
          <cell r="I71" t="str">
            <v>% change Q/Q</v>
          </cell>
          <cell r="L71" t="str">
            <v>NA</v>
          </cell>
          <cell r="M71">
            <v>0.44005449591280654</v>
          </cell>
          <cell r="N71">
            <v>1.4191106906338735E-2</v>
          </cell>
          <cell r="O71">
            <v>0.53638059701492535</v>
          </cell>
          <cell r="P71">
            <v>0.21554341226472351</v>
          </cell>
          <cell r="Q71">
            <v>-4.4955044955044876E-2</v>
          </cell>
          <cell r="R71">
            <v>3.608786610878667E-2</v>
          </cell>
          <cell r="S71">
            <v>0.25441696113074186</v>
          </cell>
          <cell r="T71">
            <v>0.35573440643863186</v>
          </cell>
          <cell r="U71">
            <v>5.1350549124369316E-2</v>
          </cell>
          <cell r="V71">
            <v>-0.10954263128176167</v>
          </cell>
          <cell r="W71">
            <v>0.2869372225745086</v>
          </cell>
          <cell r="X71">
            <v>0.13328406011332827</v>
          </cell>
          <cell r="Y71">
            <v>0.28565217391304354</v>
          </cell>
          <cell r="Z71">
            <v>-4.7007101792357009E-2</v>
          </cell>
          <cell r="AA71">
            <v>0.18222143364088006</v>
          </cell>
          <cell r="AB71">
            <v>0.18895392465856209</v>
          </cell>
          <cell r="AC71">
            <v>2.5498611461752141E-2</v>
          </cell>
          <cell r="AD71">
            <v>0.35672922205809932</v>
          </cell>
          <cell r="AE71">
            <v>0.27256697613248315</v>
          </cell>
          <cell r="AF71">
            <v>-0.41843120647468479</v>
          </cell>
          <cell r="AG71">
            <v>0.54816112084063051</v>
          </cell>
          <cell r="AH71">
            <v>0.27805178791615293</v>
          </cell>
          <cell r="AI71">
            <v>0.17521117337124698</v>
          </cell>
          <cell r="AJ71">
            <v>0.13622947973533439</v>
          </cell>
          <cell r="AK71">
            <v>0.12630242592767013</v>
          </cell>
          <cell r="AL71">
            <v>0.12600262896652539</v>
          </cell>
          <cell r="AM71">
            <v>0.11</v>
          </cell>
          <cell r="AN71">
            <v>9.5000000000000001E-2</v>
          </cell>
          <cell r="AO71">
            <v>0.08</v>
          </cell>
          <cell r="AP71">
            <v>6.5000000000000002E-2</v>
          </cell>
          <cell r="AQ71">
            <v>6.5000000000000002E-2</v>
          </cell>
          <cell r="AR71">
            <v>6.5000000000000002E-2</v>
          </cell>
          <cell r="AS71">
            <v>6.5000000000000002E-2</v>
          </cell>
        </row>
        <row r="72">
          <cell r="I72" t="str">
            <v>DRIVER: Base case - % of revenue</v>
          </cell>
          <cell r="L72" t="str">
            <v>NA</v>
          </cell>
          <cell r="M72" t="str">
            <v>NA</v>
          </cell>
          <cell r="N72" t="str">
            <v>NA</v>
          </cell>
          <cell r="O72" t="str">
            <v>NA</v>
          </cell>
          <cell r="P72">
            <v>1.7275204359673024</v>
          </cell>
          <cell r="Q72">
            <v>0.80889309366130568</v>
          </cell>
          <cell r="R72">
            <v>0.84794776119402981</v>
          </cell>
          <cell r="S72">
            <v>0.50880388585306613</v>
          </cell>
          <cell r="T72">
            <v>0.68281718281718295</v>
          </cell>
          <cell r="U72">
            <v>0.85251046025104604</v>
          </cell>
          <cell r="V72">
            <v>0.59212518929833413</v>
          </cell>
          <cell r="W72">
            <v>0.63340040241448703</v>
          </cell>
          <cell r="X72">
            <v>0.36539032353814194</v>
          </cell>
          <cell r="Y72">
            <v>3.35</v>
          </cell>
          <cell r="Z72">
            <v>-0.7</v>
          </cell>
          <cell r="AA72">
            <v>0.19</v>
          </cell>
          <cell r="AB72">
            <v>0.15</v>
          </cell>
          <cell r="AC72">
            <v>0.14755962802263325</v>
          </cell>
          <cell r="AD72">
            <v>0.13</v>
          </cell>
          <cell r="AE72">
            <v>0.11</v>
          </cell>
          <cell r="AF72">
            <v>0.11</v>
          </cell>
          <cell r="AG72">
            <v>0.11</v>
          </cell>
          <cell r="AH72">
            <v>0.11</v>
          </cell>
          <cell r="AI72">
            <v>0.11</v>
          </cell>
          <cell r="AJ72">
            <v>0.68544152744630082</v>
          </cell>
          <cell r="AK72">
            <v>0.63584775559331641</v>
          </cell>
          <cell r="AL72">
            <v>0.59970547209161063</v>
          </cell>
          <cell r="AM72">
            <v>0.11</v>
          </cell>
          <cell r="AN72">
            <v>0.1</v>
          </cell>
          <cell r="AO72">
            <v>2.25</v>
          </cell>
          <cell r="AP72">
            <v>-7.4749999999999943</v>
          </cell>
          <cell r="AQ72">
            <v>8.5000000000000006E-2</v>
          </cell>
          <cell r="AR72">
            <v>0.1</v>
          </cell>
          <cell r="AS72">
            <v>9.0000000000000011E-2</v>
          </cell>
          <cell r="AT72">
            <v>8.5000000000000006E-2</v>
          </cell>
          <cell r="AU72">
            <v>8.5000000000000006E-2</v>
          </cell>
          <cell r="AV72">
            <v>8.5000000000000006E-2</v>
          </cell>
          <cell r="AW72">
            <v>8.5000000000000006E-2</v>
          </cell>
        </row>
        <row r="73">
          <cell r="I73" t="str">
            <v>Bull case</v>
          </cell>
          <cell r="L73" t="str">
            <v>NA</v>
          </cell>
          <cell r="M73">
            <v>0.44005449591280654</v>
          </cell>
          <cell r="N73">
            <v>1.4191106906338735E-2</v>
          </cell>
          <cell r="O73">
            <v>0.53638059701492535</v>
          </cell>
          <cell r="P73">
            <v>0.21554341226472351</v>
          </cell>
          <cell r="Q73">
            <v>-4.4955044955044876E-2</v>
          </cell>
          <cell r="R73">
            <v>3.608786610878667E-2</v>
          </cell>
          <cell r="S73">
            <v>0.25441696113074186</v>
          </cell>
          <cell r="T73">
            <v>0.35573440643863186</v>
          </cell>
          <cell r="U73">
            <v>5.1350549124369316E-2</v>
          </cell>
          <cell r="V73">
            <v>-0.10954263128176167</v>
          </cell>
          <cell r="W73">
            <v>0.2869372225745086</v>
          </cell>
          <cell r="X73">
            <v>0.13328406011332827</v>
          </cell>
          <cell r="Y73" t="str">
            <v>NM</v>
          </cell>
          <cell r="Z73" t="str">
            <v>NM</v>
          </cell>
          <cell r="AA73">
            <v>-50</v>
          </cell>
          <cell r="AB73">
            <v>0.14499999999999999</v>
          </cell>
          <cell r="AC73">
            <v>0.14255962802263325</v>
          </cell>
          <cell r="AD73">
            <v>0.125</v>
          </cell>
          <cell r="AE73">
            <v>0.105</v>
          </cell>
          <cell r="AF73">
            <v>0.105</v>
          </cell>
          <cell r="AG73">
            <v>0.105</v>
          </cell>
          <cell r="AH73">
            <v>0.105</v>
          </cell>
          <cell r="AI73">
            <v>0.105</v>
          </cell>
          <cell r="AM73">
            <v>0.105</v>
          </cell>
          <cell r="AN73">
            <v>9.5000000000000001E-2</v>
          </cell>
          <cell r="AO73">
            <v>-3.9666666666666561</v>
          </cell>
          <cell r="AP73">
            <v>-1.1685548494983342</v>
          </cell>
          <cell r="AQ73">
            <v>0.08</v>
          </cell>
          <cell r="AR73">
            <v>9.5000000000000001E-2</v>
          </cell>
          <cell r="AS73">
            <v>8.5000000000000006E-2</v>
          </cell>
          <cell r="AT73">
            <v>0.08</v>
          </cell>
          <cell r="AU73">
            <v>0.08</v>
          </cell>
          <cell r="AV73">
            <v>0.08</v>
          </cell>
          <cell r="AW73">
            <v>0.08</v>
          </cell>
        </row>
        <row r="74">
          <cell r="I74" t="str">
            <v>Bull case spread - bps</v>
          </cell>
          <cell r="L74">
            <v>3.3000000000000002E-2</v>
          </cell>
          <cell r="M74">
            <v>0.04</v>
          </cell>
          <cell r="N74">
            <v>7.0000000000000007E-2</v>
          </cell>
          <cell r="O74">
            <v>6.9000000000000006E-2</v>
          </cell>
          <cell r="P74">
            <v>7.6999999999999999E-2</v>
          </cell>
          <cell r="Q74">
            <v>0.115</v>
          </cell>
          <cell r="R74">
            <v>9.7000000000000003E-2</v>
          </cell>
          <cell r="S74">
            <v>0.123</v>
          </cell>
          <cell r="T74">
            <v>0.10199999999999999</v>
          </cell>
          <cell r="U74">
            <v>0.39700000000000002</v>
          </cell>
          <cell r="V74">
            <v>0.60599999999999998</v>
          </cell>
          <cell r="W74">
            <v>0.72799999999999998</v>
          </cell>
          <cell r="X74">
            <v>1.0840000000000001</v>
          </cell>
          <cell r="Y74" t="str">
            <v>NM</v>
          </cell>
          <cell r="Z74" t="str">
            <v>NM</v>
          </cell>
          <cell r="AA74">
            <v>1.6970954356846475</v>
          </cell>
          <cell r="AB74" t="str">
            <v>NM</v>
          </cell>
          <cell r="AC74" t="str">
            <v>NM</v>
          </cell>
          <cell r="AD74" t="str">
            <v>NM</v>
          </cell>
          <cell r="AE74">
            <v>-0.5433789954337892</v>
          </cell>
          <cell r="AF74">
            <v>-50</v>
          </cell>
          <cell r="AG74">
            <v>0.129</v>
          </cell>
          <cell r="AH74">
            <v>0.21200000000000002</v>
          </cell>
          <cell r="AI74">
            <v>0.41200000000000003</v>
          </cell>
          <cell r="AJ74">
            <v>1.833</v>
          </cell>
          <cell r="AK74">
            <v>7.1697400999999994</v>
          </cell>
          <cell r="AL74">
            <v>7.6280500425</v>
          </cell>
          <cell r="AM74">
            <v>0.12</v>
          </cell>
          <cell r="AN74">
            <v>0.105</v>
          </cell>
          <cell r="AO74">
            <v>0.09</v>
          </cell>
          <cell r="AP74">
            <v>7.4999999999999997E-2</v>
          </cell>
          <cell r="AQ74">
            <v>7.4999999999999997E-2</v>
          </cell>
          <cell r="AR74">
            <v>7.4999999999999997E-2</v>
          </cell>
          <cell r="AS74">
            <v>7.4999999999999997E-2</v>
          </cell>
          <cell r="AT74">
            <v>-50</v>
          </cell>
          <cell r="AU74">
            <v>-50</v>
          </cell>
          <cell r="AV74">
            <v>-50</v>
          </cell>
          <cell r="AW74">
            <v>-50</v>
          </cell>
        </row>
        <row r="75">
          <cell r="I75" t="str">
            <v>Bear case</v>
          </cell>
          <cell r="L75" t="str">
            <v>NA</v>
          </cell>
          <cell r="M75">
            <v>6.9999999999999993E-3</v>
          </cell>
          <cell r="N75">
            <v>3.0000000000000006E-2</v>
          </cell>
          <cell r="O75">
            <v>-1.0000000000000009E-3</v>
          </cell>
          <cell r="P75">
            <v>7.9999999999999932E-3</v>
          </cell>
          <cell r="Q75">
            <v>3.8000000000000006E-2</v>
          </cell>
          <cell r="R75">
            <v>-1.8000000000000002E-2</v>
          </cell>
          <cell r="S75">
            <v>2.5999999999999995E-2</v>
          </cell>
          <cell r="T75">
            <v>-2.1000000000000005E-2</v>
          </cell>
          <cell r="U75">
            <v>0.29500000000000004</v>
          </cell>
          <cell r="V75">
            <v>0.20899999999999996</v>
          </cell>
          <cell r="W75">
            <v>0.122</v>
          </cell>
          <cell r="X75">
            <v>0.35600000000000009</v>
          </cell>
          <cell r="Y75" t="str">
            <v>NM</v>
          </cell>
          <cell r="Z75" t="str">
            <v>NM</v>
          </cell>
          <cell r="AA75" t="str">
            <v>NM</v>
          </cell>
          <cell r="AB75" t="str">
            <v>NM</v>
          </cell>
          <cell r="AC75" t="str">
            <v>NM</v>
          </cell>
          <cell r="AD75" t="str">
            <v>NM</v>
          </cell>
          <cell r="AE75">
            <v>0.23609394313966758</v>
          </cell>
          <cell r="AF75">
            <v>0.12</v>
          </cell>
          <cell r="AG75">
            <v>0.129</v>
          </cell>
          <cell r="AH75">
            <v>8.3000000000000018E-2</v>
          </cell>
          <cell r="AI75">
            <v>0.2</v>
          </cell>
          <cell r="AJ75">
            <v>1.4209999999999998</v>
          </cell>
          <cell r="AK75">
            <v>5.3367400999999992</v>
          </cell>
          <cell r="AL75">
            <v>0.45830994250000057</v>
          </cell>
          <cell r="AM75">
            <v>100</v>
          </cell>
          <cell r="AN75">
            <v>100</v>
          </cell>
          <cell r="AO75">
            <v>100</v>
          </cell>
          <cell r="AP75">
            <v>100</v>
          </cell>
          <cell r="AQ75">
            <v>100</v>
          </cell>
          <cell r="AR75">
            <v>100</v>
          </cell>
          <cell r="AS75">
            <v>100</v>
          </cell>
          <cell r="AT75">
            <v>9.5000000000000001E-2</v>
          </cell>
          <cell r="AU75">
            <v>9.5000000000000001E-2</v>
          </cell>
          <cell r="AV75">
            <v>9.5000000000000001E-2</v>
          </cell>
          <cell r="AW75">
            <v>9.5000000000000001E-2</v>
          </cell>
        </row>
        <row r="76">
          <cell r="I76" t="str">
            <v>Bear case spread - bps</v>
          </cell>
          <cell r="L76">
            <v>2.0282728948985865E-2</v>
          </cell>
          <cell r="M76">
            <v>1.1806375442739079E-2</v>
          </cell>
          <cell r="N76">
            <v>1.7060687301974169E-2</v>
          </cell>
          <cell r="O76">
            <v>9.7155730780061952E-3</v>
          </cell>
          <cell r="P76">
            <v>8.7252124645892364E-3</v>
          </cell>
          <cell r="Q76">
            <v>1.2421689349751568E-2</v>
          </cell>
          <cell r="R76">
            <v>8.8149763722282816E-3</v>
          </cell>
          <cell r="S76">
            <v>6.5631503121498323E-3</v>
          </cell>
          <cell r="T76">
            <v>4.7457311682873498E-3</v>
          </cell>
          <cell r="U76">
            <v>1.7686105047445094E-2</v>
          </cell>
          <cell r="V76">
            <v>2.4058120608201991E-2</v>
          </cell>
          <cell r="W76">
            <v>2.1071521606992966E-2</v>
          </cell>
          <cell r="X76">
            <v>3.2918311569996965E-2</v>
          </cell>
          <cell r="Y76">
            <v>2.4434802466316508E-2</v>
          </cell>
          <cell r="Z76">
            <v>6.8107925516193046E-2</v>
          </cell>
          <cell r="AA76">
            <v>0.19500000000000001</v>
          </cell>
          <cell r="AB76">
            <v>50</v>
          </cell>
          <cell r="AC76">
            <v>50</v>
          </cell>
          <cell r="AD76">
            <v>100</v>
          </cell>
          <cell r="AE76">
            <v>100</v>
          </cell>
          <cell r="AF76">
            <v>100</v>
          </cell>
          <cell r="AG76">
            <v>2.0538130870880435E-2</v>
          </cell>
          <cell r="AH76">
            <v>1.3070283600493221E-2</v>
          </cell>
          <cell r="AI76">
            <v>8.6142008865099963E-3</v>
          </cell>
          <cell r="AJ76">
            <v>1.7679739192499856E-2</v>
          </cell>
          <cell r="AK76">
            <v>3.9193542047694638E-2</v>
          </cell>
          <cell r="AL76">
            <v>2.6004740134957651E-2</v>
          </cell>
          <cell r="AM76">
            <v>0.11</v>
          </cell>
          <cell r="AN76">
            <v>9.5000000000000001E-2</v>
          </cell>
          <cell r="AO76">
            <v>0.08</v>
          </cell>
          <cell r="AP76">
            <v>6.5000000000000002E-2</v>
          </cell>
          <cell r="AQ76">
            <v>6.5000000000000002E-2</v>
          </cell>
          <cell r="AR76">
            <v>6.5000000000000002E-2</v>
          </cell>
          <cell r="AS76">
            <v>6.5000000000000002E-2</v>
          </cell>
          <cell r="AT76">
            <v>100</v>
          </cell>
          <cell r="AU76">
            <v>100</v>
          </cell>
          <cell r="AV76">
            <v>100</v>
          </cell>
          <cell r="AW76">
            <v>100</v>
          </cell>
        </row>
        <row r="77">
          <cell r="I77" t="str">
            <v>SCENARIO OUTPUT</v>
          </cell>
          <cell r="L77" t="str">
            <v>NA</v>
          </cell>
          <cell r="M77" t="str">
            <v>NA</v>
          </cell>
          <cell r="N77" t="str">
            <v>NA</v>
          </cell>
          <cell r="O77" t="str">
            <v>NA</v>
          </cell>
          <cell r="P77">
            <v>1.333333333333333</v>
          </cell>
          <cell r="Q77">
            <v>1.875</v>
          </cell>
          <cell r="R77">
            <v>0.38571428571428568</v>
          </cell>
          <cell r="S77">
            <v>0.78260869565217384</v>
          </cell>
          <cell r="T77">
            <v>0.32467532467532467</v>
          </cell>
          <cell r="U77">
            <v>2.4521739130434783</v>
          </cell>
          <cell r="V77">
            <v>5.2474226804123711</v>
          </cell>
          <cell r="W77">
            <v>4.9186991869918701</v>
          </cell>
          <cell r="X77">
            <v>9.6274509803921582</v>
          </cell>
          <cell r="Y77">
            <v>1.4256926952141056</v>
          </cell>
          <cell r="Z77">
            <v>4.3234323432343231</v>
          </cell>
          <cell r="AA77">
            <v>1.6054122252747254</v>
          </cell>
          <cell r="AB77">
            <v>0.15</v>
          </cell>
          <cell r="AC77">
            <v>0.14755962802263325</v>
          </cell>
          <cell r="AD77">
            <v>0.22</v>
          </cell>
          <cell r="AE77">
            <v>1.982</v>
          </cell>
          <cell r="AF77">
            <v>0.44</v>
          </cell>
          <cell r="AG77">
            <v>5.5919999999999996</v>
          </cell>
          <cell r="AH77">
            <v>8.9390000000000001</v>
          </cell>
          <cell r="AI77">
            <v>16.640999999999998</v>
          </cell>
          <cell r="AM77">
            <v>0.11</v>
          </cell>
          <cell r="AN77">
            <v>0.1</v>
          </cell>
          <cell r="AO77">
            <v>9.0000000000000011E-2</v>
          </cell>
          <cell r="AP77">
            <v>3.1379999999999999</v>
          </cell>
          <cell r="AQ77">
            <v>27.184000000000001</v>
          </cell>
          <cell r="AR77">
            <v>62.183</v>
          </cell>
          <cell r="AS77">
            <v>9.0000000000000011E-2</v>
          </cell>
          <cell r="AT77">
            <v>8.5000000000000006E-2</v>
          </cell>
          <cell r="AU77">
            <v>8.5000000000000006E-2</v>
          </cell>
          <cell r="AV77">
            <v>8.5000000000000006E-2</v>
          </cell>
          <cell r="AW77">
            <v>8.5000000000000006E-2</v>
          </cell>
        </row>
        <row r="78">
          <cell r="I78" t="str">
            <v>% change Q/Q</v>
          </cell>
          <cell r="L78" t="str">
            <v>NA</v>
          </cell>
          <cell r="M78">
            <v>0.21212121212121215</v>
          </cell>
          <cell r="N78">
            <v>0.75000000000000022</v>
          </cell>
          <cell r="O78">
            <v>-1.4285714285714346E-2</v>
          </cell>
          <cell r="P78">
            <v>0.1159420289855071</v>
          </cell>
          <cell r="Q78">
            <v>0.49350649350649367</v>
          </cell>
          <cell r="R78">
            <v>-0.15652173913043477</v>
          </cell>
          <cell r="S78">
            <v>0.268041237113402</v>
          </cell>
          <cell r="T78">
            <v>-0.17073170731707321</v>
          </cell>
          <cell r="U78">
            <v>2.8921568627450984</v>
          </cell>
          <cell r="V78">
            <v>0.52644836272040285</v>
          </cell>
          <cell r="W78">
            <v>0.20132013201320142</v>
          </cell>
          <cell r="X78">
            <v>0.48901098901098905</v>
          </cell>
          <cell r="Y78">
            <v>-0.11162361623616246</v>
          </cell>
          <cell r="Z78">
            <v>2.3499480789200415</v>
          </cell>
          <cell r="AA78">
            <v>-0.41204584624922502</v>
          </cell>
          <cell r="AB78">
            <v>-6.7694619837478043E-2</v>
          </cell>
          <cell r="AC78">
            <v>-8.066162012869682E-2</v>
          </cell>
          <cell r="AD78">
            <v>2.6772727272727601</v>
          </cell>
          <cell r="AE78">
            <v>1.8662701816347158</v>
          </cell>
          <cell r="AF78">
            <v>11.245500000000003</v>
          </cell>
          <cell r="AG78">
            <v>0.58855650929899861</v>
          </cell>
          <cell r="AH78">
            <v>0.30620807696610353</v>
          </cell>
          <cell r="AI78">
            <v>0.14309260260801593</v>
          </cell>
          <cell r="AM78">
            <v>100</v>
          </cell>
          <cell r="AN78">
            <v>100</v>
          </cell>
          <cell r="AO78">
            <v>100</v>
          </cell>
          <cell r="AP78">
            <v>-0.61153942637344372</v>
          </cell>
          <cell r="AQ78">
            <v>0.12639328770319613</v>
          </cell>
          <cell r="AR78">
            <v>3.3317077509758652E-2</v>
          </cell>
          <cell r="AS78">
            <v>100</v>
          </cell>
        </row>
        <row r="79">
          <cell r="I79" t="str">
            <v>Stock-based compensation</v>
          </cell>
          <cell r="L79">
            <v>3.3000000000000002E-2</v>
          </cell>
          <cell r="M79">
            <v>0.04</v>
          </cell>
          <cell r="N79">
            <v>7.0000000000000007E-2</v>
          </cell>
          <cell r="O79">
            <v>6.9000000000000006E-2</v>
          </cell>
          <cell r="P79">
            <v>7.6999999999999999E-2</v>
          </cell>
          <cell r="Q79">
            <v>0.115</v>
          </cell>
          <cell r="R79">
            <v>9.7000000000000003E-2</v>
          </cell>
          <cell r="S79">
            <v>0.123</v>
          </cell>
          <cell r="T79">
            <v>0.10199999999999999</v>
          </cell>
          <cell r="U79">
            <v>0.39700000000000002</v>
          </cell>
          <cell r="V79">
            <v>0.60599999999999998</v>
          </cell>
          <cell r="W79">
            <v>0.72799999999999998</v>
          </cell>
          <cell r="X79">
            <v>1.0840000000000001</v>
          </cell>
          <cell r="Y79">
            <v>0.96299999999999997</v>
          </cell>
          <cell r="Z79">
            <v>3.226</v>
          </cell>
          <cell r="AA79">
            <v>1.8967400999999999</v>
          </cell>
          <cell r="AB79">
            <v>1.7683409999999999</v>
          </cell>
          <cell r="AC79">
            <v>1.62570375</v>
          </cell>
          <cell r="AD79">
            <v>-1.4036697247706416</v>
          </cell>
          <cell r="AE79">
            <v>-9.4977168949770152E-2</v>
          </cell>
          <cell r="AF79">
            <v>-1.0916666666666668</v>
          </cell>
          <cell r="AG79">
            <v>0.129</v>
          </cell>
          <cell r="AH79">
            <v>0.21200000000000002</v>
          </cell>
          <cell r="AI79">
            <v>0.41200000000000003</v>
          </cell>
          <cell r="AJ79">
            <v>1.833</v>
          </cell>
          <cell r="AK79">
            <v>7.1697400999999994</v>
          </cell>
          <cell r="AL79">
            <v>7.6280500425</v>
          </cell>
          <cell r="AM79">
            <v>11.0020754712</v>
          </cell>
          <cell r="AN79">
            <v>14.998147747682998</v>
          </cell>
          <cell r="AO79">
            <v>19.260286757191075</v>
          </cell>
          <cell r="AP79">
            <v>23.21304997093354</v>
          </cell>
          <cell r="AQ79">
            <v>26.700557046506621</v>
          </cell>
          <cell r="AR79">
            <v>29.24379720974407</v>
          </cell>
          <cell r="AS79">
            <v>32.014370322874036</v>
          </cell>
        </row>
        <row r="80">
          <cell r="I80" t="str">
            <v>Technology and development (ex-SBC)</v>
          </cell>
          <cell r="L80">
            <v>0.218</v>
          </cell>
          <cell r="M80">
            <v>0.25700000000000001</v>
          </cell>
          <cell r="N80">
            <v>0.27500000000000002</v>
          </cell>
          <cell r="O80">
            <v>0.33300000000000002</v>
          </cell>
          <cell r="P80">
            <v>0.48599999999999999</v>
          </cell>
          <cell r="Q80">
            <v>0.55900000000000005</v>
          </cell>
          <cell r="R80">
            <v>0.52200000000000002</v>
          </cell>
          <cell r="S80">
            <v>0.59599999999999997</v>
          </cell>
          <cell r="T80">
            <v>0.64400000000000002</v>
          </cell>
          <cell r="U80">
            <v>0.91799999999999993</v>
          </cell>
          <cell r="V80">
            <v>1.133</v>
          </cell>
          <cell r="W80">
            <v>1.4790000000000001</v>
          </cell>
          <cell r="X80">
            <v>2.2650000000000001</v>
          </cell>
          <cell r="Y80">
            <v>2.3010000000000002</v>
          </cell>
          <cell r="Z80">
            <v>2.63</v>
          </cell>
          <cell r="AA80">
            <v>2.6560000000000001</v>
          </cell>
          <cell r="AB80">
            <v>3.3379999999999996</v>
          </cell>
          <cell r="AC80">
            <v>3.5989999999999998</v>
          </cell>
          <cell r="AD80">
            <v>-1.5499999999999901</v>
          </cell>
          <cell r="AE80">
            <v>8.0090909090909097</v>
          </cell>
          <cell r="AF80">
            <v>-0.77800201816347125</v>
          </cell>
          <cell r="AG80">
            <v>0.129</v>
          </cell>
          <cell r="AH80">
            <v>8.3000000000000018E-2</v>
          </cell>
          <cell r="AI80">
            <v>0.2</v>
          </cell>
          <cell r="AJ80">
            <v>1.4209999999999998</v>
          </cell>
          <cell r="AK80">
            <v>5.3367400999999992</v>
          </cell>
          <cell r="AL80">
            <v>0.45830994250000057</v>
          </cell>
          <cell r="AM80">
            <v>3.3740254286999996</v>
          </cell>
          <cell r="AN80">
            <v>3.9960722764829981</v>
          </cell>
          <cell r="AO80">
            <v>4.2621390095080773</v>
          </cell>
          <cell r="AP80">
            <v>3.9527632137424646</v>
          </cell>
          <cell r="AQ80">
            <v>3.487507075573081</v>
          </cell>
          <cell r="AR80">
            <v>2.5432401632374493</v>
          </cell>
          <cell r="AS80">
            <v>2.7705731131299665</v>
          </cell>
          <cell r="AT80">
            <v>63.810613364097605</v>
          </cell>
          <cell r="AU80">
            <v>76.879026981064797</v>
          </cell>
          <cell r="AV80">
            <v>89.474886761642438</v>
          </cell>
          <cell r="AW80">
            <v>101.20253911926444</v>
          </cell>
        </row>
        <row r="81">
          <cell r="I81" t="str">
            <v>Period-to-period change</v>
          </cell>
          <cell r="L81" t="str">
            <v>NA</v>
          </cell>
          <cell r="M81">
            <v>3.9000000000000007E-2</v>
          </cell>
          <cell r="N81">
            <v>1.8000000000000016E-2</v>
          </cell>
          <cell r="O81">
            <v>5.7999999999999996E-2</v>
          </cell>
          <cell r="P81">
            <v>0.15299999999999997</v>
          </cell>
          <cell r="Q81">
            <v>7.3000000000000065E-2</v>
          </cell>
          <cell r="R81">
            <v>-3.7000000000000033E-2</v>
          </cell>
          <cell r="S81">
            <v>7.3999999999999955E-2</v>
          </cell>
          <cell r="T81">
            <v>4.8000000000000043E-2</v>
          </cell>
          <cell r="U81">
            <v>0.27399999999999991</v>
          </cell>
          <cell r="V81">
            <v>0.21500000000000008</v>
          </cell>
          <cell r="W81">
            <v>0.34600000000000009</v>
          </cell>
          <cell r="X81">
            <v>0.78600000000000003</v>
          </cell>
          <cell r="Y81">
            <v>3.6000000000000032E-2</v>
          </cell>
          <cell r="Z81">
            <v>0.32899999999999974</v>
          </cell>
          <cell r="AA81">
            <v>2.6000000000000245E-2</v>
          </cell>
          <cell r="AB81">
            <v>0.6819999999999995</v>
          </cell>
          <cell r="AC81">
            <v>0.26100000000000012</v>
          </cell>
          <cell r="AD81">
            <v>3.1838112000000005</v>
          </cell>
          <cell r="AE81">
            <v>3.4181488000000018</v>
          </cell>
          <cell r="AF81">
            <v>-5.7515400000000012</v>
          </cell>
          <cell r="AG81">
            <v>2.0538130870880435E-2</v>
          </cell>
          <cell r="AH81">
            <v>1.3070283600493221E-2</v>
          </cell>
          <cell r="AI81">
            <v>8.6142008865099963E-3</v>
          </cell>
          <cell r="AJ81">
            <v>1.7679739192499856E-2</v>
          </cell>
          <cell r="AK81">
            <v>3.9193542047694638E-2</v>
          </cell>
          <cell r="AL81">
            <v>2.6004740134957651E-2</v>
          </cell>
          <cell r="AM81">
            <v>2.500474013495765E-2</v>
          </cell>
          <cell r="AN81">
            <v>2.4004740134957649E-2</v>
          </cell>
          <cell r="AO81">
            <v>2.3004740134957648E-2</v>
          </cell>
          <cell r="AP81">
            <v>2.2004740134957648E-2</v>
          </cell>
          <cell r="AQ81">
            <v>2.1004740134957647E-2</v>
          </cell>
          <cell r="AR81">
            <v>2.0004740134957646E-2</v>
          </cell>
          <cell r="AS81">
            <v>0.02</v>
          </cell>
          <cell r="AT81">
            <v>13.005984889497597</v>
          </cell>
          <cell r="AU81">
            <v>13.068413616967192</v>
          </cell>
          <cell r="AV81">
            <v>12.595859780577641</v>
          </cell>
          <cell r="AW81">
            <v>11.727652357622006</v>
          </cell>
        </row>
        <row r="82">
          <cell r="I82" t="str">
            <v>% of revenue</v>
          </cell>
          <cell r="L82">
            <v>0.13398893669330056</v>
          </cell>
          <cell r="M82">
            <v>7.5855962219598588E-2</v>
          </cell>
          <cell r="N82">
            <v>6.7024128686327081E-2</v>
          </cell>
          <cell r="O82">
            <v>4.6888200506899465E-2</v>
          </cell>
          <cell r="P82">
            <v>5.5070821529745045E-2</v>
          </cell>
          <cell r="Q82">
            <v>6.038021170879241E-2</v>
          </cell>
          <cell r="R82">
            <v>4.7437295528898589E-2</v>
          </cell>
          <cell r="S82">
            <v>3.1801931593831705E-2</v>
          </cell>
          <cell r="T82">
            <v>2.9963243846833857E-2</v>
          </cell>
          <cell r="U82">
            <v>4.0896333585779834E-2</v>
          </cell>
          <cell r="V82">
            <v>4.4979951566159831E-2</v>
          </cell>
          <cell r="W82">
            <v>4.2808764363657416E-2</v>
          </cell>
          <cell r="X82">
            <v>6.8782265411478902E-2</v>
          </cell>
          <cell r="Y82">
            <v>5.8384714927304564E-2</v>
          </cell>
          <cell r="Z82">
            <v>5.5525060169742006E-2</v>
          </cell>
          <cell r="AA82">
            <v>4.5824706694271911E-2</v>
          </cell>
          <cell r="AB82">
            <v>6.7518912577369625E-2</v>
          </cell>
          <cell r="AC82">
            <v>6.3130382921994771E-2</v>
          </cell>
          <cell r="AD82">
            <v>0.08</v>
          </cell>
          <cell r="AE82">
            <v>0.08</v>
          </cell>
          <cell r="AF82">
            <v>6.0000000000000005E-2</v>
          </cell>
          <cell r="AG82">
            <v>0.79477790160802431</v>
          </cell>
          <cell r="AH82">
            <v>0.71491985203452535</v>
          </cell>
          <cell r="AI82">
            <v>0.6607426612026428</v>
          </cell>
          <cell r="AJ82">
            <v>0.61338953297710219</v>
          </cell>
          <cell r="AK82">
            <v>0.59576647007049144</v>
          </cell>
          <cell r="AL82">
            <v>0.59548585723911929</v>
          </cell>
          <cell r="AM82">
            <v>0.59250000000000003</v>
          </cell>
          <cell r="AN82">
            <v>0.59000000000000008</v>
          </cell>
          <cell r="AO82">
            <v>0.59000000000000008</v>
          </cell>
          <cell r="AP82">
            <v>0.59000000000000008</v>
          </cell>
          <cell r="AQ82">
            <v>0.59000000000000008</v>
          </cell>
          <cell r="AR82">
            <v>0.59000000000000008</v>
          </cell>
          <cell r="AS82">
            <v>0.59000000000000008</v>
          </cell>
          <cell r="AT82">
            <v>5.7500000000000002E-2</v>
          </cell>
          <cell r="AU82">
            <v>5.7500000000000002E-2</v>
          </cell>
          <cell r="AV82">
            <v>5.7499999999999996E-2</v>
          </cell>
          <cell r="AW82">
            <v>5.7500000000000002E-2</v>
          </cell>
        </row>
        <row r="83">
          <cell r="I83" t="str">
            <v>% change Y/Y</v>
          </cell>
          <cell r="L83" t="str">
            <v>NA</v>
          </cell>
          <cell r="M83" t="str">
            <v>NA</v>
          </cell>
          <cell r="N83" t="str">
            <v>NA</v>
          </cell>
          <cell r="O83" t="str">
            <v>NA</v>
          </cell>
          <cell r="P83">
            <v>1.2293577981651373</v>
          </cell>
          <cell r="Q83">
            <v>1.1750972762645917</v>
          </cell>
          <cell r="R83">
            <v>0.89818181818181819</v>
          </cell>
          <cell r="S83">
            <v>0.78978978978978964</v>
          </cell>
          <cell r="T83">
            <v>0.32510288065843618</v>
          </cell>
          <cell r="U83">
            <v>0.64221824686940931</v>
          </cell>
          <cell r="V83">
            <v>1.1704980842911876</v>
          </cell>
          <cell r="W83">
            <v>1.4815436241610742</v>
          </cell>
          <cell r="X83">
            <v>2.5170807453416151</v>
          </cell>
          <cell r="Y83">
            <v>1.5065359477124187</v>
          </cell>
          <cell r="Z83">
            <v>1.3212709620476608</v>
          </cell>
          <cell r="AA83">
            <v>0.79580797836375927</v>
          </cell>
          <cell r="AB83">
            <v>0.47373068432671062</v>
          </cell>
          <cell r="AC83">
            <v>0.56410256410256387</v>
          </cell>
          <cell r="AD83">
            <v>1.5790156653992398</v>
          </cell>
          <cell r="AE83">
            <v>2.8407228915662657</v>
          </cell>
          <cell r="AF83">
            <v>0.33295985620131852</v>
          </cell>
          <cell r="AG83">
            <v>0.54816112084063051</v>
          </cell>
          <cell r="AH83">
            <v>0.27805178791615293</v>
          </cell>
          <cell r="AI83">
            <v>0.17521117337124698</v>
          </cell>
          <cell r="AJ83">
            <v>0.13622947973533439</v>
          </cell>
          <cell r="AK83">
            <v>0.12630242592767013</v>
          </cell>
          <cell r="AL83">
            <v>0.12600262896652539</v>
          </cell>
          <cell r="AM83">
            <v>0.12</v>
          </cell>
          <cell r="AN83">
            <v>0.10749999999999998</v>
          </cell>
          <cell r="AO83">
            <v>9.5000000000000015E-2</v>
          </cell>
          <cell r="AP83">
            <v>8.5000000000000006E-2</v>
          </cell>
          <cell r="AQ83">
            <v>8.5000000000000006E-2</v>
          </cell>
          <cell r="AR83">
            <v>8.5000000000000006E-2</v>
          </cell>
          <cell r="AS83">
            <v>8.5000000000000006E-2</v>
          </cell>
          <cell r="AT83">
            <v>0.25600000000000001</v>
          </cell>
          <cell r="AU83">
            <v>0.20480000000000009</v>
          </cell>
          <cell r="AV83">
            <v>0.16383999999999976</v>
          </cell>
          <cell r="AW83">
            <v>0.13107200000000008</v>
          </cell>
        </row>
        <row r="84">
          <cell r="I84" t="str">
            <v>% change Q/Q</v>
          </cell>
          <cell r="L84" t="str">
            <v>NA</v>
          </cell>
          <cell r="M84">
            <v>0.17889908256880727</v>
          </cell>
          <cell r="N84">
            <v>7.0038910505836549E-2</v>
          </cell>
          <cell r="O84">
            <v>0.21090909090909093</v>
          </cell>
          <cell r="P84">
            <v>0.45945945945945943</v>
          </cell>
          <cell r="Q84">
            <v>0.15020576131687258</v>
          </cell>
          <cell r="R84">
            <v>-6.6189624329159313E-2</v>
          </cell>
          <cell r="S84">
            <v>0.14176245210727956</v>
          </cell>
          <cell r="T84">
            <v>8.0536912751677958E-2</v>
          </cell>
          <cell r="U84">
            <v>0.42546583850931663</v>
          </cell>
          <cell r="V84">
            <v>0.23420479302832264</v>
          </cell>
          <cell r="W84">
            <v>0.30538393645189776</v>
          </cell>
          <cell r="X84">
            <v>0.53144016227180524</v>
          </cell>
          <cell r="Y84">
            <v>1.5894039735099286E-2</v>
          </cell>
          <cell r="Z84">
            <v>0.14298131247283785</v>
          </cell>
          <cell r="AA84">
            <v>9.8859315589354679E-3</v>
          </cell>
          <cell r="AB84">
            <v>0.25677710843373469</v>
          </cell>
          <cell r="AC84">
            <v>7.819053325344516E-2</v>
          </cell>
          <cell r="AD84">
            <v>0.88463773270352886</v>
          </cell>
          <cell r="AE84">
            <v>0.50394278997475284</v>
          </cell>
          <cell r="AF84">
            <v>-0.56382340485601357</v>
          </cell>
          <cell r="AG84">
            <v>0.10491959879000161</v>
          </cell>
          <cell r="AH84">
            <v>6.6769420468557342E-2</v>
          </cell>
          <cell r="AI84">
            <v>4.5224554654177469E-2</v>
          </cell>
          <cell r="AJ84">
            <v>4.0259264260498848E-2</v>
          </cell>
          <cell r="AK84">
            <v>5.8346140118876087E-2</v>
          </cell>
          <cell r="AL84">
            <v>5.8652129916046208E-2</v>
          </cell>
          <cell r="AM84">
            <v>0.06</v>
          </cell>
          <cell r="AN84">
            <v>5.7499999999999996E-2</v>
          </cell>
          <cell r="AO84">
            <v>5.5E-2</v>
          </cell>
          <cell r="AP84">
            <v>5.5E-2</v>
          </cell>
          <cell r="AQ84">
            <v>5.5E-2</v>
          </cell>
          <cell r="AR84">
            <v>5.5E-2</v>
          </cell>
          <cell r="AS84">
            <v>5.5000000000000007E-2</v>
          </cell>
        </row>
        <row r="85">
          <cell r="I85" t="str">
            <v>DRIVER: Base case - % of revenue</v>
          </cell>
          <cell r="L85">
            <v>0.87031346035648427</v>
          </cell>
          <cell r="M85">
            <v>0.43417945690672965</v>
          </cell>
          <cell r="N85">
            <v>0.38630270533755789</v>
          </cell>
          <cell r="O85">
            <v>0.2468318783441284</v>
          </cell>
          <cell r="P85">
            <v>0.25189801699716713</v>
          </cell>
          <cell r="Q85">
            <v>0.2589112119248218</v>
          </cell>
          <cell r="R85">
            <v>0.24054889131225007</v>
          </cell>
          <cell r="S85">
            <v>0.26658129235366312</v>
          </cell>
          <cell r="T85">
            <v>0.17829060624389337</v>
          </cell>
          <cell r="U85">
            <v>0.2019423530984096</v>
          </cell>
          <cell r="V85">
            <v>0.20683631744015243</v>
          </cell>
          <cell r="W85">
            <v>0.20408694897102667</v>
          </cell>
          <cell r="X85">
            <v>0.2446401457637413</v>
          </cell>
          <cell r="Y85">
            <v>0.22354165080815003</v>
          </cell>
          <cell r="Z85">
            <v>0.20242367943250431</v>
          </cell>
          <cell r="AA85">
            <v>0.19500000000000001</v>
          </cell>
          <cell r="AB85">
            <v>6.5000000000000002E-2</v>
          </cell>
          <cell r="AC85">
            <v>5.8384714927304564E-2</v>
          </cell>
          <cell r="AD85">
            <v>0.08</v>
          </cell>
          <cell r="AE85">
            <v>0.08</v>
          </cell>
          <cell r="AF85">
            <v>0.06</v>
          </cell>
          <cell r="AG85">
            <v>0.88791593695271454</v>
          </cell>
          <cell r="AH85">
            <v>0.38378545006165227</v>
          </cell>
          <cell r="AI85">
            <v>0.2563979259011458</v>
          </cell>
          <cell r="AJ85">
            <v>0.19894288084260883</v>
          </cell>
          <cell r="AK85">
            <v>0.21200708794710069</v>
          </cell>
          <cell r="AL85">
            <v>0.16069827263184361</v>
          </cell>
          <cell r="AM85">
            <v>0.11</v>
          </cell>
          <cell r="AN85">
            <v>9.5000000000000001E-2</v>
          </cell>
          <cell r="AO85">
            <v>0.08</v>
          </cell>
          <cell r="AP85">
            <v>6.5000000000000002E-2</v>
          </cell>
          <cell r="AQ85">
            <v>6.5000000000000002E-2</v>
          </cell>
          <cell r="AR85">
            <v>6.5000000000000002E-2</v>
          </cell>
          <cell r="AS85">
            <v>6.5000000000000002E-2</v>
          </cell>
          <cell r="AT85">
            <v>5.7500000000000002E-2</v>
          </cell>
          <cell r="AU85">
            <v>5.7500000000000002E-2</v>
          </cell>
          <cell r="AV85">
            <v>5.7500000000000002E-2</v>
          </cell>
          <cell r="AW85">
            <v>5.7500000000000002E-2</v>
          </cell>
        </row>
        <row r="86">
          <cell r="I86" t="str">
            <v>Bull case</v>
          </cell>
          <cell r="L86">
            <v>2.0282728948985865E-2</v>
          </cell>
          <cell r="M86">
            <v>1.1806375442739079E-2</v>
          </cell>
          <cell r="N86">
            <v>1.7060687301974169E-2</v>
          </cell>
          <cell r="O86">
            <v>9.7155730780061952E-3</v>
          </cell>
          <cell r="P86">
            <v>8.7252124645892364E-3</v>
          </cell>
          <cell r="Q86">
            <v>1.2421689349751568E-2</v>
          </cell>
          <cell r="R86">
            <v>8.8149763722282816E-3</v>
          </cell>
          <cell r="S86">
            <v>6.5631503121498323E-3</v>
          </cell>
          <cell r="T86">
            <v>4.7457311682873498E-3</v>
          </cell>
          <cell r="U86">
            <v>1.7686105047445094E-2</v>
          </cell>
          <cell r="V86">
            <v>2.4058120608201991E-2</v>
          </cell>
          <cell r="W86">
            <v>2.1071521606992966E-2</v>
          </cell>
          <cell r="X86">
            <v>3.2918311569996965E-2</v>
          </cell>
          <cell r="Y86">
            <v>2.4434802466316508E-2</v>
          </cell>
          <cell r="Z86">
            <v>6.8107925516193046E-2</v>
          </cell>
          <cell r="AA86">
            <v>0.03</v>
          </cell>
          <cell r="AB86">
            <v>6.0000000000000005E-2</v>
          </cell>
          <cell r="AC86">
            <v>5.3384714927304566E-2</v>
          </cell>
          <cell r="AD86">
            <v>7.4999999999999997E-2</v>
          </cell>
          <cell r="AE86">
            <v>7.4999999999999997E-2</v>
          </cell>
          <cell r="AF86">
            <v>5.5E-2</v>
          </cell>
          <cell r="AG86">
            <v>2.0538130870880435E-2</v>
          </cell>
          <cell r="AH86">
            <v>1.3070283600493221E-2</v>
          </cell>
          <cell r="AI86">
            <v>8.6142008865099963E-3</v>
          </cell>
          <cell r="AJ86">
            <v>1.7679739192499856E-2</v>
          </cell>
          <cell r="AK86">
            <v>3.9193542047694638E-2</v>
          </cell>
          <cell r="AL86">
            <v>2.6004740134957651E-2</v>
          </cell>
          <cell r="AM86">
            <v>2.500474013495765E-2</v>
          </cell>
          <cell r="AN86">
            <v>2.4004740134957649E-2</v>
          </cell>
          <cell r="AO86">
            <v>2.3004740134957648E-2</v>
          </cell>
          <cell r="AP86">
            <v>2.2004740134957648E-2</v>
          </cell>
          <cell r="AQ86">
            <v>2.1004740134957647E-2</v>
          </cell>
          <cell r="AR86">
            <v>2.0004740134957646E-2</v>
          </cell>
          <cell r="AS86">
            <v>0.02</v>
          </cell>
          <cell r="AT86">
            <v>5.2500000000000005E-2</v>
          </cell>
          <cell r="AU86">
            <v>5.2500000000000005E-2</v>
          </cell>
          <cell r="AV86">
            <v>5.2500000000000005E-2</v>
          </cell>
          <cell r="AW86">
            <v>5.2500000000000005E-2</v>
          </cell>
        </row>
        <row r="87">
          <cell r="I87" t="str">
            <v>Bull case spread - bps</v>
          </cell>
          <cell r="L87">
            <v>0.80946527350952668</v>
          </cell>
          <cell r="M87">
            <v>0.68447461629279815</v>
          </cell>
          <cell r="N87">
            <v>0.68072142334876928</v>
          </cell>
          <cell r="O87">
            <v>0.72754153759504359</v>
          </cell>
          <cell r="P87">
            <v>0.66390934844192639</v>
          </cell>
          <cell r="Q87">
            <v>0.69971916180600569</v>
          </cell>
          <cell r="R87">
            <v>0.64431115957833518</v>
          </cell>
          <cell r="S87">
            <v>0.64964516301157893</v>
          </cell>
          <cell r="T87">
            <v>0.6313218257106965</v>
          </cell>
          <cell r="U87">
            <v>0.60921281240254821</v>
          </cell>
          <cell r="V87">
            <v>0.60713009647068161</v>
          </cell>
          <cell r="W87">
            <v>0.60951112912095862</v>
          </cell>
          <cell r="X87">
            <v>0.60479805648344975</v>
          </cell>
          <cell r="Y87">
            <v>0.60290274288904111</v>
          </cell>
          <cell r="Z87">
            <v>0.59124688595194863</v>
          </cell>
          <cell r="AA87">
            <v>0.59000000000000008</v>
          </cell>
          <cell r="AB87">
            <v>-50</v>
          </cell>
          <cell r="AC87">
            <v>-50</v>
          </cell>
          <cell r="AD87">
            <v>-50</v>
          </cell>
          <cell r="AE87">
            <v>-50</v>
          </cell>
          <cell r="AF87">
            <v>-50</v>
          </cell>
          <cell r="AG87">
            <v>0.79477790160802431</v>
          </cell>
          <cell r="AH87">
            <v>0.71491985203452535</v>
          </cell>
          <cell r="AI87">
            <v>0.6607426612026428</v>
          </cell>
          <cell r="AJ87">
            <v>0.61338953297710219</v>
          </cell>
          <cell r="AK87">
            <v>0.59576647007049144</v>
          </cell>
          <cell r="AL87">
            <v>0.59548585723911929</v>
          </cell>
          <cell r="AM87">
            <v>0.59250000000000003</v>
          </cell>
          <cell r="AN87">
            <v>0.59000000000000008</v>
          </cell>
          <cell r="AO87">
            <v>0.59000000000000008</v>
          </cell>
          <cell r="AP87">
            <v>0.59000000000000008</v>
          </cell>
          <cell r="AQ87">
            <v>0.59000000000000008</v>
          </cell>
          <cell r="AR87">
            <v>0.59000000000000008</v>
          </cell>
          <cell r="AS87">
            <v>0.59000000000000008</v>
          </cell>
          <cell r="AT87">
            <v>631.94725557372078</v>
          </cell>
          <cell r="AU87">
            <v>767.78036848894487</v>
          </cell>
          <cell r="AV87">
            <v>908.05552133143112</v>
          </cell>
          <cell r="AW87">
            <v>1049.0736919323306</v>
          </cell>
        </row>
        <row r="88">
          <cell r="I88" t="str">
            <v>Bear case</v>
          </cell>
          <cell r="L88">
            <v>0.45113706207744314</v>
          </cell>
          <cell r="M88">
            <v>0.31198347107438018</v>
          </cell>
          <cell r="N88">
            <v>0.26127223982451869</v>
          </cell>
          <cell r="O88">
            <v>0.23190650520980005</v>
          </cell>
          <cell r="P88">
            <v>4.6830740740740735</v>
          </cell>
          <cell r="Q88">
            <v>4.8372592592592598</v>
          </cell>
          <cell r="R88">
            <v>5.1141481481481481</v>
          </cell>
          <cell r="S88">
            <v>8.0670370370370375</v>
          </cell>
          <cell r="T88">
            <v>7.8049629629629624</v>
          </cell>
          <cell r="U88">
            <v>8.969444444444445</v>
          </cell>
          <cell r="V88">
            <v>9.43</v>
          </cell>
          <cell r="W88">
            <v>12.523</v>
          </cell>
          <cell r="X88">
            <v>14.854000000000001</v>
          </cell>
          <cell r="Y88">
            <v>16.959</v>
          </cell>
          <cell r="Z88">
            <v>17.753999999999998</v>
          </cell>
          <cell r="AA88">
            <v>22.660881199999999</v>
          </cell>
          <cell r="AB88">
            <v>7.0000000000000007E-2</v>
          </cell>
          <cell r="AC88">
            <v>6.3384714927304561E-2</v>
          </cell>
          <cell r="AD88">
            <v>0.09</v>
          </cell>
          <cell r="AE88">
            <v>0.09</v>
          </cell>
          <cell r="AF88">
            <v>6.9999999999999993E-2</v>
          </cell>
          <cell r="AG88">
            <v>9.6402222222222225</v>
          </cell>
          <cell r="AH88">
            <v>11.686629629629628</v>
          </cell>
          <cell r="AI88">
            <v>22.701518518518515</v>
          </cell>
          <cell r="AJ88">
            <v>38.727407407407398</v>
          </cell>
          <cell r="AK88">
            <v>72.227881199999999</v>
          </cell>
          <cell r="AL88">
            <v>100.9034621015</v>
          </cell>
          <cell r="AM88">
            <v>126.32950996005556</v>
          </cell>
          <cell r="AN88">
            <v>161.17747769001556</v>
          </cell>
          <cell r="AO88">
            <v>191.29280980250778</v>
          </cell>
          <cell r="AP88">
            <v>214.98645346163494</v>
          </cell>
          <cell r="AQ88">
            <v>259.31910265655625</v>
          </cell>
          <cell r="AR88">
            <v>298.40752383695633</v>
          </cell>
          <cell r="AS88">
            <v>326.87692393001441</v>
          </cell>
          <cell r="AT88">
            <v>127.54956580122092</v>
          </cell>
          <cell r="AU88">
            <v>135.83311291522409</v>
          </cell>
          <cell r="AV88">
            <v>140.27515284248625</v>
          </cell>
          <cell r="AW88">
            <v>141.01817060089945</v>
          </cell>
        </row>
        <row r="89">
          <cell r="I89" t="str">
            <v>Bear case spread - bps</v>
          </cell>
          <cell r="L89">
            <v>1.434883562111589</v>
          </cell>
          <cell r="M89">
            <v>0.8123114259477896</v>
          </cell>
          <cell r="N89">
            <v>0.70726929708162956</v>
          </cell>
          <cell r="O89">
            <v>0.52070360983343233</v>
          </cell>
          <cell r="P89">
            <v>0.53065995173643898</v>
          </cell>
          <cell r="Q89">
            <v>0.52249505932806872</v>
          </cell>
          <cell r="R89">
            <v>0.46475355762887571</v>
          </cell>
          <cell r="S89">
            <v>0.43044859063214541</v>
          </cell>
          <cell r="T89">
            <v>0.36313976471236975</v>
          </cell>
          <cell r="U89">
            <v>0.39958321577246159</v>
          </cell>
          <cell r="V89">
            <v>0.37436976457977689</v>
          </cell>
          <cell r="W89">
            <v>0.36247069379721553</v>
          </cell>
          <cell r="X89">
            <v>0.45107804433647136</v>
          </cell>
          <cell r="Y89">
            <v>0.43031133439902564</v>
          </cell>
          <cell r="Z89">
            <v>0.37482582443102641</v>
          </cell>
          <cell r="AA89">
            <v>0.35841833891738772</v>
          </cell>
          <cell r="AB89">
            <v>50</v>
          </cell>
          <cell r="AC89">
            <v>50</v>
          </cell>
          <cell r="AD89">
            <v>100</v>
          </cell>
          <cell r="AE89">
            <v>100</v>
          </cell>
          <cell r="AF89">
            <v>100</v>
          </cell>
          <cell r="AG89">
            <v>1.5348228342974404</v>
          </cell>
          <cell r="AH89">
            <v>0.7205073754395579</v>
          </cell>
          <cell r="AI89">
            <v>0.47464912851297392</v>
          </cell>
          <cell r="AJ89">
            <v>0.37353544056991261</v>
          </cell>
          <cell r="AK89">
            <v>0.39483530216501056</v>
          </cell>
          <cell r="AL89">
            <v>0.34398939388801936</v>
          </cell>
          <cell r="AM89">
            <v>0.28711278850945732</v>
          </cell>
          <cell r="AN89">
            <v>0.25796675247144885</v>
          </cell>
          <cell r="AO89">
            <v>0.22848265109809618</v>
          </cell>
          <cell r="AP89">
            <v>0.20379575483975884</v>
          </cell>
          <cell r="AQ89">
            <v>0.2040006264230364</v>
          </cell>
          <cell r="AR89">
            <v>0.20413097949829254</v>
          </cell>
          <cell r="AS89">
            <v>0.20420637397104341</v>
          </cell>
          <cell r="AT89">
            <v>0.40000000000000008</v>
          </cell>
          <cell r="AU89">
            <v>0.39999999999999997</v>
          </cell>
          <cell r="AV89">
            <v>0.39999999999999997</v>
          </cell>
          <cell r="AW89">
            <v>0.4</v>
          </cell>
        </row>
        <row r="90">
          <cell r="I90" t="str">
            <v>SCENARIO OUTPUT</v>
          </cell>
          <cell r="L90">
            <v>0.87031346035648427</v>
          </cell>
          <cell r="M90">
            <v>0.43417945690672965</v>
          </cell>
          <cell r="N90">
            <v>0.38630270533755789</v>
          </cell>
          <cell r="O90">
            <v>0.2468318783441284</v>
          </cell>
          <cell r="P90">
            <v>0.25189801699716713</v>
          </cell>
          <cell r="Q90">
            <v>0.2589112119248218</v>
          </cell>
          <cell r="R90">
            <v>0.24054889131225007</v>
          </cell>
          <cell r="S90">
            <v>0.26658129235366312</v>
          </cell>
          <cell r="T90">
            <v>0.17829060624389337</v>
          </cell>
          <cell r="U90">
            <v>0.2019423530984096</v>
          </cell>
          <cell r="V90">
            <v>0.20683631744015243</v>
          </cell>
          <cell r="W90">
            <v>0.20408694897102667</v>
          </cell>
          <cell r="X90">
            <v>0.2446401457637413</v>
          </cell>
          <cell r="Y90">
            <v>0.22354165080815003</v>
          </cell>
          <cell r="Z90">
            <v>0.20242367943250431</v>
          </cell>
          <cell r="AA90">
            <v>0.19500000000000001</v>
          </cell>
          <cell r="AB90">
            <v>6.5000000000000002E-2</v>
          </cell>
          <cell r="AC90">
            <v>5.8384714927304564E-2</v>
          </cell>
          <cell r="AD90">
            <v>0.08</v>
          </cell>
          <cell r="AE90">
            <v>0.08</v>
          </cell>
          <cell r="AF90">
            <v>0.06</v>
          </cell>
          <cell r="AG90">
            <v>0.88791593695271454</v>
          </cell>
          <cell r="AH90">
            <v>0.38378545006165227</v>
          </cell>
          <cell r="AI90">
            <v>0.2563979259011458</v>
          </cell>
          <cell r="AJ90">
            <v>0.19894288084260883</v>
          </cell>
          <cell r="AK90">
            <v>0.21200708794710069</v>
          </cell>
          <cell r="AL90">
            <v>0.16069827263184361</v>
          </cell>
          <cell r="AM90">
            <v>0.11</v>
          </cell>
          <cell r="AN90">
            <v>9.5000000000000001E-2</v>
          </cell>
          <cell r="AO90">
            <v>0.08</v>
          </cell>
          <cell r="AP90">
            <v>6.5000000000000002E-2</v>
          </cell>
          <cell r="AQ90">
            <v>6.5000000000000002E-2</v>
          </cell>
          <cell r="AR90">
            <v>6.5000000000000002E-2</v>
          </cell>
          <cell r="AS90">
            <v>6.5000000000000002E-2</v>
          </cell>
          <cell r="AT90">
            <v>0.25287499999999996</v>
          </cell>
          <cell r="AU90">
            <v>0.21494375000000021</v>
          </cell>
          <cell r="AV90">
            <v>0.18270218749999989</v>
          </cell>
          <cell r="AW90">
            <v>0.15529685937499993</v>
          </cell>
        </row>
        <row r="91">
          <cell r="I91" t="str">
            <v>Total opex ex-COGS (GAAP)</v>
          </cell>
          <cell r="L91">
            <v>2.0282728948985865E-2</v>
          </cell>
          <cell r="M91">
            <v>1.1806375442739079E-2</v>
          </cell>
          <cell r="N91">
            <v>1.7060687301974169E-2</v>
          </cell>
          <cell r="O91">
            <v>9.7155730780061952E-3</v>
          </cell>
          <cell r="P91">
            <v>4.7879999999999994</v>
          </cell>
          <cell r="Q91">
            <v>4.9830000000000005</v>
          </cell>
          <cell r="R91">
            <v>5.2470000000000008</v>
          </cell>
          <cell r="S91">
            <v>8.1999999999999993</v>
          </cell>
          <cell r="T91">
            <v>7.9470000000000001</v>
          </cell>
          <cell r="U91">
            <v>9.39</v>
          </cell>
          <cell r="V91">
            <v>10.103</v>
          </cell>
          <cell r="W91">
            <v>13.317</v>
          </cell>
          <cell r="X91">
            <v>16.005000000000003</v>
          </cell>
          <cell r="Y91">
            <v>17.988</v>
          </cell>
          <cell r="Z91">
            <v>21.08</v>
          </cell>
          <cell r="AA91">
            <v>24.657621299999999</v>
          </cell>
          <cell r="AB91">
            <v>25.256183999999998</v>
          </cell>
          <cell r="AC91">
            <v>26.560379999999995</v>
          </cell>
          <cell r="AD91">
            <v>26.564787600000002</v>
          </cell>
          <cell r="AE91">
            <v>30.550160543999997</v>
          </cell>
          <cell r="AF91">
            <v>-7.3920930691117159E-2</v>
          </cell>
          <cell r="AG91">
            <v>9.8079999999999998</v>
          </cell>
          <cell r="AH91">
            <v>12.03</v>
          </cell>
          <cell r="AI91">
            <v>23.217999999999996</v>
          </cell>
          <cell r="AJ91">
            <v>40.756999999999991</v>
          </cell>
          <cell r="AK91">
            <v>79.730621299999996</v>
          </cell>
          <cell r="AL91">
            <v>108.93151214400001</v>
          </cell>
          <cell r="AM91">
            <v>138.60195731069999</v>
          </cell>
          <cell r="AN91">
            <v>177.445997317143</v>
          </cell>
          <cell r="AO91">
            <v>211.82346843914328</v>
          </cell>
          <cell r="AP91">
            <v>239.4698753120129</v>
          </cell>
          <cell r="AQ91">
            <v>287.29003158250731</v>
          </cell>
          <cell r="AR91">
            <v>328.92169292614483</v>
          </cell>
          <cell r="AS91">
            <v>360.16166613233287</v>
          </cell>
        </row>
        <row r="92">
          <cell r="I92" t="str">
            <v>% of revenue</v>
          </cell>
          <cell r="L92">
            <v>1.4757221880762137</v>
          </cell>
          <cell r="M92">
            <v>0.8338252656434475</v>
          </cell>
          <cell r="N92">
            <v>0.73165976115037779</v>
          </cell>
          <cell r="O92">
            <v>0.53534215713883404</v>
          </cell>
          <cell r="P92">
            <v>0.54254957507082147</v>
          </cell>
          <cell r="Q92">
            <v>0.53823720025923538</v>
          </cell>
          <cell r="R92">
            <v>0.4768266085059979</v>
          </cell>
          <cell r="S92">
            <v>0.43754335414332207</v>
          </cell>
          <cell r="T92">
            <v>0.36974829014097615</v>
          </cell>
          <cell r="U92">
            <v>0.418318706285918</v>
          </cell>
          <cell r="V92">
            <v>0.40108777641033783</v>
          </cell>
          <cell r="W92">
            <v>0.38545254565978754</v>
          </cell>
          <cell r="X92">
            <v>0.48603097479501983</v>
          </cell>
          <cell r="Y92">
            <v>0.45642079622440435</v>
          </cell>
          <cell r="Z92">
            <v>0.44504496896508039</v>
          </cell>
          <cell r="AA92">
            <v>0.38999999999999996</v>
          </cell>
          <cell r="AB92">
            <v>0.42847251746128151</v>
          </cell>
          <cell r="AC92">
            <v>0.40844434294993776</v>
          </cell>
          <cell r="AD92">
            <v>0.35951336401638306</v>
          </cell>
          <cell r="AE92">
            <v>0.39</v>
          </cell>
          <cell r="AF92">
            <v>0.39</v>
          </cell>
          <cell r="AG92">
            <v>1.5615347874542271</v>
          </cell>
          <cell r="AH92">
            <v>0.74167694204685575</v>
          </cell>
          <cell r="AI92">
            <v>0.48544785481308017</v>
          </cell>
          <cell r="AJ92">
            <v>0.39311136403094188</v>
          </cell>
          <cell r="AK92">
            <v>0.43584919604134154</v>
          </cell>
          <cell r="AL92">
            <v>0.37135777164937284</v>
          </cell>
          <cell r="AM92">
            <v>0.31500474013495761</v>
          </cell>
          <cell r="AN92">
            <v>0.28400474013495763</v>
          </cell>
          <cell r="AO92">
            <v>0.25300474013495766</v>
          </cell>
          <cell r="AP92">
            <v>0.22700474013495764</v>
          </cell>
          <cell r="AQ92">
            <v>0.22600474013495767</v>
          </cell>
          <cell r="AR92">
            <v>0.22500474013495764</v>
          </cell>
          <cell r="AS92">
            <v>0.22500000000000001</v>
          </cell>
          <cell r="AT92">
            <v>0.4</v>
          </cell>
          <cell r="AU92">
            <v>0.4</v>
          </cell>
          <cell r="AV92">
            <v>0.4</v>
          </cell>
          <cell r="AW92">
            <v>0.4</v>
          </cell>
        </row>
        <row r="93">
          <cell r="I93" t="str">
            <v>General and administrative (ex-SBC)</v>
          </cell>
          <cell r="L93">
            <v>1.4159999999999999</v>
          </cell>
          <cell r="M93">
            <v>1.4710000000000001</v>
          </cell>
          <cell r="N93">
            <v>1.585</v>
          </cell>
          <cell r="O93">
            <v>1.7529999999999999</v>
          </cell>
          <cell r="P93">
            <v>2.2229999999999999</v>
          </cell>
          <cell r="Q93">
            <v>2.3969999999999998</v>
          </cell>
          <cell r="R93">
            <v>2.6469999999999998</v>
          </cell>
          <cell r="S93">
            <v>4.9960000000000004</v>
          </cell>
          <cell r="T93">
            <v>3.8319999999999999</v>
          </cell>
          <cell r="U93">
            <v>4.5330000000000004</v>
          </cell>
          <cell r="V93">
            <v>5.21</v>
          </cell>
          <cell r="W93">
            <v>7.0510000000000002</v>
          </cell>
          <cell r="X93">
            <v>8.0560000000000009</v>
          </cell>
          <cell r="Y93">
            <v>8.81</v>
          </cell>
          <cell r="Z93">
            <v>9.5879999999999992</v>
          </cell>
          <cell r="AA93">
            <v>9.7960000000000012</v>
          </cell>
          <cell r="AB93">
            <v>11.011999999999999</v>
          </cell>
          <cell r="AC93">
            <v>11.609</v>
          </cell>
          <cell r="AD93">
            <v>15.2613252</v>
          </cell>
          <cell r="AE93">
            <v>0.39500000000000002</v>
          </cell>
          <cell r="AF93">
            <v>0.39500000000000002</v>
          </cell>
          <cell r="AG93">
            <v>9.6402222222222225</v>
          </cell>
          <cell r="AH93">
            <v>11.686629629629628</v>
          </cell>
          <cell r="AI93">
            <v>22.701518518518515</v>
          </cell>
          <cell r="AJ93">
            <v>38.727407407407398</v>
          </cell>
          <cell r="AK93">
            <v>72.227881199999999</v>
          </cell>
          <cell r="AL93">
            <v>100.9034621015</v>
          </cell>
          <cell r="AM93">
            <v>126.32950996005556</v>
          </cell>
          <cell r="AN93">
            <v>161.17747769001556</v>
          </cell>
          <cell r="AO93">
            <v>191.29280980250778</v>
          </cell>
          <cell r="AP93">
            <v>214.98645346163494</v>
          </cell>
          <cell r="AQ93">
            <v>259.31910265655625</v>
          </cell>
          <cell r="AR93">
            <v>298.40752383695633</v>
          </cell>
          <cell r="AS93">
            <v>326.87692393001441</v>
          </cell>
          <cell r="AT93">
            <v>0.40500000000000003</v>
          </cell>
          <cell r="AU93">
            <v>0.40500000000000003</v>
          </cell>
          <cell r="AV93">
            <v>0.40500000000000003</v>
          </cell>
          <cell r="AW93">
            <v>0.40500000000000003</v>
          </cell>
        </row>
        <row r="94">
          <cell r="I94" t="str">
            <v>Period-to-period change</v>
          </cell>
          <cell r="L94" t="str">
            <v>NA</v>
          </cell>
          <cell r="M94">
            <v>5.500000000000016E-2</v>
          </cell>
          <cell r="N94">
            <v>0.11399999999999988</v>
          </cell>
          <cell r="O94">
            <v>0.16799999999999993</v>
          </cell>
          <cell r="P94">
            <v>0.47</v>
          </cell>
          <cell r="Q94">
            <v>0.17399999999999993</v>
          </cell>
          <cell r="R94">
            <v>0.25</v>
          </cell>
          <cell r="S94">
            <v>2.3490000000000006</v>
          </cell>
          <cell r="T94">
            <v>-1.1640000000000006</v>
          </cell>
          <cell r="U94">
            <v>0.70100000000000051</v>
          </cell>
          <cell r="V94">
            <v>0.6769999999999996</v>
          </cell>
          <cell r="W94">
            <v>1.8410000000000002</v>
          </cell>
          <cell r="X94">
            <v>1.0050000000000008</v>
          </cell>
          <cell r="Y94">
            <v>0.75399999999999956</v>
          </cell>
          <cell r="Z94">
            <v>0.77799999999999869</v>
          </cell>
          <cell r="AA94">
            <v>0.20800000000000196</v>
          </cell>
          <cell r="AB94">
            <v>1.2159999999999975</v>
          </cell>
          <cell r="AC94">
            <v>0.59700000000000131</v>
          </cell>
          <cell r="AD94">
            <v>3.6523251999999999</v>
          </cell>
          <cell r="AE94">
            <v>50</v>
          </cell>
          <cell r="AF94">
            <v>50</v>
          </cell>
          <cell r="AG94">
            <v>1.5348228342974404</v>
          </cell>
          <cell r="AH94">
            <v>0.7205073754395579</v>
          </cell>
          <cell r="AI94">
            <v>0.47464912851297392</v>
          </cell>
          <cell r="AJ94">
            <v>0.37353544056991261</v>
          </cell>
          <cell r="AK94">
            <v>0.39483530216501056</v>
          </cell>
          <cell r="AL94">
            <v>0.34398939388801936</v>
          </cell>
          <cell r="AM94">
            <v>0.28711278850945732</v>
          </cell>
          <cell r="AN94">
            <v>0.25796675247144885</v>
          </cell>
          <cell r="AO94">
            <v>0.22848265109809618</v>
          </cell>
          <cell r="AP94">
            <v>0.20379575483975884</v>
          </cell>
          <cell r="AQ94">
            <v>0.2040006264230364</v>
          </cell>
          <cell r="AR94">
            <v>0.20413097949829254</v>
          </cell>
          <cell r="AS94">
            <v>0.20420637397104341</v>
          </cell>
          <cell r="AT94">
            <v>50</v>
          </cell>
          <cell r="AU94">
            <v>50</v>
          </cell>
          <cell r="AV94">
            <v>50</v>
          </cell>
          <cell r="AW94">
            <v>50</v>
          </cell>
        </row>
        <row r="95">
          <cell r="I95" t="str">
            <v>% of revenue</v>
          </cell>
          <cell r="L95">
            <v>0.87031346035648427</v>
          </cell>
          <cell r="M95">
            <v>0.43417945690672965</v>
          </cell>
          <cell r="N95">
            <v>0.38630270533755789</v>
          </cell>
          <cell r="O95">
            <v>0.2468318783441284</v>
          </cell>
          <cell r="P95">
            <v>0.25189801699716713</v>
          </cell>
          <cell r="Q95">
            <v>0.2589112119248218</v>
          </cell>
          <cell r="R95">
            <v>0.24054889131225007</v>
          </cell>
          <cell r="S95">
            <v>0.26658129235366312</v>
          </cell>
          <cell r="T95">
            <v>0.17829060624389337</v>
          </cell>
          <cell r="U95">
            <v>0.2019423530984096</v>
          </cell>
          <cell r="V95">
            <v>0.20683631744015243</v>
          </cell>
          <cell r="W95">
            <v>0.20408694897102667</v>
          </cell>
          <cell r="X95">
            <v>0.2446401457637413</v>
          </cell>
          <cell r="Y95">
            <v>0.22354165080815003</v>
          </cell>
          <cell r="Z95">
            <v>0.20242367943250431</v>
          </cell>
          <cell r="AA95">
            <v>0.16901311249137338</v>
          </cell>
          <cell r="AB95">
            <v>0.22274363849670289</v>
          </cell>
          <cell r="AC95">
            <v>0.20363451384869055</v>
          </cell>
          <cell r="AD95">
            <v>0.18</v>
          </cell>
          <cell r="AE95">
            <v>0.38</v>
          </cell>
          <cell r="AF95">
            <v>0.38</v>
          </cell>
          <cell r="AG95">
            <v>0.88791593695271454</v>
          </cell>
          <cell r="AH95">
            <v>0.38378545006165227</v>
          </cell>
          <cell r="AI95">
            <v>0.2563979259011458</v>
          </cell>
          <cell r="AJ95">
            <v>0.19894288084260883</v>
          </cell>
          <cell r="AK95">
            <v>0.21200708794710069</v>
          </cell>
          <cell r="AL95">
            <v>0.16069827263184361</v>
          </cell>
          <cell r="AM95">
            <v>0.11</v>
          </cell>
          <cell r="AN95">
            <v>9.5000000000000001E-2</v>
          </cell>
          <cell r="AO95">
            <v>0.08</v>
          </cell>
          <cell r="AP95">
            <v>6.5000000000000002E-2</v>
          </cell>
          <cell r="AQ95">
            <v>6.5000000000000002E-2</v>
          </cell>
          <cell r="AR95">
            <v>6.5000000000000002E-2</v>
          </cell>
          <cell r="AS95">
            <v>6.5000000000000002E-2</v>
          </cell>
          <cell r="AT95">
            <v>0.39</v>
          </cell>
          <cell r="AU95">
            <v>0.39</v>
          </cell>
          <cell r="AV95">
            <v>0.39</v>
          </cell>
          <cell r="AW95">
            <v>0.39</v>
          </cell>
        </row>
        <row r="96">
          <cell r="I96" t="str">
            <v>% change Y/Y</v>
          </cell>
          <cell r="L96" t="str">
            <v>NA</v>
          </cell>
          <cell r="M96" t="str">
            <v>NA</v>
          </cell>
          <cell r="N96" t="str">
            <v>NA</v>
          </cell>
          <cell r="O96" t="str">
            <v>NA</v>
          </cell>
          <cell r="P96">
            <v>0.56991525423728806</v>
          </cell>
          <cell r="Q96">
            <v>0.62950373895309286</v>
          </cell>
          <cell r="R96">
            <v>0.67003154574132484</v>
          </cell>
          <cell r="S96">
            <v>1.8499714774671996</v>
          </cell>
          <cell r="T96">
            <v>0.72379667116509228</v>
          </cell>
          <cell r="U96">
            <v>0.89111389236545713</v>
          </cell>
          <cell r="V96">
            <v>0.96826596146581045</v>
          </cell>
          <cell r="W96">
            <v>0.41132906325060037</v>
          </cell>
          <cell r="X96">
            <v>1.1022964509394577</v>
          </cell>
          <cell r="Y96">
            <v>0.94352525921023611</v>
          </cell>
          <cell r="Z96">
            <v>0.84030710172744705</v>
          </cell>
          <cell r="AA96">
            <v>0.38930648135016321</v>
          </cell>
          <cell r="AB96">
            <v>0.36693147964250206</v>
          </cell>
          <cell r="AC96">
            <v>0.31770715096481261</v>
          </cell>
          <cell r="AD96">
            <v>0.59171101376720925</v>
          </cell>
          <cell r="AE96">
            <v>-100</v>
          </cell>
          <cell r="AF96">
            <v>-100</v>
          </cell>
          <cell r="AG96">
            <v>9.8079999999999998</v>
          </cell>
          <cell r="AH96">
            <v>24</v>
          </cell>
          <cell r="AI96">
            <v>23.217999999999996</v>
          </cell>
          <cell r="AJ96">
            <v>69</v>
          </cell>
          <cell r="AK96">
            <v>111.49162222222222</v>
          </cell>
          <cell r="AL96">
            <v>157.14601366666665</v>
          </cell>
          <cell r="AM96">
            <v>167.14601366666665</v>
          </cell>
          <cell r="AN96">
            <v>177.14601366666665</v>
          </cell>
          <cell r="AO96">
            <v>187.14601366666665</v>
          </cell>
          <cell r="AP96">
            <v>197.14601366666665</v>
          </cell>
          <cell r="AQ96">
            <v>207.14601366666665</v>
          </cell>
          <cell r="AR96">
            <v>217.14601366666665</v>
          </cell>
          <cell r="AS96">
            <v>227.14601366666665</v>
          </cell>
          <cell r="AT96">
            <v>-100</v>
          </cell>
          <cell r="AU96">
            <v>-100</v>
          </cell>
          <cell r="AV96">
            <v>-100</v>
          </cell>
          <cell r="AW96">
            <v>-100</v>
          </cell>
        </row>
        <row r="97">
          <cell r="I97" t="str">
            <v>% change Q/Q</v>
          </cell>
          <cell r="L97" t="str">
            <v>NA</v>
          </cell>
          <cell r="M97">
            <v>3.8841807909604675E-2</v>
          </cell>
          <cell r="N97">
            <v>7.7498300475866699E-2</v>
          </cell>
          <cell r="O97">
            <v>0.10599369085173493</v>
          </cell>
          <cell r="P97">
            <v>0.26811180832857961</v>
          </cell>
          <cell r="Q97">
            <v>7.8272604588394135E-2</v>
          </cell>
          <cell r="R97">
            <v>0.10429703796412193</v>
          </cell>
          <cell r="S97">
            <v>0.88741972043823236</v>
          </cell>
          <cell r="T97">
            <v>-0.23298638911128911</v>
          </cell>
          <cell r="U97">
            <v>0.18293319415448872</v>
          </cell>
          <cell r="V97">
            <v>0.14934921685418034</v>
          </cell>
          <cell r="W97">
            <v>0.35335892514395395</v>
          </cell>
          <cell r="X97">
            <v>0.14253297404623466</v>
          </cell>
          <cell r="Y97">
            <v>9.3594836146971172E-2</v>
          </cell>
          <cell r="Z97">
            <v>8.8308740068104186E-2</v>
          </cell>
          <cell r="AA97">
            <v>2.1693783896537644E-2</v>
          </cell>
          <cell r="AB97">
            <v>0.12413229889750887</v>
          </cell>
          <cell r="AC97">
            <v>5.4213585179804014E-2</v>
          </cell>
          <cell r="AD97">
            <v>0.31461152554052885</v>
          </cell>
          <cell r="AE97">
            <v>0.39</v>
          </cell>
          <cell r="AF97">
            <v>0.39</v>
          </cell>
          <cell r="AG97">
            <v>1.5615347874542271</v>
          </cell>
          <cell r="AH97">
            <v>10</v>
          </cell>
          <cell r="AI97">
            <v>0.48544785481308017</v>
          </cell>
          <cell r="AJ97">
            <v>44</v>
          </cell>
          <cell r="AK97">
            <v>76.064377777777764</v>
          </cell>
          <cell r="AL97">
            <v>107.21176633333329</v>
          </cell>
          <cell r="AM97">
            <v>144.38148883333326</v>
          </cell>
          <cell r="AN97">
            <v>178.68187659583322</v>
          </cell>
          <cell r="AO97">
            <v>207.78224726814568</v>
          </cell>
          <cell r="AP97">
            <v>229.37258422890847</v>
          </cell>
          <cell r="AQ97">
            <v>245.09791237105668</v>
          </cell>
          <cell r="AR97">
            <v>253.73205959747139</v>
          </cell>
          <cell r="AS97">
            <v>254.26166383749461</v>
          </cell>
          <cell r="AT97">
            <v>0.4</v>
          </cell>
          <cell r="AU97">
            <v>0.4</v>
          </cell>
          <cell r="AV97">
            <v>0.4</v>
          </cell>
          <cell r="AW97">
            <v>0.4</v>
          </cell>
        </row>
        <row r="98">
          <cell r="I98" t="str">
            <v>DRIVER: Base case - % of revenue</v>
          </cell>
          <cell r="L98" t="str">
            <v>NA</v>
          </cell>
          <cell r="M98" t="str">
            <v>NA</v>
          </cell>
          <cell r="N98" t="str">
            <v>NA</v>
          </cell>
          <cell r="O98">
            <v>32</v>
          </cell>
          <cell r="P98">
            <v>0.56991525423728806</v>
          </cell>
          <cell r="Q98">
            <v>0.62950373895309286</v>
          </cell>
          <cell r="R98">
            <v>0.67003154574132484</v>
          </cell>
          <cell r="S98">
            <v>1.8499714774671996</v>
          </cell>
          <cell r="T98">
            <v>0.72379667116509228</v>
          </cell>
          <cell r="U98">
            <v>0.89111389236545713</v>
          </cell>
          <cell r="V98">
            <v>95</v>
          </cell>
          <cell r="W98">
            <v>109</v>
          </cell>
          <cell r="X98">
            <v>114</v>
          </cell>
          <cell r="Y98">
            <v>117</v>
          </cell>
          <cell r="Z98">
            <v>143</v>
          </cell>
          <cell r="AA98">
            <v>145</v>
          </cell>
          <cell r="AB98">
            <v>0.21</v>
          </cell>
          <cell r="AC98">
            <v>0.18354165080815002</v>
          </cell>
          <cell r="AD98">
            <v>0.18</v>
          </cell>
          <cell r="AE98">
            <v>0.14000000000000001</v>
          </cell>
          <cell r="AF98">
            <v>0.12</v>
          </cell>
          <cell r="AG98">
            <v>0.12</v>
          </cell>
          <cell r="AH98">
            <v>0.12</v>
          </cell>
          <cell r="AI98">
            <v>0.12</v>
          </cell>
          <cell r="AJ98">
            <v>109</v>
          </cell>
          <cell r="AK98">
            <v>145</v>
          </cell>
          <cell r="AL98">
            <v>153</v>
          </cell>
          <cell r="AM98">
            <v>0.12</v>
          </cell>
          <cell r="AN98">
            <v>0.11</v>
          </cell>
          <cell r="AO98">
            <v>0.1</v>
          </cell>
          <cell r="AP98">
            <v>9.0000000000000011E-2</v>
          </cell>
          <cell r="AQ98">
            <v>8.0000000000000016E-2</v>
          </cell>
          <cell r="AR98">
            <v>0.11</v>
          </cell>
          <cell r="AS98">
            <v>0.1</v>
          </cell>
          <cell r="AT98">
            <v>9.0000000000000011E-2</v>
          </cell>
          <cell r="AU98">
            <v>8.0000000000000016E-2</v>
          </cell>
          <cell r="AV98">
            <v>0.08</v>
          </cell>
          <cell r="AW98">
            <v>0.08</v>
          </cell>
        </row>
        <row r="99">
          <cell r="I99" t="str">
            <v>Bull case</v>
          </cell>
          <cell r="L99" t="str">
            <v>NA</v>
          </cell>
          <cell r="M99">
            <v>3.8841807909604675E-2</v>
          </cell>
          <cell r="N99">
            <v>7.7498300475866699E-2</v>
          </cell>
          <cell r="O99">
            <v>66</v>
          </cell>
          <cell r="P99">
            <v>0.26811180832857961</v>
          </cell>
          <cell r="Q99">
            <v>7.8272604588394135E-2</v>
          </cell>
          <cell r="R99">
            <v>0.10429703796412193</v>
          </cell>
          <cell r="S99">
            <v>0.88741972043823236</v>
          </cell>
          <cell r="T99">
            <v>-0.23298638911128911</v>
          </cell>
          <cell r="U99">
            <v>0.18293319415448872</v>
          </cell>
          <cell r="V99">
            <v>190</v>
          </cell>
          <cell r="W99">
            <v>222</v>
          </cell>
          <cell r="X99">
            <v>242</v>
          </cell>
          <cell r="Y99">
            <v>255</v>
          </cell>
          <cell r="Z99">
            <v>323</v>
          </cell>
          <cell r="AA99">
            <v>332.55599999999998</v>
          </cell>
          <cell r="AB99">
            <v>0.20499999999999999</v>
          </cell>
          <cell r="AC99">
            <v>0.17854165080815002</v>
          </cell>
          <cell r="AD99">
            <v>0.17499999999999999</v>
          </cell>
          <cell r="AE99">
            <v>0.13500000000000001</v>
          </cell>
          <cell r="AF99">
            <v>0.11499999999999999</v>
          </cell>
          <cell r="AG99">
            <v>0.11499999999999999</v>
          </cell>
          <cell r="AH99">
            <v>0.11499999999999999</v>
          </cell>
          <cell r="AI99">
            <v>0.11499999999999999</v>
          </cell>
          <cell r="AJ99">
            <v>222</v>
          </cell>
          <cell r="AK99">
            <v>332.55599999999998</v>
          </cell>
          <cell r="AL99">
            <v>417.35777999999993</v>
          </cell>
          <cell r="AM99">
            <v>0.11499999999999999</v>
          </cell>
          <cell r="AN99">
            <v>0.105</v>
          </cell>
          <cell r="AO99">
            <v>9.5000000000000001E-2</v>
          </cell>
          <cell r="AP99">
            <v>8.5000000000000006E-2</v>
          </cell>
          <cell r="AQ99">
            <v>7.5000000000000011E-2</v>
          </cell>
          <cell r="AR99">
            <v>0.105</v>
          </cell>
          <cell r="AS99">
            <v>9.5000000000000001E-2</v>
          </cell>
          <cell r="AT99">
            <v>8.5000000000000006E-2</v>
          </cell>
          <cell r="AU99">
            <v>7.5000000000000011E-2</v>
          </cell>
          <cell r="AV99">
            <v>7.4999999999999997E-2</v>
          </cell>
          <cell r="AW99">
            <v>7.4999999999999997E-2</v>
          </cell>
        </row>
        <row r="100">
          <cell r="I100" t="str">
            <v>Bull case spread - bps</v>
          </cell>
          <cell r="L100">
            <v>0.73399999999999999</v>
          </cell>
          <cell r="M100">
            <v>1.0569999999999999</v>
          </cell>
          <cell r="N100">
            <v>1.0720000000000001</v>
          </cell>
          <cell r="O100">
            <v>1.647</v>
          </cell>
          <cell r="P100">
            <v>2.0019999999999998</v>
          </cell>
          <cell r="Q100">
            <v>1.9119999999999999</v>
          </cell>
          <cell r="R100">
            <v>1.9810000000000001</v>
          </cell>
          <cell r="S100">
            <v>2.4849999999999999</v>
          </cell>
          <cell r="T100">
            <v>3.3689999999999998</v>
          </cell>
          <cell r="U100">
            <v>3.5419999999999998</v>
          </cell>
          <cell r="V100">
            <v>3.1539999999999999</v>
          </cell>
          <cell r="W100">
            <v>32</v>
          </cell>
          <cell r="X100">
            <v>20</v>
          </cell>
          <cell r="Y100">
            <v>13</v>
          </cell>
          <cell r="Z100">
            <v>68</v>
          </cell>
          <cell r="AA100">
            <v>9.5559999999999832</v>
          </cell>
          <cell r="AB100">
            <v>5.0340000000000487</v>
          </cell>
          <cell r="AC100">
            <v>0.28499999999996817</v>
          </cell>
          <cell r="AD100">
            <v>75.564999999999998</v>
          </cell>
          <cell r="AE100">
            <v>3.9177799999999365</v>
          </cell>
          <cell r="AF100">
            <v>-50</v>
          </cell>
          <cell r="AG100">
            <v>-50</v>
          </cell>
          <cell r="AH100">
            <v>-50</v>
          </cell>
          <cell r="AI100">
            <v>-50</v>
          </cell>
          <cell r="AK100">
            <v>110.55599999999998</v>
          </cell>
          <cell r="AL100">
            <v>84.801779999999951</v>
          </cell>
          <cell r="AM100">
            <v>-50</v>
          </cell>
          <cell r="AN100">
            <v>-50</v>
          </cell>
          <cell r="AO100">
            <v>-50</v>
          </cell>
          <cell r="AP100">
            <v>-50</v>
          </cell>
          <cell r="AQ100">
            <v>-50</v>
          </cell>
          <cell r="AR100">
            <v>-50</v>
          </cell>
          <cell r="AS100">
            <v>-50</v>
          </cell>
          <cell r="AT100">
            <v>-50</v>
          </cell>
          <cell r="AU100">
            <v>-50</v>
          </cell>
          <cell r="AV100">
            <v>-50</v>
          </cell>
          <cell r="AW100">
            <v>-50</v>
          </cell>
        </row>
        <row r="101">
          <cell r="I101" t="str">
            <v>Bear case</v>
          </cell>
          <cell r="L101" t="str">
            <v>NA</v>
          </cell>
          <cell r="M101">
            <v>0.32299999999999995</v>
          </cell>
          <cell r="N101">
            <v>1.5000000000000124E-2</v>
          </cell>
          <cell r="O101">
            <v>0.57499999999999996</v>
          </cell>
          <cell r="P101">
            <v>0.35499999999999976</v>
          </cell>
          <cell r="Q101">
            <v>-8.9999999999999858E-2</v>
          </cell>
          <cell r="R101">
            <v>6.9000000000000172E-2</v>
          </cell>
          <cell r="S101">
            <v>0.50399999999999978</v>
          </cell>
          <cell r="T101">
            <v>0.8839999999999999</v>
          </cell>
          <cell r="U101">
            <v>0.17300000000000004</v>
          </cell>
          <cell r="V101">
            <v>-0.3879999999999999</v>
          </cell>
          <cell r="W101">
            <v>0.90500000000000025</v>
          </cell>
          <cell r="X101">
            <v>0.54099999999999948</v>
          </cell>
          <cell r="Y101">
            <v>1.3140000000000001</v>
          </cell>
          <cell r="Z101">
            <v>3.4700000000000006</v>
          </cell>
          <cell r="AA101">
            <v>0.2</v>
          </cell>
          <cell r="AB101">
            <v>0.19500000000000001</v>
          </cell>
          <cell r="AC101">
            <v>0.185</v>
          </cell>
          <cell r="AD101">
            <v>0.16500000000000001</v>
          </cell>
          <cell r="AE101">
            <v>0.13500000000000001</v>
          </cell>
          <cell r="AF101">
            <v>0.13</v>
          </cell>
          <cell r="AG101">
            <v>0.13</v>
          </cell>
          <cell r="AH101">
            <v>0.13</v>
          </cell>
          <cell r="AI101">
            <v>0.13</v>
          </cell>
          <cell r="AK101">
            <v>3.4430000000000001</v>
          </cell>
          <cell r="AL101">
            <v>1.0669999999999997</v>
          </cell>
          <cell r="AM101">
            <v>0.12</v>
          </cell>
          <cell r="AN101">
            <v>0.105</v>
          </cell>
          <cell r="AO101">
            <v>0.09</v>
          </cell>
          <cell r="AP101">
            <v>7.4999999999999997E-2</v>
          </cell>
          <cell r="AQ101">
            <v>7.4999999999999997E-2</v>
          </cell>
          <cell r="AR101">
            <v>7.4999999999999997E-2</v>
          </cell>
          <cell r="AS101">
            <v>7.4999999999999997E-2</v>
          </cell>
          <cell r="AT101">
            <v>0.1</v>
          </cell>
          <cell r="AU101">
            <v>9.0000000000000011E-2</v>
          </cell>
          <cell r="AV101">
            <v>0.09</v>
          </cell>
          <cell r="AW101">
            <v>0.09</v>
          </cell>
        </row>
        <row r="102">
          <cell r="I102" t="str">
            <v>Bear case spread - bps</v>
          </cell>
          <cell r="L102">
            <v>-2.0245555555555552</v>
          </cell>
          <cell r="M102">
            <v>-1.6831111111111112</v>
          </cell>
          <cell r="N102">
            <v>-1.5919259259259264</v>
          </cell>
          <cell r="O102">
            <v>-1.7630370370370363</v>
          </cell>
          <cell r="P102">
            <v>-1.7170740740740742</v>
          </cell>
          <cell r="Q102">
            <v>-2.0572592592592605</v>
          </cell>
          <cell r="R102">
            <v>-1.2001481481481484</v>
          </cell>
          <cell r="S102">
            <v>-1.5010370370370385</v>
          </cell>
          <cell r="T102">
            <v>0.11903703703703528</v>
          </cell>
          <cell r="U102">
            <v>-0.19744444444444653</v>
          </cell>
          <cell r="V102">
            <v>0.46600000000000108</v>
          </cell>
          <cell r="W102">
            <v>0.96799999999999997</v>
          </cell>
          <cell r="X102">
            <v>-1.8400000000000016</v>
          </cell>
          <cell r="Y102">
            <v>-1.3089999999999975</v>
          </cell>
          <cell r="Z102">
            <v>1.6070000000000029</v>
          </cell>
          <cell r="AA102">
            <v>3.2612334999999959</v>
          </cell>
          <cell r="AB102">
            <v>50</v>
          </cell>
          <cell r="AC102">
            <v>50</v>
          </cell>
          <cell r="AD102">
            <v>100</v>
          </cell>
          <cell r="AE102">
            <v>100</v>
          </cell>
          <cell r="AF102">
            <v>100</v>
          </cell>
          <cell r="AG102">
            <v>-8.3512222222222228</v>
          </cell>
          <cell r="AH102">
            <v>-7.0626296296296296</v>
          </cell>
          <cell r="AI102">
            <v>-6.4755185185185198</v>
          </cell>
          <cell r="AJ102">
            <v>1.3555925925926005</v>
          </cell>
          <cell r="AK102">
            <v>1.7192334999999872</v>
          </cell>
          <cell r="AL102">
            <v>17.753909895500044</v>
          </cell>
          <cell r="AM102">
            <v>52.970324004069454</v>
          </cell>
          <cell r="AN102">
            <v>94.990285092594377</v>
          </cell>
          <cell r="AO102">
            <v>151.97199232618956</v>
          </cell>
          <cell r="AP102">
            <v>217.5271972205237</v>
          </cell>
          <cell r="AQ102">
            <v>261.85984641544502</v>
          </cell>
          <cell r="AR102">
            <v>300.9482675958451</v>
          </cell>
          <cell r="AS102">
            <v>329.41766768890318</v>
          </cell>
          <cell r="AT102">
            <v>9.0000000000000011E-2</v>
          </cell>
          <cell r="AU102">
            <v>8.0000000000000016E-2</v>
          </cell>
          <cell r="AV102">
            <v>0.08</v>
          </cell>
          <cell r="AW102">
            <v>0.08</v>
          </cell>
        </row>
        <row r="103">
          <cell r="I103" t="str">
            <v>SCENARIO OUTPUT</v>
          </cell>
          <cell r="L103">
            <v>40178</v>
          </cell>
          <cell r="M103">
            <v>-0.49678604224058776</v>
          </cell>
          <cell r="N103">
            <v>-0.38799072043039884</v>
          </cell>
          <cell r="O103">
            <v>-0.24824514742847595</v>
          </cell>
          <cell r="P103">
            <v>40543</v>
          </cell>
          <cell r="Q103">
            <v>-0.22221422113407438</v>
          </cell>
          <cell r="R103">
            <v>-0.10906471720721088</v>
          </cell>
          <cell r="S103">
            <v>-8.0093753643724369E-2</v>
          </cell>
          <cell r="T103">
            <v>40908</v>
          </cell>
          <cell r="U103">
            <v>-8.7960281750098686E-3</v>
          </cell>
          <cell r="V103">
            <v>1.8500138949541511E-2</v>
          </cell>
          <cell r="W103">
            <v>2.8018177081825812E-2</v>
          </cell>
          <cell r="X103">
            <v>41274</v>
          </cell>
          <cell r="Y103">
            <v>-3.3214077288066718E-2</v>
          </cell>
          <cell r="Z103">
            <v>3.3927289617024931E-2</v>
          </cell>
          <cell r="AA103">
            <v>5.1581661082612147E-2</v>
          </cell>
          <cell r="AB103">
            <v>0.21</v>
          </cell>
          <cell r="AC103">
            <v>0.18354165080815002</v>
          </cell>
          <cell r="AD103">
            <v>0.18</v>
          </cell>
          <cell r="AE103">
            <v>0.14000000000000001</v>
          </cell>
          <cell r="AF103">
            <v>0.12</v>
          </cell>
          <cell r="AG103">
            <v>-1.3296007359054647</v>
          </cell>
          <cell r="AH103">
            <v>-0.43542722747408324</v>
          </cell>
          <cell r="AI103">
            <v>-0.1353917897156168</v>
          </cell>
          <cell r="AJ103">
            <v>1.3075026452985208E-2</v>
          </cell>
          <cell r="AK103">
            <v>9.3982277644980069E-3</v>
          </cell>
          <cell r="AL103">
            <v>6.0524748872861342E-2</v>
          </cell>
          <cell r="AM103">
            <v>0.12038721149054266</v>
          </cell>
          <cell r="AN103">
            <v>0.15203324752855105</v>
          </cell>
          <cell r="AO103">
            <v>0.18151734890190377</v>
          </cell>
          <cell r="AP103">
            <v>0.20620424516024105</v>
          </cell>
          <cell r="AQ103">
            <v>0.20599937357696352</v>
          </cell>
          <cell r="AR103">
            <v>0.20586902050170741</v>
          </cell>
          <cell r="AS103">
            <v>0.20579362602895654</v>
          </cell>
          <cell r="AT103">
            <v>0.12758750000000019</v>
          </cell>
          <cell r="AU103">
            <v>7.9950000000000188E-2</v>
          </cell>
          <cell r="AV103">
            <v>0.18270218749999967</v>
          </cell>
          <cell r="AW103">
            <v>0.15529685937499993</v>
          </cell>
        </row>
        <row r="104">
          <cell r="I104" t="str">
            <v>Metrics</v>
          </cell>
          <cell r="L104">
            <v>1</v>
          </cell>
          <cell r="M104">
            <v>2</v>
          </cell>
          <cell r="N104">
            <v>3</v>
          </cell>
          <cell r="O104">
            <v>4</v>
          </cell>
          <cell r="P104">
            <v>1</v>
          </cell>
          <cell r="Q104">
            <v>2</v>
          </cell>
          <cell r="R104">
            <v>3</v>
          </cell>
          <cell r="S104">
            <v>4</v>
          </cell>
          <cell r="T104">
            <v>1</v>
          </cell>
          <cell r="U104">
            <v>2</v>
          </cell>
          <cell r="V104">
            <v>3</v>
          </cell>
          <cell r="W104">
            <v>4</v>
          </cell>
          <cell r="X104">
            <v>1</v>
          </cell>
          <cell r="Y104">
            <v>2</v>
          </cell>
          <cell r="Z104">
            <v>3</v>
          </cell>
          <cell r="AA104">
            <v>4</v>
          </cell>
          <cell r="AB104">
            <v>1</v>
          </cell>
          <cell r="AC104">
            <v>2</v>
          </cell>
          <cell r="AD104">
            <v>3</v>
          </cell>
          <cell r="AE104">
            <v>4</v>
          </cell>
          <cell r="AF104">
            <v>-0.13565953531170927</v>
          </cell>
          <cell r="AG104">
            <v>39813</v>
          </cell>
          <cell r="AH104">
            <v>40178</v>
          </cell>
          <cell r="AI104">
            <v>40543</v>
          </cell>
          <cell r="AJ104">
            <v>40908</v>
          </cell>
          <cell r="AK104">
            <v>41274</v>
          </cell>
          <cell r="AL104">
            <v>41639</v>
          </cell>
          <cell r="AM104">
            <v>42004</v>
          </cell>
          <cell r="AN104">
            <v>42369</v>
          </cell>
          <cell r="AO104">
            <v>42735</v>
          </cell>
          <cell r="AP104">
            <v>43100</v>
          </cell>
          <cell r="AQ104">
            <v>43465</v>
          </cell>
          <cell r="AR104">
            <v>43830</v>
          </cell>
          <cell r="AS104">
            <v>44196</v>
          </cell>
        </row>
        <row r="105">
          <cell r="I105" t="str">
            <v>Revenue by geography</v>
          </cell>
          <cell r="L105">
            <v>-2.0239999999999996</v>
          </cell>
          <cell r="M105">
            <v>-1.6820000000000002</v>
          </cell>
          <cell r="N105">
            <v>-1.5860000000000005</v>
          </cell>
          <cell r="O105">
            <v>-1.7559999999999993</v>
          </cell>
          <cell r="P105">
            <v>-1.7030000000000001</v>
          </cell>
          <cell r="Q105">
            <v>-2.043000000000001</v>
          </cell>
          <cell r="R105">
            <v>-1.1820000000000002</v>
          </cell>
          <cell r="S105">
            <v>-1.4290000000000014</v>
          </cell>
          <cell r="T105">
            <v>0.16699999999999823</v>
          </cell>
          <cell r="U105">
            <v>-9.9000000000002086E-2</v>
          </cell>
          <cell r="V105">
            <v>0.6190000000000011</v>
          </cell>
          <cell r="W105">
            <v>1.2049999999999998</v>
          </cell>
          <cell r="X105">
            <v>-2.4240000000000017</v>
          </cell>
          <cell r="Y105">
            <v>-0.72999999999999754</v>
          </cell>
          <cell r="Z105">
            <v>2.138000000000003</v>
          </cell>
          <cell r="AA105">
            <v>3.7612334999999959</v>
          </cell>
          <cell r="AB105">
            <v>0.69003700000000379</v>
          </cell>
          <cell r="AC105">
            <v>1.7765837500000061</v>
          </cell>
          <cell r="AD105">
            <v>6.008325200000006</v>
          </cell>
          <cell r="AE105">
            <v>0.13500000000000001</v>
          </cell>
          <cell r="AF105">
            <v>0.14000000000000001</v>
          </cell>
          <cell r="AG105">
            <v>-8.2840000000000007</v>
          </cell>
          <cell r="AH105">
            <v>-7.048</v>
          </cell>
          <cell r="AI105">
            <v>-6.3570000000000011</v>
          </cell>
          <cell r="AJ105">
            <v>1.8920000000000079</v>
          </cell>
          <cell r="AK105">
            <v>2.745233499999987</v>
          </cell>
          <cell r="AL105">
            <v>20.253909895500044</v>
          </cell>
          <cell r="AM105">
            <v>54.803655639694455</v>
          </cell>
          <cell r="AN105">
            <v>96.725839040986045</v>
          </cell>
          <cell r="AO105">
            <v>154.29763461703439</v>
          </cell>
          <cell r="AP105">
            <v>220.45750650698818</v>
          </cell>
          <cell r="AQ105">
            <v>265.39086910563475</v>
          </cell>
          <cell r="AR105">
            <v>305.00894368956324</v>
          </cell>
          <cell r="AS105">
            <v>333.86410801152459</v>
          </cell>
          <cell r="AT105">
            <v>9.0000000000000011E-2</v>
          </cell>
          <cell r="AU105">
            <v>8.0000000000000016E-2</v>
          </cell>
          <cell r="AV105">
            <v>0.08</v>
          </cell>
          <cell r="AW105">
            <v>0.08</v>
          </cell>
        </row>
        <row r="106">
          <cell r="I106" t="str">
            <v>Stock-based compensation</v>
          </cell>
          <cell r="L106">
            <v>3.3000000000000002E-2</v>
          </cell>
          <cell r="M106">
            <v>0.04</v>
          </cell>
          <cell r="N106">
            <v>7.0000000000000007E-2</v>
          </cell>
          <cell r="O106">
            <v>6.9000000000000006E-2</v>
          </cell>
          <cell r="P106">
            <v>7.6999999999999999E-2</v>
          </cell>
          <cell r="Q106">
            <v>0.115</v>
          </cell>
          <cell r="R106">
            <v>9.7000000000000003E-2</v>
          </cell>
          <cell r="S106">
            <v>0.123</v>
          </cell>
          <cell r="T106">
            <v>0.10199999999999999</v>
          </cell>
          <cell r="U106">
            <v>0.39700000000000002</v>
          </cell>
          <cell r="V106">
            <v>0.60599999999999998</v>
          </cell>
          <cell r="W106">
            <v>0.72799999999999998</v>
          </cell>
          <cell r="X106">
            <v>1.0840000000000001</v>
          </cell>
          <cell r="Y106">
            <v>0.96299999999999997</v>
          </cell>
          <cell r="Z106">
            <v>3.226</v>
          </cell>
          <cell r="AA106">
            <v>2.2010000000000001</v>
          </cell>
          <cell r="AB106">
            <v>1.657</v>
          </cell>
          <cell r="AC106">
            <v>3.5049999999999999</v>
          </cell>
          <cell r="AD106">
            <v>4.2392570000000003</v>
          </cell>
          <cell r="AE106">
            <v>0.13</v>
          </cell>
          <cell r="AF106">
            <v>0.13500000000000001</v>
          </cell>
          <cell r="AG106">
            <v>6.2809999999999997</v>
          </cell>
          <cell r="AH106" t="str">
            <v>NM</v>
          </cell>
          <cell r="AI106" t="str">
            <v>NM</v>
          </cell>
          <cell r="AJ106">
            <v>-1.2976246657228265</v>
          </cell>
          <cell r="AK106">
            <v>0.45096908033825356</v>
          </cell>
          <cell r="AL106">
            <v>6.3778459630119402</v>
          </cell>
          <cell r="AM106">
            <v>1.7058309196818624</v>
          </cell>
          <cell r="AN106">
            <v>0.76495231772325822</v>
          </cell>
          <cell r="AO106">
            <v>0.59520595682455868</v>
          </cell>
          <cell r="AP106">
            <v>0.42878085625980011</v>
          </cell>
          <cell r="AQ106">
            <v>0.20381870098500032</v>
          </cell>
          <cell r="AR106">
            <v>0.14928198064025744</v>
          </cell>
          <cell r="AS106">
            <v>9.4604322000898522E-2</v>
          </cell>
          <cell r="AT106">
            <v>8.5000000000000006E-2</v>
          </cell>
          <cell r="AU106">
            <v>7.5000000000000011E-2</v>
          </cell>
          <cell r="AV106">
            <v>7.4999999999999997E-2</v>
          </cell>
          <cell r="AW106">
            <v>7.4999999999999997E-2</v>
          </cell>
        </row>
        <row r="107">
          <cell r="I107" t="str">
            <v>Period-to-period change</v>
          </cell>
          <cell r="L107" t="str">
            <v>NA</v>
          </cell>
          <cell r="M107">
            <v>6.9999999999999993E-3</v>
          </cell>
          <cell r="N107">
            <v>3.0000000000000006E-2</v>
          </cell>
          <cell r="O107">
            <v>-1.0000000000000009E-3</v>
          </cell>
          <cell r="P107">
            <v>7.9999999999999932E-3</v>
          </cell>
          <cell r="Q107">
            <v>3.8000000000000006E-2</v>
          </cell>
          <cell r="R107">
            <v>-1.8000000000000002E-2</v>
          </cell>
          <cell r="S107">
            <v>2.5999999999999995E-2</v>
          </cell>
          <cell r="T107">
            <v>-2.1000000000000005E-2</v>
          </cell>
          <cell r="U107">
            <v>0.29500000000000004</v>
          </cell>
          <cell r="V107">
            <v>0.20899999999999996</v>
          </cell>
          <cell r="W107">
            <v>0.122</v>
          </cell>
          <cell r="X107">
            <v>0.35600000000000009</v>
          </cell>
          <cell r="Y107">
            <v>-0.12100000000000011</v>
          </cell>
          <cell r="Z107">
            <v>2.2629999999999999</v>
          </cell>
          <cell r="AA107">
            <v>-1.0249999999999999</v>
          </cell>
          <cell r="AB107">
            <v>-0.54400000000000004</v>
          </cell>
          <cell r="AC107">
            <v>1.8479999999999999</v>
          </cell>
          <cell r="AD107">
            <v>0.73425700000000038</v>
          </cell>
          <cell r="AE107">
            <v>-50</v>
          </cell>
          <cell r="AF107">
            <v>-50</v>
          </cell>
          <cell r="AG107" t="str">
            <v>NA</v>
          </cell>
          <cell r="AH107">
            <v>1.5823913389587645</v>
          </cell>
          <cell r="AI107">
            <v>1.9487053020961773</v>
          </cell>
          <cell r="AJ107">
            <v>1.1677260182319982</v>
          </cell>
          <cell r="AK107">
            <v>0.76442128513281515</v>
          </cell>
          <cell r="AL107">
            <v>0.60351163743270941</v>
          </cell>
          <cell r="AM107">
            <v>0.5</v>
          </cell>
          <cell r="AN107">
            <v>0.41999999999999993</v>
          </cell>
          <cell r="AO107">
            <v>0.33999999999999986</v>
          </cell>
          <cell r="AP107">
            <v>0.26</v>
          </cell>
          <cell r="AQ107">
            <v>0.20500000000000007</v>
          </cell>
          <cell r="AR107">
            <v>0.14999999999999991</v>
          </cell>
          <cell r="AS107">
            <v>9.4999999999999973E-2</v>
          </cell>
          <cell r="AT107">
            <v>-50</v>
          </cell>
          <cell r="AU107">
            <v>-50</v>
          </cell>
          <cell r="AV107">
            <v>-50</v>
          </cell>
          <cell r="AW107">
            <v>-50</v>
          </cell>
        </row>
        <row r="108">
          <cell r="I108" t="str">
            <v>% of revenue</v>
          </cell>
          <cell r="L108">
            <v>2.0282728948985865E-2</v>
          </cell>
          <cell r="M108">
            <v>1.1806375442739079E-2</v>
          </cell>
          <cell r="N108">
            <v>1.7060687301974169E-2</v>
          </cell>
          <cell r="O108">
            <v>9.7155730780061952E-3</v>
          </cell>
          <cell r="P108">
            <v>8.7252124645892364E-3</v>
          </cell>
          <cell r="Q108">
            <v>1.2421689349751568E-2</v>
          </cell>
          <cell r="R108">
            <v>8.8149763722282816E-3</v>
          </cell>
          <cell r="S108">
            <v>6.5631503121498323E-3</v>
          </cell>
          <cell r="T108">
            <v>4.7457311682873498E-3</v>
          </cell>
          <cell r="U108">
            <v>1.7686105047445094E-2</v>
          </cell>
          <cell r="V108">
            <v>2.4058120608201991E-2</v>
          </cell>
          <cell r="W108">
            <v>2.1071521606992966E-2</v>
          </cell>
          <cell r="X108">
            <v>3.2918311569996965E-2</v>
          </cell>
          <cell r="Y108">
            <v>2.4434802466316508E-2</v>
          </cell>
          <cell r="Z108">
            <v>6.8107925516193046E-2</v>
          </cell>
          <cell r="AA108">
            <v>3.7974465148378191E-2</v>
          </cell>
          <cell r="AB108">
            <v>3.3516728022978275E-2</v>
          </cell>
          <cell r="AC108">
            <v>6.1481520461681489E-2</v>
          </cell>
          <cell r="AD108">
            <v>0.05</v>
          </cell>
          <cell r="AE108">
            <v>0.14500000000000002</v>
          </cell>
          <cell r="AF108">
            <v>0.15000000000000002</v>
          </cell>
          <cell r="AG108">
            <v>-1.3188982646075467</v>
          </cell>
          <cell r="AH108">
            <v>-0.43452527743526514</v>
          </cell>
          <cell r="AI108">
            <v>-0.13291377435811663</v>
          </cell>
          <cell r="AJ108">
            <v>1.8248808811898453E-2</v>
          </cell>
          <cell r="AK108">
            <v>1.5006879344620793E-2</v>
          </cell>
          <cell r="AL108">
            <v>6.9047484037835075E-2</v>
          </cell>
          <cell r="AM108">
            <v>0.12455387815720932</v>
          </cell>
          <cell r="AN108">
            <v>0.15481102530632881</v>
          </cell>
          <cell r="AO108">
            <v>0.18429512667968154</v>
          </cell>
          <cell r="AP108">
            <v>0.20898202293801882</v>
          </cell>
          <cell r="AQ108">
            <v>0.20877715135474131</v>
          </cell>
          <cell r="AR108">
            <v>0.20864679827948518</v>
          </cell>
          <cell r="AS108">
            <v>0.20857140380673433</v>
          </cell>
          <cell r="AT108">
            <v>0.1</v>
          </cell>
          <cell r="AU108">
            <v>9.0000000000000011E-2</v>
          </cell>
          <cell r="AV108">
            <v>0.09</v>
          </cell>
          <cell r="AW108">
            <v>0.09</v>
          </cell>
        </row>
        <row r="109">
          <cell r="I109" t="str">
            <v>% change Y/Y</v>
          </cell>
          <cell r="L109" t="str">
            <v>NA</v>
          </cell>
          <cell r="M109" t="str">
            <v>NA</v>
          </cell>
          <cell r="N109" t="str">
            <v>NA</v>
          </cell>
          <cell r="O109" t="str">
            <v>NA</v>
          </cell>
          <cell r="P109">
            <v>1.333333333333333</v>
          </cell>
          <cell r="Q109">
            <v>1.875</v>
          </cell>
          <cell r="R109">
            <v>0.38571428571428568</v>
          </cell>
          <cell r="S109">
            <v>0.78260869565217384</v>
          </cell>
          <cell r="T109">
            <v>0.32467532467532467</v>
          </cell>
          <cell r="U109">
            <v>2.4521739130434783</v>
          </cell>
          <cell r="V109">
            <v>5.2474226804123711</v>
          </cell>
          <cell r="W109">
            <v>4.9186991869918701</v>
          </cell>
          <cell r="X109">
            <v>9.6274509803921582</v>
          </cell>
          <cell r="Y109">
            <v>1.4256926952141056</v>
          </cell>
          <cell r="Z109">
            <v>4.3234323432343231</v>
          </cell>
          <cell r="AA109">
            <v>2.0233516483516487</v>
          </cell>
          <cell r="AB109">
            <v>0.52859778597785967</v>
          </cell>
          <cell r="AC109">
            <v>2.6396677050882658</v>
          </cell>
          <cell r="AD109">
            <v>0.31409082455052717</v>
          </cell>
          <cell r="AE109">
            <v>100</v>
          </cell>
          <cell r="AF109">
            <v>100</v>
          </cell>
          <cell r="AG109">
            <v>6.2181899999999999</v>
          </cell>
          <cell r="AH109">
            <v>16.0578</v>
          </cell>
          <cell r="AI109">
            <v>46.345331999999992</v>
          </cell>
          <cell r="AJ109">
            <v>92.999166000000002</v>
          </cell>
          <cell r="AK109">
            <v>151.83328609999998</v>
          </cell>
          <cell r="AL109">
            <v>234.66644936000003</v>
          </cell>
          <cell r="AM109">
            <v>334.39969033800003</v>
          </cell>
          <cell r="AN109">
            <v>456.10357763733003</v>
          </cell>
          <cell r="AO109">
            <v>586.06185729289791</v>
          </cell>
          <cell r="AP109">
            <v>706.790599895235</v>
          </cell>
          <cell r="AQ109">
            <v>813.54762781970931</v>
          </cell>
          <cell r="AR109">
            <v>891.72447018050934</v>
          </cell>
          <cell r="AS109">
            <v>928.41673936334678</v>
          </cell>
          <cell r="AT109">
            <v>100</v>
          </cell>
          <cell r="AU109">
            <v>100</v>
          </cell>
          <cell r="AV109">
            <v>100</v>
          </cell>
          <cell r="AW109">
            <v>100</v>
          </cell>
        </row>
        <row r="110">
          <cell r="I110" t="str">
            <v>% change Q/Q</v>
          </cell>
          <cell r="L110" t="str">
            <v>NA</v>
          </cell>
          <cell r="M110">
            <v>0.21212121212121215</v>
          </cell>
          <cell r="N110">
            <v>0.75000000000000022</v>
          </cell>
          <cell r="O110">
            <v>-1.4285714285714346E-2</v>
          </cell>
          <cell r="P110">
            <v>0.1159420289855071</v>
          </cell>
          <cell r="Q110">
            <v>0.49350649350649367</v>
          </cell>
          <cell r="R110">
            <v>-0.15652173913043477</v>
          </cell>
          <cell r="S110">
            <v>0.268041237113402</v>
          </cell>
          <cell r="T110">
            <v>-0.17073170731707321</v>
          </cell>
          <cell r="U110">
            <v>2.8921568627450984</v>
          </cell>
          <cell r="V110">
            <v>0.52644836272040285</v>
          </cell>
          <cell r="W110">
            <v>0.20132013201320142</v>
          </cell>
          <cell r="X110">
            <v>0.48901098901098905</v>
          </cell>
          <cell r="Y110">
            <v>-0.11162361623616246</v>
          </cell>
          <cell r="Z110">
            <v>2.3499480789200415</v>
          </cell>
          <cell r="AA110">
            <v>-0.3177309361438313</v>
          </cell>
          <cell r="AB110">
            <v>-0.24716038164470699</v>
          </cell>
          <cell r="AC110">
            <v>1.1152685576342787</v>
          </cell>
          <cell r="AD110">
            <v>0.20948844507845954</v>
          </cell>
          <cell r="AE110">
            <v>0.13500000000000001</v>
          </cell>
          <cell r="AF110">
            <v>0.14000000000000001</v>
          </cell>
          <cell r="AG110" t="str">
            <v>NA</v>
          </cell>
          <cell r="AH110">
            <v>1.5823913389587645</v>
          </cell>
          <cell r="AI110">
            <v>1.8861570078092882</v>
          </cell>
          <cell r="AJ110">
            <v>1.0066565927286919</v>
          </cell>
          <cell r="AK110">
            <v>2.4319999999999999</v>
          </cell>
          <cell r="AL110">
            <v>17.629000000000001</v>
          </cell>
          <cell r="AM110">
            <v>50.654000000000003</v>
          </cell>
          <cell r="AN110">
            <v>0.36394736842105258</v>
          </cell>
          <cell r="AO110">
            <v>0.28493150684931479</v>
          </cell>
          <cell r="AP110">
            <v>0.20600000000000018</v>
          </cell>
          <cell r="AQ110">
            <v>0.15104477611940292</v>
          </cell>
          <cell r="AR110">
            <v>9.6093749999999867E-2</v>
          </cell>
          <cell r="AS110">
            <v>4.1147540983606623E-2</v>
          </cell>
          <cell r="AT110">
            <v>9.0000000000000011E-2</v>
          </cell>
          <cell r="AU110">
            <v>8.0000000000000016E-2</v>
          </cell>
          <cell r="AV110">
            <v>0.08</v>
          </cell>
          <cell r="AW110">
            <v>0.08</v>
          </cell>
        </row>
        <row r="111">
          <cell r="I111" t="str">
            <v>% of total</v>
          </cell>
          <cell r="L111">
            <v>0.99</v>
          </cell>
          <cell r="M111">
            <v>0.99</v>
          </cell>
          <cell r="N111">
            <v>0.99</v>
          </cell>
          <cell r="O111">
            <v>0.99</v>
          </cell>
          <cell r="P111">
            <v>0.99</v>
          </cell>
          <cell r="Q111">
            <v>0.98</v>
          </cell>
          <cell r="R111">
            <v>0.97</v>
          </cell>
          <cell r="S111">
            <v>0.95309012325916442</v>
          </cell>
          <cell r="T111">
            <v>0.93951519099241609</v>
          </cell>
          <cell r="U111">
            <v>0.91981111061611798</v>
          </cell>
          <cell r="V111">
            <v>0.88</v>
          </cell>
          <cell r="W111">
            <v>0.86812486613216011</v>
          </cell>
          <cell r="X111">
            <v>0.87853021560886724</v>
          </cell>
          <cell r="Y111">
            <v>0.88328131739869575</v>
          </cell>
          <cell r="Z111">
            <v>0.86910442089262341</v>
          </cell>
          <cell r="AA111">
            <v>0.12477078349282178</v>
          </cell>
          <cell r="AB111">
            <v>-0.62065035733919527</v>
          </cell>
          <cell r="AC111">
            <v>-0.46761050344620736</v>
          </cell>
          <cell r="AD111">
            <v>0.19830977263661853</v>
          </cell>
          <cell r="AE111">
            <v>0.31154258384366917</v>
          </cell>
          <cell r="AG111">
            <v>0.99</v>
          </cell>
          <cell r="AH111">
            <v>0.99</v>
          </cell>
          <cell r="AI111">
            <v>0.96899999999999997</v>
          </cell>
          <cell r="AJ111">
            <v>0.89700000000000002</v>
          </cell>
          <cell r="AK111">
            <v>0.12879666940788947</v>
          </cell>
          <cell r="AL111">
            <v>0.14889726561348016</v>
          </cell>
          <cell r="AM111">
            <v>8.1921578546500839E-2</v>
          </cell>
          <cell r="AN111">
            <v>0.73</v>
          </cell>
          <cell r="AO111">
            <v>0.7</v>
          </cell>
          <cell r="AP111">
            <v>0.66999999999999993</v>
          </cell>
          <cell r="AQ111">
            <v>0.6399999999999999</v>
          </cell>
          <cell r="AR111">
            <v>0.60999999999999988</v>
          </cell>
          <cell r="AS111">
            <v>0.57999999999999985</v>
          </cell>
        </row>
        <row r="112">
          <cell r="I112" t="str">
            <v>% change Y/Y</v>
          </cell>
          <cell r="L112" t="str">
            <v>NA</v>
          </cell>
          <cell r="M112">
            <v>0.21212121212121215</v>
          </cell>
          <cell r="N112">
            <v>0.75000000000000022</v>
          </cell>
          <cell r="O112">
            <v>-1.4285714285714346E-2</v>
          </cell>
          <cell r="P112">
            <v>0.1159420289855071</v>
          </cell>
          <cell r="Q112">
            <v>0.49350649350649367</v>
          </cell>
          <cell r="R112">
            <v>-0.15652173913043477</v>
          </cell>
          <cell r="S112">
            <v>0.268041237113402</v>
          </cell>
          <cell r="T112">
            <v>-0.17073170731707321</v>
          </cell>
          <cell r="U112">
            <v>2.8921568627450984</v>
          </cell>
          <cell r="V112">
            <v>0.52644836272040285</v>
          </cell>
          <cell r="W112">
            <v>0.20132013201320142</v>
          </cell>
          <cell r="X112">
            <v>0.48901098901098905</v>
          </cell>
          <cell r="Y112">
            <v>-0.11162361623616246</v>
          </cell>
          <cell r="Z112">
            <v>2.3499480789200415</v>
          </cell>
          <cell r="AA112" t="str">
            <v>NA</v>
          </cell>
          <cell r="AB112" t="str">
            <v>NA</v>
          </cell>
          <cell r="AC112" t="str">
            <v>NA</v>
          </cell>
          <cell r="AD112" t="str">
            <v>NA</v>
          </cell>
          <cell r="AE112">
            <v>1.6857057416267942</v>
          </cell>
          <cell r="AK112">
            <v>0.28541226215644278</v>
          </cell>
          <cell r="AL112">
            <v>6.2487664473684221</v>
          </cell>
          <cell r="AM112">
            <v>1.8733337114980997</v>
          </cell>
        </row>
        <row r="113">
          <cell r="I113" t="str">
            <v>Expense summary - % of revenue</v>
          </cell>
          <cell r="L113">
            <v>1.627E-2</v>
          </cell>
          <cell r="M113">
            <v>3.388E-2</v>
          </cell>
          <cell r="N113">
            <v>4.1029999999999997E-2</v>
          </cell>
          <cell r="O113">
            <v>7.102E-2</v>
          </cell>
          <cell r="P113">
            <v>8.8249999999999995E-2</v>
          </cell>
          <cell r="Q113">
            <v>0.18515999999999999</v>
          </cell>
          <cell r="R113">
            <v>0.33011999999999997</v>
          </cell>
          <cell r="S113">
            <v>0.87913799999999998</v>
          </cell>
          <cell r="T113">
            <v>1.3</v>
          </cell>
          <cell r="U113">
            <v>1.8</v>
          </cell>
          <cell r="V113">
            <v>3.0226799999999998</v>
          </cell>
          <cell r="W113">
            <v>4.5561539999999985</v>
          </cell>
          <cell r="X113">
            <v>4</v>
          </cell>
          <cell r="Y113">
            <v>4.5999999999999996</v>
          </cell>
          <cell r="Z113">
            <v>6.2</v>
          </cell>
          <cell r="AA113" t="str">
            <v>NA</v>
          </cell>
          <cell r="AB113">
            <v>-0.4560406698564593</v>
          </cell>
          <cell r="AC113">
            <v>0.83452446399120417</v>
          </cell>
          <cell r="AD113">
            <v>0.50254719808210968</v>
          </cell>
          <cell r="AE113">
            <v>0.79118468288791366</v>
          </cell>
          <cell r="AF113">
            <v>7.5145759999999999</v>
          </cell>
          <cell r="AG113">
            <v>6.2810000000000005E-2</v>
          </cell>
          <cell r="AH113">
            <v>0.16220000000000001</v>
          </cell>
          <cell r="AI113">
            <v>1.4826679999999999</v>
          </cell>
          <cell r="AJ113">
            <v>10.678833999999998</v>
          </cell>
          <cell r="AK113">
            <v>31.098383900000002</v>
          </cell>
          <cell r="AL113">
            <v>58.666612340000007</v>
          </cell>
          <cell r="AM113">
            <v>105.599902212</v>
          </cell>
          <cell r="AN113">
            <v>168.69584378367003</v>
          </cell>
          <cell r="AO113">
            <v>251.16936741124204</v>
          </cell>
          <cell r="AP113">
            <v>348.12074323198152</v>
          </cell>
          <cell r="AQ113">
            <v>457.62054064858671</v>
          </cell>
          <cell r="AR113">
            <v>570.11892355803093</v>
          </cell>
          <cell r="AS113">
            <v>672.30177678035488</v>
          </cell>
          <cell r="AT113">
            <v>68.460952687153096</v>
          </cell>
          <cell r="AU113">
            <v>79.977121717598422</v>
          </cell>
          <cell r="AV113">
            <v>90.805552133143109</v>
          </cell>
          <cell r="AW113">
            <v>104.90736919323305</v>
          </cell>
        </row>
        <row r="114">
          <cell r="I114" t="str">
            <v>Cost of revenue</v>
          </cell>
          <cell r="L114">
            <v>0.80946527350952668</v>
          </cell>
          <cell r="M114">
            <v>0.68447461629279815</v>
          </cell>
          <cell r="N114">
            <v>0.68072142334876928</v>
          </cell>
          <cell r="O114">
            <v>0.72754153759504359</v>
          </cell>
          <cell r="P114">
            <v>0.66390934844192639</v>
          </cell>
          <cell r="Q114">
            <v>0.69971916180600569</v>
          </cell>
          <cell r="R114">
            <v>0.64431115957833518</v>
          </cell>
          <cell r="S114">
            <v>0.64964516301157893</v>
          </cell>
          <cell r="T114">
            <v>0.6313218257106965</v>
          </cell>
          <cell r="U114">
            <v>0.60921281240254821</v>
          </cell>
          <cell r="V114">
            <v>0.60713009647068161</v>
          </cell>
          <cell r="W114">
            <v>0.60951112912095862</v>
          </cell>
          <cell r="X114">
            <v>0.60479805648344975</v>
          </cell>
          <cell r="Y114">
            <v>0.60290274288904111</v>
          </cell>
          <cell r="Z114">
            <v>0.59124688595194863</v>
          </cell>
          <cell r="AA114">
            <v>0.58759489302967571</v>
          </cell>
          <cell r="AB114">
            <v>0.58404466200088989</v>
          </cell>
          <cell r="AC114">
            <v>0.57576873826939601</v>
          </cell>
          <cell r="AD114">
            <v>0.61999999999999988</v>
          </cell>
          <cell r="AE114">
            <v>0.62000000000000011</v>
          </cell>
          <cell r="AF114">
            <v>0.60999999999999988</v>
          </cell>
          <cell r="AG114" t="str">
            <v>NA</v>
          </cell>
          <cell r="AH114">
            <v>1.5823913389587645</v>
          </cell>
          <cell r="AI114">
            <v>8.1409864364981495</v>
          </cell>
          <cell r="AJ114">
            <v>6.2024445121901861</v>
          </cell>
          <cell r="AK114">
            <v>1.912151635656103</v>
          </cell>
          <cell r="AL114">
            <v>0.8864842793325991</v>
          </cell>
          <cell r="AM114">
            <v>0.79999999999999982</v>
          </cell>
          <cell r="AN114">
            <v>0.59750000000000014</v>
          </cell>
          <cell r="AO114">
            <v>0.48888888888888893</v>
          </cell>
          <cell r="AP114">
            <v>0.38600000000000034</v>
          </cell>
          <cell r="AQ114">
            <v>0.31454545454545491</v>
          </cell>
          <cell r="AR114">
            <v>0.24583333333333335</v>
          </cell>
          <cell r="AS114">
            <v>0.17923076923076908</v>
          </cell>
          <cell r="AT114">
            <v>11.716212587746853</v>
          </cell>
          <cell r="AU114">
            <v>11.516169030445326</v>
          </cell>
          <cell r="AV114">
            <v>10.828430415544688</v>
          </cell>
          <cell r="AW114">
            <v>14.101817060089942</v>
          </cell>
        </row>
        <row r="115">
          <cell r="I115" t="str">
            <v>Sales and marketing (ex-SBC)</v>
          </cell>
          <cell r="L115">
            <v>0.45113706207744314</v>
          </cell>
          <cell r="M115">
            <v>0.31198347107438018</v>
          </cell>
          <cell r="N115">
            <v>0.26127223982451869</v>
          </cell>
          <cell r="O115">
            <v>0.23190650520980005</v>
          </cell>
          <cell r="P115">
            <v>0.22685552407932011</v>
          </cell>
          <cell r="Q115">
            <v>0.20652408727586952</v>
          </cell>
          <cell r="R115">
            <v>0.18002544529262088</v>
          </cell>
          <cell r="S115">
            <v>0.1325969798836775</v>
          </cell>
          <cell r="T115">
            <v>0.15674870888196157</v>
          </cell>
          <cell r="U115">
            <v>0.15779391455428343</v>
          </cell>
          <cell r="V115">
            <v>0.12521338679582358</v>
          </cell>
          <cell r="W115">
            <v>0.11748531071811051</v>
          </cell>
          <cell r="X115">
            <v>0.13969025204980259</v>
          </cell>
          <cell r="Y115">
            <v>0.15005962802263326</v>
          </cell>
          <cell r="Z115">
            <v>0.11898830384664105</v>
          </cell>
          <cell r="AA115">
            <v>0.11495859213250517</v>
          </cell>
          <cell r="AB115">
            <v>0.16024111007726849</v>
          </cell>
          <cell r="AC115">
            <v>0.14250381518707572</v>
          </cell>
          <cell r="AD115">
            <v>0.13</v>
          </cell>
          <cell r="AE115">
            <v>0.11</v>
          </cell>
          <cell r="AF115">
            <v>0.10999999999999999</v>
          </cell>
          <cell r="AG115">
            <v>0.01</v>
          </cell>
          <cell r="AH115">
            <v>1.0000000000000002E-2</v>
          </cell>
          <cell r="AI115">
            <v>3.1E-2</v>
          </cell>
          <cell r="AJ115">
            <v>0.10299999999999999</v>
          </cell>
          <cell r="AK115">
            <v>0.17</v>
          </cell>
          <cell r="AL115">
            <v>0.2</v>
          </cell>
          <cell r="AM115">
            <v>0.24</v>
          </cell>
          <cell r="AN115">
            <v>0.27</v>
          </cell>
          <cell r="AO115">
            <v>0.30000000000000004</v>
          </cell>
          <cell r="AP115">
            <v>0.33000000000000007</v>
          </cell>
          <cell r="AQ115">
            <v>0.3600000000000001</v>
          </cell>
          <cell r="AR115">
            <v>0.39000000000000012</v>
          </cell>
          <cell r="AS115">
            <v>0.42000000000000015</v>
          </cell>
          <cell r="AT115">
            <v>6.5000000000000002E-2</v>
          </cell>
          <cell r="AU115">
            <v>6.25E-2</v>
          </cell>
          <cell r="AV115">
            <v>0.06</v>
          </cell>
          <cell r="AW115">
            <v>0.06</v>
          </cell>
        </row>
        <row r="116">
          <cell r="I116" t="str">
            <v>Technology and development (ex-SBC)</v>
          </cell>
          <cell r="L116">
            <v>0.13398893669330056</v>
          </cell>
          <cell r="M116">
            <v>7.5855962219598588E-2</v>
          </cell>
          <cell r="N116">
            <v>6.7024128686327081E-2</v>
          </cell>
          <cell r="O116">
            <v>4.6888200506899465E-2</v>
          </cell>
          <cell r="P116">
            <v>5.5070821529745045E-2</v>
          </cell>
          <cell r="Q116">
            <v>6.038021170879241E-2</v>
          </cell>
          <cell r="R116">
            <v>4.7437295528898589E-2</v>
          </cell>
          <cell r="S116">
            <v>3.1801931593831705E-2</v>
          </cell>
          <cell r="T116">
            <v>2.9963243846833857E-2</v>
          </cell>
          <cell r="U116">
            <v>4.0896333585779834E-2</v>
          </cell>
          <cell r="V116">
            <v>4.4979951566159831E-2</v>
          </cell>
          <cell r="W116">
            <v>4.2808764363657416E-2</v>
          </cell>
          <cell r="X116">
            <v>6.8782265411478902E-2</v>
          </cell>
          <cell r="Y116">
            <v>5.8384714927304564E-2</v>
          </cell>
          <cell r="Z116">
            <v>5.5525060169742006E-2</v>
          </cell>
          <cell r="AA116">
            <v>4.5824706694271911E-2</v>
          </cell>
          <cell r="AB116">
            <v>6.7518912577369625E-2</v>
          </cell>
          <cell r="AC116">
            <v>6.3130382921994771E-2</v>
          </cell>
          <cell r="AD116">
            <v>0.08</v>
          </cell>
          <cell r="AE116">
            <v>0.08</v>
          </cell>
          <cell r="AF116">
            <v>6.0000000000000005E-2</v>
          </cell>
          <cell r="AG116">
            <v>0.10491959879000161</v>
          </cell>
          <cell r="AH116">
            <v>6.6769420468557342E-2</v>
          </cell>
          <cell r="AI116">
            <v>4.5224554654177469E-2</v>
          </cell>
          <cell r="AJ116">
            <v>4.0259264260498848E-2</v>
          </cell>
          <cell r="AK116">
            <v>5.8346140118876087E-2</v>
          </cell>
          <cell r="AL116">
            <v>5.8652129916046208E-2</v>
          </cell>
          <cell r="AM116">
            <v>0.06</v>
          </cell>
          <cell r="AN116">
            <v>5.7499999999999996E-2</v>
          </cell>
          <cell r="AO116">
            <v>5.5E-2</v>
          </cell>
          <cell r="AP116">
            <v>5.5E-2</v>
          </cell>
          <cell r="AQ116">
            <v>5.5E-2</v>
          </cell>
          <cell r="AR116">
            <v>5.5E-2</v>
          </cell>
          <cell r="AS116">
            <v>5.5000000000000007E-2</v>
          </cell>
          <cell r="AT116">
            <v>0.20647222222222217</v>
          </cell>
          <cell r="AU116">
            <v>0.16821514423076933</v>
          </cell>
          <cell r="AV116">
            <v>0.13539409999999985</v>
          </cell>
          <cell r="AW116">
            <v>0.15529685937499993</v>
          </cell>
        </row>
        <row r="117">
          <cell r="I117" t="str">
            <v>General and administrative (ex-SBC)</v>
          </cell>
          <cell r="L117">
            <v>0.87031346035648427</v>
          </cell>
          <cell r="M117">
            <v>0.43417945690672965</v>
          </cell>
          <cell r="N117">
            <v>0.38630270533755789</v>
          </cell>
          <cell r="O117">
            <v>0.2468318783441284</v>
          </cell>
          <cell r="P117">
            <v>0.25189801699716713</v>
          </cell>
          <cell r="Q117">
            <v>0.2589112119248218</v>
          </cell>
          <cell r="R117">
            <v>0.24054889131225007</v>
          </cell>
          <cell r="S117">
            <v>0.26658129235366312</v>
          </cell>
          <cell r="T117">
            <v>0.17829060624389337</v>
          </cell>
          <cell r="U117">
            <v>0.2019423530984096</v>
          </cell>
          <cell r="V117">
            <v>0.20683631744015243</v>
          </cell>
          <cell r="W117">
            <v>0.20408694897102667</v>
          </cell>
          <cell r="X117">
            <v>0.2446401457637413</v>
          </cell>
          <cell r="Y117">
            <v>0.22354165080815003</v>
          </cell>
          <cell r="Z117">
            <v>0.20242367943250431</v>
          </cell>
          <cell r="AA117">
            <v>0.16901311249137338</v>
          </cell>
          <cell r="AB117">
            <v>0.22274363849670289</v>
          </cell>
          <cell r="AC117">
            <v>0.20363451384869055</v>
          </cell>
          <cell r="AD117">
            <v>0.18</v>
          </cell>
          <cell r="AE117">
            <v>0.14000000000000001</v>
          </cell>
          <cell r="AF117">
            <v>0.12000000000000001</v>
          </cell>
          <cell r="AG117">
            <v>0.88791593695271454</v>
          </cell>
          <cell r="AH117">
            <v>0.38378545006165227</v>
          </cell>
          <cell r="AI117">
            <v>0.2563979259011458</v>
          </cell>
          <cell r="AJ117">
            <v>0.19894288084260883</v>
          </cell>
          <cell r="AK117">
            <v>0.21200708794710069</v>
          </cell>
          <cell r="AL117">
            <v>0.16069827263184361</v>
          </cell>
          <cell r="AM117">
            <v>0.11</v>
          </cell>
          <cell r="AN117">
            <v>9.5000000000000001E-2</v>
          </cell>
          <cell r="AO117">
            <v>0.08</v>
          </cell>
          <cell r="AP117">
            <v>6.5000000000000002E-2</v>
          </cell>
          <cell r="AQ117">
            <v>6.5000000000000002E-2</v>
          </cell>
          <cell r="AR117">
            <v>6.5000000000000002E-2</v>
          </cell>
          <cell r="AS117">
            <v>6.5000000000000002E-2</v>
          </cell>
          <cell r="AT117">
            <v>9.0000000000000011E-2</v>
          </cell>
          <cell r="AU117">
            <v>8.0000000000000016E-2</v>
          </cell>
          <cell r="AV117">
            <v>0.08</v>
          </cell>
          <cell r="AW117">
            <v>0.08</v>
          </cell>
        </row>
        <row r="118">
          <cell r="I118" t="str">
            <v>Stock-based compensation</v>
          </cell>
          <cell r="L118">
            <v>2.0282728948985865E-2</v>
          </cell>
          <cell r="M118">
            <v>1.1806375442739079E-2</v>
          </cell>
          <cell r="N118">
            <v>1.7060687301974169E-2</v>
          </cell>
          <cell r="O118">
            <v>9.7155730780061952E-3</v>
          </cell>
          <cell r="P118">
            <v>8.7252124645892364E-3</v>
          </cell>
          <cell r="Q118">
            <v>1.2421689349751568E-2</v>
          </cell>
          <cell r="R118">
            <v>8.8149763722282816E-3</v>
          </cell>
          <cell r="S118">
            <v>6.5631503121498323E-3</v>
          </cell>
          <cell r="T118">
            <v>4.7457311682873498E-3</v>
          </cell>
          <cell r="U118">
            <v>1.7686105047445094E-2</v>
          </cell>
          <cell r="V118">
            <v>2.4058120608201991E-2</v>
          </cell>
          <cell r="W118">
            <v>2.1071521606992966E-2</v>
          </cell>
          <cell r="X118">
            <v>3.2918311569996965E-2</v>
          </cell>
          <cell r="Y118">
            <v>2.4434802466316508E-2</v>
          </cell>
          <cell r="Z118">
            <v>6.8107925516193046E-2</v>
          </cell>
          <cell r="AA118">
            <v>3.7974465148378191E-2</v>
          </cell>
          <cell r="AB118">
            <v>3.3516728022978275E-2</v>
          </cell>
          <cell r="AC118">
            <v>6.1481520461681489E-2</v>
          </cell>
          <cell r="AD118">
            <v>0.05</v>
          </cell>
          <cell r="AE118">
            <v>0.08</v>
          </cell>
          <cell r="AF118">
            <v>0.08</v>
          </cell>
          <cell r="AG118">
            <v>2.0538130870880435E-2</v>
          </cell>
          <cell r="AH118">
            <v>24</v>
          </cell>
          <cell r="AI118">
            <v>8.6142008865099963E-3</v>
          </cell>
          <cell r="AJ118">
            <v>69</v>
          </cell>
          <cell r="AK118">
            <v>111.49162222222222</v>
          </cell>
          <cell r="AL118">
            <v>157.14601366666665</v>
          </cell>
          <cell r="AM118">
            <v>167.14601366666665</v>
          </cell>
          <cell r="AN118">
            <v>177.14601366666665</v>
          </cell>
          <cell r="AO118">
            <v>187.14601366666665</v>
          </cell>
          <cell r="AP118">
            <v>197.14601366666665</v>
          </cell>
          <cell r="AQ118">
            <v>207.14601366666665</v>
          </cell>
          <cell r="AR118">
            <v>217.14601366666665</v>
          </cell>
          <cell r="AS118">
            <v>227.14601366666665</v>
          </cell>
          <cell r="AT118">
            <v>6.5000000000000002E-2</v>
          </cell>
          <cell r="AU118">
            <v>6.25E-2</v>
          </cell>
          <cell r="AV118">
            <v>0.06</v>
          </cell>
          <cell r="AW118">
            <v>0.06</v>
          </cell>
        </row>
        <row r="119">
          <cell r="I119" t="str">
            <v>Worldwide</v>
          </cell>
          <cell r="L119">
            <v>0.87031346035648427</v>
          </cell>
          <cell r="M119">
            <v>0.43417945690672965</v>
          </cell>
          <cell r="N119">
            <v>0.38630270533755789</v>
          </cell>
          <cell r="O119">
            <v>10</v>
          </cell>
          <cell r="P119">
            <v>0.25189801699716713</v>
          </cell>
          <cell r="Q119">
            <v>0.2589112119248218</v>
          </cell>
          <cell r="R119">
            <v>0.24054889131225007</v>
          </cell>
          <cell r="S119">
            <v>0.26658129235366312</v>
          </cell>
          <cell r="T119">
            <v>0.17829060624389337</v>
          </cell>
          <cell r="U119">
            <v>0.2019423530984096</v>
          </cell>
          <cell r="V119">
            <v>34</v>
          </cell>
          <cell r="W119">
            <v>44</v>
          </cell>
          <cell r="X119">
            <v>49</v>
          </cell>
          <cell r="Y119">
            <v>54</v>
          </cell>
          <cell r="Z119">
            <v>73</v>
          </cell>
          <cell r="AA119">
            <v>76.064377777777764</v>
          </cell>
          <cell r="AB119">
            <v>77.29483333333333</v>
          </cell>
          <cell r="AC119">
            <v>76.599305555555532</v>
          </cell>
          <cell r="AD119">
            <v>106.43399999999998</v>
          </cell>
          <cell r="AE119">
            <v>7.4999999999999997E-2</v>
          </cell>
          <cell r="AF119">
            <v>7.4999999999999997E-2</v>
          </cell>
          <cell r="AG119">
            <v>7.4999999999999997E-2</v>
          </cell>
          <cell r="AH119">
            <v>7.4999999999999997E-2</v>
          </cell>
          <cell r="AI119">
            <v>6.5000000000000002E-2</v>
          </cell>
          <cell r="AJ119">
            <v>44</v>
          </cell>
          <cell r="AK119">
            <v>76.064377777777764</v>
          </cell>
          <cell r="AL119">
            <v>107.21176633333329</v>
          </cell>
          <cell r="AM119">
            <v>144.38148883333326</v>
          </cell>
          <cell r="AN119">
            <v>178.68187659583322</v>
          </cell>
          <cell r="AO119">
            <v>207.78224726814568</v>
          </cell>
          <cell r="AP119">
            <v>229.37258422890847</v>
          </cell>
          <cell r="AQ119">
            <v>245.09791237105668</v>
          </cell>
          <cell r="AR119">
            <v>6.5000000000000002E-2</v>
          </cell>
          <cell r="AS119">
            <v>6.25E-2</v>
          </cell>
          <cell r="AT119">
            <v>6.0000000000000005E-2</v>
          </cell>
          <cell r="AU119">
            <v>5.7500000000000002E-2</v>
          </cell>
          <cell r="AV119">
            <v>5.5E-2</v>
          </cell>
          <cell r="AW119">
            <v>5.5E-2</v>
          </cell>
        </row>
        <row r="120">
          <cell r="I120" t="str">
            <v>Total opex ex-COGS (adjusted)</v>
          </cell>
          <cell r="L120">
            <v>5998.1648699999996</v>
          </cell>
          <cell r="M120">
            <v>12480.941863</v>
          </cell>
          <cell r="N120">
            <v>17137.692219</v>
          </cell>
          <cell r="O120">
            <v>32</v>
          </cell>
          <cell r="P120">
            <v>4.6830740740740735</v>
          </cell>
          <cell r="Q120">
            <v>4.8372592592592598</v>
          </cell>
          <cell r="R120">
            <v>5.1141481481481481</v>
          </cell>
          <cell r="S120">
            <v>8.0670370370370375</v>
          </cell>
          <cell r="T120">
            <v>7.8049629629629624</v>
          </cell>
          <cell r="U120">
            <v>8.969444444444445</v>
          </cell>
          <cell r="V120">
            <v>9.43</v>
          </cell>
          <cell r="W120">
            <v>12.523</v>
          </cell>
          <cell r="X120">
            <v>14.854000000000001</v>
          </cell>
          <cell r="Y120">
            <v>16.959</v>
          </cell>
          <cell r="Z120">
            <v>17.788</v>
          </cell>
          <cell r="AA120">
            <v>19.048000000000002</v>
          </cell>
          <cell r="AB120">
            <v>22.206</v>
          </cell>
          <cell r="AC120">
            <v>23.231999999999999</v>
          </cell>
          <cell r="AD120">
            <v>32.966204599999998</v>
          </cell>
          <cell r="AE120">
            <v>-50</v>
          </cell>
          <cell r="AF120">
            <v>-50</v>
          </cell>
          <cell r="AG120">
            <v>9.6402222222222225</v>
          </cell>
          <cell r="AH120">
            <v>55839.685166999996</v>
          </cell>
          <cell r="AI120">
            <v>133317.92451699998</v>
          </cell>
          <cell r="AJ120">
            <v>109</v>
          </cell>
          <cell r="AK120">
            <v>145</v>
          </cell>
          <cell r="AL120">
            <v>153</v>
          </cell>
          <cell r="AM120">
            <v>158</v>
          </cell>
          <cell r="AN120">
            <v>163</v>
          </cell>
          <cell r="AO120">
            <v>168</v>
          </cell>
          <cell r="AP120">
            <v>173</v>
          </cell>
          <cell r="AQ120">
            <v>178</v>
          </cell>
          <cell r="AR120">
            <v>183</v>
          </cell>
          <cell r="AS120">
            <v>188</v>
          </cell>
          <cell r="AT120">
            <v>-50</v>
          </cell>
          <cell r="AU120">
            <v>-50</v>
          </cell>
          <cell r="AV120">
            <v>-50</v>
          </cell>
          <cell r="AW120">
            <v>-50</v>
          </cell>
        </row>
        <row r="121">
          <cell r="I121" t="str">
            <v>% of revenue</v>
          </cell>
          <cell r="L121">
            <v>1.434883562111589</v>
          </cell>
          <cell r="M121">
            <v>0.8123114259477896</v>
          </cell>
          <cell r="N121">
            <v>0.70726929708162956</v>
          </cell>
          <cell r="O121">
            <v>0.52070360983343233</v>
          </cell>
          <cell r="P121">
            <v>0.53065995173643898</v>
          </cell>
          <cell r="Q121">
            <v>0.52249505932806872</v>
          </cell>
          <cell r="R121">
            <v>0.46475355762887571</v>
          </cell>
          <cell r="S121">
            <v>0.43044859063214541</v>
          </cell>
          <cell r="T121">
            <v>0.36313976471236975</v>
          </cell>
          <cell r="U121">
            <v>0.39958321577246159</v>
          </cell>
          <cell r="V121">
            <v>0.37436976457977689</v>
          </cell>
          <cell r="W121">
            <v>0.36247069379721553</v>
          </cell>
          <cell r="X121">
            <v>0.45107804433647136</v>
          </cell>
          <cell r="Y121">
            <v>0.43031133439902564</v>
          </cell>
          <cell r="Z121">
            <v>0.37554363889709919</v>
          </cell>
          <cell r="AA121">
            <v>0.32864044168391998</v>
          </cell>
          <cell r="AB121">
            <v>0.44916865568995507</v>
          </cell>
          <cell r="AC121">
            <v>0.40751460295742775</v>
          </cell>
          <cell r="AD121">
            <v>0.38882054803471455</v>
          </cell>
          <cell r="AE121">
            <v>0.09</v>
          </cell>
          <cell r="AF121">
            <v>0.09</v>
          </cell>
          <cell r="AG121">
            <v>1.5348228342974404</v>
          </cell>
          <cell r="AH121" t="str">
            <v>NA</v>
          </cell>
          <cell r="AI121">
            <v>1.387512109323064</v>
          </cell>
          <cell r="AJ121">
            <v>222</v>
          </cell>
          <cell r="AK121">
            <v>332.55599999999998</v>
          </cell>
          <cell r="AL121">
            <v>417.35777999999993</v>
          </cell>
          <cell r="AM121">
            <v>469.52750249999991</v>
          </cell>
          <cell r="AN121">
            <v>518.82789026249986</v>
          </cell>
          <cell r="AO121">
            <v>562.92826093481233</v>
          </cell>
          <cell r="AP121">
            <v>599.51859789557511</v>
          </cell>
          <cell r="AQ121">
            <v>630.24392603772333</v>
          </cell>
          <cell r="AR121">
            <v>653.87807326413804</v>
          </cell>
          <cell r="AS121">
            <v>669.40767750416126</v>
          </cell>
          <cell r="AT121">
            <v>7.4999999999999997E-2</v>
          </cell>
          <cell r="AU121">
            <v>7.2499999999999995E-2</v>
          </cell>
          <cell r="AV121">
            <v>6.9999999999999993E-2</v>
          </cell>
          <cell r="AW121">
            <v>6.9999999999999993E-2</v>
          </cell>
        </row>
        <row r="122">
          <cell r="I122" t="str">
            <v>Views (ads served)</v>
          </cell>
          <cell r="L122">
            <v>2842.3684499999999</v>
          </cell>
          <cell r="M122">
            <v>5988.5585010000004</v>
          </cell>
          <cell r="N122">
            <v>8144.9836450000003</v>
          </cell>
          <cell r="O122">
            <v>11531.507998999999</v>
          </cell>
          <cell r="P122">
            <v>14644.938435</v>
          </cell>
          <cell r="Q122">
            <v>14463.974343</v>
          </cell>
          <cell r="R122">
            <v>14686.689833</v>
          </cell>
          <cell r="S122">
            <v>29153.233948000001</v>
          </cell>
          <cell r="T122">
            <v>32450.660894000001</v>
          </cell>
          <cell r="U122">
            <v>36414.207995999997</v>
          </cell>
          <cell r="V122">
            <v>37986.575336000002</v>
          </cell>
          <cell r="W122">
            <v>32</v>
          </cell>
          <cell r="X122">
            <v>20</v>
          </cell>
          <cell r="Y122">
            <v>13</v>
          </cell>
          <cell r="Z122">
            <v>68</v>
          </cell>
          <cell r="AA122">
            <v>9.5559999999999832</v>
          </cell>
          <cell r="AB122">
            <v>5.0340000000000487</v>
          </cell>
          <cell r="AC122">
            <v>0.28499999999996817</v>
          </cell>
          <cell r="AD122">
            <v>75.564999999999998</v>
          </cell>
          <cell r="AE122">
            <v>100</v>
          </cell>
          <cell r="AF122">
            <v>100</v>
          </cell>
          <cell r="AG122">
            <v>9.6402222222222225</v>
          </cell>
          <cell r="AH122">
            <v>28507.418595000003</v>
          </cell>
          <cell r="AI122">
            <v>72948.836558999988</v>
          </cell>
          <cell r="AJ122">
            <v>159809.56739933667</v>
          </cell>
          <cell r="AK122">
            <v>110.55599999999998</v>
          </cell>
          <cell r="AL122">
            <v>84.801779999999951</v>
          </cell>
          <cell r="AM122">
            <v>52.169722499999978</v>
          </cell>
          <cell r="AN122">
            <v>49.300387762499952</v>
          </cell>
          <cell r="AO122">
            <v>44.100370672312465</v>
          </cell>
          <cell r="AP122">
            <v>36.590336960762784</v>
          </cell>
          <cell r="AQ122">
            <v>30.725328142148214</v>
          </cell>
          <cell r="AR122">
            <v>23.634147226414711</v>
          </cell>
          <cell r="AS122">
            <v>15.529604240023218</v>
          </cell>
          <cell r="AT122">
            <v>100</v>
          </cell>
          <cell r="AU122">
            <v>100</v>
          </cell>
          <cell r="AV122">
            <v>100</v>
          </cell>
          <cell r="AW122">
            <v>100</v>
          </cell>
        </row>
        <row r="123">
          <cell r="I123" t="str">
            <v>Total opex ex-COGS (GAAP)</v>
          </cell>
          <cell r="L123" t="str">
            <v>NA</v>
          </cell>
          <cell r="M123" t="str">
            <v>NA</v>
          </cell>
          <cell r="N123" t="str">
            <v>NA</v>
          </cell>
          <cell r="O123" t="str">
            <v>NA</v>
          </cell>
          <cell r="P123">
            <v>4.7879999999999994</v>
          </cell>
          <cell r="Q123">
            <v>4.9830000000000005</v>
          </cell>
          <cell r="R123">
            <v>5.2470000000000008</v>
          </cell>
          <cell r="S123">
            <v>8.1999999999999993</v>
          </cell>
          <cell r="T123">
            <v>7.9470000000000001</v>
          </cell>
          <cell r="U123">
            <v>9.39</v>
          </cell>
          <cell r="V123">
            <v>10.103</v>
          </cell>
          <cell r="W123">
            <v>13.317</v>
          </cell>
          <cell r="X123">
            <v>16.005000000000003</v>
          </cell>
          <cell r="Y123">
            <v>17.988</v>
          </cell>
          <cell r="Z123">
            <v>21.08</v>
          </cell>
          <cell r="AA123">
            <v>21.316000000000003</v>
          </cell>
          <cell r="AB123">
            <v>24.29</v>
          </cell>
          <cell r="AC123">
            <v>27.207000000000001</v>
          </cell>
          <cell r="AD123">
            <v>37.305461600000001</v>
          </cell>
          <cell r="AE123">
            <v>0.08</v>
          </cell>
          <cell r="AF123">
            <v>0.08</v>
          </cell>
          <cell r="AG123">
            <v>9.8079999999999998</v>
          </cell>
          <cell r="AH123" t="str">
            <v>NA</v>
          </cell>
          <cell r="AI123">
            <v>1.5589422036197513</v>
          </cell>
          <cell r="AJ123">
            <v>1.1907075552889035</v>
          </cell>
          <cell r="AK123">
            <v>0.75113426512540071</v>
          </cell>
          <cell r="AL123">
            <v>0.56435859816993972</v>
          </cell>
          <cell r="AM123">
            <v>0.44734620844380779</v>
          </cell>
          <cell r="AN123">
            <v>0.37795131398509785</v>
          </cell>
          <cell r="AO123">
            <v>0.30859883738467375</v>
          </cell>
          <cell r="AP123">
            <v>0.23928687277035388</v>
          </cell>
          <cell r="AQ123">
            <v>0.19157719100185866</v>
          </cell>
          <cell r="AR123">
            <v>0.14389541945089546</v>
          </cell>
          <cell r="AS123">
            <v>9.624035800848052E-2</v>
          </cell>
          <cell r="AT123">
            <v>6.5000000000000002E-2</v>
          </cell>
          <cell r="AU123">
            <v>6.25E-2</v>
          </cell>
          <cell r="AV123">
            <v>0.06</v>
          </cell>
          <cell r="AW123">
            <v>0.06</v>
          </cell>
        </row>
        <row r="124">
          <cell r="I124" t="str">
            <v>% of revenue</v>
          </cell>
          <cell r="L124">
            <v>1.4757221880762137</v>
          </cell>
          <cell r="M124">
            <v>0.8338252656434475</v>
          </cell>
          <cell r="N124">
            <v>0.73165976115037779</v>
          </cell>
          <cell r="O124">
            <v>0.53534215713883404</v>
          </cell>
          <cell r="P124">
            <v>0.54254957507082147</v>
          </cell>
          <cell r="Q124">
            <v>0.53823720025923538</v>
          </cell>
          <cell r="R124">
            <v>0.4768266085059979</v>
          </cell>
          <cell r="S124">
            <v>0.43754335414332207</v>
          </cell>
          <cell r="T124">
            <v>0.36974829014097615</v>
          </cell>
          <cell r="U124">
            <v>0.418318706285918</v>
          </cell>
          <cell r="V124">
            <v>0.40108777641033783</v>
          </cell>
          <cell r="W124">
            <v>0.38545254565978754</v>
          </cell>
          <cell r="X124">
            <v>0.48603097479501983</v>
          </cell>
          <cell r="Y124">
            <v>0.45642079622440435</v>
          </cell>
          <cell r="Z124">
            <v>0.44504496896508039</v>
          </cell>
          <cell r="AA124">
            <v>0.36777087646652867</v>
          </cell>
          <cell r="AB124">
            <v>0.4913224645009911</v>
          </cell>
          <cell r="AC124">
            <v>0.4772404357206757</v>
          </cell>
          <cell r="AD124">
            <v>0.44</v>
          </cell>
          <cell r="AE124">
            <v>0.46626639061421671</v>
          </cell>
          <cell r="AF124">
            <v>0.33699999999999997</v>
          </cell>
          <cell r="AG124">
            <v>1.5615347874542271</v>
          </cell>
          <cell r="AH124">
            <v>0.51052255237010624</v>
          </cell>
          <cell r="AI124">
            <v>0.54717950960673667</v>
          </cell>
          <cell r="AJ124">
            <v>0.59051458553891178</v>
          </cell>
          <cell r="AK124">
            <v>0.6184038021394509</v>
          </cell>
          <cell r="AL124">
            <v>0.63769207361657587</v>
          </cell>
          <cell r="AM124">
            <v>0.64769207361657588</v>
          </cell>
          <cell r="AN124">
            <v>0.65769207361657589</v>
          </cell>
          <cell r="AO124">
            <v>0.6676920736165759</v>
          </cell>
          <cell r="AP124">
            <v>0.67769207361657591</v>
          </cell>
          <cell r="AQ124">
            <v>0.68769207361657592</v>
          </cell>
          <cell r="AR124">
            <v>0.69769207361657593</v>
          </cell>
          <cell r="AS124">
            <v>0.70769207361657593</v>
          </cell>
          <cell r="AT124">
            <v>0.27250000000000002</v>
          </cell>
          <cell r="AU124">
            <v>0.26250000000000007</v>
          </cell>
          <cell r="AV124">
            <v>0.26250000000000001</v>
          </cell>
          <cell r="AW124">
            <v>0.26250000000000001</v>
          </cell>
        </row>
        <row r="125">
          <cell r="I125" t="str">
            <v>BPs change Y/Y</v>
          </cell>
          <cell r="L125">
            <v>40178</v>
          </cell>
          <cell r="P125">
            <v>910.97675384491095</v>
          </cell>
          <cell r="Q125">
            <v>647.19810439226092</v>
          </cell>
          <cell r="R125">
            <v>-339.01472992944383</v>
          </cell>
          <cell r="S125">
            <v>427.7321212381857</v>
          </cell>
          <cell r="T125">
            <v>40908</v>
          </cell>
          <cell r="U125">
            <v>491.76090311412457</v>
          </cell>
          <cell r="V125">
            <v>1007.4199327665706</v>
          </cell>
          <cell r="W125">
            <v>200</v>
          </cell>
          <cell r="X125">
            <v>41274</v>
          </cell>
          <cell r="Y125">
            <v>200</v>
          </cell>
          <cell r="Z125">
            <v>500</v>
          </cell>
          <cell r="AA125">
            <v>200</v>
          </cell>
          <cell r="AB125">
            <v>41639</v>
          </cell>
          <cell r="AC125">
            <v>200</v>
          </cell>
          <cell r="AD125">
            <v>200</v>
          </cell>
          <cell r="AE125">
            <v>200</v>
          </cell>
          <cell r="AG125">
            <v>9.8079999999999998</v>
          </cell>
          <cell r="AH125">
            <v>12.03</v>
          </cell>
          <cell r="AI125">
            <v>366.56957236630427</v>
          </cell>
          <cell r="AJ125">
            <v>433.35075932175118</v>
          </cell>
          <cell r="AK125">
            <v>278.89216600539112</v>
          </cell>
          <cell r="AL125">
            <v>192.88271477124974</v>
          </cell>
          <cell r="AM125">
            <v>100</v>
          </cell>
          <cell r="AN125">
            <v>100</v>
          </cell>
          <cell r="AO125">
            <v>100</v>
          </cell>
          <cell r="AP125">
            <v>100</v>
          </cell>
          <cell r="AQ125">
            <v>100</v>
          </cell>
          <cell r="AR125">
            <v>100</v>
          </cell>
          <cell r="AS125">
            <v>100</v>
          </cell>
        </row>
        <row r="126">
          <cell r="I126" t="str">
            <v>Revenue (reported)</v>
          </cell>
          <cell r="L126">
            <v>1.627</v>
          </cell>
          <cell r="M126">
            <v>3.3879999999999999</v>
          </cell>
          <cell r="N126">
            <v>4.1029999999999998</v>
          </cell>
          <cell r="O126">
            <v>7.1020000000000003</v>
          </cell>
          <cell r="P126">
            <v>8.8249999999999993</v>
          </cell>
          <cell r="Q126">
            <v>9.2579999999999991</v>
          </cell>
          <cell r="R126">
            <v>11.004</v>
          </cell>
          <cell r="S126">
            <v>18.741</v>
          </cell>
          <cell r="T126">
            <v>21.492999999999999</v>
          </cell>
          <cell r="U126">
            <v>22.446999999999999</v>
          </cell>
          <cell r="V126">
            <v>25.189</v>
          </cell>
          <cell r="W126">
            <v>34.548999999999999</v>
          </cell>
          <cell r="X126">
            <v>32.93</v>
          </cell>
          <cell r="Y126">
            <v>39.411000000000001</v>
          </cell>
          <cell r="Z126">
            <v>47.366</v>
          </cell>
          <cell r="AA126">
            <v>63.224670000000003</v>
          </cell>
          <cell r="AB126">
            <v>58.944699999999997</v>
          </cell>
          <cell r="AC126">
            <v>65.028149999999997</v>
          </cell>
          <cell r="AD126">
            <v>73.890960000000007</v>
          </cell>
          <cell r="AE126">
            <v>95.469251700000001</v>
          </cell>
          <cell r="AF126">
            <v>11.271863999999999</v>
          </cell>
          <cell r="AG126">
            <v>39813</v>
          </cell>
          <cell r="AH126">
            <v>16.22</v>
          </cell>
          <cell r="AI126">
            <v>47.827999999999996</v>
          </cell>
          <cell r="AJ126">
            <v>103.678</v>
          </cell>
          <cell r="AK126">
            <v>182.93167</v>
          </cell>
          <cell r="AL126">
            <v>293.33306170000003</v>
          </cell>
          <cell r="AM126">
            <v>439.99959255000005</v>
          </cell>
          <cell r="AN126">
            <v>624.79942142100003</v>
          </cell>
          <cell r="AO126">
            <v>837.23122470414</v>
          </cell>
          <cell r="AP126">
            <v>1054.9113431272165</v>
          </cell>
          <cell r="AQ126">
            <v>1271.168168468296</v>
          </cell>
          <cell r="AR126">
            <v>1461.8433937385403</v>
          </cell>
          <cell r="AS126">
            <v>1600.7185161437017</v>
          </cell>
          <cell r="AT126">
            <v>84.259634076496113</v>
          </cell>
          <cell r="AU126">
            <v>102.37071579852598</v>
          </cell>
          <cell r="AV126">
            <v>121.07406951085748</v>
          </cell>
          <cell r="AW126">
            <v>139.87649225764409</v>
          </cell>
        </row>
        <row r="127">
          <cell r="I127" t="str">
            <v>% change Y/Y</v>
          </cell>
          <cell r="L127" t="str">
            <v>NA</v>
          </cell>
          <cell r="M127" t="str">
            <v>NA</v>
          </cell>
          <cell r="N127" t="str">
            <v>NA</v>
          </cell>
          <cell r="O127" t="str">
            <v>NA</v>
          </cell>
          <cell r="P127">
            <v>4.4240934234787952</v>
          </cell>
          <cell r="Q127">
            <v>1.7325855962219596</v>
          </cell>
          <cell r="R127">
            <v>1.6819400438703389</v>
          </cell>
          <cell r="S127">
            <v>1.6388341312306389</v>
          </cell>
          <cell r="T127">
            <v>1.4354674220963175</v>
          </cell>
          <cell r="U127">
            <v>1.4246057463815078</v>
          </cell>
          <cell r="V127">
            <v>1.2890766993820431</v>
          </cell>
          <cell r="W127">
            <v>0.84349821247532142</v>
          </cell>
          <cell r="X127">
            <v>0.53212673893825913</v>
          </cell>
          <cell r="Y127">
            <v>0.75573573306009734</v>
          </cell>
          <cell r="Z127">
            <v>0.88042399460081788</v>
          </cell>
          <cell r="AA127">
            <v>0.83000000000000007</v>
          </cell>
          <cell r="AB127">
            <v>0.79</v>
          </cell>
          <cell r="AC127">
            <v>0.64999999999999991</v>
          </cell>
          <cell r="AD127">
            <v>0.56000000000000005</v>
          </cell>
          <cell r="AE127">
            <v>0.51</v>
          </cell>
          <cell r="AF127">
            <v>-2.9283360000000034</v>
          </cell>
          <cell r="AG127">
            <v>0.32946750000000158</v>
          </cell>
          <cell r="AH127" t="str">
            <v>NA</v>
          </cell>
          <cell r="AI127">
            <v>1.9487053020961773</v>
          </cell>
          <cell r="AJ127">
            <v>1.1677260182319982</v>
          </cell>
          <cell r="AK127">
            <v>0.76442128513281515</v>
          </cell>
          <cell r="AL127">
            <v>0.60351163743270941</v>
          </cell>
          <cell r="AM127">
            <v>0.5</v>
          </cell>
          <cell r="AN127">
            <v>0.41999999999999993</v>
          </cell>
          <cell r="AO127">
            <v>0.33999999999999986</v>
          </cell>
          <cell r="AP127">
            <v>0.26</v>
          </cell>
          <cell r="AQ127">
            <v>0.20500000000000007</v>
          </cell>
          <cell r="AR127">
            <v>0.14999999999999991</v>
          </cell>
          <cell r="AS127">
            <v>9.4999999999999973E-2</v>
          </cell>
          <cell r="AT127">
            <v>12.803294692058628</v>
          </cell>
          <cell r="AU127">
            <v>18.111081722029866</v>
          </cell>
          <cell r="AV127">
            <v>18.703353712331506</v>
          </cell>
          <cell r="AW127">
            <v>18.802422746786604</v>
          </cell>
        </row>
        <row r="128">
          <cell r="I128" t="str">
            <v>Effective CPM (revenue per '000 ad views)</v>
          </cell>
          <cell r="L128">
            <v>0.57240995621099022</v>
          </cell>
          <cell r="M128">
            <v>0.56574549608795743</v>
          </cell>
          <cell r="N128">
            <v>0.50374564011785683</v>
          </cell>
          <cell r="O128">
            <v>0.61587781932908336</v>
          </cell>
          <cell r="P128">
            <v>0.60259727544563069</v>
          </cell>
          <cell r="Q128">
            <v>0.64007303804991267</v>
          </cell>
          <cell r="R128">
            <v>0.74924983948900137</v>
          </cell>
          <cell r="S128">
            <v>0.64284463375239675</v>
          </cell>
          <cell r="T128">
            <v>0.66232857537807399</v>
          </cell>
          <cell r="U128">
            <v>0.61643521129076162</v>
          </cell>
          <cell r="V128">
            <v>0.66310268238706693</v>
          </cell>
          <cell r="W128">
            <v>0.65238339143775981</v>
          </cell>
          <cell r="X128">
            <v>0.6294685682518012</v>
          </cell>
          <cell r="Y128">
            <v>0.63750761484566476</v>
          </cell>
          <cell r="Z128">
            <v>0.65296586738137541</v>
          </cell>
          <cell r="AA128">
            <v>0.67856688642657836</v>
          </cell>
          <cell r="AB128">
            <v>0.65249118019103591</v>
          </cell>
          <cell r="AC128">
            <v>0.65616097786406091</v>
          </cell>
          <cell r="AD128">
            <v>0.66757734239808542</v>
          </cell>
          <cell r="AE128">
            <v>0.69353743670547607</v>
          </cell>
          <cell r="AF128">
            <v>0.12</v>
          </cell>
          <cell r="AG128">
            <v>6.2809999999999997</v>
          </cell>
          <cell r="AH128">
            <v>0.56897470200423095</v>
          </cell>
          <cell r="AI128">
            <v>0.6556375982955861</v>
          </cell>
          <cell r="AJ128">
            <v>0.64875965617832176</v>
          </cell>
          <cell r="AK128">
            <v>0.65368222705327839</v>
          </cell>
          <cell r="AL128">
            <v>0.67004269960166474</v>
          </cell>
          <cell r="AM128">
            <v>0.69441854584546558</v>
          </cell>
          <cell r="AN128">
            <v>0.71560898058784761</v>
          </cell>
          <cell r="AO128">
            <v>0.73278074730998288</v>
          </cell>
          <cell r="AP128">
            <v>0.74502825931383143</v>
          </cell>
          <cell r="AQ128">
            <v>0.7534208100428188</v>
          </cell>
          <cell r="AR128">
            <v>0.75744156049261568</v>
          </cell>
          <cell r="AS128">
            <v>0.7565845415928375</v>
          </cell>
          <cell r="AT128">
            <v>0.08</v>
          </cell>
          <cell r="AU128">
            <v>0.08</v>
          </cell>
          <cell r="AV128">
            <v>0.08</v>
          </cell>
          <cell r="AW128">
            <v>0.08</v>
          </cell>
        </row>
        <row r="129">
          <cell r="I129" t="str">
            <v>% change Y/Y</v>
          </cell>
          <cell r="L129">
            <v>40178</v>
          </cell>
          <cell r="M129" t="str">
            <v>NA</v>
          </cell>
          <cell r="N129" t="str">
            <v>NA</v>
          </cell>
          <cell r="O129" t="str">
            <v>NA</v>
          </cell>
          <cell r="P129">
            <v>40543</v>
          </cell>
          <cell r="Q129">
            <v>0.13137982091933331</v>
          </cell>
          <cell r="R129">
            <v>0.48735746737918384</v>
          </cell>
          <cell r="S129">
            <v>4.3785980882848019E-2</v>
          </cell>
          <cell r="T129">
            <v>40908</v>
          </cell>
          <cell r="U129">
            <v>-3.6929889800025872E-2</v>
          </cell>
          <cell r="V129">
            <v>-0.11497787862148623</v>
          </cell>
          <cell r="W129">
            <v>1.4838356244313067E-2</v>
          </cell>
          <cell r="X129">
            <v>41274</v>
          </cell>
          <cell r="Y129">
            <v>3.4184295719868807E-2</v>
          </cell>
          <cell r="Z129">
            <v>-1.5286946162245241E-2</v>
          </cell>
          <cell r="AA129">
            <v>4.0135134236194858E-2</v>
          </cell>
          <cell r="AB129">
            <v>41639</v>
          </cell>
          <cell r="AC129">
            <v>2.9259827779330783E-2</v>
          </cell>
          <cell r="AD129">
            <v>2.2377088522723465E-2</v>
          </cell>
          <cell r="AE129">
            <v>2.2062011245103097E-2</v>
          </cell>
          <cell r="AF129">
            <v>42004</v>
          </cell>
          <cell r="AG129" t="str">
            <v>NA</v>
          </cell>
          <cell r="AH129" t="str">
            <v>NA</v>
          </cell>
          <cell r="AI129">
            <v>0.15231414680842992</v>
          </cell>
          <cell r="AJ129">
            <v>-1.0490463230211966E-2</v>
          </cell>
          <cell r="AK129">
            <v>7.5876649049884115E-3</v>
          </cell>
          <cell r="AL129">
            <v>2.5028174044347873E-2</v>
          </cell>
          <cell r="AM129">
            <v>3.6379541569950824E-2</v>
          </cell>
          <cell r="AN129">
            <v>3.0515364068484541E-2</v>
          </cell>
          <cell r="AO129">
            <v>2.399601903825932E-2</v>
          </cell>
          <cell r="AP129">
            <v>1.671374698203909E-2</v>
          </cell>
          <cell r="AQ129">
            <v>1.1264741469963591E-2</v>
          </cell>
          <cell r="AR129">
            <v>5.3366596677471012E-3</v>
          </cell>
          <cell r="AS129">
            <v>-1.1314653756532289E-3</v>
          </cell>
          <cell r="AT129">
            <v>0.17917647058823527</v>
          </cell>
          <cell r="AU129">
            <v>0.21494374999999999</v>
          </cell>
          <cell r="AV129">
            <v>0.18270218749999989</v>
          </cell>
          <cell r="AW129">
            <v>0.15529685937499993</v>
          </cell>
        </row>
        <row r="130">
          <cell r="I130" t="str">
            <v>Revenue Metrics</v>
          </cell>
          <cell r="L130">
            <v>1</v>
          </cell>
          <cell r="M130">
            <v>2</v>
          </cell>
          <cell r="N130">
            <v>3</v>
          </cell>
          <cell r="O130">
            <v>4</v>
          </cell>
          <cell r="P130">
            <v>1</v>
          </cell>
          <cell r="Q130">
            <v>2</v>
          </cell>
          <cell r="R130">
            <v>3</v>
          </cell>
          <cell r="S130">
            <v>4</v>
          </cell>
          <cell r="T130">
            <v>1</v>
          </cell>
          <cell r="U130">
            <v>2</v>
          </cell>
          <cell r="V130">
            <v>3</v>
          </cell>
          <cell r="W130">
            <v>4</v>
          </cell>
          <cell r="X130">
            <v>1</v>
          </cell>
          <cell r="Y130">
            <v>2</v>
          </cell>
          <cell r="Z130">
            <v>3</v>
          </cell>
          <cell r="AA130">
            <v>4</v>
          </cell>
          <cell r="AB130">
            <v>1</v>
          </cell>
          <cell r="AC130">
            <v>2</v>
          </cell>
          <cell r="AD130">
            <v>3</v>
          </cell>
          <cell r="AE130">
            <v>4</v>
          </cell>
          <cell r="AF130">
            <v>1</v>
          </cell>
          <cell r="AG130">
            <v>39813</v>
          </cell>
          <cell r="AH130">
            <v>40178</v>
          </cell>
          <cell r="AI130">
            <v>40543</v>
          </cell>
          <cell r="AJ130">
            <v>40908</v>
          </cell>
          <cell r="AK130">
            <v>41274</v>
          </cell>
          <cell r="AL130">
            <v>41639</v>
          </cell>
          <cell r="AM130">
            <v>42004</v>
          </cell>
          <cell r="AN130">
            <v>42369</v>
          </cell>
          <cell r="AO130">
            <v>42735</v>
          </cell>
          <cell r="AP130">
            <v>43100</v>
          </cell>
          <cell r="AQ130">
            <v>43465</v>
          </cell>
          <cell r="AR130">
            <v>43830</v>
          </cell>
          <cell r="AS130">
            <v>44196</v>
          </cell>
          <cell r="AT130">
            <v>43100</v>
          </cell>
          <cell r="AU130">
            <v>43465</v>
          </cell>
          <cell r="AV130">
            <v>43830</v>
          </cell>
          <cell r="AW130">
            <v>44196</v>
          </cell>
        </row>
        <row r="131">
          <cell r="I131" t="str">
            <v>Revenue by geography</v>
          </cell>
          <cell r="L131">
            <v>1.61073</v>
          </cell>
          <cell r="M131">
            <v>3.35412</v>
          </cell>
          <cell r="N131">
            <v>4.0619699999999996</v>
          </cell>
          <cell r="O131">
            <v>7.0309800000000005</v>
          </cell>
          <cell r="P131">
            <v>8.7367499999999989</v>
          </cell>
          <cell r="Q131">
            <v>9.0728399999999993</v>
          </cell>
          <cell r="R131">
            <v>10.673879999999999</v>
          </cell>
          <cell r="S131">
            <v>17.861861999999999</v>
          </cell>
          <cell r="T131">
            <v>20.192999999999998</v>
          </cell>
          <cell r="U131">
            <v>20.646999999999998</v>
          </cell>
          <cell r="V131">
            <v>22.166319999999999</v>
          </cell>
          <cell r="W131">
            <v>29.992846</v>
          </cell>
          <cell r="X131">
            <v>28.929999999999996</v>
          </cell>
          <cell r="Y131">
            <v>34.811</v>
          </cell>
          <cell r="Z131">
            <v>41.165999999999997</v>
          </cell>
          <cell r="AA131">
            <v>46.926286100000006</v>
          </cell>
          <cell r="AB131">
            <v>43.749629002075771</v>
          </cell>
          <cell r="AC131">
            <v>48.264855656086702</v>
          </cell>
          <cell r="AD131">
            <v>54.842964449852509</v>
          </cell>
          <cell r="AE131">
            <v>0.13</v>
          </cell>
          <cell r="AF131">
            <v>0.12</v>
          </cell>
          <cell r="AG131">
            <v>6.2181899999999999</v>
          </cell>
          <cell r="AH131">
            <v>16.0578</v>
          </cell>
          <cell r="AI131">
            <v>46.345331999999992</v>
          </cell>
          <cell r="AJ131">
            <v>92.999166000000002</v>
          </cell>
          <cell r="AK131">
            <v>151.83328609999998</v>
          </cell>
          <cell r="AL131">
            <v>234.66644936000003</v>
          </cell>
          <cell r="AM131">
            <v>334.39969033800003</v>
          </cell>
          <cell r="AN131">
            <v>456.10357763733003</v>
          </cell>
          <cell r="AO131">
            <v>586.06185729289791</v>
          </cell>
          <cell r="AP131">
            <v>706.790599895235</v>
          </cell>
          <cell r="AQ131">
            <v>813.54762781970931</v>
          </cell>
          <cell r="AR131">
            <v>891.72447018050934</v>
          </cell>
          <cell r="AS131">
            <v>928.41673936334678</v>
          </cell>
          <cell r="AT131">
            <v>0.08</v>
          </cell>
          <cell r="AU131">
            <v>0.08</v>
          </cell>
          <cell r="AV131">
            <v>0.08</v>
          </cell>
          <cell r="AW131">
            <v>0.08</v>
          </cell>
        </row>
        <row r="132">
          <cell r="I132" t="str">
            <v>Total revenue</v>
          </cell>
          <cell r="L132">
            <v>1.627</v>
          </cell>
          <cell r="M132">
            <v>3.3879999999999999</v>
          </cell>
          <cell r="N132">
            <v>4.1029999999999998</v>
          </cell>
          <cell r="O132">
            <v>7.1020000000000003</v>
          </cell>
          <cell r="P132">
            <v>8.8249999999999993</v>
          </cell>
          <cell r="Q132">
            <v>9.2579999999999991</v>
          </cell>
          <cell r="R132">
            <v>11.004</v>
          </cell>
          <cell r="S132">
            <v>18.741</v>
          </cell>
          <cell r="T132">
            <v>21.492999999999999</v>
          </cell>
          <cell r="U132">
            <v>22.446999999999999</v>
          </cell>
          <cell r="V132">
            <v>25.189</v>
          </cell>
          <cell r="W132">
            <v>34.548999999999999</v>
          </cell>
          <cell r="X132">
            <v>32.93</v>
          </cell>
          <cell r="Y132">
            <v>39.411000000000001</v>
          </cell>
          <cell r="Z132">
            <v>47.366</v>
          </cell>
          <cell r="AA132">
            <v>57.96</v>
          </cell>
          <cell r="AB132">
            <v>49.438000000000002</v>
          </cell>
          <cell r="AC132">
            <v>57.009</v>
          </cell>
          <cell r="AD132">
            <v>84.785139999999998</v>
          </cell>
          <cell r="AE132">
            <v>0.125</v>
          </cell>
          <cell r="AF132">
            <v>0.11499999999999999</v>
          </cell>
          <cell r="AG132" t="str">
            <v>NA</v>
          </cell>
          <cell r="AH132">
            <v>50233.167110000002</v>
          </cell>
          <cell r="AI132">
            <v>106022.713349</v>
          </cell>
          <cell r="AJ132">
            <v>187855.66217079386</v>
          </cell>
          <cell r="AK132">
            <v>286930.55336249107</v>
          </cell>
          <cell r="AL132">
            <v>408552.32133966265</v>
          </cell>
          <cell r="AM132">
            <v>547835.79862880299</v>
          </cell>
          <cell r="AN132">
            <v>703587.47273539542</v>
          </cell>
          <cell r="AO132">
            <v>855588.91731690988</v>
          </cell>
          <cell r="AP132">
            <v>981993.62396131025</v>
          </cell>
          <cell r="AQ132">
            <v>1079503.5014725323</v>
          </cell>
          <cell r="AR132">
            <v>1134153.3662345789</v>
          </cell>
          <cell r="AS132">
            <v>1136048.2322245073</v>
          </cell>
          <cell r="AT132">
            <v>7.4999999999999997E-2</v>
          </cell>
          <cell r="AU132">
            <v>7.4999999999999997E-2</v>
          </cell>
          <cell r="AV132">
            <v>7.4999999999999997E-2</v>
          </cell>
          <cell r="AW132">
            <v>7.4999999999999997E-2</v>
          </cell>
        </row>
        <row r="133">
          <cell r="I133" t="str">
            <v>% change Y/Y</v>
          </cell>
          <cell r="L133" t="str">
            <v>NA</v>
          </cell>
          <cell r="M133" t="str">
            <v>NA</v>
          </cell>
          <cell r="N133" t="str">
            <v>NA</v>
          </cell>
          <cell r="O133" t="str">
            <v>NA</v>
          </cell>
          <cell r="P133">
            <v>4.4240934234787952</v>
          </cell>
          <cell r="Q133">
            <v>1.7325855962219596</v>
          </cell>
          <cell r="R133">
            <v>1.6819400438703389</v>
          </cell>
          <cell r="S133">
            <v>1.6388341312306389</v>
          </cell>
          <cell r="T133">
            <v>1.4354674220963175</v>
          </cell>
          <cell r="U133">
            <v>1.4246057463815078</v>
          </cell>
          <cell r="V133">
            <v>1.2890766993820431</v>
          </cell>
          <cell r="W133">
            <v>0.84349821247532142</v>
          </cell>
          <cell r="X133">
            <v>0.53212673893825913</v>
          </cell>
          <cell r="Y133">
            <v>0.75573573306009734</v>
          </cell>
          <cell r="Z133">
            <v>0.88042399460081788</v>
          </cell>
          <cell r="AA133">
            <v>0.67761729717213237</v>
          </cell>
          <cell r="AB133">
            <v>0.50130580018220483</v>
          </cell>
          <cell r="AC133">
            <v>0.44652508182994599</v>
          </cell>
          <cell r="AD133">
            <v>0.79</v>
          </cell>
          <cell r="AE133">
            <v>-50</v>
          </cell>
          <cell r="AF133">
            <v>-50</v>
          </cell>
          <cell r="AG133">
            <v>0.99</v>
          </cell>
          <cell r="AH133" t="str">
            <v>NA</v>
          </cell>
          <cell r="AI133">
            <v>1.1106117620820664</v>
          </cell>
          <cell r="AJ133">
            <v>0.77184356292052692</v>
          </cell>
          <cell r="AK133">
            <v>0.52739901500344821</v>
          </cell>
          <cell r="AL133">
            <v>0.42387179250137863</v>
          </cell>
          <cell r="AM133">
            <v>0.34091955917034844</v>
          </cell>
          <cell r="AN133">
            <v>0.28430357142857154</v>
          </cell>
          <cell r="AO133">
            <v>0.21603773584905639</v>
          </cell>
          <cell r="AP133">
            <v>0.1477400000000002</v>
          </cell>
          <cell r="AQ133">
            <v>9.9297872340425641E-2</v>
          </cell>
          <cell r="AR133">
            <v>5.0624999999999698E-2</v>
          </cell>
          <cell r="AS133">
            <v>1.6707317073170191E-3</v>
          </cell>
          <cell r="AT133">
            <v>-50</v>
          </cell>
          <cell r="AU133">
            <v>-50</v>
          </cell>
          <cell r="AV133">
            <v>-50</v>
          </cell>
          <cell r="AW133">
            <v>-50</v>
          </cell>
        </row>
        <row r="134">
          <cell r="I134" t="str">
            <v>% of total WW</v>
          </cell>
          <cell r="L134">
            <v>0.89896782380374951</v>
          </cell>
          <cell r="M134">
            <v>0.89045990078256965</v>
          </cell>
          <cell r="N134">
            <v>0.92464356603579168</v>
          </cell>
          <cell r="O134">
            <v>0.88419499570427673</v>
          </cell>
          <cell r="P134">
            <v>0.8178182226563756</v>
          </cell>
          <cell r="Q134">
            <v>0.81495188121544515</v>
          </cell>
          <cell r="R134">
            <v>0.7943449397371849</v>
          </cell>
          <cell r="S134">
            <v>0.77261325653106872</v>
          </cell>
          <cell r="T134">
            <v>0.75004059881333418</v>
          </cell>
          <cell r="U134">
            <v>0.71414870579745204</v>
          </cell>
          <cell r="V134">
            <v>0.66339569094705464</v>
          </cell>
          <cell r="W134">
            <v>0.66812486613216016</v>
          </cell>
          <cell r="X134">
            <v>0.67853021560886728</v>
          </cell>
          <cell r="Y134">
            <v>0.6832813173986958</v>
          </cell>
          <cell r="Z134">
            <v>0.66910442089262334</v>
          </cell>
          <cell r="AA134">
            <v>0.54221480475896522</v>
          </cell>
          <cell r="AB134">
            <v>0.54221480475896522</v>
          </cell>
          <cell r="AC134">
            <v>0.54221480475896522</v>
          </cell>
          <cell r="AD134">
            <v>0.54221480475896522</v>
          </cell>
          <cell r="AE134">
            <v>0.14000000000000001</v>
          </cell>
          <cell r="AF134">
            <v>0.13</v>
          </cell>
          <cell r="AG134">
            <v>6.2809999999999997</v>
          </cell>
          <cell r="AH134">
            <v>0.89959617357740185</v>
          </cell>
          <cell r="AI134">
            <v>0.79526225549273799</v>
          </cell>
          <cell r="AJ134">
            <v>0.69414810573090013</v>
          </cell>
          <cell r="AK134">
            <v>0.63405469829912864</v>
          </cell>
          <cell r="AL134">
            <v>0.59511399810868393</v>
          </cell>
          <cell r="AM134">
            <v>0.56000000000000005</v>
          </cell>
          <cell r="AN134">
            <v>0.53</v>
          </cell>
          <cell r="AO134">
            <v>0.49999999999999994</v>
          </cell>
          <cell r="AP134">
            <v>0.46999999999999992</v>
          </cell>
          <cell r="AQ134">
            <v>0.43999999999999989</v>
          </cell>
          <cell r="AR134">
            <v>0.40999999999999986</v>
          </cell>
          <cell r="AS134">
            <v>0.37999999999999984</v>
          </cell>
          <cell r="AT134">
            <v>0.09</v>
          </cell>
          <cell r="AU134">
            <v>0.09</v>
          </cell>
          <cell r="AV134">
            <v>0.09</v>
          </cell>
          <cell r="AW134">
            <v>0.09</v>
          </cell>
        </row>
        <row r="135">
          <cell r="I135" t="str">
            <v>US revenue (Qs=MS est.)</v>
          </cell>
          <cell r="L135">
            <v>1.61073</v>
          </cell>
          <cell r="M135">
            <v>3.35412</v>
          </cell>
          <cell r="N135">
            <v>4.0619699999999996</v>
          </cell>
          <cell r="O135">
            <v>7.0309800000000005</v>
          </cell>
          <cell r="P135">
            <v>8.7367499999999989</v>
          </cell>
          <cell r="Q135">
            <v>9.0728399999999993</v>
          </cell>
          <cell r="R135">
            <v>10.673879999999999</v>
          </cell>
          <cell r="S135">
            <v>17.838529999999999</v>
          </cell>
          <cell r="T135">
            <v>20.192999999999998</v>
          </cell>
          <cell r="U135">
            <v>20.646999999999998</v>
          </cell>
          <cell r="V135">
            <v>22.166319999999999</v>
          </cell>
          <cell r="W135">
            <v>30.350679999999997</v>
          </cell>
          <cell r="X135">
            <v>28.93</v>
          </cell>
          <cell r="Y135">
            <v>34.811</v>
          </cell>
          <cell r="Z135">
            <v>41.165999999999997</v>
          </cell>
          <cell r="AA135">
            <v>46.536000000000001</v>
          </cell>
          <cell r="AB135">
            <v>40.341408000000001</v>
          </cell>
          <cell r="AC135">
            <v>41.616569999999996</v>
          </cell>
          <cell r="AD135">
            <v>65.284557800000002</v>
          </cell>
          <cell r="AE135">
            <v>100</v>
          </cell>
          <cell r="AF135">
            <v>100</v>
          </cell>
          <cell r="AG135">
            <v>6.2810000000000005E-2</v>
          </cell>
          <cell r="AH135">
            <v>26762.327835</v>
          </cell>
          <cell r="AI135">
            <v>69857.345180999997</v>
          </cell>
          <cell r="AJ135">
            <v>135810.33104684547</v>
          </cell>
          <cell r="AK135">
            <v>210689.7362881304</v>
          </cell>
          <cell r="AL135">
            <v>306805.70205951267</v>
          </cell>
          <cell r="AM135">
            <v>416880.12474287901</v>
          </cell>
          <cell r="AN135">
            <v>542436.50779222196</v>
          </cell>
          <cell r="AO135">
            <v>668179.15195069159</v>
          </cell>
          <cell r="AP135">
            <v>776715.87609949999</v>
          </cell>
          <cell r="AQ135">
            <v>864637.14502393524</v>
          </cell>
          <cell r="AR135">
            <v>919750.93415311747</v>
          </cell>
          <cell r="AS135">
            <v>932648.07352388662</v>
          </cell>
          <cell r="AT135">
            <v>100</v>
          </cell>
          <cell r="AU135">
            <v>100</v>
          </cell>
          <cell r="AV135">
            <v>100</v>
          </cell>
          <cell r="AW135">
            <v>100</v>
          </cell>
        </row>
        <row r="136">
          <cell r="I136" t="str">
            <v>% change Y/Y</v>
          </cell>
          <cell r="L136" t="str">
            <v>NA</v>
          </cell>
          <cell r="M136" t="str">
            <v>NA</v>
          </cell>
          <cell r="N136" t="str">
            <v>NA</v>
          </cell>
          <cell r="O136" t="str">
            <v>NA</v>
          </cell>
          <cell r="P136">
            <v>4.4240934234787943</v>
          </cell>
          <cell r="Q136">
            <v>1.7049837215126469</v>
          </cell>
          <cell r="R136">
            <v>1.6277594369234634</v>
          </cell>
          <cell r="S136">
            <v>1.5371328036774385</v>
          </cell>
          <cell r="T136">
            <v>1.3112713537642717</v>
          </cell>
          <cell r="U136">
            <v>1.2756931677402004</v>
          </cell>
          <cell r="V136">
            <v>1.0766881396455648</v>
          </cell>
          <cell r="W136">
            <v>0.70141149522970769</v>
          </cell>
          <cell r="X136">
            <v>0.43267468924874963</v>
          </cell>
          <cell r="Y136">
            <v>0.68600765244345441</v>
          </cell>
          <cell r="Z136">
            <v>0.85714182597742883</v>
          </cell>
          <cell r="AA136">
            <v>0.53327701389227533</v>
          </cell>
          <cell r="AB136">
            <v>0.39444894573107514</v>
          </cell>
          <cell r="AC136">
            <v>0.19550056016776285</v>
          </cell>
          <cell r="AD136">
            <v>0.58588538599815387</v>
          </cell>
          <cell r="AE136">
            <v>0.13</v>
          </cell>
          <cell r="AF136">
            <v>0.12</v>
          </cell>
          <cell r="AG136" t="str">
            <v>NA</v>
          </cell>
          <cell r="AH136" t="str">
            <v>NA</v>
          </cell>
          <cell r="AI136">
            <v>1.6102865793923939</v>
          </cell>
          <cell r="AJ136">
            <v>0.94410953772952078</v>
          </cell>
          <cell r="AK136">
            <v>0.55135279226627132</v>
          </cell>
          <cell r="AL136">
            <v>0.45619671591376498</v>
          </cell>
          <cell r="AM136">
            <v>0.35877567445605907</v>
          </cell>
          <cell r="AN136">
            <v>0.30118102446544537</v>
          </cell>
          <cell r="AO136">
            <v>0.2318108061536206</v>
          </cell>
          <cell r="AP136">
            <v>0.16243656185911326</v>
          </cell>
          <cell r="AQ136">
            <v>0.11319617846097985</v>
          </cell>
          <cell r="AR136">
            <v>6.3742102044038962E-2</v>
          </cell>
          <cell r="AS136">
            <v>1.4022425954526962E-2</v>
          </cell>
          <cell r="AT136">
            <v>0.08</v>
          </cell>
          <cell r="AU136">
            <v>0.08</v>
          </cell>
          <cell r="AV136">
            <v>0.08</v>
          </cell>
          <cell r="AW136">
            <v>0.08</v>
          </cell>
        </row>
        <row r="137">
          <cell r="I137" t="str">
            <v>% of total</v>
          </cell>
          <cell r="L137">
            <v>0.99</v>
          </cell>
          <cell r="M137">
            <v>0.99</v>
          </cell>
          <cell r="N137">
            <v>0.99</v>
          </cell>
          <cell r="O137">
            <v>0.99</v>
          </cell>
          <cell r="P137">
            <v>0.99</v>
          </cell>
          <cell r="Q137">
            <v>0.98</v>
          </cell>
          <cell r="R137">
            <v>0.97</v>
          </cell>
          <cell r="S137">
            <v>0.95184515233978972</v>
          </cell>
          <cell r="T137">
            <v>0.93951519099241609</v>
          </cell>
          <cell r="U137">
            <v>0.91981111061611798</v>
          </cell>
          <cell r="V137">
            <v>0.88</v>
          </cell>
          <cell r="W137">
            <v>0.878482155778749</v>
          </cell>
          <cell r="X137">
            <v>0.87853021560886724</v>
          </cell>
          <cell r="Y137">
            <v>0.88328131739869575</v>
          </cell>
          <cell r="Z137">
            <v>0.86910442089262341</v>
          </cell>
          <cell r="AA137">
            <v>0.80289855072463767</v>
          </cell>
          <cell r="AB137">
            <v>0.81600000000000006</v>
          </cell>
          <cell r="AC137">
            <v>0.73</v>
          </cell>
          <cell r="AD137">
            <v>0.77</v>
          </cell>
          <cell r="AE137">
            <v>0.76</v>
          </cell>
          <cell r="AF137">
            <v>0.75</v>
          </cell>
          <cell r="AG137">
            <v>0.01</v>
          </cell>
          <cell r="AH137">
            <v>0.93878467970768564</v>
          </cell>
          <cell r="AI137">
            <v>0.95762110098219821</v>
          </cell>
          <cell r="AJ137">
            <v>0.84982603518022659</v>
          </cell>
          <cell r="AK137">
            <v>0.75287202065171643</v>
          </cell>
          <cell r="AL137">
            <v>0.70081742463583974</v>
          </cell>
          <cell r="AM137">
            <v>0.65793081384031005</v>
          </cell>
          <cell r="AN137">
            <v>0.62127528142070276</v>
          </cell>
          <cell r="AO137">
            <v>0.58481910833701034</v>
          </cell>
          <cell r="AP137">
            <v>0.54855346937154226</v>
          </cell>
          <cell r="AQ137">
            <v>0.51247005263040524</v>
          </cell>
          <cell r="AR137">
            <v>0.47656102275623091</v>
          </cell>
          <cell r="AS137">
            <v>0.44081898725982271</v>
          </cell>
          <cell r="AT137">
            <v>0.64089014969812452</v>
          </cell>
          <cell r="AU137">
            <v>0.6108901496981245</v>
          </cell>
          <cell r="AV137">
            <v>0.58089014969812447</v>
          </cell>
          <cell r="AW137">
            <v>0.55089014969812444</v>
          </cell>
        </row>
        <row r="138">
          <cell r="I138" t="str">
            <v>Fill rate (% of requests served)</v>
          </cell>
          <cell r="L138">
            <v>0.48157160335914684</v>
          </cell>
          <cell r="M138">
            <v>0.50204787372771775</v>
          </cell>
          <cell r="N138">
            <v>0.47981975070910576</v>
          </cell>
          <cell r="O138">
            <v>0.61420713439750896</v>
          </cell>
          <cell r="P138">
            <v>0.66202391328493992</v>
          </cell>
          <cell r="Q138">
            <v>0.63129497764031195</v>
          </cell>
          <cell r="R138">
            <v>0.52886864255756927</v>
          </cell>
          <cell r="S138">
            <v>0.76687083495937103</v>
          </cell>
          <cell r="T138">
            <v>0.71038929381997928</v>
          </cell>
          <cell r="U138">
            <v>0.70956300505503977</v>
          </cell>
          <cell r="V138">
            <v>0.6819876101786887</v>
          </cell>
          <cell r="W138">
            <v>0.77687083495937104</v>
          </cell>
          <cell r="X138">
            <v>0.72038929381997929</v>
          </cell>
          <cell r="Y138">
            <v>0.71956300505503978</v>
          </cell>
          <cell r="Z138">
            <v>0.70698761017868872</v>
          </cell>
          <cell r="AA138">
            <v>0.78687083495937105</v>
          </cell>
          <cell r="AB138">
            <v>0.7303892938199793</v>
          </cell>
          <cell r="AC138">
            <v>0.72956300505503979</v>
          </cell>
          <cell r="AD138">
            <v>0.71698761017868873</v>
          </cell>
          <cell r="AE138">
            <v>0.79687083495937105</v>
          </cell>
          <cell r="AG138" t="str">
            <v>NA</v>
          </cell>
          <cell r="AH138">
            <v>0.53276210469461671</v>
          </cell>
          <cell r="AI138">
            <v>0.65889037333959999</v>
          </cell>
          <cell r="AJ138">
            <v>0.72295042628723094</v>
          </cell>
          <cell r="AK138">
            <v>0.73428825832276379</v>
          </cell>
          <cell r="AL138">
            <v>0.75095816627227097</v>
          </cell>
          <cell r="AM138">
            <v>0.76095816627227097</v>
          </cell>
          <cell r="AN138">
            <v>0.77095816627227098</v>
          </cell>
          <cell r="AO138">
            <v>0.78095816627227099</v>
          </cell>
          <cell r="AP138">
            <v>0.790958166272271</v>
          </cell>
          <cell r="AQ138">
            <v>0.80095816627227101</v>
          </cell>
          <cell r="AR138">
            <v>0.81095816627227102</v>
          </cell>
          <cell r="AS138">
            <v>0.82095816627227103</v>
          </cell>
        </row>
        <row r="139">
          <cell r="I139" t="str">
            <v>International revenue (Qs=MS est.)</v>
          </cell>
          <cell r="L139">
            <v>1.627E-2</v>
          </cell>
          <cell r="M139">
            <v>3.388E-2</v>
          </cell>
          <cell r="N139">
            <v>4.1029999999999997E-2</v>
          </cell>
          <cell r="O139">
            <v>7.102E-2</v>
          </cell>
          <cell r="P139">
            <v>8.8249999999999995E-2</v>
          </cell>
          <cell r="Q139">
            <v>0.18515999999999999</v>
          </cell>
          <cell r="R139">
            <v>0.33011999999999997</v>
          </cell>
          <cell r="S139">
            <v>0.90247000000000011</v>
          </cell>
          <cell r="T139">
            <v>1.3</v>
          </cell>
          <cell r="U139">
            <v>1.8</v>
          </cell>
          <cell r="V139">
            <v>3.0226799999999998</v>
          </cell>
          <cell r="W139">
            <v>4.1983200000000007</v>
          </cell>
          <cell r="X139">
            <v>4</v>
          </cell>
          <cell r="Y139">
            <v>4.5999999999999996</v>
          </cell>
          <cell r="Z139">
            <v>6.2</v>
          </cell>
          <cell r="AA139">
            <v>11.424000000000001</v>
          </cell>
          <cell r="AB139">
            <v>9.0965920000000011</v>
          </cell>
          <cell r="AC139">
            <v>15.392430000000001</v>
          </cell>
          <cell r="AD139">
            <v>19.5005822</v>
          </cell>
          <cell r="AE139">
            <v>30.602880000000006</v>
          </cell>
          <cell r="AF139">
            <v>18.539250000000003</v>
          </cell>
          <cell r="AG139">
            <v>6.2810000000000005E-2</v>
          </cell>
          <cell r="AH139">
            <v>0.16220000000000001</v>
          </cell>
          <cell r="AI139">
            <v>1261.2826864498327</v>
          </cell>
          <cell r="AJ139">
            <v>640.60052947630948</v>
          </cell>
          <cell r="AK139">
            <v>113.37832035532847</v>
          </cell>
          <cell r="AL139">
            <v>166.6990794950718</v>
          </cell>
          <cell r="AM139">
            <v>100</v>
          </cell>
          <cell r="AN139">
            <v>100</v>
          </cell>
          <cell r="AO139">
            <v>100</v>
          </cell>
          <cell r="AP139">
            <v>100</v>
          </cell>
          <cell r="AQ139">
            <v>100</v>
          </cell>
          <cell r="AR139">
            <v>100</v>
          </cell>
          <cell r="AS139">
            <v>100</v>
          </cell>
          <cell r="AT139">
            <v>31.59736277868604</v>
          </cell>
          <cell r="AU139">
            <v>38.389018424447244</v>
          </cell>
          <cell r="AV139">
            <v>45.402776066571555</v>
          </cell>
          <cell r="AW139">
            <v>52.453684596616526</v>
          </cell>
        </row>
        <row r="140">
          <cell r="I140" t="str">
            <v>% change Y/Y</v>
          </cell>
          <cell r="L140" t="str">
            <v>NA</v>
          </cell>
          <cell r="M140" t="str">
            <v>NA</v>
          </cell>
          <cell r="N140" t="str">
            <v>NA</v>
          </cell>
          <cell r="O140" t="str">
            <v>NA</v>
          </cell>
          <cell r="P140">
            <v>4.4240934234787952</v>
          </cell>
          <cell r="Q140">
            <v>4.4651711924439192</v>
          </cell>
          <cell r="R140">
            <v>7.0458201316110163</v>
          </cell>
          <cell r="S140">
            <v>11.707265558997467</v>
          </cell>
          <cell r="T140">
            <v>13.730878186968839</v>
          </cell>
          <cell r="U140">
            <v>8.7213220998055743</v>
          </cell>
          <cell r="V140">
            <v>8.1563067975281722</v>
          </cell>
          <cell r="W140">
            <v>3.6520327545513984</v>
          </cell>
          <cell r="X140">
            <v>2.0769230769230766</v>
          </cell>
          <cell r="Y140">
            <v>1.5555555555555554</v>
          </cell>
          <cell r="Z140">
            <v>1.0511598978390038</v>
          </cell>
          <cell r="AA140">
            <v>1.7210884353741496</v>
          </cell>
          <cell r="AB140">
            <v>1.2741480000000003</v>
          </cell>
          <cell r="AC140">
            <v>2.346180434782609</v>
          </cell>
          <cell r="AD140">
            <v>2.1452551935483872</v>
          </cell>
          <cell r="AE140">
            <v>1.678823529411765</v>
          </cell>
          <cell r="AF140">
            <v>1.0380434782608696</v>
          </cell>
          <cell r="AG140" t="str">
            <v>NA</v>
          </cell>
          <cell r="AH140">
            <v>16.0578</v>
          </cell>
          <cell r="AI140">
            <v>46.345331999999992</v>
          </cell>
          <cell r="AJ140">
            <v>92.999166000000002</v>
          </cell>
          <cell r="AK140">
            <v>151.83328609999998</v>
          </cell>
          <cell r="AL140">
            <v>234.66644936000003</v>
          </cell>
          <cell r="AM140">
            <v>334.39969033800003</v>
          </cell>
          <cell r="AN140">
            <v>456.10357763733003</v>
          </cell>
          <cell r="AO140">
            <v>586.06185729289791</v>
          </cell>
          <cell r="AP140">
            <v>706.790599895235</v>
          </cell>
          <cell r="AQ140">
            <v>813.54762781970931</v>
          </cell>
          <cell r="AR140">
            <v>891.72447018050934</v>
          </cell>
          <cell r="AS140">
            <v>928.41673936334678</v>
          </cell>
          <cell r="AT140">
            <v>6.3774782900610454</v>
          </cell>
          <cell r="AU140">
            <v>6.7916556457612032</v>
          </cell>
          <cell r="AV140">
            <v>7.0137576421243111</v>
          </cell>
          <cell r="AW140">
            <v>7.0509085300449712</v>
          </cell>
        </row>
        <row r="141">
          <cell r="I141" t="str">
            <v>% of total</v>
          </cell>
          <cell r="L141">
            <v>0.01</v>
          </cell>
          <cell r="M141">
            <v>0.01</v>
          </cell>
          <cell r="N141">
            <v>0.01</v>
          </cell>
          <cell r="O141">
            <v>0.01</v>
          </cell>
          <cell r="P141">
            <v>0.01</v>
          </cell>
          <cell r="Q141">
            <v>0.02</v>
          </cell>
          <cell r="R141">
            <v>0.03</v>
          </cell>
          <cell r="S141">
            <v>4.8154847660210241E-2</v>
          </cell>
          <cell r="T141">
            <v>6.0484809007583872E-2</v>
          </cell>
          <cell r="U141">
            <v>8.0188889383882037E-2</v>
          </cell>
          <cell r="V141">
            <v>0.12</v>
          </cell>
          <cell r="W141">
            <v>0.121517844221251</v>
          </cell>
          <cell r="X141">
            <v>0.12146978439113271</v>
          </cell>
          <cell r="Y141">
            <v>0.11671868260130419</v>
          </cell>
          <cell r="Z141">
            <v>0.13089557910737659</v>
          </cell>
          <cell r="AA141">
            <v>0.19710144927536233</v>
          </cell>
          <cell r="AB141">
            <v>0.184</v>
          </cell>
          <cell r="AC141">
            <v>0.27</v>
          </cell>
          <cell r="AD141">
            <v>0.23</v>
          </cell>
          <cell r="AE141">
            <v>0.24000000000000002</v>
          </cell>
          <cell r="AF141">
            <v>0.25</v>
          </cell>
          <cell r="AG141">
            <v>0.01</v>
          </cell>
          <cell r="AH141" t="str">
            <v>NA</v>
          </cell>
          <cell r="AI141">
            <v>1.8861570078092882</v>
          </cell>
          <cell r="AJ141">
            <v>1.0066565927286919</v>
          </cell>
          <cell r="AK141">
            <v>0.63263062057997366</v>
          </cell>
          <cell r="AL141">
            <v>0.54555338547731047</v>
          </cell>
          <cell r="AM141">
            <v>0.42500000000000004</v>
          </cell>
          <cell r="AN141">
            <v>0.36394736842105258</v>
          </cell>
          <cell r="AO141">
            <v>0.28493150684931479</v>
          </cell>
          <cell r="AP141">
            <v>0.20600000000000018</v>
          </cell>
          <cell r="AQ141">
            <v>0.15104477611940292</v>
          </cell>
          <cell r="AR141">
            <v>9.6093749999999867E-2</v>
          </cell>
          <cell r="AS141">
            <v>4.1147540983606623E-2</v>
          </cell>
          <cell r="AT141">
            <v>0.03</v>
          </cell>
          <cell r="AU141">
            <v>0.03</v>
          </cell>
          <cell r="AV141">
            <v>0.03</v>
          </cell>
          <cell r="AW141">
            <v>0.03</v>
          </cell>
        </row>
        <row r="142">
          <cell r="I142" t="str">
            <v>Effective CPM (revenue per '000 ad views)</v>
          </cell>
          <cell r="L142">
            <v>0.62029650030226446</v>
          </cell>
          <cell r="M142">
            <v>0.60113461540212754</v>
          </cell>
          <cell r="N142">
            <v>0.53423446209381931</v>
          </cell>
          <cell r="O142">
            <v>0.64019136932011944</v>
          </cell>
          <cell r="P142">
            <v>0.62252645675771068</v>
          </cell>
          <cell r="Q142">
            <v>0.66392334473968662</v>
          </cell>
          <cell r="R142">
            <v>0.76355457790964953</v>
          </cell>
          <cell r="S142">
            <v>0.63388688264248116</v>
          </cell>
          <cell r="T142">
            <v>0.68211959028556968</v>
          </cell>
          <cell r="U142">
            <v>0.66432775261853716</v>
          </cell>
          <cell r="V142">
            <v>0.69919763137726121</v>
          </cell>
          <cell r="W142">
            <v>0.69068203655718563</v>
          </cell>
          <cell r="X142">
            <v>0.6834096351187543</v>
          </cell>
          <cell r="Y142">
            <v>0.7028793068317315</v>
          </cell>
          <cell r="Z142">
            <v>0.71032563495343037</v>
          </cell>
          <cell r="AA142">
            <v>0.77082639336248437</v>
          </cell>
          <cell r="AB142">
            <v>0.7631524963313433</v>
          </cell>
          <cell r="AC142">
            <v>0.78018547254550641</v>
          </cell>
          <cell r="AD142">
            <v>0.78014631726660832</v>
          </cell>
          <cell r="AE142">
            <v>0.7484790277268949</v>
          </cell>
          <cell r="AF142">
            <v>0.70064333132166556</v>
          </cell>
          <cell r="AG142" t="str">
            <v>NA</v>
          </cell>
          <cell r="AH142">
            <v>0.60001506965322626</v>
          </cell>
          <cell r="AI142">
            <v>0.66342818897453792</v>
          </cell>
          <cell r="AJ142">
            <v>0.68477239752785457</v>
          </cell>
          <cell r="AK142">
            <v>0.72064870731224984</v>
          </cell>
          <cell r="AL142">
            <v>0.76486990882092731</v>
          </cell>
          <cell r="AM142">
            <v>0.80214831672354059</v>
          </cell>
          <cell r="AN142">
            <v>0.84084233101072647</v>
          </cell>
          <cell r="AO142">
            <v>0.87710287814568999</v>
          </cell>
          <cell r="AP142">
            <v>0.90997315961221925</v>
          </cell>
          <cell r="AQ142">
            <v>0.94091218784868236</v>
          </cell>
          <cell r="AR142">
            <v>0.9695282027645733</v>
          </cell>
          <cell r="AS142">
            <v>0.99546309665922283</v>
          </cell>
        </row>
        <row r="143">
          <cell r="I143" t="str">
            <v>% change Y/Y</v>
          </cell>
          <cell r="L143" t="str">
            <v>NA</v>
          </cell>
          <cell r="M143" t="str">
            <v>NA</v>
          </cell>
          <cell r="N143" t="str">
            <v>NA</v>
          </cell>
          <cell r="O143" t="str">
            <v>NA</v>
          </cell>
          <cell r="P143">
            <v>3.5949847441660854E-3</v>
          </cell>
          <cell r="Q143">
            <v>0.10445036390984863</v>
          </cell>
          <cell r="R143">
            <v>0.42924994938937178</v>
          </cell>
          <cell r="S143">
            <v>-9.8478157934769328E-3</v>
          </cell>
          <cell r="T143">
            <v>9.5727872897541477E-2</v>
          </cell>
          <cell r="U143">
            <v>6.0911832978116642E-4</v>
          </cell>
          <cell r="V143">
            <v>-8.4285980851002917E-2</v>
          </cell>
          <cell r="W143">
            <v>8.9598247684102184E-2</v>
          </cell>
          <cell r="X143">
            <v>1.8912297074542561E-3</v>
          </cell>
          <cell r="Y143">
            <v>5.8030925339545458E-2</v>
          </cell>
          <cell r="Z143">
            <v>1.5915390837708543E-2</v>
          </cell>
          <cell r="AA143">
            <v>0.11603654440586153</v>
          </cell>
          <cell r="AB143">
            <v>0.11668384101539964</v>
          </cell>
          <cell r="AC143">
            <v>0.10998497887530201</v>
          </cell>
          <cell r="AD143">
            <v>9.8293907579099837E-2</v>
          </cell>
          <cell r="AE143">
            <v>-2.8991438056637175E-2</v>
          </cell>
          <cell r="AF143">
            <v>-7.3920930691117048E-2</v>
          </cell>
          <cell r="AG143">
            <v>0.01</v>
          </cell>
          <cell r="AH143" t="str">
            <v>NA</v>
          </cell>
          <cell r="AI143">
            <v>0.10568587778630412</v>
          </cell>
          <cell r="AJ143">
            <v>3.2172598192290236E-2</v>
          </cell>
          <cell r="AK143">
            <v>5.2391582829440564E-2</v>
          </cell>
          <cell r="AL143">
            <v>6.1363048403439091E-2</v>
          </cell>
          <cell r="AM143">
            <v>4.8738233093885475E-2</v>
          </cell>
          <cell r="AN143">
            <v>4.8237979785628271E-2</v>
          </cell>
          <cell r="AO143">
            <v>4.3124074273683144E-2</v>
          </cell>
          <cell r="AP143">
            <v>3.7475970362816913E-2</v>
          </cell>
          <cell r="AQ143">
            <v>3.399993495373832E-2</v>
          </cell>
          <cell r="AR143">
            <v>3.0413055846708836E-2</v>
          </cell>
          <cell r="AS143">
            <v>2.6750014925504217E-2</v>
          </cell>
        </row>
        <row r="144">
          <cell r="I144" t="str">
            <v>Requests / Fill Rate / eCPM by geography</v>
          </cell>
          <cell r="L144">
            <v>8.3657776339626233E-2</v>
          </cell>
          <cell r="M144">
            <v>6.2553072996392123E-2</v>
          </cell>
          <cell r="N144">
            <v>6.0524239909707678E-2</v>
          </cell>
          <cell r="O144">
            <v>3.947787893631638E-2</v>
          </cell>
          <cell r="P144">
            <v>3.3072139759247943E-2</v>
          </cell>
          <cell r="Q144">
            <v>3.7261851807471658E-2</v>
          </cell>
          <cell r="R144">
            <v>1.9092080727576954E-2</v>
          </cell>
          <cell r="S144">
            <v>-1.3934550651263367E-2</v>
          </cell>
          <cell r="T144">
            <v>2.988096187182987E-2</v>
          </cell>
          <cell r="U144">
            <v>7.7692741184418601E-2</v>
          </cell>
          <cell r="V144">
            <v>5.4433423282587379E-2</v>
          </cell>
          <cell r="W144">
            <v>5.8705732889706264E-2</v>
          </cell>
          <cell r="X144">
            <v>8.5693026765040203E-2</v>
          </cell>
          <cell r="Y144">
            <v>0.10254260570972584</v>
          </cell>
          <cell r="Z144">
            <v>8.7844970828395708E-2</v>
          </cell>
          <cell r="AA144">
            <v>0.13596228873141247</v>
          </cell>
          <cell r="AB144">
            <v>0.16959817925494103</v>
          </cell>
          <cell r="AC144">
            <v>0.18901534663821495</v>
          </cell>
          <cell r="AD144">
            <v>0.16862312082694464</v>
          </cell>
          <cell r="AE144">
            <v>7.9219358773779947E-2</v>
          </cell>
          <cell r="AH144">
            <v>5.4554917010641635E-2</v>
          </cell>
          <cell r="AI144">
            <v>1.1882464793362191E-2</v>
          </cell>
          <cell r="AJ144">
            <v>5.5510143096250353E-2</v>
          </cell>
          <cell r="AK144">
            <v>0.10244500689707969</v>
          </cell>
          <cell r="AL144">
            <v>0.14152412864976616</v>
          </cell>
          <cell r="AM144">
            <v>0.15513665572815638</v>
          </cell>
          <cell r="AN144">
            <v>0.17500248574298793</v>
          </cell>
          <cell r="AO144">
            <v>0.19695131369855101</v>
          </cell>
          <cell r="AP144">
            <v>0.22139415282086294</v>
          </cell>
          <cell r="AQ144">
            <v>0.24885346317313428</v>
          </cell>
          <cell r="AR144">
            <v>0.28000396774376002</v>
          </cell>
          <cell r="AS144">
            <v>0.3157327990913934</v>
          </cell>
        </row>
        <row r="145">
          <cell r="I145" t="str">
            <v>Worldwide</v>
          </cell>
          <cell r="L145" t="str">
            <v>NA</v>
          </cell>
          <cell r="M145" t="str">
            <v>NA</v>
          </cell>
          <cell r="N145" t="str">
            <v>NA</v>
          </cell>
          <cell r="O145" t="str">
            <v>NA</v>
          </cell>
          <cell r="P145">
            <v>4.1523715846902256</v>
          </cell>
          <cell r="Q145">
            <v>1.4152681051015419</v>
          </cell>
          <cell r="R145">
            <v>0.80315768246088348</v>
          </cell>
          <cell r="S145">
            <v>1.5281371656272658</v>
          </cell>
          <cell r="T145">
            <v>1.2158277440379011</v>
          </cell>
          <cell r="U145">
            <v>1.5175796867769651</v>
          </cell>
          <cell r="V145">
            <v>1.5864626929511871</v>
          </cell>
          <cell r="W145">
            <v>0.81654369006872241</v>
          </cell>
          <cell r="X145">
            <v>0.61210800901134221</v>
          </cell>
          <cell r="Y145">
            <v>0.69770101937002948</v>
          </cell>
          <cell r="Z145">
            <v>0.90961619455757092</v>
          </cell>
          <cell r="AA145">
            <v>0.75938677558837453</v>
          </cell>
          <cell r="AB145">
            <v>0.72684132962660919</v>
          </cell>
          <cell r="AC145">
            <v>0.60309375287670619</v>
          </cell>
          <cell r="AD145">
            <v>0.52585578991613691</v>
          </cell>
          <cell r="AE145">
            <v>0.47740546403879947</v>
          </cell>
          <cell r="AH145" t="str">
            <v>NA</v>
          </cell>
          <cell r="AI145">
            <v>1.5589422036197513</v>
          </cell>
          <cell r="AJ145">
            <v>1.1907075552889035</v>
          </cell>
          <cell r="AK145">
            <v>0.75113426512540071</v>
          </cell>
          <cell r="AL145">
            <v>0.56435859816993972</v>
          </cell>
          <cell r="AM145">
            <v>0.44734620844380779</v>
          </cell>
          <cell r="AN145">
            <v>0.37795131398509785</v>
          </cell>
          <cell r="AO145">
            <v>0.30859883738467375</v>
          </cell>
          <cell r="AP145">
            <v>0.23928687277035388</v>
          </cell>
          <cell r="AQ145">
            <v>0.19157719100185866</v>
          </cell>
          <cell r="AR145">
            <v>0.14389541945089546</v>
          </cell>
          <cell r="AS145">
            <v>9.624035800848052E-2</v>
          </cell>
        </row>
        <row r="146">
          <cell r="I146" t="str">
            <v>Requests (ads requested)</v>
          </cell>
          <cell r="L146">
            <v>5998.1648699999996</v>
          </cell>
          <cell r="M146">
            <v>12480.941863</v>
          </cell>
          <cell r="N146">
            <v>17137.692219</v>
          </cell>
          <cell r="O146">
            <v>20222.886214999999</v>
          </cell>
          <cell r="P146">
            <v>25921.589875000001</v>
          </cell>
          <cell r="Q146">
            <v>26562.014643999999</v>
          </cell>
          <cell r="R146">
            <v>33275.552841999997</v>
          </cell>
          <cell r="S146">
            <v>47558.767156000002</v>
          </cell>
          <cell r="T146">
            <v>55559.604204000003</v>
          </cell>
          <cell r="U146">
            <v>61333.103983000001</v>
          </cell>
          <cell r="V146">
            <v>70072.000929999995</v>
          </cell>
          <cell r="W146">
            <v>83662.928731254433</v>
          </cell>
          <cell r="X146">
            <v>86602.592755863661</v>
          </cell>
          <cell r="Y146">
            <v>100731.97953752714</v>
          </cell>
          <cell r="Z146">
            <v>122511.11125319339</v>
          </cell>
          <cell r="AA146">
            <v>131850.65922557519</v>
          </cell>
          <cell r="AB146">
            <v>121334.09840332915</v>
          </cell>
          <cell r="AC146">
            <v>125470.62501076485</v>
          </cell>
          <cell r="AD146">
            <v>195098.94467071048</v>
          </cell>
          <cell r="AE146">
            <v>250516.25252859289</v>
          </cell>
          <cell r="AF146">
            <v>166834.38530457759</v>
          </cell>
          <cell r="AG146">
            <v>172522.10938980166</v>
          </cell>
          <cell r="AH146">
            <v>0.51052255237010624</v>
          </cell>
          <cell r="AI146">
            <v>0.54717950960673667</v>
          </cell>
          <cell r="AJ146">
            <v>0.59051458553891178</v>
          </cell>
          <cell r="AK146">
            <v>0.6184038021394509</v>
          </cell>
          <cell r="AL146">
            <v>0.63769207361657587</v>
          </cell>
          <cell r="AM146">
            <v>0.64769207361657588</v>
          </cell>
          <cell r="AN146">
            <v>0.65769207361657589</v>
          </cell>
          <cell r="AO146">
            <v>0.6676920736165759</v>
          </cell>
          <cell r="AP146">
            <v>0.67769207361657591</v>
          </cell>
          <cell r="AQ146">
            <v>0.68769207361657592</v>
          </cell>
          <cell r="AR146">
            <v>0.69769207361657593</v>
          </cell>
          <cell r="AS146">
            <v>0.70769207361657593</v>
          </cell>
          <cell r="AT146">
            <v>1829420.5148151973</v>
          </cell>
          <cell r="AU146">
            <v>2110419.5058908113</v>
          </cell>
          <cell r="AV146">
            <v>2369747.8547746739</v>
          </cell>
          <cell r="AW146">
            <v>2602703.5478904438</v>
          </cell>
        </row>
        <row r="147">
          <cell r="I147" t="str">
            <v>% change Y/Y</v>
          </cell>
          <cell r="L147" t="str">
            <v>NA</v>
          </cell>
          <cell r="M147" t="str">
            <v>NA</v>
          </cell>
          <cell r="N147" t="str">
            <v>NA</v>
          </cell>
          <cell r="O147" t="str">
            <v>NA</v>
          </cell>
          <cell r="P147">
            <v>3.3215867580845613</v>
          </cell>
          <cell r="Q147">
            <v>1.1282059427536972</v>
          </cell>
          <cell r="R147">
            <v>0.94165891280906999</v>
          </cell>
          <cell r="S147">
            <v>1.3517299484543437</v>
          </cell>
          <cell r="T147">
            <v>1.143371778965776</v>
          </cell>
          <cell r="U147">
            <v>1.309053165018653</v>
          </cell>
          <cell r="V147">
            <v>1.1058102704624631</v>
          </cell>
          <cell r="W147">
            <v>0.75914839122778932</v>
          </cell>
          <cell r="X147">
            <v>0.55873307588517207</v>
          </cell>
          <cell r="Y147">
            <v>0.64237537310108273</v>
          </cell>
          <cell r="Z147">
            <v>0.74836039541069521</v>
          </cell>
          <cell r="AA147">
            <v>0.57597470259631245</v>
          </cell>
          <cell r="AB147">
            <v>0.40104464014576391</v>
          </cell>
          <cell r="AC147">
            <v>0.24558879500647032</v>
          </cell>
          <cell r="AD147">
            <v>0.59250000000000003</v>
          </cell>
          <cell r="AE147">
            <v>0.90000000000000013</v>
          </cell>
          <cell r="AF147">
            <v>0.37500000000000017</v>
          </cell>
          <cell r="AG147">
            <v>0.37499999999999983</v>
          </cell>
          <cell r="AH147">
            <v>5606.5180569999975</v>
          </cell>
          <cell r="AI147">
            <v>366.56957236630427</v>
          </cell>
          <cell r="AJ147">
            <v>433.35075932175118</v>
          </cell>
          <cell r="AK147">
            <v>278.89216600539112</v>
          </cell>
          <cell r="AL147">
            <v>192.88271477124974</v>
          </cell>
          <cell r="AM147">
            <v>100</v>
          </cell>
          <cell r="AN147">
            <v>100</v>
          </cell>
          <cell r="AO147">
            <v>100</v>
          </cell>
          <cell r="AP147">
            <v>100</v>
          </cell>
          <cell r="AQ147">
            <v>100</v>
          </cell>
          <cell r="AR147">
            <v>100</v>
          </cell>
          <cell r="AS147">
            <v>100</v>
          </cell>
          <cell r="AT147">
            <v>0.59999999999999987</v>
          </cell>
          <cell r="AU147">
            <v>0.60000000000000009</v>
          </cell>
          <cell r="AV147">
            <v>0.60000000000000009</v>
          </cell>
          <cell r="AW147">
            <v>0.6</v>
          </cell>
        </row>
        <row r="148">
          <cell r="I148" t="str">
            <v>Views (ads served)</v>
          </cell>
          <cell r="L148">
            <v>2842.3684499999999</v>
          </cell>
          <cell r="M148">
            <v>5988.5585010000004</v>
          </cell>
          <cell r="N148">
            <v>8144.9836450000003</v>
          </cell>
          <cell r="O148">
            <v>11531.507998999999</v>
          </cell>
          <cell r="P148">
            <v>14644.938435</v>
          </cell>
          <cell r="Q148">
            <v>14463.974343</v>
          </cell>
          <cell r="R148">
            <v>14686.689833</v>
          </cell>
          <cell r="S148">
            <v>29153.233948000001</v>
          </cell>
          <cell r="T148">
            <v>32450.660894000001</v>
          </cell>
          <cell r="U148">
            <v>36414.207995999997</v>
          </cell>
          <cell r="V148">
            <v>37986.575336000002</v>
          </cell>
          <cell r="W148">
            <v>52958.123173336673</v>
          </cell>
          <cell r="X148">
            <v>52313.970324928567</v>
          </cell>
          <cell r="Y148">
            <v>61820.438034361476</v>
          </cell>
          <cell r="Z148">
            <v>72539.779437406803</v>
          </cell>
          <cell r="AA148">
            <v>84779.169010413898</v>
          </cell>
          <cell r="AB148">
            <v>74204.213466510671</v>
          </cell>
          <cell r="AC148">
            <v>77630.198043046301</v>
          </cell>
          <cell r="AD148">
            <v>116495.09347742388</v>
          </cell>
          <cell r="AE148">
            <v>162333.00238242937</v>
          </cell>
          <cell r="AF148">
            <v>102864.96544297508</v>
          </cell>
          <cell r="AG148">
            <v>107604.13285613767</v>
          </cell>
          <cell r="AH148" t="str">
            <v>NA</v>
          </cell>
          <cell r="AI148">
            <v>3.8684782409503997</v>
          </cell>
          <cell r="AJ148">
            <v>2.0324724424370717</v>
          </cell>
          <cell r="AK148">
            <v>1.0007043903428561</v>
          </cell>
          <cell r="AL148">
            <v>0.67847173508572345</v>
          </cell>
          <cell r="AM148">
            <v>0.5485840386457872</v>
          </cell>
          <cell r="AN148">
            <v>0.44952272727272713</v>
          </cell>
          <cell r="AO148">
            <v>0.37127659574468108</v>
          </cell>
          <cell r="AP148">
            <v>0.29425999999999997</v>
          </cell>
          <cell r="AQ148">
            <v>0.24071698113207574</v>
          </cell>
          <cell r="AR148">
            <v>0.18790178571428573</v>
          </cell>
          <cell r="AS148">
            <v>0.13570338983050823</v>
          </cell>
          <cell r="AT148">
            <v>9.0000000000000011E-2</v>
          </cell>
          <cell r="AU148">
            <v>8.0000000000000016E-2</v>
          </cell>
          <cell r="AV148">
            <v>0.08</v>
          </cell>
          <cell r="AW148">
            <v>0.08</v>
          </cell>
        </row>
        <row r="149">
          <cell r="I149" t="str">
            <v>% change Y/Y</v>
          </cell>
          <cell r="L149" t="str">
            <v>NA</v>
          </cell>
          <cell r="M149" t="str">
            <v>NA</v>
          </cell>
          <cell r="N149" t="str">
            <v>NA</v>
          </cell>
          <cell r="O149" t="str">
            <v>NA</v>
          </cell>
          <cell r="P149">
            <v>4.1523715846902256</v>
          </cell>
          <cell r="Q149">
            <v>1.4152681051015419</v>
          </cell>
          <cell r="R149">
            <v>0.80315768246088348</v>
          </cell>
          <cell r="S149">
            <v>1.5281371656272658</v>
          </cell>
          <cell r="T149">
            <v>1.2158277440379011</v>
          </cell>
          <cell r="U149">
            <v>1.5175796867769651</v>
          </cell>
          <cell r="V149">
            <v>1.5864626929511871</v>
          </cell>
          <cell r="W149">
            <v>0.81654369006872241</v>
          </cell>
          <cell r="X149">
            <v>0.61210800901134221</v>
          </cell>
          <cell r="Y149">
            <v>0.69770101937002948</v>
          </cell>
          <cell r="Z149">
            <v>0.90961619455757092</v>
          </cell>
          <cell r="AA149">
            <v>0.60087185742825699</v>
          </cell>
          <cell r="AB149">
            <v>0.41843972089327353</v>
          </cell>
          <cell r="AC149">
            <v>0.25573678400494892</v>
          </cell>
          <cell r="AD149">
            <v>0.60594772111135642</v>
          </cell>
          <cell r="AE149">
            <v>0.9147746348220176</v>
          </cell>
          <cell r="AF149">
            <v>0.38624157089677102</v>
          </cell>
          <cell r="AG149">
            <v>0.38611179114177552</v>
          </cell>
          <cell r="AH149">
            <v>0.10040382642259818</v>
          </cell>
          <cell r="AI149">
            <v>0.20473774450726215</v>
          </cell>
          <cell r="AJ149">
            <v>0.30585189426910003</v>
          </cell>
          <cell r="AK149">
            <v>0.3659453017008712</v>
          </cell>
          <cell r="AL149">
            <v>0.40488600189131602</v>
          </cell>
          <cell r="AM149">
            <v>0.44</v>
          </cell>
          <cell r="AN149">
            <v>0.47</v>
          </cell>
          <cell r="AO149">
            <v>0.50000000000000011</v>
          </cell>
          <cell r="AP149">
            <v>0.53</v>
          </cell>
          <cell r="AQ149">
            <v>0.56000000000000005</v>
          </cell>
          <cell r="AR149">
            <v>0.59000000000000019</v>
          </cell>
          <cell r="AS149">
            <v>0.62000000000000011</v>
          </cell>
          <cell r="AT149">
            <v>6.5000000000000002E-2</v>
          </cell>
          <cell r="AU149">
            <v>6.25E-2</v>
          </cell>
          <cell r="AV149">
            <v>0.06</v>
          </cell>
          <cell r="AW149">
            <v>0.06</v>
          </cell>
        </row>
        <row r="150">
          <cell r="I150" t="str">
            <v>Fill rate (% of requests served)</v>
          </cell>
          <cell r="L150">
            <v>0.4738730114299109</v>
          </cell>
          <cell r="M150">
            <v>0.47981623235929022</v>
          </cell>
          <cell r="N150">
            <v>0.47526723790557535</v>
          </cell>
          <cell r="O150">
            <v>0.57022068345747257</v>
          </cell>
          <cell r="P150">
            <v>0.56497068681440199</v>
          </cell>
          <cell r="Q150">
            <v>0.54453604279851631</v>
          </cell>
          <cell r="R150">
            <v>0.44136576491263096</v>
          </cell>
          <cell r="S150">
            <v>0.61299389558129114</v>
          </cell>
          <cell r="T150">
            <v>0.58406933164696162</v>
          </cell>
          <cell r="U150">
            <v>0.59371213310992876</v>
          </cell>
          <cell r="V150">
            <v>0.54210775818928802</v>
          </cell>
          <cell r="W150">
            <v>0.63299389558129115</v>
          </cell>
          <cell r="X150">
            <v>0.60406933164696164</v>
          </cell>
          <cell r="Y150">
            <v>0.61371213310992878</v>
          </cell>
          <cell r="Z150">
            <v>0.59210775818928807</v>
          </cell>
          <cell r="AA150">
            <v>0.64299389558129116</v>
          </cell>
          <cell r="AB150">
            <v>0.61156933164696159</v>
          </cell>
          <cell r="AC150">
            <v>0.61871213310992879</v>
          </cell>
          <cell r="AD150">
            <v>0.59710775818928807</v>
          </cell>
          <cell r="AE150">
            <v>0.64799389558129117</v>
          </cell>
          <cell r="AF150">
            <v>0.61656933164696159</v>
          </cell>
          <cell r="AG150">
            <v>0.62371213310992879</v>
          </cell>
          <cell r="AH150">
            <v>1745.09076</v>
          </cell>
          <cell r="AI150">
            <v>3091.4913780000024</v>
          </cell>
          <cell r="AJ150">
            <v>23999.236352491211</v>
          </cell>
          <cell r="AK150">
            <v>69158.273079715233</v>
          </cell>
          <cell r="AL150">
            <v>130976.93757581843</v>
          </cell>
          <cell r="AM150">
            <v>216742.91885583935</v>
          </cell>
          <cell r="AN150">
            <v>330665.19770586898</v>
          </cell>
          <cell r="AO150">
            <v>474360.72478268598</v>
          </cell>
          <cell r="AP150">
            <v>639218.79475283308</v>
          </cell>
          <cell r="AQ150">
            <v>822558.31271242909</v>
          </cell>
          <cell r="AR150">
            <v>1010224.2216698667</v>
          </cell>
          <cell r="AS150">
            <v>1183068.5822429745</v>
          </cell>
          <cell r="AT150">
            <v>0.08</v>
          </cell>
          <cell r="AU150">
            <v>0.08</v>
          </cell>
          <cell r="AV150">
            <v>0.08</v>
          </cell>
          <cell r="AW150">
            <v>0.08</v>
          </cell>
        </row>
        <row r="151">
          <cell r="I151" t="str">
            <v>BPs change Y/Y</v>
          </cell>
          <cell r="L151" t="str">
            <v>NA</v>
          </cell>
          <cell r="M151" t="str">
            <v>NA</v>
          </cell>
          <cell r="N151" t="str">
            <v>NA</v>
          </cell>
          <cell r="O151" t="str">
            <v>NA</v>
          </cell>
          <cell r="P151">
            <v>910.97675384491095</v>
          </cell>
          <cell r="Q151">
            <v>647.19810439226092</v>
          </cell>
          <cell r="R151">
            <v>-339.01472992944383</v>
          </cell>
          <cell r="S151">
            <v>427.7321212381857</v>
          </cell>
          <cell r="T151">
            <v>190.98644832559631</v>
          </cell>
          <cell r="U151">
            <v>491.76090311412457</v>
          </cell>
          <cell r="V151">
            <v>1007.4199327665706</v>
          </cell>
          <cell r="W151">
            <v>200</v>
          </cell>
          <cell r="X151">
            <v>200</v>
          </cell>
          <cell r="Y151">
            <v>200</v>
          </cell>
          <cell r="Z151">
            <v>500</v>
          </cell>
          <cell r="AA151">
            <v>100</v>
          </cell>
          <cell r="AB151">
            <v>75</v>
          </cell>
          <cell r="AC151">
            <v>50</v>
          </cell>
          <cell r="AD151">
            <v>50</v>
          </cell>
          <cell r="AE151">
            <v>50</v>
          </cell>
          <cell r="AF151">
            <v>50</v>
          </cell>
          <cell r="AG151">
            <v>50</v>
          </cell>
          <cell r="AH151" t="str">
            <v>NA</v>
          </cell>
          <cell r="AI151">
            <v>0.771536156663853</v>
          </cell>
          <cell r="AJ151">
            <v>6.7629963723260271</v>
          </cell>
          <cell r="AK151">
            <v>1.8816864030149167</v>
          </cell>
          <cell r="AL151">
            <v>0.89387229818257552</v>
          </cell>
          <cell r="AM151">
            <v>0.65481742715486591</v>
          </cell>
          <cell r="AN151">
            <v>0.5256101535008022</v>
          </cell>
          <cell r="AO151">
            <v>0.43456501643888168</v>
          </cell>
          <cell r="AP151">
            <v>0.34753735154965004</v>
          </cell>
          <cell r="AQ151">
            <v>0.28681809650244716</v>
          </cell>
          <cell r="AR151">
            <v>0.22814906378928868</v>
          </cell>
          <cell r="AS151">
            <v>0.17109504688711774</v>
          </cell>
          <cell r="AT151">
            <v>0.03</v>
          </cell>
          <cell r="AU151">
            <v>0.03</v>
          </cell>
          <cell r="AV151">
            <v>0.03</v>
          </cell>
          <cell r="AW151">
            <v>0.03</v>
          </cell>
        </row>
        <row r="152">
          <cell r="I152" t="str">
            <v>Revenue (reported)</v>
          </cell>
          <cell r="L152">
            <v>1.627</v>
          </cell>
          <cell r="M152">
            <v>3.3879999999999999</v>
          </cell>
          <cell r="N152">
            <v>4.1029999999999998</v>
          </cell>
          <cell r="O152">
            <v>7.1020000000000003</v>
          </cell>
          <cell r="P152">
            <v>8.8249999999999993</v>
          </cell>
          <cell r="Q152">
            <v>9.2579999999999991</v>
          </cell>
          <cell r="R152">
            <v>11.004</v>
          </cell>
          <cell r="S152">
            <v>18.741</v>
          </cell>
          <cell r="T152">
            <v>21.492999999999999</v>
          </cell>
          <cell r="U152">
            <v>22.446999999999999</v>
          </cell>
          <cell r="V152">
            <v>25.189</v>
          </cell>
          <cell r="W152">
            <v>34.548999999999999</v>
          </cell>
          <cell r="X152">
            <v>32.93</v>
          </cell>
          <cell r="Y152">
            <v>39.411000000000001</v>
          </cell>
          <cell r="Z152">
            <v>47.366</v>
          </cell>
          <cell r="AA152">
            <v>57.96</v>
          </cell>
          <cell r="AB152">
            <v>49.438000000000002</v>
          </cell>
          <cell r="AC152">
            <v>57.009</v>
          </cell>
          <cell r="AD152">
            <v>84.785139999999998</v>
          </cell>
          <cell r="AE152">
            <v>127.51200000000001</v>
          </cell>
          <cell r="AF152">
            <v>74.157000000000011</v>
          </cell>
          <cell r="AG152">
            <v>85.513499999999993</v>
          </cell>
          <cell r="AH152">
            <v>6.1215320292314246E-2</v>
          </cell>
          <cell r="AI152">
            <v>4.2378899017801987E-2</v>
          </cell>
          <cell r="AJ152">
            <v>0.15017396481977352</v>
          </cell>
          <cell r="AK152">
            <v>0.24712797934828362</v>
          </cell>
          <cell r="AL152">
            <v>0.29918257536416021</v>
          </cell>
          <cell r="AM152">
            <v>0.34206918615968995</v>
          </cell>
          <cell r="AN152">
            <v>0.37872471857929729</v>
          </cell>
          <cell r="AO152">
            <v>0.41518089166298966</v>
          </cell>
          <cell r="AP152">
            <v>0.4514465306284578</v>
          </cell>
          <cell r="AQ152">
            <v>0.48752994736959476</v>
          </cell>
          <cell r="AR152">
            <v>0.52343897724376909</v>
          </cell>
          <cell r="AS152">
            <v>0.5591810127401774</v>
          </cell>
          <cell r="AT152">
            <v>1109.74979763648</v>
          </cell>
          <cell r="AU152">
            <v>1337.0265561924311</v>
          </cell>
          <cell r="AV152">
            <v>1556.084987158999</v>
          </cell>
          <cell r="AW152">
            <v>1760.0441585959034</v>
          </cell>
        </row>
        <row r="153">
          <cell r="I153" t="str">
            <v>% change Y/Y</v>
          </cell>
          <cell r="L153" t="str">
            <v>NA</v>
          </cell>
          <cell r="M153" t="str">
            <v>NA</v>
          </cell>
          <cell r="N153" t="str">
            <v>NA</v>
          </cell>
          <cell r="O153" t="str">
            <v>NA</v>
          </cell>
          <cell r="P153">
            <v>4.6830740740740735</v>
          </cell>
          <cell r="Q153">
            <v>4.8372592592592598</v>
          </cell>
          <cell r="R153">
            <v>5.1141481481481481</v>
          </cell>
          <cell r="S153">
            <v>8.0670370370370375</v>
          </cell>
          <cell r="T153">
            <v>7.8049629629629624</v>
          </cell>
          <cell r="U153">
            <v>8.969444444444445</v>
          </cell>
          <cell r="V153">
            <v>9.43</v>
          </cell>
          <cell r="W153">
            <v>12.523</v>
          </cell>
          <cell r="X153">
            <v>23.262999999999998</v>
          </cell>
          <cell r="Y153">
            <v>26.163999999999998</v>
          </cell>
          <cell r="Z153">
            <v>26.214000000000002</v>
          </cell>
          <cell r="AA153">
            <v>29.553000000000001</v>
          </cell>
          <cell r="AB153">
            <v>32.613999999999997</v>
          </cell>
          <cell r="AC153">
            <v>34.79</v>
          </cell>
          <cell r="AD153">
            <v>34.029999999999994</v>
          </cell>
          <cell r="AE153">
            <v>37.320597499999998</v>
          </cell>
          <cell r="AF153">
            <v>31.098536000000003</v>
          </cell>
          <cell r="AG153">
            <v>36.851807999999998</v>
          </cell>
          <cell r="AH153">
            <v>0.31126106118951558</v>
          </cell>
          <cell r="AI153">
            <v>0.11326131016067625</v>
          </cell>
          <cell r="AJ153">
            <v>0.28994398352903361</v>
          </cell>
          <cell r="AK153">
            <v>0.4176167348882634</v>
          </cell>
          <cell r="AL153">
            <v>0.47121005908505514</v>
          </cell>
          <cell r="AM153">
            <v>0.50353522841841847</v>
          </cell>
          <cell r="AN153">
            <v>0.52996647977079192</v>
          </cell>
          <cell r="AO153">
            <v>0.55442598096088103</v>
          </cell>
          <cell r="AP153">
            <v>0.57724855748794079</v>
          </cell>
          <cell r="AQ153">
            <v>0.59869728652995846</v>
          </cell>
          <cell r="AR153">
            <v>0.61898173804227941</v>
          </cell>
          <cell r="AS153">
            <v>0.63827092005340802</v>
          </cell>
          <cell r="AT153">
            <v>246.09020509970733</v>
          </cell>
          <cell r="AU153">
            <v>283.29608331465045</v>
          </cell>
          <cell r="AV153">
            <v>331.53122115485809</v>
          </cell>
          <cell r="AW153">
            <v>383.23788370852128</v>
          </cell>
        </row>
        <row r="154">
          <cell r="I154" t="str">
            <v>Effective CPM (revenue per '000 ad views)</v>
          </cell>
          <cell r="L154">
            <v>0.57240995621099022</v>
          </cell>
          <cell r="M154">
            <v>0.56574549608795743</v>
          </cell>
          <cell r="N154">
            <v>0.50374564011785683</v>
          </cell>
          <cell r="O154">
            <v>0.61587781932908336</v>
          </cell>
          <cell r="P154">
            <v>0.60259727544563069</v>
          </cell>
          <cell r="Q154">
            <v>0.64007303804991267</v>
          </cell>
          <cell r="R154">
            <v>0.74924983948900137</v>
          </cell>
          <cell r="S154">
            <v>0.64284463375239675</v>
          </cell>
          <cell r="T154">
            <v>0.66232857537807399</v>
          </cell>
          <cell r="U154">
            <v>0.61643521129076162</v>
          </cell>
          <cell r="V154">
            <v>0.66310268238706693</v>
          </cell>
          <cell r="W154">
            <v>0.65238339143775981</v>
          </cell>
          <cell r="X154">
            <v>0.6294685682518012</v>
          </cell>
          <cell r="Y154">
            <v>0.63750761484566476</v>
          </cell>
          <cell r="Z154">
            <v>0.65296586738137541</v>
          </cell>
          <cell r="AA154">
            <v>0.68365850569826248</v>
          </cell>
          <cell r="AB154">
            <v>0.66624249069511421</v>
          </cell>
          <cell r="AC154">
            <v>0.73436628318773889</v>
          </cell>
          <cell r="AD154">
            <v>0.72780009414242752</v>
          </cell>
          <cell r="AE154">
            <v>0.78549646793079753</v>
          </cell>
          <cell r="AF154">
            <v>0.72091600556761171</v>
          </cell>
          <cell r="AG154">
            <v>0.79470460594973669</v>
          </cell>
          <cell r="AH154">
            <v>50233.167110000002</v>
          </cell>
          <cell r="AI154">
            <v>-1979.9975102883932</v>
          </cell>
          <cell r="AJ154">
            <v>1766.8267336835736</v>
          </cell>
          <cell r="AK154">
            <v>1276.7275135922978</v>
          </cell>
          <cell r="AL154">
            <v>535.93324196791752</v>
          </cell>
          <cell r="AM154">
            <v>323.25169333363323</v>
          </cell>
          <cell r="AN154">
            <v>264.31251352373454</v>
          </cell>
          <cell r="AO154">
            <v>244.59501190089105</v>
          </cell>
          <cell r="AP154">
            <v>228.22576527059769</v>
          </cell>
          <cell r="AQ154">
            <v>214.48729042017666</v>
          </cell>
          <cell r="AR154">
            <v>202.84451512320945</v>
          </cell>
          <cell r="AS154">
            <v>192.89182011128614</v>
          </cell>
          <cell r="AT154">
            <v>0.23364944108472288</v>
          </cell>
          <cell r="AU154">
            <v>0.22138837741230649</v>
          </cell>
          <cell r="AV154">
            <v>0.21906009932217738</v>
          </cell>
          <cell r="AW154">
            <v>0.21918644228087744</v>
          </cell>
        </row>
        <row r="155">
          <cell r="I155" t="str">
            <v>% change Y/Y</v>
          </cell>
          <cell r="L155" t="str">
            <v>NA</v>
          </cell>
          <cell r="M155" t="str">
            <v>NA</v>
          </cell>
          <cell r="N155" t="str">
            <v>NA</v>
          </cell>
          <cell r="O155" t="str">
            <v>NA</v>
          </cell>
          <cell r="P155">
            <v>5.2737236498229922E-2</v>
          </cell>
          <cell r="Q155">
            <v>0.13137982091933331</v>
          </cell>
          <cell r="R155">
            <v>0.48735746737918384</v>
          </cell>
          <cell r="S155">
            <v>4.3785980882848019E-2</v>
          </cell>
          <cell r="T155">
            <v>9.9123083303473303E-2</v>
          </cell>
          <cell r="U155">
            <v>-3.6929889800025872E-2</v>
          </cell>
          <cell r="V155">
            <v>-0.11497787862148623</v>
          </cell>
          <cell r="W155">
            <v>1.4838356244313067E-2</v>
          </cell>
          <cell r="X155">
            <v>-4.9612848286842315E-2</v>
          </cell>
          <cell r="Y155">
            <v>3.4184295719868807E-2</v>
          </cell>
          <cell r="Z155">
            <v>-1.5286946162245241E-2</v>
          </cell>
          <cell r="AA155">
            <v>4.7939776933279665E-2</v>
          </cell>
          <cell r="AB155">
            <v>5.8420585710012185E-2</v>
          </cell>
          <cell r="AC155">
            <v>0.15193335120478957</v>
          </cell>
          <cell r="AD155">
            <v>0.11460664408258259</v>
          </cell>
          <cell r="AE155">
            <v>0.14896027970649128</v>
          </cell>
          <cell r="AF155">
            <v>8.2062485710652666E-2</v>
          </cell>
          <cell r="AG155">
            <v>8.2163797744200684E-2</v>
          </cell>
          <cell r="AH155">
            <v>0.16220000000000001</v>
          </cell>
          <cell r="AI155">
            <v>1.4826679999999999</v>
          </cell>
          <cell r="AJ155">
            <v>10.678833999999998</v>
          </cell>
          <cell r="AK155">
            <v>31.098383900000002</v>
          </cell>
          <cell r="AL155">
            <v>58.666612340000007</v>
          </cell>
          <cell r="AM155">
            <v>105.599902212</v>
          </cell>
          <cell r="AN155">
            <v>168.69584378367003</v>
          </cell>
          <cell r="AO155">
            <v>251.16936741124204</v>
          </cell>
          <cell r="AP155">
            <v>348.12074323198152</v>
          </cell>
          <cell r="AQ155">
            <v>457.62054064858671</v>
          </cell>
          <cell r="AR155">
            <v>570.11892355803093</v>
          </cell>
          <cell r="AS155">
            <v>672.30177678035488</v>
          </cell>
          <cell r="AT155">
            <v>4.5484538059505253E-2</v>
          </cell>
          <cell r="AU155">
            <v>3.6311428524389511E-2</v>
          </cell>
          <cell r="AV155">
            <v>2.8528781493779798E-2</v>
          </cell>
          <cell r="AW155">
            <v>2.1997294821666014E-2</v>
          </cell>
        </row>
        <row r="156">
          <cell r="I156" t="str">
            <v>% change Q/Q</v>
          </cell>
          <cell r="L156" t="str">
            <v>NA</v>
          </cell>
          <cell r="M156" t="str">
            <v>NA</v>
          </cell>
          <cell r="N156" t="str">
            <v>NA</v>
          </cell>
          <cell r="O156" t="str">
            <v>NA</v>
          </cell>
          <cell r="P156">
            <v>4.7879999999999994</v>
          </cell>
          <cell r="Q156">
            <v>4.9830000000000005</v>
          </cell>
          <cell r="R156">
            <v>5.2470000000000008</v>
          </cell>
          <cell r="S156">
            <v>8.1999999999999993</v>
          </cell>
          <cell r="T156">
            <v>7.9470000000000001</v>
          </cell>
          <cell r="U156">
            <v>9.39</v>
          </cell>
          <cell r="V156">
            <v>10.103</v>
          </cell>
          <cell r="W156">
            <v>13.317</v>
          </cell>
          <cell r="X156">
            <v>24.56</v>
          </cell>
          <cell r="Y156">
            <v>27.33</v>
          </cell>
          <cell r="Z156">
            <v>29.630000000000003</v>
          </cell>
          <cell r="AA156">
            <v>31.950000000000003</v>
          </cell>
          <cell r="AB156">
            <v>34.81</v>
          </cell>
          <cell r="AC156">
            <v>38.879999999999995</v>
          </cell>
          <cell r="AD156">
            <v>39.129999999999995</v>
          </cell>
          <cell r="AE156">
            <v>51.6745625</v>
          </cell>
          <cell r="AF156">
            <v>33.951348000000003</v>
          </cell>
          <cell r="AG156">
            <v>40.416040000000002</v>
          </cell>
          <cell r="AH156" t="str">
            <v>NA</v>
          </cell>
          <cell r="AI156">
            <v>8.1409864364981495</v>
          </cell>
          <cell r="AJ156">
            <v>6.2024445121901861</v>
          </cell>
          <cell r="AK156">
            <v>1.912151635656103</v>
          </cell>
          <cell r="AL156">
            <v>0.8864842793325991</v>
          </cell>
          <cell r="AM156">
            <v>0.79999999999999982</v>
          </cell>
          <cell r="AN156">
            <v>0.59750000000000014</v>
          </cell>
          <cell r="AO156">
            <v>0.48888888888888893</v>
          </cell>
          <cell r="AP156">
            <v>0.38600000000000034</v>
          </cell>
          <cell r="AQ156">
            <v>0.31454545454545491</v>
          </cell>
          <cell r="AR156">
            <v>0.24583333333333335</v>
          </cell>
          <cell r="AS156">
            <v>0.17923076923076908</v>
          </cell>
          <cell r="AT156">
            <v>279.11003787839337</v>
          </cell>
          <cell r="AU156">
            <v>323.10757173909769</v>
          </cell>
          <cell r="AV156">
            <v>378.35646722142963</v>
          </cell>
          <cell r="AW156">
            <v>437.1140383051378</v>
          </cell>
        </row>
        <row r="157">
          <cell r="I157" t="str">
            <v>Effective CPM (revenue per '000 ad views)</v>
          </cell>
          <cell r="L157">
            <v>6.6230111854558224E-2</v>
          </cell>
          <cell r="M157">
            <v>8.2854466472015637E-2</v>
          </cell>
          <cell r="N157">
            <v>7.5751892225680059E-2</v>
          </cell>
          <cell r="O157">
            <v>0.12938941261894357</v>
          </cell>
          <cell r="P157">
            <v>0.14453111924258383</v>
          </cell>
          <cell r="Q157">
            <v>0.23189028080054461</v>
          </cell>
          <cell r="R157">
            <v>0.46660555017831851</v>
          </cell>
          <cell r="S157">
            <v>0.90175167492261543</v>
          </cell>
          <cell r="T157">
            <v>0.45656527617973325</v>
          </cell>
          <cell r="U157">
            <v>0.33741547054978721</v>
          </cell>
          <cell r="V157">
            <v>0.48100710395016927</v>
          </cell>
          <cell r="W157">
            <v>0.47792723152511651</v>
          </cell>
          <cell r="X157">
            <v>0.40071681092470118</v>
          </cell>
          <cell r="Y157">
            <v>0.37416156473887963</v>
          </cell>
          <cell r="Z157">
            <v>0.42506286726144338</v>
          </cell>
          <cell r="AA157">
            <v>0.50465752899590732</v>
          </cell>
          <cell r="AB157">
            <v>0.46031134341027313</v>
          </cell>
          <cell r="AC157">
            <v>0.45013433403291692</v>
          </cell>
          <cell r="AD157">
            <v>0.47163754348797748</v>
          </cell>
          <cell r="AE157">
            <v>0.37662996739856286</v>
          </cell>
          <cell r="AF157">
            <v>0.37</v>
          </cell>
          <cell r="AG157">
            <v>0.35000000000000003</v>
          </cell>
          <cell r="AH157">
            <v>9.2946455117325813E-2</v>
          </cell>
          <cell r="AI157">
            <v>0.47959635616360391</v>
          </cell>
          <cell r="AJ157">
            <v>0.44496557486886434</v>
          </cell>
          <cell r="AK157">
            <v>0.44966975771871104</v>
          </cell>
          <cell r="AL157">
            <v>0.44791559052936136</v>
          </cell>
          <cell r="AM157">
            <v>0.487212697740944</v>
          </cell>
          <cell r="AN157">
            <v>0.51017114880570891</v>
          </cell>
          <cell r="AO157">
            <v>0.52949022608544938</v>
          </cell>
          <cell r="AP157">
            <v>0.54460342231737646</v>
          </cell>
          <cell r="AQ157">
            <v>0.5563381143636601</v>
          </cell>
          <cell r="AR157">
            <v>0.56434889535279953</v>
          </cell>
          <cell r="AS157">
            <v>0.56826948739162764</v>
          </cell>
          <cell r="AT157">
            <v>0.26500000000000001</v>
          </cell>
          <cell r="AU157">
            <v>0.25250000000000006</v>
          </cell>
          <cell r="AV157">
            <v>0.25</v>
          </cell>
          <cell r="AW157">
            <v>0.25000000000000006</v>
          </cell>
        </row>
        <row r="158">
          <cell r="I158" t="str">
            <v>US</v>
          </cell>
          <cell r="L158" t="str">
            <v>NA</v>
          </cell>
          <cell r="M158" t="str">
            <v>NA</v>
          </cell>
          <cell r="N158" t="str">
            <v>NA</v>
          </cell>
          <cell r="O158" t="str">
            <v>NA</v>
          </cell>
          <cell r="P158">
            <v>1.1822569099683111</v>
          </cell>
          <cell r="Q158">
            <v>1.7987662062716474</v>
          </cell>
          <cell r="R158">
            <v>5.1596553758447001</v>
          </cell>
          <cell r="S158">
            <v>5.9692848639656955</v>
          </cell>
          <cell r="T158">
            <v>2.1589409849751822</v>
          </cell>
          <cell r="U158">
            <v>0.45506516868642644</v>
          </cell>
          <cell r="V158">
            <v>3.0864514505554164E-2</v>
          </cell>
          <cell r="W158">
            <v>-0.47000128215328207</v>
          </cell>
          <cell r="X158">
            <v>-0.12232306784768832</v>
          </cell>
          <cell r="Y158">
            <v>0.10890459210189163</v>
          </cell>
          <cell r="Z158">
            <v>-0.11630646663904887</v>
          </cell>
          <cell r="AA158">
            <v>5.5929638881407895E-2</v>
          </cell>
          <cell r="AB158">
            <v>0.14871982123248229</v>
          </cell>
          <cell r="AC158">
            <v>0.20304803179625708</v>
          </cell>
          <cell r="AD158">
            <v>0.10957126536740613</v>
          </cell>
          <cell r="AE158">
            <v>-0.25369196780255054</v>
          </cell>
          <cell r="AH158" t="str">
            <v>NA</v>
          </cell>
          <cell r="AI158">
            <v>4.1599208980935529</v>
          </cell>
          <cell r="AJ158">
            <v>-7.2208182672109378E-2</v>
          </cell>
          <cell r="AK158">
            <v>1.0572015264850743E-2</v>
          </cell>
          <cell r="AL158">
            <v>-3.9010121522270458E-3</v>
          </cell>
          <cell r="AM158">
            <v>8.7733287348046973E-2</v>
          </cell>
          <cell r="AN158">
            <v>4.7122029395408216E-2</v>
          </cell>
          <cell r="AO158">
            <v>3.7867835774260561E-2</v>
          </cell>
          <cell r="AP158">
            <v>2.8542918239794046E-2</v>
          </cell>
          <cell r="AQ158">
            <v>2.1547224210142879E-2</v>
          </cell>
          <cell r="AR158">
            <v>1.4399123091363597E-2</v>
          </cell>
          <cell r="AS158">
            <v>6.9471067829010025E-3</v>
          </cell>
        </row>
        <row r="159">
          <cell r="I159" t="str">
            <v>US</v>
          </cell>
          <cell r="L159">
            <v>5392.1572200000001</v>
          </cell>
          <cell r="M159">
            <v>11113.778253</v>
          </cell>
          <cell r="N159">
            <v>15846.256847000001</v>
          </cell>
          <cell r="O159">
            <v>17880.97479</v>
          </cell>
          <cell r="P159">
            <v>21199.148560000001</v>
          </cell>
          <cell r="Q159">
            <v>21646.763803000002</v>
          </cell>
          <cell r="R159">
            <v>26432.267016999998</v>
          </cell>
          <cell r="S159">
            <v>36744.533968999996</v>
          </cell>
          <cell r="T159">
            <v>41671.958807000003</v>
          </cell>
          <cell r="U159">
            <v>43800.956832000003</v>
          </cell>
          <cell r="V159">
            <v>46485.463473000003</v>
          </cell>
          <cell r="W159">
            <v>56763.804244345352</v>
          </cell>
          <cell r="X159">
            <v>58762.475934923095</v>
          </cell>
          <cell r="Y159">
            <v>68828.279682580003</v>
          </cell>
          <cell r="Z159">
            <v>81972.726147979716</v>
          </cell>
          <cell r="AA159">
            <v>79492.57135918735</v>
          </cell>
          <cell r="AB159">
            <v>73605.281910613834</v>
          </cell>
          <cell r="AC159">
            <v>86166.500267341049</v>
          </cell>
          <cell r="AD159">
            <v>104191.7673366174</v>
          </cell>
          <cell r="AE159">
            <v>110177.43003789894</v>
          </cell>
          <cell r="AH159">
            <v>50233.167110000002</v>
          </cell>
          <cell r="AI159">
            <v>106022.713349</v>
          </cell>
          <cell r="AJ159">
            <v>188722.18335634537</v>
          </cell>
          <cell r="AK159">
            <v>289056.05312467017</v>
          </cell>
          <cell r="AL159">
            <v>374140.9795524712</v>
          </cell>
          <cell r="AM159">
            <v>492811.35583834792</v>
          </cell>
          <cell r="AN159">
            <v>620481.84303048009</v>
          </cell>
          <cell r="AO159">
            <v>749448.54469454789</v>
          </cell>
          <cell r="AP159">
            <v>871968.43654674466</v>
          </cell>
          <cell r="AQ159">
            <v>970998.14646564284</v>
          </cell>
          <cell r="AR159">
            <v>1041222.8940114954</v>
          </cell>
          <cell r="AS159">
            <v>1080524.8293468014</v>
          </cell>
        </row>
        <row r="160">
          <cell r="I160" t="str">
            <v>Requests (ads requested)</v>
          </cell>
          <cell r="L160">
            <v>5392.1572200000001</v>
          </cell>
          <cell r="M160">
            <v>11113.778253</v>
          </cell>
          <cell r="N160">
            <v>15846.256847000001</v>
          </cell>
          <cell r="O160">
            <v>17880.97479</v>
          </cell>
          <cell r="P160">
            <v>21199.148560000001</v>
          </cell>
          <cell r="Q160">
            <v>21646.763803000002</v>
          </cell>
          <cell r="R160">
            <v>26432.267016999998</v>
          </cell>
          <cell r="S160">
            <v>36744.533968999996</v>
          </cell>
          <cell r="T160">
            <v>41671.958807000003</v>
          </cell>
          <cell r="U160">
            <v>43800.956832000003</v>
          </cell>
          <cell r="V160">
            <v>46485.463473000003</v>
          </cell>
          <cell r="W160">
            <v>56763.804244345352</v>
          </cell>
          <cell r="X160">
            <v>58762.475934923095</v>
          </cell>
          <cell r="Y160">
            <v>68828.279682580003</v>
          </cell>
          <cell r="Z160">
            <v>81972.726147979716</v>
          </cell>
          <cell r="AA160">
            <v>79492.57135918735</v>
          </cell>
          <cell r="AB160">
            <v>74741.804616450769</v>
          </cell>
          <cell r="AC160">
            <v>66499.431255705378</v>
          </cell>
          <cell r="AD160">
            <v>111206.39846230499</v>
          </cell>
          <cell r="AE160">
            <v>140289.10141601204</v>
          </cell>
          <cell r="AF160">
            <v>91758.911917517689</v>
          </cell>
          <cell r="AG160">
            <v>93161.939070492896</v>
          </cell>
          <cell r="AH160">
            <v>0.53276210469461671</v>
          </cell>
          <cell r="AI160">
            <v>0.65889037333959999</v>
          </cell>
          <cell r="AJ160">
            <v>0.72295042628723094</v>
          </cell>
          <cell r="AK160">
            <v>0.73428825832276379</v>
          </cell>
          <cell r="AL160">
            <v>0.75095816627227097</v>
          </cell>
          <cell r="AM160">
            <v>0.76095816627227097</v>
          </cell>
          <cell r="AN160">
            <v>0.77095816627227098</v>
          </cell>
          <cell r="AO160">
            <v>0.78095816627227099</v>
          </cell>
          <cell r="AP160">
            <v>0.790958166272271</v>
          </cell>
          <cell r="AQ160">
            <v>0.80095816627227101</v>
          </cell>
          <cell r="AR160">
            <v>0.81095816627227102</v>
          </cell>
          <cell r="AS160">
            <v>0.82095816627227103</v>
          </cell>
          <cell r="AT160">
            <v>806573.48463769234</v>
          </cell>
          <cell r="AU160">
            <v>867150.58670131734</v>
          </cell>
          <cell r="AV160">
            <v>902613.61515193491</v>
          </cell>
          <cell r="AW160">
            <v>913263.03753911739</v>
          </cell>
        </row>
        <row r="161">
          <cell r="I161" t="str">
            <v>% change Y/Y</v>
          </cell>
          <cell r="L161" t="str">
            <v>NA</v>
          </cell>
          <cell r="M161" t="str">
            <v>NA</v>
          </cell>
          <cell r="N161" t="str">
            <v>NA</v>
          </cell>
          <cell r="O161" t="str">
            <v>NA</v>
          </cell>
          <cell r="P161">
            <v>2.9314781997398809</v>
          </cell>
          <cell r="Q161">
            <v>0.94774120107685045</v>
          </cell>
          <cell r="R161">
            <v>0.66804484315828394</v>
          </cell>
          <cell r="S161">
            <v>1.0549513883073929</v>
          </cell>
          <cell r="T161">
            <v>0.96573738275647036</v>
          </cell>
          <cell r="U161">
            <v>1.0234413435014096</v>
          </cell>
          <cell r="V161">
            <v>0.75866350938051319</v>
          </cell>
          <cell r="W161">
            <v>0.54482308286274295</v>
          </cell>
          <cell r="X161">
            <v>0.41012032112712316</v>
          </cell>
          <cell r="Y161">
            <v>0.57138758284603486</v>
          </cell>
          <cell r="Z161">
            <v>0.7634055901280119</v>
          </cell>
          <cell r="AA161">
            <v>0.4004095112618562</v>
          </cell>
          <cell r="AB161">
            <v>0.27193082706766969</v>
          </cell>
          <cell r="AC161">
            <v>-3.3835633225394179E-2</v>
          </cell>
          <cell r="AD161">
            <v>0.3566268158698509</v>
          </cell>
          <cell r="AE161">
            <v>0.76480769230769297</v>
          </cell>
          <cell r="AF161">
            <v>0.2276785714285714</v>
          </cell>
          <cell r="AG161">
            <v>0.40094339622641484</v>
          </cell>
          <cell r="AH161">
            <v>26762.327835</v>
          </cell>
          <cell r="AI161">
            <v>1261.2826864498327</v>
          </cell>
          <cell r="AJ161">
            <v>640.60052947630948</v>
          </cell>
          <cell r="AK161">
            <v>113.37832035532847</v>
          </cell>
          <cell r="AL161">
            <v>166.6990794950718</v>
          </cell>
          <cell r="AM161">
            <v>100</v>
          </cell>
          <cell r="AN161">
            <v>100</v>
          </cell>
          <cell r="AO161">
            <v>100</v>
          </cell>
          <cell r="AP161">
            <v>100</v>
          </cell>
          <cell r="AQ161">
            <v>100</v>
          </cell>
          <cell r="AR161">
            <v>100</v>
          </cell>
          <cell r="AS161">
            <v>100</v>
          </cell>
          <cell r="AT161">
            <v>0.11605872150240359</v>
          </cell>
          <cell r="AU161">
            <v>7.5104256732213104E-2</v>
          </cell>
          <cell r="AV161">
            <v>4.0896043887279854E-2</v>
          </cell>
          <cell r="AW161">
            <v>1.1798428705720232E-2</v>
          </cell>
        </row>
        <row r="162">
          <cell r="I162" t="str">
            <v>% of total WW</v>
          </cell>
          <cell r="L162">
            <v>0.89896782380374951</v>
          </cell>
          <cell r="M162">
            <v>0.89045990078256965</v>
          </cell>
          <cell r="N162">
            <v>0.92464356603579168</v>
          </cell>
          <cell r="O162">
            <v>0.88419499570427673</v>
          </cell>
          <cell r="P162">
            <v>40543</v>
          </cell>
          <cell r="Q162">
            <v>0.81495188121544515</v>
          </cell>
          <cell r="R162">
            <v>0.7943449397371849</v>
          </cell>
          <cell r="S162">
            <v>0.77261325653106872</v>
          </cell>
          <cell r="T162">
            <v>40908</v>
          </cell>
          <cell r="U162">
            <v>0.71414870579745204</v>
          </cell>
          <cell r="V162">
            <v>0.66339569094705464</v>
          </cell>
          <cell r="W162">
            <v>0.67848215577874904</v>
          </cell>
          <cell r="X162">
            <v>41274</v>
          </cell>
          <cell r="Y162">
            <v>0.6832813173986958</v>
          </cell>
          <cell r="Z162">
            <v>0.66910442089262334</v>
          </cell>
          <cell r="AA162">
            <v>0.60289855072463761</v>
          </cell>
          <cell r="AB162">
            <v>41639</v>
          </cell>
          <cell r="AC162">
            <v>0.53</v>
          </cell>
          <cell r="AD162">
            <v>0.57000000000000006</v>
          </cell>
          <cell r="AE162">
            <v>0.56000000000000005</v>
          </cell>
          <cell r="AF162">
            <v>42004</v>
          </cell>
          <cell r="AG162">
            <v>0.54</v>
          </cell>
          <cell r="AH162">
            <v>16.0578</v>
          </cell>
          <cell r="AI162">
            <v>46.345331999999992</v>
          </cell>
          <cell r="AJ162">
            <v>92.999166000000002</v>
          </cell>
          <cell r="AK162">
            <v>151.83328609999998</v>
          </cell>
          <cell r="AL162">
            <v>234.66644936000003</v>
          </cell>
          <cell r="AM162">
            <v>334.39969033800003</v>
          </cell>
          <cell r="AN162">
            <v>456.10357763733003</v>
          </cell>
          <cell r="AO162">
            <v>586.06185729289791</v>
          </cell>
          <cell r="AP162">
            <v>706.790599895235</v>
          </cell>
          <cell r="AQ162">
            <v>813.54762781970931</v>
          </cell>
          <cell r="AR162">
            <v>891.72447018050934</v>
          </cell>
          <cell r="AS162">
            <v>928.41673936334678</v>
          </cell>
          <cell r="AT162">
            <v>0.44089014969812451</v>
          </cell>
          <cell r="AU162">
            <v>0.41089014969812448</v>
          </cell>
          <cell r="AV162">
            <v>0.38089014969812446</v>
          </cell>
          <cell r="AW162">
            <v>0.35089014969812443</v>
          </cell>
        </row>
        <row r="163">
          <cell r="I163" t="str">
            <v>Views (ads served)</v>
          </cell>
          <cell r="L163">
            <v>2596.7097979999999</v>
          </cell>
          <cell r="M163">
            <v>5579.648741</v>
          </cell>
          <cell r="N163">
            <v>7603.3470100000004</v>
          </cell>
          <cell r="O163">
            <v>10982.622286</v>
          </cell>
          <cell r="P163">
            <v>14034.343288</v>
          </cell>
          <cell r="Q163">
            <v>13665.493270999999</v>
          </cell>
          <cell r="R163">
            <v>13979.197177</v>
          </cell>
          <cell r="S163">
            <v>28178.311444999999</v>
          </cell>
          <cell r="T163">
            <v>29603.313388999999</v>
          </cell>
          <cell r="U163">
            <v>31079.538553999999</v>
          </cell>
          <cell r="V163">
            <v>31702.510141999999</v>
          </cell>
          <cell r="W163">
            <v>44098.14399877486</v>
          </cell>
          <cell r="X163">
            <v>42331.858541872774</v>
          </cell>
          <cell r="Y163">
            <v>49526.283761166007</v>
          </cell>
          <cell r="Z163">
            <v>57953.701759192285</v>
          </cell>
          <cell r="AA163">
            <v>62152.923141675201</v>
          </cell>
          <cell r="AB163">
            <v>54123.477613787531</v>
          </cell>
          <cell r="AC163">
            <v>48016.779166945656</v>
          </cell>
          <cell r="AD163">
            <v>78899.561881599773</v>
          </cell>
          <cell r="AE163">
            <v>110038.67961337724</v>
          </cell>
          <cell r="AF163">
            <v>66675.63095743474</v>
          </cell>
          <cell r="AG163">
            <v>67501.694529670844</v>
          </cell>
          <cell r="AH163">
            <v>5.0309999999999997</v>
          </cell>
          <cell r="AI163">
            <v>14.016</v>
          </cell>
          <cell r="AJ163">
            <v>28</v>
          </cell>
          <cell r="AK163">
            <v>42.5</v>
          </cell>
          <cell r="AL163">
            <v>58.5</v>
          </cell>
          <cell r="AM163">
            <v>73.5</v>
          </cell>
          <cell r="AN163">
            <v>88.5</v>
          </cell>
          <cell r="AO163">
            <v>103.5</v>
          </cell>
          <cell r="AP163">
            <v>118.5</v>
          </cell>
          <cell r="AQ163">
            <v>133.5</v>
          </cell>
          <cell r="AR163">
            <v>148.5</v>
          </cell>
          <cell r="AS163">
            <v>163.5</v>
          </cell>
          <cell r="AT163">
            <v>43100</v>
          </cell>
          <cell r="AU163">
            <v>43465</v>
          </cell>
          <cell r="AV163">
            <v>43830</v>
          </cell>
          <cell r="AW163">
            <v>44196</v>
          </cell>
        </row>
        <row r="164">
          <cell r="I164" t="str">
            <v>% change Y/Y</v>
          </cell>
          <cell r="L164" t="str">
            <v>NA</v>
          </cell>
          <cell r="M164" t="str">
            <v>NA</v>
          </cell>
          <cell r="N164" t="str">
            <v>NA</v>
          </cell>
          <cell r="O164" t="str">
            <v>NA</v>
          </cell>
          <cell r="P164">
            <v>4.4046637397869137</v>
          </cell>
          <cell r="Q164">
            <v>1.4491673052076091</v>
          </cell>
          <cell r="R164">
            <v>0.8385583557628522</v>
          </cell>
          <cell r="S164">
            <v>1.5657179780206092</v>
          </cell>
          <cell r="T164">
            <v>1.1093479603218892</v>
          </cell>
          <cell r="U164">
            <v>1.2743078451441581</v>
          </cell>
          <cell r="V164">
            <v>1.267834822028278</v>
          </cell>
          <cell r="W164">
            <v>0.56496758454984342</v>
          </cell>
          <cell r="X164">
            <v>0.42997028696127138</v>
          </cell>
          <cell r="Y164">
            <v>0.59353343277974369</v>
          </cell>
          <cell r="Z164">
            <v>0.82804773185497016</v>
          </cell>
          <cell r="AA164">
            <v>0.40942265378338694</v>
          </cell>
          <cell r="AB164">
            <v>0.27855188687855548</v>
          </cell>
          <cell r="AC164">
            <v>-3.0478858488550031E-2</v>
          </cell>
          <cell r="AD164">
            <v>0.36142402446423838</v>
          </cell>
          <cell r="AE164">
            <v>0.7704505926864984</v>
          </cell>
          <cell r="AF164">
            <v>0.23191697756778384</v>
          </cell>
          <cell r="AG164">
            <v>0.40579388498715541</v>
          </cell>
          <cell r="AH164" t="str">
            <v>NA</v>
          </cell>
          <cell r="AI164">
            <v>1.7859272510435305</v>
          </cell>
          <cell r="AJ164">
            <v>0.99771689497716887</v>
          </cell>
          <cell r="AK164">
            <v>0.51785714285714279</v>
          </cell>
          <cell r="AL164">
            <v>0.37647058823529411</v>
          </cell>
          <cell r="AM164">
            <v>0.25641025641025639</v>
          </cell>
          <cell r="AN164">
            <v>0.20408163265306123</v>
          </cell>
          <cell r="AO164">
            <v>0.16949152542372881</v>
          </cell>
          <cell r="AP164">
            <v>0.14492753623188404</v>
          </cell>
          <cell r="AQ164">
            <v>0.12658227848101267</v>
          </cell>
          <cell r="AR164">
            <v>0.11235955056179781</v>
          </cell>
          <cell r="AS164">
            <v>0.10101010101010099</v>
          </cell>
          <cell r="AT164">
            <v>0.1306772625138064</v>
          </cell>
          <cell r="AU164">
            <v>8.9004293630126297E-2</v>
          </cell>
          <cell r="AV164">
            <v>5.418202769979108E-2</v>
          </cell>
          <cell r="AW164">
            <v>2.4550246885205018E-2</v>
          </cell>
        </row>
        <row r="165">
          <cell r="I165" t="str">
            <v>% of total WW</v>
          </cell>
          <cell r="L165">
            <v>0.91357255179215069</v>
          </cell>
          <cell r="M165">
            <v>0.93171816557662102</v>
          </cell>
          <cell r="N165">
            <v>0.93350058654414891</v>
          </cell>
          <cell r="O165">
            <v>0.95240121994039306</v>
          </cell>
          <cell r="P165">
            <v>0.95830674538441651</v>
          </cell>
          <cell r="Q165">
            <v>0.9447951819420618</v>
          </cell>
          <cell r="R165">
            <v>0.95182763004837811</v>
          </cell>
          <cell r="S165">
            <v>0.96655868420158975</v>
          </cell>
          <cell r="T165">
            <v>0.91225610121467615</v>
          </cell>
          <cell r="U165">
            <v>0.85350033034946149</v>
          </cell>
          <cell r="V165">
            <v>0.83457142060277878</v>
          </cell>
          <cell r="W165">
            <v>0.83269839179227878</v>
          </cell>
          <cell r="X165">
            <v>0.80918841141179576</v>
          </cell>
          <cell r="Y165">
            <v>0.80113123322804591</v>
          </cell>
          <cell r="Z165">
            <v>0.79892304896238941</v>
          </cell>
          <cell r="AA165">
            <v>0.73311550310242612</v>
          </cell>
          <cell r="AB165">
            <v>0.72938550367108412</v>
          </cell>
          <cell r="AC165">
            <v>0.61853222556923182</v>
          </cell>
          <cell r="AD165">
            <v>0.67727798250052551</v>
          </cell>
          <cell r="AE165">
            <v>0.67785772454417215</v>
          </cell>
          <cell r="AF165">
            <v>0.64818600453812913</v>
          </cell>
          <cell r="AG165">
            <v>0.62731507366838646</v>
          </cell>
          <cell r="AH165" t="str">
            <v>NA</v>
          </cell>
          <cell r="AI165">
            <v>0.10568587778630412</v>
          </cell>
          <cell r="AJ165">
            <v>3.2172598192290236E-2</v>
          </cell>
          <cell r="AK165">
            <v>5.2391582829440564E-2</v>
          </cell>
          <cell r="AL165">
            <v>6.1363048403439091E-2</v>
          </cell>
          <cell r="AM165">
            <v>4.8738233093885475E-2</v>
          </cell>
          <cell r="AN165">
            <v>4.8237979785628271E-2</v>
          </cell>
          <cell r="AO165">
            <v>4.3124074273683144E-2</v>
          </cell>
          <cell r="AP165">
            <v>3.7475970362816913E-2</v>
          </cell>
          <cell r="AQ165">
            <v>3.399993495373832E-2</v>
          </cell>
          <cell r="AR165">
            <v>3.0413055846708836E-2</v>
          </cell>
          <cell r="AS165">
            <v>2.6750014925504217E-2</v>
          </cell>
          <cell r="AT165">
            <v>1053.2454259562014</v>
          </cell>
          <cell r="AU165">
            <v>1279.6339474815748</v>
          </cell>
          <cell r="AV165">
            <v>1513.4258688857185</v>
          </cell>
          <cell r="AW165">
            <v>1748.456153220551</v>
          </cell>
        </row>
        <row r="166">
          <cell r="I166" t="str">
            <v>Fill rate (% of requests served)</v>
          </cell>
          <cell r="L166">
            <v>0.48157160335914684</v>
          </cell>
          <cell r="M166">
            <v>0.50204787372771775</v>
          </cell>
          <cell r="N166">
            <v>0.47981975070910576</v>
          </cell>
          <cell r="O166">
            <v>0.61420713439750896</v>
          </cell>
          <cell r="P166">
            <v>0.66202391328493992</v>
          </cell>
          <cell r="Q166">
            <v>0.63129497764031195</v>
          </cell>
          <cell r="R166">
            <v>0.52886864255756927</v>
          </cell>
          <cell r="S166">
            <v>0.76687083495937103</v>
          </cell>
          <cell r="T166">
            <v>0.71038929381997928</v>
          </cell>
          <cell r="U166">
            <v>0.70956300505503977</v>
          </cell>
          <cell r="V166">
            <v>0.6819876101786887</v>
          </cell>
          <cell r="W166">
            <v>0.77687083495937104</v>
          </cell>
          <cell r="X166">
            <v>0.72038929381997929</v>
          </cell>
          <cell r="Y166">
            <v>0.71956300505503978</v>
          </cell>
          <cell r="Z166">
            <v>0.70698761017868872</v>
          </cell>
          <cell r="AA166">
            <v>0.78187083495937104</v>
          </cell>
          <cell r="AB166">
            <v>0.72413929381997932</v>
          </cell>
          <cell r="AC166">
            <v>0.72206300505503973</v>
          </cell>
          <cell r="AD166">
            <v>0.70948761017868867</v>
          </cell>
          <cell r="AE166">
            <v>0.78437083495937099</v>
          </cell>
          <cell r="AF166">
            <v>0.72663929381997927</v>
          </cell>
          <cell r="AG166">
            <v>0.72456300505503968</v>
          </cell>
          <cell r="AH166">
            <v>5.4554917010641635E-2</v>
          </cell>
          <cell r="AI166">
            <v>1.1882464793362191E-2</v>
          </cell>
          <cell r="AJ166">
            <v>5.5510143096250353E-2</v>
          </cell>
          <cell r="AK166">
            <v>0.10244500689707969</v>
          </cell>
          <cell r="AL166">
            <v>0.14152412864976616</v>
          </cell>
          <cell r="AM166">
            <v>0.15513665572815638</v>
          </cell>
          <cell r="AN166">
            <v>0.17500248574298793</v>
          </cell>
          <cell r="AO166">
            <v>0.19695131369855101</v>
          </cell>
          <cell r="AP166">
            <v>0.22139415282086294</v>
          </cell>
          <cell r="AQ166">
            <v>0.24885346317313428</v>
          </cell>
          <cell r="AR166">
            <v>0.28000396774376002</v>
          </cell>
          <cell r="AS166">
            <v>0.3157327990913934</v>
          </cell>
          <cell r="AT166">
            <v>0.25287500000000018</v>
          </cell>
          <cell r="AU166">
            <v>0.21494374999999999</v>
          </cell>
          <cell r="AV166">
            <v>0.18270218749999989</v>
          </cell>
          <cell r="AW166">
            <v>0.15529685937499993</v>
          </cell>
        </row>
        <row r="167">
          <cell r="I167" t="str">
            <v>BPs change Y/Y</v>
          </cell>
          <cell r="L167">
            <v>1.61073</v>
          </cell>
          <cell r="M167">
            <v>3.35412</v>
          </cell>
          <cell r="N167">
            <v>4.0619699999999996</v>
          </cell>
          <cell r="O167">
            <v>7.0309800000000005</v>
          </cell>
          <cell r="P167">
            <v>1804.5230992579309</v>
          </cell>
          <cell r="Q167">
            <v>1292.4710391259421</v>
          </cell>
          <cell r="R167">
            <v>490.48891848463506</v>
          </cell>
          <cell r="S167">
            <v>1526.6370056186206</v>
          </cell>
          <cell r="T167">
            <v>483.65380535039361</v>
          </cell>
          <cell r="U167">
            <v>782.68027414727828</v>
          </cell>
          <cell r="V167">
            <v>1531.1896762111942</v>
          </cell>
          <cell r="W167">
            <v>100</v>
          </cell>
          <cell r="X167">
            <v>100</v>
          </cell>
          <cell r="Y167">
            <v>100</v>
          </cell>
          <cell r="Z167">
            <v>250</v>
          </cell>
          <cell r="AA167">
            <v>50</v>
          </cell>
          <cell r="AB167">
            <v>37.5</v>
          </cell>
          <cell r="AC167">
            <v>25</v>
          </cell>
          <cell r="AD167">
            <v>25</v>
          </cell>
          <cell r="AE167">
            <v>25</v>
          </cell>
          <cell r="AF167">
            <v>25</v>
          </cell>
          <cell r="AG167">
            <v>25</v>
          </cell>
          <cell r="AH167">
            <v>28507.418595000003</v>
          </cell>
          <cell r="AI167">
            <v>72948.836558999988</v>
          </cell>
          <cell r="AJ167">
            <v>159809.56739933667</v>
          </cell>
          <cell r="AK167">
            <v>279848.0093678456</v>
          </cell>
          <cell r="AL167">
            <v>437782.63963533111</v>
          </cell>
          <cell r="AM167">
            <v>633623.04359871836</v>
          </cell>
          <cell r="AN167">
            <v>873101.70549809095</v>
          </cell>
          <cell r="AO167">
            <v>1142539.8767333776</v>
          </cell>
          <cell r="AP167">
            <v>1415934.6708523331</v>
          </cell>
          <cell r="AQ167">
            <v>1687195.4577363643</v>
          </cell>
          <cell r="AR167">
            <v>1929975.1558229842</v>
          </cell>
          <cell r="AS167">
            <v>2115716.655766861</v>
          </cell>
          <cell r="AT167">
            <v>100</v>
          </cell>
          <cell r="AU167">
            <v>100</v>
          </cell>
          <cell r="AV167">
            <v>100</v>
          </cell>
          <cell r="AW167">
            <v>100</v>
          </cell>
        </row>
        <row r="168">
          <cell r="I168" t="str">
            <v>Revenue (reported)</v>
          </cell>
          <cell r="L168">
            <v>1.61073</v>
          </cell>
          <cell r="M168">
            <v>3.35412</v>
          </cell>
          <cell r="N168">
            <v>4.0619699999999996</v>
          </cell>
          <cell r="O168">
            <v>7.0309800000000005</v>
          </cell>
          <cell r="P168">
            <v>8.7367499999999989</v>
          </cell>
          <cell r="Q168">
            <v>9.0728399999999993</v>
          </cell>
          <cell r="R168">
            <v>10.673879999999999</v>
          </cell>
          <cell r="S168">
            <v>17.838529999999999</v>
          </cell>
          <cell r="T168">
            <v>20.192999999999998</v>
          </cell>
          <cell r="U168">
            <v>20.646999999999998</v>
          </cell>
          <cell r="V168">
            <v>22.166319999999999</v>
          </cell>
          <cell r="W168">
            <v>30.350679999999997</v>
          </cell>
          <cell r="X168">
            <v>28.93</v>
          </cell>
          <cell r="Y168">
            <v>34.811</v>
          </cell>
          <cell r="Z168">
            <v>41.165999999999997</v>
          </cell>
          <cell r="AA168">
            <v>46.536000000000001</v>
          </cell>
          <cell r="AB168">
            <v>40.341408000000001</v>
          </cell>
          <cell r="AC168">
            <v>41.616569999999996</v>
          </cell>
          <cell r="AD168">
            <v>65.284557800000002</v>
          </cell>
          <cell r="AE168">
            <v>96.909120000000001</v>
          </cell>
          <cell r="AF168">
            <v>55.617750000000008</v>
          </cell>
          <cell r="AG168">
            <v>63.279989999999998</v>
          </cell>
          <cell r="AH168" t="str">
            <v>NA</v>
          </cell>
          <cell r="AI168">
            <v>1.5589422036197513</v>
          </cell>
          <cell r="AJ168">
            <v>1.1907075552889035</v>
          </cell>
          <cell r="AK168">
            <v>0.75113426512540071</v>
          </cell>
          <cell r="AL168">
            <v>0.56435859816993972</v>
          </cell>
          <cell r="AM168">
            <v>0.44734620844380779</v>
          </cell>
          <cell r="AN168">
            <v>0.37795131398509785</v>
          </cell>
          <cell r="AO168">
            <v>0.30859883738467375</v>
          </cell>
          <cell r="AP168">
            <v>0.23928687277035388</v>
          </cell>
          <cell r="AQ168">
            <v>0.19157719100185866</v>
          </cell>
          <cell r="AR168">
            <v>0.14389541945089546</v>
          </cell>
          <cell r="AS168">
            <v>9.624035800848052E-2</v>
          </cell>
          <cell r="AT168">
            <v>735.30580935313242</v>
          </cell>
          <cell r="AU168">
            <v>854.96617898783256</v>
          </cell>
          <cell r="AV168">
            <v>965.76759406085444</v>
          </cell>
          <cell r="AW168">
            <v>1063.2945837080383</v>
          </cell>
        </row>
        <row r="169">
          <cell r="I169" t="str">
            <v>% change Y/Y</v>
          </cell>
          <cell r="L169" t="str">
            <v>NA</v>
          </cell>
          <cell r="M169" t="str">
            <v>NA</v>
          </cell>
          <cell r="N169" t="str">
            <v>NA</v>
          </cell>
          <cell r="O169" t="str">
            <v>NA</v>
          </cell>
          <cell r="P169">
            <v>4.4240934234787943</v>
          </cell>
          <cell r="Q169">
            <v>1.7049837215126469</v>
          </cell>
          <cell r="R169">
            <v>1.6277594369234634</v>
          </cell>
          <cell r="S169">
            <v>1.5371328036774385</v>
          </cell>
          <cell r="T169">
            <v>1.3112713537642717</v>
          </cell>
          <cell r="U169">
            <v>1.2756931677402004</v>
          </cell>
          <cell r="V169">
            <v>1.0766881396455648</v>
          </cell>
          <cell r="W169">
            <v>0.70141149522970769</v>
          </cell>
          <cell r="X169">
            <v>0.43267468924874963</v>
          </cell>
          <cell r="Y169">
            <v>0.68600765244345441</v>
          </cell>
          <cell r="Z169">
            <v>0.85714182597742883</v>
          </cell>
          <cell r="AA169">
            <v>0.53327701389227533</v>
          </cell>
          <cell r="AB169">
            <v>0.39444894573107514</v>
          </cell>
          <cell r="AC169">
            <v>0.19550056016776285</v>
          </cell>
          <cell r="AD169">
            <v>0.58588538599815387</v>
          </cell>
          <cell r="AE169">
            <v>1.0824548736462094</v>
          </cell>
          <cell r="AF169">
            <v>0.3786764705882355</v>
          </cell>
          <cell r="AG169">
            <v>0.52054794520547953</v>
          </cell>
          <cell r="AH169">
            <v>5606.5180569999975</v>
          </cell>
          <cell r="AI169">
            <v>27295.211168000002</v>
          </cell>
          <cell r="AJ169">
            <v>82771.975677460607</v>
          </cell>
          <cell r="AK169">
            <v>165602.25513524754</v>
          </cell>
          <cell r="AL169">
            <v>277958.7045109676</v>
          </cell>
          <cell r="AM169">
            <v>430442.41320834518</v>
          </cell>
          <cell r="AN169">
            <v>623936.06072761468</v>
          </cell>
          <cell r="AO169">
            <v>855588.91731691011</v>
          </cell>
          <cell r="AP169">
            <v>1107354.5121265841</v>
          </cell>
          <cell r="AQ169">
            <v>1373913.547328678</v>
          </cell>
          <cell r="AR169">
            <v>1632074.3562887853</v>
          </cell>
          <cell r="AS169">
            <v>1853552.3788926182</v>
          </cell>
          <cell r="AT169">
            <v>0.20125499459396989</v>
          </cell>
          <cell r="AU169">
            <v>0.16273551509129036</v>
          </cell>
          <cell r="AV169">
            <v>0.12959742478257574</v>
          </cell>
          <cell r="AW169">
            <v>0.10098391191311662</v>
          </cell>
        </row>
        <row r="170">
          <cell r="I170" t="str">
            <v>Effective CPM (revenue per '000 ad views)</v>
          </cell>
          <cell r="L170">
            <v>0.62029650030226446</v>
          </cell>
          <cell r="M170">
            <v>0.60113461540212754</v>
          </cell>
          <cell r="N170">
            <v>0.53423446209381931</v>
          </cell>
          <cell r="O170">
            <v>0.64019136932011944</v>
          </cell>
          <cell r="P170">
            <v>0.62252645675771068</v>
          </cell>
          <cell r="Q170">
            <v>0.66392334473968662</v>
          </cell>
          <cell r="R170">
            <v>0.76355457790964953</v>
          </cell>
          <cell r="S170">
            <v>0.6330588699332903</v>
          </cell>
          <cell r="T170">
            <v>0.68211959028556968</v>
          </cell>
          <cell r="U170">
            <v>0.66432775261853716</v>
          </cell>
          <cell r="V170">
            <v>0.69919763137726121</v>
          </cell>
          <cell r="W170">
            <v>0.68825300223164054</v>
          </cell>
          <cell r="X170">
            <v>0.68340963511875441</v>
          </cell>
          <cell r="Y170">
            <v>0.7028793068317315</v>
          </cell>
          <cell r="Z170">
            <v>0.71032563495343037</v>
          </cell>
          <cell r="AA170">
            <v>0.74873389130746071</v>
          </cell>
          <cell r="AB170">
            <v>0.74535875702346488</v>
          </cell>
          <cell r="AC170">
            <v>0.86670890305463244</v>
          </cell>
          <cell r="AD170">
            <v>0.82743878727703124</v>
          </cell>
          <cell r="AE170">
            <v>0.88068232316574346</v>
          </cell>
          <cell r="AF170">
            <v>0.83415408600341556</v>
          </cell>
          <cell r="AG170">
            <v>0.93745779925842954</v>
          </cell>
          <cell r="AH170">
            <v>5666.35233452594</v>
          </cell>
          <cell r="AI170">
            <v>5204.6829736729442</v>
          </cell>
          <cell r="AJ170">
            <v>5707.4845499763096</v>
          </cell>
          <cell r="AK170">
            <v>6584.6590439493084</v>
          </cell>
          <cell r="AL170">
            <v>7483.4639253902751</v>
          </cell>
          <cell r="AM170">
            <v>8620.7216816152159</v>
          </cell>
          <cell r="AN170">
            <v>9865.5559943287117</v>
          </cell>
          <cell r="AO170">
            <v>11039.032625443262</v>
          </cell>
          <cell r="AP170">
            <v>11948.815787783402</v>
          </cell>
          <cell r="AQ170">
            <v>12638.168222744302</v>
          </cell>
          <cell r="AR170">
            <v>12996.465695777671</v>
          </cell>
          <cell r="AS170">
            <v>12940.163032213217</v>
          </cell>
          <cell r="AT170">
            <v>0.69813339914158778</v>
          </cell>
          <cell r="AU170">
            <v>0.66813339914158776</v>
          </cell>
          <cell r="AV170">
            <v>0.63813339914158773</v>
          </cell>
          <cell r="AW170">
            <v>0.6081333991415877</v>
          </cell>
        </row>
        <row r="171">
          <cell r="I171" t="str">
            <v>% change Y/Y</v>
          </cell>
          <cell r="L171" t="str">
            <v>NA</v>
          </cell>
          <cell r="M171" t="str">
            <v>NA</v>
          </cell>
          <cell r="N171" t="str">
            <v>NA</v>
          </cell>
          <cell r="O171" t="str">
            <v>NA</v>
          </cell>
          <cell r="P171">
            <v>3.5949847441660854E-3</v>
          </cell>
          <cell r="Q171">
            <v>0.10445036390984863</v>
          </cell>
          <cell r="R171">
            <v>0.42924994938937178</v>
          </cell>
          <cell r="S171">
            <v>-1.1141198911200245E-2</v>
          </cell>
          <cell r="T171">
            <v>9.5727872897541477E-2</v>
          </cell>
          <cell r="U171">
            <v>6.0911832978116642E-4</v>
          </cell>
          <cell r="V171">
            <v>-8.4285980851002917E-2</v>
          </cell>
          <cell r="W171">
            <v>8.718641333335464E-2</v>
          </cell>
          <cell r="X171">
            <v>1.8912297074544782E-3</v>
          </cell>
          <cell r="Y171">
            <v>5.8030925339545458E-2</v>
          </cell>
          <cell r="Z171">
            <v>1.5915390837708543E-2</v>
          </cell>
          <cell r="AA171">
            <v>8.7875953871196621E-2</v>
          </cell>
          <cell r="AB171">
            <v>9.0647129805165427E-2</v>
          </cell>
          <cell r="AC171">
            <v>0.23308353885302457</v>
          </cell>
          <cell r="AD171">
            <v>0.1648724846193661</v>
          </cell>
          <cell r="AE171">
            <v>0.17622874213409867</v>
          </cell>
          <cell r="AF171">
            <v>0.11913099315361664</v>
          </cell>
          <cell r="AG171">
            <v>8.1629363624222018E-2</v>
          </cell>
          <cell r="AH171" t="str">
            <v>NA</v>
          </cell>
          <cell r="AI171">
            <v>-8.1475583161317866E-2</v>
          </cell>
          <cell r="AJ171">
            <v>9.6605610533188502E-2</v>
          </cell>
          <cell r="AK171">
            <v>0.1536884570237933</v>
          </cell>
          <cell r="AL171">
            <v>0.13649983627730666</v>
          </cell>
          <cell r="AM171">
            <v>0.15196943121037765</v>
          </cell>
          <cell r="AN171">
            <v>0.14440024381813221</v>
          </cell>
          <cell r="AO171">
            <v>0.11894683196660494</v>
          </cell>
          <cell r="AP171">
            <v>8.241511672347368E-2</v>
          </cell>
          <cell r="AQ171">
            <v>5.7692113361200281E-2</v>
          </cell>
          <cell r="AR171">
            <v>2.835042758716888E-2</v>
          </cell>
          <cell r="AS171">
            <v>-4.3321519005544706E-3</v>
          </cell>
          <cell r="AT171">
            <v>6.1165597396246607E-2</v>
          </cell>
          <cell r="AU171">
            <v>5.4544455311501761E-2</v>
          </cell>
          <cell r="AV171">
            <v>4.9804817100714827E-2</v>
          </cell>
          <cell r="AW171">
            <v>4.6954924454622793E-2</v>
          </cell>
        </row>
        <row r="172">
          <cell r="I172" t="str">
            <v>% variance from WW</v>
          </cell>
          <cell r="L172">
            <v>8.3657776339626233E-2</v>
          </cell>
          <cell r="M172">
            <v>6.2553072996392123E-2</v>
          </cell>
          <cell r="N172">
            <v>6.0524239909707678E-2</v>
          </cell>
          <cell r="O172">
            <v>3.947787893631638E-2</v>
          </cell>
          <cell r="P172">
            <v>3.3072139759247943E-2</v>
          </cell>
          <cell r="Q172">
            <v>3.7261851807471658E-2</v>
          </cell>
          <cell r="R172">
            <v>1.9092080727576954E-2</v>
          </cell>
          <cell r="S172">
            <v>-1.5222595484674528E-2</v>
          </cell>
          <cell r="T172">
            <v>2.988096187182987E-2</v>
          </cell>
          <cell r="U172">
            <v>7.7692741184418601E-2</v>
          </cell>
          <cell r="V172">
            <v>5.4433423282587379E-2</v>
          </cell>
          <cell r="W172">
            <v>5.4982409522764231E-2</v>
          </cell>
          <cell r="X172">
            <v>8.5693026765040425E-2</v>
          </cell>
          <cell r="Y172">
            <v>0.10254260570972584</v>
          </cell>
          <cell r="Z172">
            <v>8.7844970828395708E-2</v>
          </cell>
          <cell r="AA172">
            <v>9.5186975758800418E-2</v>
          </cell>
          <cell r="AB172">
            <v>0.11874995580934189</v>
          </cell>
          <cell r="AC172">
            <v>0.18021336613170802</v>
          </cell>
          <cell r="AD172">
            <v>0.1369039299891941</v>
          </cell>
          <cell r="AE172">
            <v>0.12117922755997901</v>
          </cell>
          <cell r="AF172">
            <v>0.15707527584527137</v>
          </cell>
          <cell r="AG172">
            <v>0.17963050955026394</v>
          </cell>
          <cell r="AH172">
            <v>1745.09076</v>
          </cell>
          <cell r="AI172">
            <v>3091.4913780000024</v>
          </cell>
          <cell r="AJ172">
            <v>23999.236352491211</v>
          </cell>
          <cell r="AK172">
            <v>69158.273079715233</v>
          </cell>
          <cell r="AL172">
            <v>130976.93757581843</v>
          </cell>
          <cell r="AM172">
            <v>216742.91885583935</v>
          </cell>
          <cell r="AN172">
            <v>330665.19770586898</v>
          </cell>
          <cell r="AO172">
            <v>474360.72478268598</v>
          </cell>
          <cell r="AP172">
            <v>639218.79475283308</v>
          </cell>
          <cell r="AQ172">
            <v>822558.31271242909</v>
          </cell>
          <cell r="AR172">
            <v>1010224.2216698667</v>
          </cell>
          <cell r="AS172">
            <v>1183068.5822429745</v>
          </cell>
          <cell r="AT172">
            <v>317.939616603069</v>
          </cell>
          <cell r="AU172">
            <v>424.66776849374224</v>
          </cell>
          <cell r="AV172">
            <v>547.65827482486407</v>
          </cell>
          <cell r="AW172">
            <v>685.16156951251264</v>
          </cell>
        </row>
        <row r="173">
          <cell r="I173" t="str">
            <v>International</v>
          </cell>
          <cell r="L173">
            <v>1.627</v>
          </cell>
          <cell r="M173">
            <v>3.3879999999999999</v>
          </cell>
          <cell r="N173">
            <v>4.1029999999999998</v>
          </cell>
          <cell r="O173">
            <v>7.1020000000000003</v>
          </cell>
          <cell r="P173">
            <v>8.8249999999999993</v>
          </cell>
          <cell r="Q173">
            <v>9.2579999999999991</v>
          </cell>
          <cell r="R173">
            <v>11.004</v>
          </cell>
          <cell r="S173">
            <v>18.741</v>
          </cell>
          <cell r="T173">
            <v>21.492999999999999</v>
          </cell>
          <cell r="U173">
            <v>22.446999999999999</v>
          </cell>
          <cell r="V173">
            <v>25.189</v>
          </cell>
          <cell r="W173">
            <v>34.548999999999999</v>
          </cell>
          <cell r="X173">
            <v>32.93</v>
          </cell>
          <cell r="Y173">
            <v>39.411000000000001</v>
          </cell>
          <cell r="Z173">
            <v>47.366</v>
          </cell>
          <cell r="AA173">
            <v>63.224670000000003</v>
          </cell>
          <cell r="AB173">
            <v>58.944699999999997</v>
          </cell>
          <cell r="AC173">
            <v>65.028149999999997</v>
          </cell>
          <cell r="AD173">
            <v>73.890960000000007</v>
          </cell>
          <cell r="AE173">
            <v>95.469251700000001</v>
          </cell>
          <cell r="AF173">
            <v>1.0128692025627593</v>
          </cell>
          <cell r="AG173">
            <v>0.40415336559914916</v>
          </cell>
          <cell r="AH173">
            <v>16.22</v>
          </cell>
          <cell r="AI173">
            <v>47.827999999999996</v>
          </cell>
          <cell r="AJ173">
            <v>103.678</v>
          </cell>
          <cell r="AK173">
            <v>182.93167</v>
          </cell>
          <cell r="AL173">
            <v>293.33306170000003</v>
          </cell>
          <cell r="AM173">
            <v>439.99959255000005</v>
          </cell>
          <cell r="AN173">
            <v>624.79942142100003</v>
          </cell>
          <cell r="AO173">
            <v>837.23122470414</v>
          </cell>
          <cell r="AP173">
            <v>1054.9113431272165</v>
          </cell>
          <cell r="AQ173">
            <v>1271.168168468296</v>
          </cell>
          <cell r="AR173">
            <v>1461.8433937385403</v>
          </cell>
          <cell r="AS173">
            <v>1600.7185161437017</v>
          </cell>
          <cell r="AT173">
            <v>0.3911275469525215</v>
          </cell>
          <cell r="AU173">
            <v>0.33568686101775658</v>
          </cell>
          <cell r="AV173">
            <v>0.28961582548955356</v>
          </cell>
          <cell r="AW173">
            <v>0.25107498783182058</v>
          </cell>
        </row>
        <row r="174">
          <cell r="I174" t="str">
            <v>International</v>
          </cell>
          <cell r="L174">
            <v>606.00764999999956</v>
          </cell>
          <cell r="M174">
            <v>1367.1636099999996</v>
          </cell>
          <cell r="N174">
            <v>1291.4353719999999</v>
          </cell>
          <cell r="O174">
            <v>2341.9114249999984</v>
          </cell>
          <cell r="P174">
            <v>4722.441315</v>
          </cell>
          <cell r="Q174">
            <v>4915.2508409999973</v>
          </cell>
          <cell r="R174">
            <v>6843.285824999999</v>
          </cell>
          <cell r="S174">
            <v>10814.233187000005</v>
          </cell>
          <cell r="T174">
            <v>13887.645397</v>
          </cell>
          <cell r="U174">
            <v>17532.147150999997</v>
          </cell>
          <cell r="V174">
            <v>23586.537456999991</v>
          </cell>
          <cell r="W174">
            <v>26899.124486909081</v>
          </cell>
          <cell r="X174">
            <v>27840.116820940566</v>
          </cell>
          <cell r="Y174">
            <v>31903.699854947132</v>
          </cell>
          <cell r="Z174">
            <v>40538.385105213674</v>
          </cell>
          <cell r="AA174">
            <v>52358.087866387839</v>
          </cell>
          <cell r="AB174">
            <v>50539.534804916722</v>
          </cell>
          <cell r="AC174">
            <v>61657.679703980029</v>
          </cell>
          <cell r="AD174">
            <v>77675.977318748191</v>
          </cell>
          <cell r="AE174">
            <v>85554.873582467408</v>
          </cell>
          <cell r="AF174">
            <v>0.19493049119555148</v>
          </cell>
          <cell r="AG174">
            <v>0.20493049119555148</v>
          </cell>
          <cell r="AH174" t="str">
            <v>NA</v>
          </cell>
          <cell r="AI174">
            <v>1.9487053020961773</v>
          </cell>
          <cell r="AJ174">
            <v>1.1677260182319982</v>
          </cell>
          <cell r="AK174">
            <v>0.76442128513281515</v>
          </cell>
          <cell r="AL174">
            <v>0.60351163743270941</v>
          </cell>
          <cell r="AM174">
            <v>0.5</v>
          </cell>
          <cell r="AN174">
            <v>0.41999999999999993</v>
          </cell>
          <cell r="AO174">
            <v>0.33999999999999986</v>
          </cell>
          <cell r="AP174">
            <v>0.26</v>
          </cell>
          <cell r="AQ174">
            <v>0.20500000000000007</v>
          </cell>
          <cell r="AR174">
            <v>0.14999999999999991</v>
          </cell>
          <cell r="AS174">
            <v>9.4999999999999973E-2</v>
          </cell>
          <cell r="AT174">
            <v>0.30186660085841222</v>
          </cell>
          <cell r="AU174">
            <v>0.33186660085841224</v>
          </cell>
          <cell r="AV174">
            <v>0.36186660085841227</v>
          </cell>
          <cell r="AW174">
            <v>0.3918666008584123</v>
          </cell>
        </row>
        <row r="175">
          <cell r="I175" t="str">
            <v>Requests (ads requested)</v>
          </cell>
          <cell r="L175">
            <v>606.00764999999956</v>
          </cell>
          <cell r="M175">
            <v>1367.1636099999996</v>
          </cell>
          <cell r="N175">
            <v>1291.4353719999999</v>
          </cell>
          <cell r="O175">
            <v>2341.9114249999984</v>
          </cell>
          <cell r="P175">
            <v>4722.441315</v>
          </cell>
          <cell r="Q175">
            <v>4915.2508409999973</v>
          </cell>
          <cell r="R175">
            <v>6843.285824999999</v>
          </cell>
          <cell r="S175">
            <v>10814.233187000005</v>
          </cell>
          <cell r="T175">
            <v>13887.645397</v>
          </cell>
          <cell r="U175">
            <v>17532.147150999997</v>
          </cell>
          <cell r="V175">
            <v>23586.537456999991</v>
          </cell>
          <cell r="W175">
            <v>26899.124486909081</v>
          </cell>
          <cell r="X175">
            <v>27840.116820940566</v>
          </cell>
          <cell r="Y175">
            <v>31903.699854947132</v>
          </cell>
          <cell r="Z175">
            <v>40538.385105213674</v>
          </cell>
          <cell r="AA175">
            <v>52358.087866387839</v>
          </cell>
          <cell r="AB175">
            <v>46592.293786878377</v>
          </cell>
          <cell r="AC175">
            <v>58971.193755059474</v>
          </cell>
          <cell r="AD175">
            <v>83892.546208405489</v>
          </cell>
          <cell r="AE175">
            <v>110227.15111258085</v>
          </cell>
          <cell r="AF175">
            <v>75075.473387059901</v>
          </cell>
          <cell r="AG175">
            <v>79360.17031930876</v>
          </cell>
          <cell r="AH175">
            <v>0.31126106118951558</v>
          </cell>
          <cell r="AI175">
            <v>0.11326131016067625</v>
          </cell>
          <cell r="AJ175">
            <v>0.28994398352903361</v>
          </cell>
          <cell r="AK175">
            <v>0.4176167348882634</v>
          </cell>
          <cell r="AL175">
            <v>0.47121005908505514</v>
          </cell>
          <cell r="AM175">
            <v>0.50353522841841847</v>
          </cell>
          <cell r="AN175">
            <v>0.52996647977079192</v>
          </cell>
          <cell r="AO175">
            <v>0.55442598096088103</v>
          </cell>
          <cell r="AP175">
            <v>0.57724855748794079</v>
          </cell>
          <cell r="AQ175">
            <v>0.59869728652995846</v>
          </cell>
          <cell r="AR175">
            <v>0.61898173804227941</v>
          </cell>
          <cell r="AS175">
            <v>0.63827092005340802</v>
          </cell>
          <cell r="AT175">
            <v>1022847.030177505</v>
          </cell>
          <cell r="AU175">
            <v>1243268.9191894941</v>
          </cell>
          <cell r="AV175">
            <v>1467134.2396227391</v>
          </cell>
          <cell r="AW175">
            <v>1689440.5103513263</v>
          </cell>
        </row>
        <row r="176">
          <cell r="I176" t="str">
            <v>% change Y/Y</v>
          </cell>
          <cell r="L176" t="str">
            <v>NA</v>
          </cell>
          <cell r="M176" t="str">
            <v>NA</v>
          </cell>
          <cell r="N176" t="str">
            <v>NA</v>
          </cell>
          <cell r="O176" t="str">
            <v>NA</v>
          </cell>
          <cell r="P176">
            <v>6.7927090771873972</v>
          </cell>
          <cell r="Q176">
            <v>2.5952177230638833</v>
          </cell>
          <cell r="R176">
            <v>4.2989766064731878</v>
          </cell>
          <cell r="S176">
            <v>3.6176952174867214</v>
          </cell>
          <cell r="T176">
            <v>1.9407767022722653</v>
          </cell>
          <cell r="U176">
            <v>2.5668875746396536</v>
          </cell>
          <cell r="V176">
            <v>2.4466684660215834</v>
          </cell>
          <cell r="W176">
            <v>1.4873815851543712</v>
          </cell>
          <cell r="X176">
            <v>1.004667891862689</v>
          </cell>
          <cell r="Y176">
            <v>0.81972576320336277</v>
          </cell>
          <cell r="Z176">
            <v>0.71870861414559717</v>
          </cell>
          <cell r="AA176">
            <v>0.94646066982101207</v>
          </cell>
          <cell r="AB176">
            <v>0.67356674853580145</v>
          </cell>
          <cell r="AC176">
            <v>0.84841237922802026</v>
          </cell>
          <cell r="AD176">
            <v>1.0694595009315258</v>
          </cell>
          <cell r="AE176">
            <v>1.1052554744525542</v>
          </cell>
          <cell r="AF176">
            <v>0.61132812500000044</v>
          </cell>
          <cell r="AG176">
            <v>0.3457446808510638</v>
          </cell>
          <cell r="AH176">
            <v>3.2240111309878752</v>
          </cell>
          <cell r="AI176">
            <v>-1979.9975102883932</v>
          </cell>
          <cell r="AJ176">
            <v>1766.8267336835736</v>
          </cell>
          <cell r="AK176">
            <v>1276.7275135922978</v>
          </cell>
          <cell r="AL176">
            <v>535.93324196791752</v>
          </cell>
          <cell r="AM176">
            <v>323.25169333363323</v>
          </cell>
          <cell r="AN176">
            <v>264.31251352373454</v>
          </cell>
          <cell r="AO176">
            <v>244.59501190089105</v>
          </cell>
          <cell r="AP176">
            <v>228.22576527059769</v>
          </cell>
          <cell r="AQ176">
            <v>214.48729042017666</v>
          </cell>
          <cell r="AR176">
            <v>202.84451512320945</v>
          </cell>
          <cell r="AS176">
            <v>192.89182011128614</v>
          </cell>
          <cell r="AT176">
            <v>0.25958520934659934</v>
          </cell>
          <cell r="AU176">
            <v>0.21549839077475452</v>
          </cell>
          <cell r="AV176">
            <v>0.18006186511859901</v>
          </cell>
          <cell r="AW176">
            <v>0.15152415145443765</v>
          </cell>
        </row>
        <row r="177">
          <cell r="I177" t="str">
            <v>% of total WW</v>
          </cell>
          <cell r="L177">
            <v>0.10103217619625043</v>
          </cell>
          <cell r="M177">
            <v>0.10954009921743033</v>
          </cell>
          <cell r="N177">
            <v>7.5356433964208297E-2</v>
          </cell>
          <cell r="O177">
            <v>0.11580500429572331</v>
          </cell>
          <cell r="P177">
            <v>0.18218177734362445</v>
          </cell>
          <cell r="Q177">
            <v>0.18504811878455485</v>
          </cell>
          <cell r="R177">
            <v>0.20565506026281513</v>
          </cell>
          <cell r="S177">
            <v>0.22738674346893126</v>
          </cell>
          <cell r="T177">
            <v>0.24995940118666579</v>
          </cell>
          <cell r="U177">
            <v>0.2858512942025479</v>
          </cell>
          <cell r="V177">
            <v>0.33660430905294536</v>
          </cell>
          <cell r="W177">
            <v>0.3215178442212509</v>
          </cell>
          <cell r="X177">
            <v>0.32146978439113277</v>
          </cell>
          <cell r="Y177">
            <v>0.31671868260130426</v>
          </cell>
          <cell r="Z177">
            <v>0.33089557910737666</v>
          </cell>
          <cell r="AA177">
            <v>0.39710144927536239</v>
          </cell>
          <cell r="AB177">
            <v>0.3839999999999999</v>
          </cell>
          <cell r="AC177">
            <v>0.47</v>
          </cell>
          <cell r="AD177">
            <v>0.42999999999999994</v>
          </cell>
          <cell r="AE177">
            <v>0.43999999999999989</v>
          </cell>
          <cell r="AF177">
            <v>0.4499999999999999</v>
          </cell>
          <cell r="AG177">
            <v>0.45999999999999996</v>
          </cell>
          <cell r="AH177" t="str">
            <v>NA</v>
          </cell>
          <cell r="AI177">
            <v>5.842867971217669E-2</v>
          </cell>
          <cell r="AJ177">
            <v>8.5101709697845918E-2</v>
          </cell>
          <cell r="AK177">
            <v>0.1624422584404428</v>
          </cell>
          <cell r="AL177">
            <v>0.16494435198102808</v>
          </cell>
          <cell r="AM177">
            <v>0.19387755102040827</v>
          </cell>
          <cell r="AN177">
            <v>0.17932203389830503</v>
          </cell>
          <cell r="AO177">
            <v>0.14579710144927538</v>
          </cell>
          <cell r="AP177">
            <v>0.1005063291139241</v>
          </cell>
          <cell r="AQ177">
            <v>6.9606741573033926E-2</v>
          </cell>
          <cell r="AR177">
            <v>3.3838383838383779E-2</v>
          </cell>
          <cell r="AS177">
            <v>-5.4587155963302658E-3</v>
          </cell>
          <cell r="AT177">
            <v>0.55910985030187554</v>
          </cell>
          <cell r="AU177">
            <v>0.58910985030187557</v>
          </cell>
          <cell r="AV177">
            <v>0.6191098503018756</v>
          </cell>
          <cell r="AW177">
            <v>0.64910985030187551</v>
          </cell>
        </row>
        <row r="178">
          <cell r="I178" t="str">
            <v>Views (ads served)</v>
          </cell>
          <cell r="L178">
            <v>245.65865200000007</v>
          </cell>
          <cell r="M178">
            <v>408.90976000000046</v>
          </cell>
          <cell r="N178">
            <v>541.63663499999984</v>
          </cell>
          <cell r="O178">
            <v>548.88571299999967</v>
          </cell>
          <cell r="P178">
            <v>610.595147</v>
          </cell>
          <cell r="Q178">
            <v>798.48107200000049</v>
          </cell>
          <cell r="R178">
            <v>707.49265600000035</v>
          </cell>
          <cell r="S178">
            <v>974.9225030000016</v>
          </cell>
          <cell r="T178">
            <v>2847.3475050000015</v>
          </cell>
          <cell r="U178">
            <v>5334.6694419999985</v>
          </cell>
          <cell r="V178">
            <v>6284.0651940000025</v>
          </cell>
          <cell r="W178">
            <v>8859.9791745618131</v>
          </cell>
          <cell r="X178">
            <v>9982.1117830557923</v>
          </cell>
          <cell r="Y178">
            <v>12294.154273195469</v>
          </cell>
          <cell r="Z178">
            <v>14586.077678214519</v>
          </cell>
          <cell r="AA178">
            <v>22626.245868738697</v>
          </cell>
          <cell r="AB178">
            <v>20080.735852723141</v>
          </cell>
          <cell r="AC178">
            <v>29613.418876100644</v>
          </cell>
          <cell r="AD178">
            <v>37595.531595824112</v>
          </cell>
          <cell r="AE178">
            <v>52294.322769052131</v>
          </cell>
          <cell r="AF178">
            <v>36189.334485540341</v>
          </cell>
          <cell r="AG178">
            <v>40102.438326466829</v>
          </cell>
          <cell r="AH178" t="str">
            <v>NA</v>
          </cell>
          <cell r="AI178">
            <v>8.1409864364981495</v>
          </cell>
          <cell r="AJ178">
            <v>6.2024445121901861</v>
          </cell>
          <cell r="AK178">
            <v>1.912151635656103</v>
          </cell>
          <cell r="AL178">
            <v>0.8864842793325991</v>
          </cell>
          <cell r="AM178">
            <v>0.79999999999999982</v>
          </cell>
          <cell r="AN178">
            <v>0.59750000000000014</v>
          </cell>
          <cell r="AO178">
            <v>0.48888888888888893</v>
          </cell>
          <cell r="AP178">
            <v>0.38600000000000034</v>
          </cell>
          <cell r="AQ178">
            <v>0.31454545454545491</v>
          </cell>
          <cell r="AR178">
            <v>0.24583333333333335</v>
          </cell>
          <cell r="AS178">
            <v>0.17923076923076908</v>
          </cell>
          <cell r="AT178">
            <v>550580.35288618307</v>
          </cell>
          <cell r="AU178">
            <v>685999.4746234488</v>
          </cell>
          <cell r="AV178">
            <v>828815.3637971225</v>
          </cell>
          <cell r="AW178">
            <v>976125.9021694588</v>
          </cell>
        </row>
        <row r="179">
          <cell r="I179" t="str">
            <v>% change Y/Y</v>
          </cell>
          <cell r="L179" t="str">
            <v>NA</v>
          </cell>
          <cell r="M179" t="str">
            <v>NA</v>
          </cell>
          <cell r="N179" t="str">
            <v>NA</v>
          </cell>
          <cell r="O179" t="str">
            <v>NA</v>
          </cell>
          <cell r="P179">
            <v>1.4855430168199399</v>
          </cell>
          <cell r="Q179">
            <v>0.95270729659277298</v>
          </cell>
          <cell r="R179">
            <v>0.3062127084516737</v>
          </cell>
          <cell r="S179">
            <v>0.7761848776705218</v>
          </cell>
          <cell r="T179">
            <v>3.6632331078779465</v>
          </cell>
          <cell r="U179">
            <v>5.6810217913343291</v>
          </cell>
          <cell r="V179">
            <v>7.8821631443196196</v>
          </cell>
          <cell r="W179">
            <v>8.0878804697790407</v>
          </cell>
          <cell r="X179">
            <v>2.5057581716060287</v>
          </cell>
          <cell r="Y179">
            <v>1.3045765828344029</v>
          </cell>
          <cell r="Z179">
            <v>1.321121316841404</v>
          </cell>
          <cell r="AA179">
            <v>1.5537583579994951</v>
          </cell>
          <cell r="AB179">
            <v>1.0116721079811319</v>
          </cell>
          <cell r="AC179">
            <v>1.4087398139021068</v>
          </cell>
          <cell r="AD179">
            <v>1.5774942671514816</v>
          </cell>
          <cell r="AE179">
            <v>1.3112240126986334</v>
          </cell>
          <cell r="AF179">
            <v>0.80219165029416595</v>
          </cell>
          <cell r="AG179">
            <v>0.35419819286152365</v>
          </cell>
          <cell r="AH179">
            <v>9.2946455117325813E-2</v>
          </cell>
          <cell r="AI179">
            <v>0.47959635616360391</v>
          </cell>
          <cell r="AJ179">
            <v>0.44496557486886434</v>
          </cell>
          <cell r="AK179">
            <v>0.44966975771871104</v>
          </cell>
          <cell r="AL179">
            <v>0.44791559052936136</v>
          </cell>
          <cell r="AM179">
            <v>0.487212697740944</v>
          </cell>
          <cell r="AN179">
            <v>0.51017114880570891</v>
          </cell>
          <cell r="AO179">
            <v>0.52949022608544938</v>
          </cell>
          <cell r="AP179">
            <v>0.54460342231737646</v>
          </cell>
          <cell r="AQ179">
            <v>0.5563381143636601</v>
          </cell>
          <cell r="AR179">
            <v>0.56434889535279953</v>
          </cell>
          <cell r="AS179">
            <v>0.56826948739162764</v>
          </cell>
          <cell r="AT179">
            <v>1830624.8951972167</v>
          </cell>
          <cell r="AU179">
            <v>2125735.930060002</v>
          </cell>
          <cell r="AV179">
            <v>2417018.3834119835</v>
          </cell>
          <cell r="AW179">
            <v>2698534.9064086243</v>
          </cell>
        </row>
        <row r="180">
          <cell r="I180" t="str">
            <v>% of total WW</v>
          </cell>
          <cell r="L180">
            <v>8.6427448207849367E-2</v>
          </cell>
          <cell r="M180">
            <v>6.8281834423378943E-2</v>
          </cell>
          <cell r="N180">
            <v>6.6499413455851059E-2</v>
          </cell>
          <cell r="O180">
            <v>4.7598780059606986E-2</v>
          </cell>
          <cell r="P180">
            <v>4.16932546155835E-2</v>
          </cell>
          <cell r="Q180">
            <v>5.520481805793815E-2</v>
          </cell>
          <cell r="R180">
            <v>4.817236995162192E-2</v>
          </cell>
          <cell r="S180">
            <v>3.3441315798410219E-2</v>
          </cell>
          <cell r="T180">
            <v>8.7743898785323807E-2</v>
          </cell>
          <cell r="U180">
            <v>0.14649966965053854</v>
          </cell>
          <cell r="V180">
            <v>0.16542857939722125</v>
          </cell>
          <cell r="W180">
            <v>0.16730160820772119</v>
          </cell>
          <cell r="X180">
            <v>0.19081158858820418</v>
          </cell>
          <cell r="Y180">
            <v>0.19886876677195403</v>
          </cell>
          <cell r="Z180">
            <v>0.20107695103761059</v>
          </cell>
          <cell r="AA180">
            <v>0.26688449689757388</v>
          </cell>
          <cell r="AB180">
            <v>0.27061449632891588</v>
          </cell>
          <cell r="AC180">
            <v>0.38146777443076813</v>
          </cell>
          <cell r="AD180">
            <v>0.32272201749947454</v>
          </cell>
          <cell r="AE180">
            <v>0.32214227545582791</v>
          </cell>
          <cell r="AF180">
            <v>0.35181399546187087</v>
          </cell>
          <cell r="AG180">
            <v>0.3726849263316136</v>
          </cell>
          <cell r="AH180" t="str">
            <v>NA</v>
          </cell>
          <cell r="AI180">
            <v>4.1599208980935529</v>
          </cell>
          <cell r="AJ180">
            <v>-7.2208182672109378E-2</v>
          </cell>
          <cell r="AK180">
            <v>1.0572015264850743E-2</v>
          </cell>
          <cell r="AL180">
            <v>-3.9010121522270458E-3</v>
          </cell>
          <cell r="AM180">
            <v>8.7733287348046973E-2</v>
          </cell>
          <cell r="AN180">
            <v>4.7122029395408216E-2</v>
          </cell>
          <cell r="AO180">
            <v>3.7867835774260561E-2</v>
          </cell>
          <cell r="AP180">
            <v>2.8542918239794046E-2</v>
          </cell>
          <cell r="AQ180">
            <v>2.1547224210142879E-2</v>
          </cell>
          <cell r="AR180">
            <v>1.4399123091363597E-2</v>
          </cell>
          <cell r="AS180">
            <v>6.9471067829010025E-3</v>
          </cell>
          <cell r="AT180">
            <v>0.18965625000000014</v>
          </cell>
          <cell r="AU180">
            <v>0.16120781249999999</v>
          </cell>
          <cell r="AV180">
            <v>0.13702664062499992</v>
          </cell>
          <cell r="AW180">
            <v>0.11647264453124995</v>
          </cell>
        </row>
        <row r="181">
          <cell r="I181" t="str">
            <v>Fill rate (% of requests served)</v>
          </cell>
          <cell r="L181">
            <v>0.40537219620907466</v>
          </cell>
          <cell r="M181">
            <v>0.29909350790868444</v>
          </cell>
          <cell r="N181">
            <v>0.41940669021724758</v>
          </cell>
          <cell r="O181">
            <v>0.2343750951212854</v>
          </cell>
          <cell r="P181">
            <v>0.12929650286188893</v>
          </cell>
          <cell r="Q181">
            <v>0.16244970965460456</v>
          </cell>
          <cell r="R181">
            <v>0.10338493438566852</v>
          </cell>
          <cell r="S181">
            <v>9.0151792192901328E-2</v>
          </cell>
          <cell r="T181">
            <v>0.20502737675135943</v>
          </cell>
          <cell r="U181">
            <v>0.30427929882482879</v>
          </cell>
          <cell r="V181">
            <v>0.26642593070120274</v>
          </cell>
          <cell r="W181">
            <v>0.32937797581009276</v>
          </cell>
          <cell r="X181">
            <v>0.35855136123378345</v>
          </cell>
          <cell r="Y181">
            <v>0.38535199143334098</v>
          </cell>
          <cell r="Z181">
            <v>0.35980904617580811</v>
          </cell>
          <cell r="AA181">
            <v>0.43214423579559325</v>
          </cell>
          <cell r="AB181">
            <v>0.43098835066107877</v>
          </cell>
          <cell r="AC181">
            <v>0.50216753283139937</v>
          </cell>
          <cell r="AD181">
            <v>0.44813911718008248</v>
          </cell>
          <cell r="AE181">
            <v>0.47442324546373482</v>
          </cell>
          <cell r="AF181">
            <v>0.48203937787993995</v>
          </cell>
          <cell r="AG181">
            <v>0.50532197908740739</v>
          </cell>
          <cell r="AH181">
            <v>-0.83664220080450136</v>
          </cell>
          <cell r="AI181">
            <v>-0.26850388475222275</v>
          </cell>
          <cell r="AJ181">
            <v>-0.3141287830842574</v>
          </cell>
          <cell r="AK181">
            <v>-0.31209731715398059</v>
          </cell>
          <cell r="AL181">
            <v>-0.33151187111561131</v>
          </cell>
          <cell r="AM181">
            <v>-0.29838754933056288</v>
          </cell>
          <cell r="AN181">
            <v>-0.28708112580333855</v>
          </cell>
          <cell r="AO181">
            <v>-0.27742339297369256</v>
          </cell>
          <cell r="AP181">
            <v>-0.26901642251938951</v>
          </cell>
          <cell r="AQ181">
            <v>-0.2615838228147136</v>
          </cell>
          <cell r="AR181">
            <v>-0.25492747587580866</v>
          </cell>
          <cell r="AS181">
            <v>-0.2489015355835188</v>
          </cell>
          <cell r="AT181">
            <v>1171542.0533272745</v>
          </cell>
          <cell r="AU181">
            <v>1371032.464646223</v>
          </cell>
          <cell r="AV181">
            <v>1570985.5293815685</v>
          </cell>
          <cell r="AW181">
            <v>1767455.043041009</v>
          </cell>
        </row>
        <row r="182">
          <cell r="I182" t="str">
            <v>BPs change Y/Y</v>
          </cell>
          <cell r="L182">
            <v>1.627E-2</v>
          </cell>
          <cell r="M182">
            <v>3.388E-2</v>
          </cell>
          <cell r="N182">
            <v>4.1029999999999997E-2</v>
          </cell>
          <cell r="O182">
            <v>7.102E-2</v>
          </cell>
          <cell r="P182">
            <v>-2760.7569334718573</v>
          </cell>
          <cell r="Q182">
            <v>-1366.4379825407989</v>
          </cell>
          <cell r="R182">
            <v>-3160.2175583157905</v>
          </cell>
          <cell r="S182">
            <v>-1442.233029283841</v>
          </cell>
          <cell r="T182">
            <v>757.30873889470502</v>
          </cell>
          <cell r="U182">
            <v>1418.2958917022422</v>
          </cell>
          <cell r="V182">
            <v>1630.409963155342</v>
          </cell>
          <cell r="W182">
            <v>2392.2618361719146</v>
          </cell>
          <cell r="X182">
            <v>1535.2398448242402</v>
          </cell>
          <cell r="Y182">
            <v>810.72692608512182</v>
          </cell>
          <cell r="Z182">
            <v>933.8311547460537</v>
          </cell>
          <cell r="AA182">
            <v>1027.6625998550048</v>
          </cell>
          <cell r="AB182">
            <v>724.36989427295316</v>
          </cell>
          <cell r="AC182">
            <v>1168.1554139805839</v>
          </cell>
          <cell r="AD182">
            <v>883.30071004274373</v>
          </cell>
          <cell r="AE182">
            <v>422.79009668141578</v>
          </cell>
          <cell r="AF182">
            <v>510.51027218861179</v>
          </cell>
          <cell r="AG182">
            <v>31.544462560080255</v>
          </cell>
          <cell r="AH182" t="str">
            <v>NA</v>
          </cell>
          <cell r="AI182">
            <v>8.1409864364981495</v>
          </cell>
          <cell r="AJ182">
            <v>6.2024445121901861</v>
          </cell>
          <cell r="AK182">
            <v>1.2200997312555644</v>
          </cell>
          <cell r="AL182">
            <v>1.0775553209058573</v>
          </cell>
          <cell r="AM182">
            <v>0.76799371698692953</v>
          </cell>
          <cell r="AN182">
            <v>0.63524458739026923</v>
          </cell>
          <cell r="AO182">
            <v>0.51638202219233165</v>
          </cell>
          <cell r="AP182">
            <v>0.40656026298770653</v>
          </cell>
          <cell r="AQ182">
            <v>0.33055815882716288</v>
          </cell>
          <cell r="AR182">
            <v>0.25851978298980405</v>
          </cell>
          <cell r="AS182">
            <v>0.18941978106338464</v>
          </cell>
          <cell r="AT182">
            <v>0.1990240884829817</v>
          </cell>
          <cell r="AU182">
            <v>0.17028019673077854</v>
          </cell>
          <cell r="AV182">
            <v>0.14584123271431126</v>
          </cell>
          <cell r="AW182">
            <v>0.12506131341437765</v>
          </cell>
        </row>
        <row r="183">
          <cell r="I183" t="str">
            <v>Revenue (reported)</v>
          </cell>
          <cell r="L183">
            <v>1.627E-2</v>
          </cell>
          <cell r="M183">
            <v>3.388E-2</v>
          </cell>
          <cell r="N183">
            <v>4.1029999999999997E-2</v>
          </cell>
          <cell r="O183">
            <v>7.102E-2</v>
          </cell>
          <cell r="P183">
            <v>8.8249999999999995E-2</v>
          </cell>
          <cell r="Q183">
            <v>0.18515999999999999</v>
          </cell>
          <cell r="R183">
            <v>0.33011999999999997</v>
          </cell>
          <cell r="S183">
            <v>0.90247000000000011</v>
          </cell>
          <cell r="T183">
            <v>1.3</v>
          </cell>
          <cell r="U183">
            <v>1.8</v>
          </cell>
          <cell r="V183">
            <v>3.0226799999999998</v>
          </cell>
          <cell r="W183">
            <v>4.1983200000000007</v>
          </cell>
          <cell r="X183">
            <v>4</v>
          </cell>
          <cell r="Y183">
            <v>4.5999999999999996</v>
          </cell>
          <cell r="Z183">
            <v>6.2</v>
          </cell>
          <cell r="AA183">
            <v>11.424000000000001</v>
          </cell>
          <cell r="AB183">
            <v>9.0965920000000011</v>
          </cell>
          <cell r="AC183">
            <v>15.392430000000001</v>
          </cell>
          <cell r="AD183">
            <v>19.5005822</v>
          </cell>
          <cell r="AE183">
            <v>30.602880000000006</v>
          </cell>
          <cell r="AF183">
            <v>18.539250000000003</v>
          </cell>
          <cell r="AG183">
            <v>22.233509999999999</v>
          </cell>
          <cell r="AH183">
            <v>9.2946455117325813E-2</v>
          </cell>
          <cell r="AI183">
            <v>0.47959635616360391</v>
          </cell>
          <cell r="AJ183">
            <v>0.44496557486886434</v>
          </cell>
          <cell r="AK183">
            <v>0.42309909520128303</v>
          </cell>
          <cell r="AL183">
            <v>0.43296215543077238</v>
          </cell>
          <cell r="AM183">
            <v>0.46248915780898203</v>
          </cell>
          <cell r="AN183">
            <v>0.48884270182907769</v>
          </cell>
          <cell r="AO183">
            <v>0.51090443190241108</v>
          </cell>
          <cell r="AP183">
            <v>0.52831236546888183</v>
          </cell>
          <cell r="AQ183">
            <v>0.54198523083520267</v>
          </cell>
          <cell r="AR183">
            <v>0.55166926634974367</v>
          </cell>
          <cell r="AS183">
            <v>0.55706061529123252</v>
          </cell>
          <cell r="AT183">
            <v>0.63996838260033717</v>
          </cell>
          <cell r="AU183">
            <v>0.64496838260033718</v>
          </cell>
          <cell r="AV183">
            <v>0.64996838260033718</v>
          </cell>
          <cell r="AW183">
            <v>0.65496838260033718</v>
          </cell>
        </row>
        <row r="184">
          <cell r="I184" t="str">
            <v>% change Y/Y</v>
          </cell>
          <cell r="L184" t="str">
            <v>NA</v>
          </cell>
          <cell r="M184" t="str">
            <v>NA</v>
          </cell>
          <cell r="N184" t="str">
            <v>NA</v>
          </cell>
          <cell r="O184" t="str">
            <v>NA</v>
          </cell>
          <cell r="P184">
            <v>910.97675384491095</v>
          </cell>
          <cell r="Q184">
            <v>647.19810439226092</v>
          </cell>
          <cell r="R184">
            <v>-339.01472992944383</v>
          </cell>
          <cell r="S184">
            <v>427.7321212381857</v>
          </cell>
          <cell r="T184">
            <v>190.98644832559631</v>
          </cell>
          <cell r="U184">
            <v>491.76090311412457</v>
          </cell>
          <cell r="V184">
            <v>1007.4199327665706</v>
          </cell>
          <cell r="W184">
            <v>200</v>
          </cell>
          <cell r="X184">
            <v>200</v>
          </cell>
          <cell r="Y184">
            <v>200</v>
          </cell>
          <cell r="Z184">
            <v>500</v>
          </cell>
          <cell r="AA184">
            <v>100</v>
          </cell>
          <cell r="AB184">
            <v>75</v>
          </cell>
          <cell r="AC184">
            <v>50</v>
          </cell>
          <cell r="AD184">
            <v>50</v>
          </cell>
          <cell r="AE184">
            <v>50</v>
          </cell>
          <cell r="AF184">
            <v>50</v>
          </cell>
          <cell r="AG184">
            <v>50</v>
          </cell>
          <cell r="AH184" t="str">
            <v>NA</v>
          </cell>
          <cell r="AI184">
            <v>4.1599208980935529</v>
          </cell>
          <cell r="AJ184">
            <v>-7.2208182672109378E-2</v>
          </cell>
          <cell r="AK184">
            <v>-4.914195817064182E-2</v>
          </cell>
          <cell r="AL184">
            <v>2.3311466134894765E-2</v>
          </cell>
          <cell r="AM184">
            <v>6.8197651937573989E-2</v>
          </cell>
          <cell r="AN184">
            <v>5.6981971523276664E-2</v>
          </cell>
          <cell r="AO184">
            <v>4.513052969960718E-2</v>
          </cell>
          <cell r="AP184">
            <v>3.4072778546176075E-2</v>
          </cell>
          <cell r="AQ184">
            <v>2.5880267546238622E-2</v>
          </cell>
          <cell r="AR184">
            <v>1.7867711080646664E-2</v>
          </cell>
          <cell r="AS184">
            <v>9.7727919069374725E-3</v>
          </cell>
          <cell r="AT184">
            <v>50</v>
          </cell>
          <cell r="AU184">
            <v>50</v>
          </cell>
          <cell r="AV184">
            <v>50</v>
          </cell>
          <cell r="AW184">
            <v>50</v>
          </cell>
        </row>
        <row r="185">
          <cell r="I185" t="str">
            <v>Effective CPM (revenue per '000 ad views)</v>
          </cell>
          <cell r="L185">
            <v>6.6230111854558224E-2</v>
          </cell>
          <cell r="M185">
            <v>8.2854466472015637E-2</v>
          </cell>
          <cell r="N185">
            <v>7.5751892225680059E-2</v>
          </cell>
          <cell r="O185">
            <v>0.12938941261894357</v>
          </cell>
          <cell r="P185">
            <v>0.14453111924258383</v>
          </cell>
          <cell r="Q185">
            <v>0.23189028080054461</v>
          </cell>
          <cell r="R185">
            <v>0.46660555017831851</v>
          </cell>
          <cell r="S185">
            <v>0.92568383355902351</v>
          </cell>
          <cell r="T185">
            <v>0.45656527617973325</v>
          </cell>
          <cell r="U185">
            <v>0.33741547054978721</v>
          </cell>
          <cell r="V185">
            <v>0.48100710395016927</v>
          </cell>
          <cell r="W185">
            <v>0.47385212959122297</v>
          </cell>
          <cell r="X185">
            <v>0.40071681092470118</v>
          </cell>
          <cell r="Y185">
            <v>0.37416156473887963</v>
          </cell>
          <cell r="Z185">
            <v>0.42506286726144338</v>
          </cell>
          <cell r="AA185">
            <v>0.50490037394068299</v>
          </cell>
          <cell r="AB185">
            <v>0.45300092918489415</v>
          </cell>
          <cell r="AC185">
            <v>0.51977889025243151</v>
          </cell>
          <cell r="AD185">
            <v>0.5186941472099309</v>
          </cell>
          <cell r="AE185">
            <v>0.58520463368751841</v>
          </cell>
          <cell r="AF185">
            <v>0.51228491110847774</v>
          </cell>
          <cell r="AG185">
            <v>0.55441790893114629</v>
          </cell>
          <cell r="AH185">
            <v>5.0309999999999997</v>
          </cell>
          <cell r="AI185">
            <v>14.016</v>
          </cell>
          <cell r="AJ185">
            <v>28</v>
          </cell>
          <cell r="AK185">
            <v>42.5</v>
          </cell>
          <cell r="AL185">
            <v>58.5</v>
          </cell>
          <cell r="AM185">
            <v>73.5</v>
          </cell>
          <cell r="AN185">
            <v>88.5</v>
          </cell>
          <cell r="AO185">
            <v>103.5</v>
          </cell>
          <cell r="AP185">
            <v>118.5</v>
          </cell>
          <cell r="AQ185">
            <v>133.5</v>
          </cell>
          <cell r="AR185">
            <v>148.5</v>
          </cell>
          <cell r="AS185">
            <v>163.5</v>
          </cell>
          <cell r="AT185">
            <v>1053.2454259562014</v>
          </cell>
          <cell r="AU185">
            <v>1279.6339474815748</v>
          </cell>
          <cell r="AV185">
            <v>1513.4258688857185</v>
          </cell>
          <cell r="AW185">
            <v>1748.456153220551</v>
          </cell>
        </row>
        <row r="186">
          <cell r="I186" t="str">
            <v>% change Y/Y</v>
          </cell>
          <cell r="L186" t="str">
            <v>NA</v>
          </cell>
          <cell r="M186" t="str">
            <v>NA</v>
          </cell>
          <cell r="N186" t="str">
            <v>NA</v>
          </cell>
          <cell r="O186" t="str">
            <v>NA</v>
          </cell>
          <cell r="P186">
            <v>1.1822569099683111</v>
          </cell>
          <cell r="Q186">
            <v>1.7987662062716474</v>
          </cell>
          <cell r="R186">
            <v>5.1596553758447001</v>
          </cell>
          <cell r="S186">
            <v>6.1542471275079933</v>
          </cell>
          <cell r="T186">
            <v>2.1589409849751822</v>
          </cell>
          <cell r="U186">
            <v>0.45506516868642644</v>
          </cell>
          <cell r="V186">
            <v>3.0864514505554164E-2</v>
          </cell>
          <cell r="W186">
            <v>-0.48810586032449144</v>
          </cell>
          <cell r="X186">
            <v>-0.12232306784768832</v>
          </cell>
          <cell r="Y186">
            <v>0.10890459210189163</v>
          </cell>
          <cell r="Z186">
            <v>-0.11630646663904887</v>
          </cell>
          <cell r="AA186">
            <v>6.5523065974704586E-2</v>
          </cell>
          <cell r="AB186">
            <v>0.13047647823793862</v>
          </cell>
          <cell r="AC186">
            <v>0.38918301406820199</v>
          </cell>
          <cell r="AD186">
            <v>0.22027631007085291</v>
          </cell>
          <cell r="AE186">
            <v>0.15904971335249951</v>
          </cell>
          <cell r="AF186">
            <v>0.13086944883370566</v>
          </cell>
          <cell r="AG186">
            <v>6.6641834303606151E-2</v>
          </cell>
          <cell r="AH186" t="str">
            <v>NA</v>
          </cell>
          <cell r="AI186">
            <v>1.7859272510435305</v>
          </cell>
          <cell r="AJ186">
            <v>0.99771689497716887</v>
          </cell>
          <cell r="AK186">
            <v>0.51785714285714279</v>
          </cell>
          <cell r="AL186">
            <v>0.37647058823529411</v>
          </cell>
          <cell r="AM186">
            <v>0.25641025641025639</v>
          </cell>
          <cell r="AN186">
            <v>0.20408163265306123</v>
          </cell>
          <cell r="AO186">
            <v>0.16949152542372881</v>
          </cell>
          <cell r="AP186">
            <v>0.14492753623188404</v>
          </cell>
          <cell r="AQ186">
            <v>0.12658227848101267</v>
          </cell>
          <cell r="AR186">
            <v>0.11235955056179781</v>
          </cell>
          <cell r="AS186">
            <v>0.10101010101010099</v>
          </cell>
          <cell r="AT186">
            <v>0.25287500000000018</v>
          </cell>
          <cell r="AU186">
            <v>0.21494374999999999</v>
          </cell>
          <cell r="AV186">
            <v>0.18270218749999989</v>
          </cell>
          <cell r="AW186">
            <v>0.15529685937499993</v>
          </cell>
        </row>
        <row r="187">
          <cell r="I187" t="str">
            <v>% variance from WW</v>
          </cell>
          <cell r="L187">
            <v>-0.88429601697887694</v>
          </cell>
          <cell r="M187">
            <v>-0.85354816424533386</v>
          </cell>
          <cell r="N187">
            <v>-0.84962273379089281</v>
          </cell>
          <cell r="O187">
            <v>-0.78991058200489173</v>
          </cell>
          <cell r="P187">
            <v>-0.76015304892359381</v>
          </cell>
          <cell r="Q187">
            <v>-0.63771278117410424</v>
          </cell>
          <cell r="R187">
            <v>-0.37723636951787687</v>
          </cell>
          <cell r="S187">
            <v>0.43998064999881037</v>
          </cell>
          <cell r="T187">
            <v>-0.31066649824203318</v>
          </cell>
          <cell r="U187">
            <v>-0.45263433306597034</v>
          </cell>
          <cell r="V187">
            <v>-0.2746114339055028</v>
          </cell>
          <cell r="W187">
            <v>-0.27366003517207793</v>
          </cell>
          <cell r="X187">
            <v>-0.36340457469132015</v>
          </cell>
          <cell r="Y187">
            <v>-0.41308690904113987</v>
          </cell>
          <cell r="Z187">
            <v>-0.34902743237392153</v>
          </cell>
          <cell r="AA187">
            <v>-0.26147284099830337</v>
          </cell>
          <cell r="AB187">
            <v>-0.32006598871791803</v>
          </cell>
          <cell r="AC187">
            <v>-0.29220757794574381</v>
          </cell>
          <cell r="AD187">
            <v>-0.28731233839545978</v>
          </cell>
          <cell r="AE187">
            <v>-0.25498756827118529</v>
          </cell>
          <cell r="AF187">
            <v>-0.28939722914719967</v>
          </cell>
          <cell r="AG187">
            <v>-0.30235976389167674</v>
          </cell>
          <cell r="AH187">
            <v>-0.83664220080450136</v>
          </cell>
          <cell r="AI187">
            <v>-0.26850388475222275</v>
          </cell>
          <cell r="AJ187">
            <v>-0.3141287830842574</v>
          </cell>
          <cell r="AK187">
            <v>-0.35274499184632369</v>
          </cell>
          <cell r="AL187">
            <v>-0.3538290086763648</v>
          </cell>
          <cell r="AM187">
            <v>-0.33399077461865001</v>
          </cell>
          <cell r="AN187">
            <v>-0.31688573635910688</v>
          </cell>
          <cell r="AO187">
            <v>-0.30278676974261864</v>
          </cell>
          <cell r="AP187">
            <v>-0.29088278348601737</v>
          </cell>
          <cell r="AQ187">
            <v>-0.28063411096330049</v>
          </cell>
          <cell r="AR187">
            <v>-0.27166755149934518</v>
          </cell>
          <cell r="AS187">
            <v>-0.2637166309022746</v>
          </cell>
          <cell r="AT187">
            <v>0.89902485614144101</v>
          </cell>
          <cell r="AU187">
            <v>0.93333599347829277</v>
          </cell>
          <cell r="AV187">
            <v>0.9633607952337353</v>
          </cell>
          <cell r="AW187">
            <v>0.98925070830216455</v>
          </cell>
        </row>
        <row r="188">
          <cell r="I188" t="str">
            <v>Requests &amp; Revenue per App / Site</v>
          </cell>
          <cell r="L188" t="str">
            <v>NA</v>
          </cell>
          <cell r="M188" t="str">
            <v>NA</v>
          </cell>
          <cell r="N188" t="str">
            <v>NA</v>
          </cell>
          <cell r="O188" t="str">
            <v>NA</v>
          </cell>
          <cell r="P188">
            <v>5.2737236498229922E-2</v>
          </cell>
          <cell r="Q188">
            <v>0.13137982091933331</v>
          </cell>
          <cell r="R188">
            <v>0.48735746737918384</v>
          </cell>
          <cell r="S188">
            <v>4.3785980882848019E-2</v>
          </cell>
          <cell r="T188">
            <v>9.9123083303473303E-2</v>
          </cell>
          <cell r="U188">
            <v>-3.6929889800025872E-2</v>
          </cell>
          <cell r="V188">
            <v>-0.11497787862148623</v>
          </cell>
          <cell r="W188">
            <v>1.4838356244313067E-2</v>
          </cell>
          <cell r="X188">
            <v>-4.9612848286842315E-2</v>
          </cell>
          <cell r="Y188">
            <v>3.4184295719868807E-2</v>
          </cell>
          <cell r="Z188">
            <v>5.0876333065374979E-3</v>
          </cell>
          <cell r="AA188">
            <v>4.7939776933279665E-2</v>
          </cell>
          <cell r="AB188">
            <v>5.8420585710012185E-2</v>
          </cell>
          <cell r="AC188">
            <v>0.15193335120478957</v>
          </cell>
          <cell r="AD188">
            <v>6.6698017253408404E-2</v>
          </cell>
          <cell r="AE188">
            <v>0.11135794327973336</v>
          </cell>
          <cell r="AF188">
            <v>0.12512964932102699</v>
          </cell>
          <cell r="AG188">
            <v>0.12071416204043151</v>
          </cell>
          <cell r="AH188">
            <v>5.241191035841597E-2</v>
          </cell>
          <cell r="AI188">
            <v>5.3098652043245043E-2</v>
          </cell>
          <cell r="AL188" t="str">
            <v>NA</v>
          </cell>
          <cell r="AM188">
            <v>0.15231414680842992</v>
          </cell>
          <cell r="AN188">
            <v>-1.0490463230211966E-2</v>
          </cell>
          <cell r="AO188">
            <v>1.5323462659278864E-2</v>
          </cell>
          <cell r="AP188">
            <v>9.804928895207432E-2</v>
          </cell>
          <cell r="AQ188">
            <v>7.9021920775086629E-2</v>
          </cell>
          <cell r="AR188">
            <v>6.8366883004308265E-2</v>
          </cell>
          <cell r="AS188">
            <v>5.6125175216444667E-2</v>
          </cell>
          <cell r="AT188">
            <v>4.5450603661927769E-2</v>
          </cell>
          <cell r="AU188">
            <v>3.6278312839208349E-2</v>
          </cell>
          <cell r="AV188">
            <v>2.8496419644249427E-2</v>
          </cell>
          <cell r="AW188">
            <v>2.1965628927842484E-2</v>
          </cell>
        </row>
        <row r="189">
          <cell r="I189" t="str">
            <v>Requests &amp; Revenue per App / Site</v>
          </cell>
          <cell r="L189">
            <v>2842.3684499999999</v>
          </cell>
          <cell r="M189">
            <v>5988.5585010000004</v>
          </cell>
          <cell r="N189">
            <v>8144.9836450000003</v>
          </cell>
          <cell r="O189">
            <v>11531.507998999999</v>
          </cell>
          <cell r="P189">
            <v>14644.938435</v>
          </cell>
          <cell r="Q189">
            <v>14463.974343</v>
          </cell>
          <cell r="R189">
            <v>14686.689833</v>
          </cell>
          <cell r="S189">
            <v>29153.233948000001</v>
          </cell>
          <cell r="T189">
            <v>32450.660894000001</v>
          </cell>
          <cell r="U189">
            <v>36414.207995999997</v>
          </cell>
          <cell r="V189">
            <v>37986.575336000002</v>
          </cell>
          <cell r="W189">
            <v>52958.123173336673</v>
          </cell>
          <cell r="X189">
            <v>52313.970324928567</v>
          </cell>
          <cell r="Y189">
            <v>61820.438034361476</v>
          </cell>
          <cell r="Z189">
            <v>72539.779437406803</v>
          </cell>
          <cell r="AA189">
            <v>0.10299999999999999</v>
          </cell>
          <cell r="AB189">
            <v>-7.1622950614699143E-2</v>
          </cell>
          <cell r="AC189">
            <v>99103.958012986404</v>
          </cell>
          <cell r="AD189">
            <v>110685.2424538067</v>
          </cell>
          <cell r="AE189">
            <v>137655.51309459138</v>
          </cell>
          <cell r="AH189">
            <v>28507.418595000003</v>
          </cell>
          <cell r="AI189">
            <v>72948.836558999988</v>
          </cell>
          <cell r="AJ189">
            <v>159809.56739933667</v>
          </cell>
          <cell r="AK189">
            <v>279848.0093678456</v>
          </cell>
          <cell r="AL189">
            <v>437782.63963533111</v>
          </cell>
          <cell r="AM189">
            <v>633623.04359871836</v>
          </cell>
          <cell r="AN189">
            <v>873101.70549809095</v>
          </cell>
          <cell r="AO189">
            <v>1142539.8767333776</v>
          </cell>
          <cell r="AP189">
            <v>1415934.6708523331</v>
          </cell>
          <cell r="AQ189">
            <v>1687195.4577363643</v>
          </cell>
          <cell r="AR189">
            <v>1929975.1558229842</v>
          </cell>
          <cell r="AS189">
            <v>2115716.655766861</v>
          </cell>
        </row>
        <row r="190">
          <cell r="I190" t="str">
            <v>Requests &amp; Revenue per App / Site</v>
          </cell>
          <cell r="L190">
            <v>3.9609999999999999</v>
          </cell>
          <cell r="M190">
            <v>4.492</v>
          </cell>
          <cell r="N190">
            <v>4.9089999999999998</v>
          </cell>
          <cell r="O190">
            <v>5.0309999999999997</v>
          </cell>
          <cell r="P190">
            <v>6.0759999999999996</v>
          </cell>
          <cell r="Q190">
            <v>7.4729999999999999</v>
          </cell>
          <cell r="R190">
            <v>10.443</v>
          </cell>
          <cell r="S190">
            <v>14.016</v>
          </cell>
          <cell r="T190">
            <v>19.277999999999999</v>
          </cell>
          <cell r="U190">
            <v>22.986000000000001</v>
          </cell>
          <cell r="V190">
            <v>27.283999999999999</v>
          </cell>
          <cell r="W190">
            <v>28</v>
          </cell>
          <cell r="X190">
            <v>30.5</v>
          </cell>
          <cell r="Y190">
            <v>35.5</v>
          </cell>
          <cell r="Z190">
            <v>38.5</v>
          </cell>
          <cell r="AA190">
            <v>39.5</v>
          </cell>
          <cell r="AB190">
            <v>41.5</v>
          </cell>
          <cell r="AC190">
            <v>43.5</v>
          </cell>
          <cell r="AD190">
            <v>45.5</v>
          </cell>
          <cell r="AE190">
            <v>47.5</v>
          </cell>
          <cell r="AH190">
            <v>5.0309999999999997</v>
          </cell>
          <cell r="AI190">
            <v>14.016</v>
          </cell>
          <cell r="AJ190">
            <v>28</v>
          </cell>
          <cell r="AK190">
            <v>39.5</v>
          </cell>
          <cell r="AL190">
            <v>47.5</v>
          </cell>
          <cell r="AM190">
            <v>52.5</v>
          </cell>
          <cell r="AN190">
            <v>57.5</v>
          </cell>
          <cell r="AO190">
            <v>62.5</v>
          </cell>
          <cell r="AP190">
            <v>67.5</v>
          </cell>
          <cell r="AQ190">
            <v>72.5</v>
          </cell>
          <cell r="AR190">
            <v>77.5</v>
          </cell>
          <cell r="AS190">
            <v>82.5</v>
          </cell>
        </row>
        <row r="191">
          <cell r="I191" t="str">
            <v>Apps / Sites ('000)</v>
          </cell>
          <cell r="L191">
            <v>3.9609999999999999</v>
          </cell>
          <cell r="M191">
            <v>4.492</v>
          </cell>
          <cell r="N191">
            <v>4.9089999999999998</v>
          </cell>
          <cell r="O191">
            <v>5.0309999999999997</v>
          </cell>
          <cell r="P191">
            <v>6.0759999999999996</v>
          </cell>
          <cell r="Q191">
            <v>7.4729999999999999</v>
          </cell>
          <cell r="R191">
            <v>10.443</v>
          </cell>
          <cell r="S191">
            <v>14.016</v>
          </cell>
          <cell r="T191">
            <v>19.277999999999999</v>
          </cell>
          <cell r="U191">
            <v>22.986000000000001</v>
          </cell>
          <cell r="V191">
            <v>27.283999999999999</v>
          </cell>
          <cell r="W191">
            <v>28</v>
          </cell>
          <cell r="X191">
            <v>30.5</v>
          </cell>
          <cell r="Y191">
            <v>35.5</v>
          </cell>
          <cell r="Z191">
            <v>38.5</v>
          </cell>
          <cell r="AA191">
            <v>39.5</v>
          </cell>
          <cell r="AB191">
            <v>42.5</v>
          </cell>
          <cell r="AC191">
            <v>45.5</v>
          </cell>
          <cell r="AD191">
            <v>47.5</v>
          </cell>
          <cell r="AE191">
            <v>49.5</v>
          </cell>
          <cell r="AF191">
            <v>50.75</v>
          </cell>
          <cell r="AG191">
            <v>52</v>
          </cell>
          <cell r="AH191">
            <v>5.0309999999999997</v>
          </cell>
          <cell r="AI191">
            <v>14.016</v>
          </cell>
          <cell r="AJ191">
            <v>28</v>
          </cell>
          <cell r="AK191">
            <v>42.5</v>
          </cell>
          <cell r="AL191">
            <v>58.5</v>
          </cell>
          <cell r="AM191">
            <v>73.5</v>
          </cell>
          <cell r="AN191">
            <v>88.5</v>
          </cell>
          <cell r="AO191">
            <v>103.5</v>
          </cell>
          <cell r="AP191">
            <v>118.5</v>
          </cell>
          <cell r="AQ191">
            <v>133.5</v>
          </cell>
          <cell r="AR191">
            <v>148.5</v>
          </cell>
          <cell r="AS191">
            <v>163.5</v>
          </cell>
          <cell r="AT191">
            <v>69.5</v>
          </cell>
          <cell r="AU191">
            <v>74.5</v>
          </cell>
          <cell r="AV191">
            <v>79.5</v>
          </cell>
          <cell r="AW191">
            <v>84.5</v>
          </cell>
        </row>
        <row r="192">
          <cell r="I192" t="str">
            <v>% change Y/Y</v>
          </cell>
          <cell r="L192" t="str">
            <v>NA</v>
          </cell>
          <cell r="M192" t="str">
            <v>NA</v>
          </cell>
          <cell r="N192" t="str">
            <v>NA</v>
          </cell>
          <cell r="O192" t="str">
            <v>NA</v>
          </cell>
          <cell r="P192">
            <v>0.53395607169906589</v>
          </cell>
          <cell r="Q192">
            <v>0.66362422083704353</v>
          </cell>
          <cell r="R192">
            <v>1.1273171725402324</v>
          </cell>
          <cell r="S192">
            <v>1.7859272510435305</v>
          </cell>
          <cell r="T192">
            <v>2.1728110599078341</v>
          </cell>
          <cell r="U192">
            <v>2.0758731433159374</v>
          </cell>
          <cell r="V192">
            <v>1.6126591975485973</v>
          </cell>
          <cell r="W192">
            <v>0.99771689497716887</v>
          </cell>
          <cell r="X192">
            <v>0.58211432721236656</v>
          </cell>
          <cell r="Y192">
            <v>0.5444183415992343</v>
          </cell>
          <cell r="Z192">
            <v>0.41108341885354061</v>
          </cell>
          <cell r="AA192">
            <v>0.41071428571428581</v>
          </cell>
          <cell r="AB192">
            <v>0.39344262295081966</v>
          </cell>
          <cell r="AC192">
            <v>0.28169014084507049</v>
          </cell>
          <cell r="AD192">
            <v>0.23376623376623384</v>
          </cell>
          <cell r="AE192">
            <v>0.25316455696202533</v>
          </cell>
          <cell r="AF192">
            <v>0.19411764705882351</v>
          </cell>
          <cell r="AG192">
            <v>0.14285714285714279</v>
          </cell>
          <cell r="AH192">
            <v>5666.35233452594</v>
          </cell>
          <cell r="AI192">
            <v>5204.6829736729442</v>
          </cell>
          <cell r="AJ192">
            <v>5707.4845499763096</v>
          </cell>
          <cell r="AK192">
            <v>6584.6590439493084</v>
          </cell>
          <cell r="AL192">
            <v>7483.4639253902751</v>
          </cell>
          <cell r="AM192">
            <v>8620.7216816152159</v>
          </cell>
          <cell r="AN192">
            <v>9865.5559943287117</v>
          </cell>
          <cell r="AO192">
            <v>11039.032625443262</v>
          </cell>
          <cell r="AP192">
            <v>11948.815787783402</v>
          </cell>
          <cell r="AQ192">
            <v>12638.168222744302</v>
          </cell>
          <cell r="AR192">
            <v>12996.465695777671</v>
          </cell>
          <cell r="AS192">
            <v>12940.163032213217</v>
          </cell>
          <cell r="AT192">
            <v>7.7519379844961156E-2</v>
          </cell>
          <cell r="AU192">
            <v>7.1942446043165464E-2</v>
          </cell>
          <cell r="AV192">
            <v>6.7114093959731447E-2</v>
          </cell>
          <cell r="AW192">
            <v>6.2893081761006275E-2</v>
          </cell>
        </row>
        <row r="193">
          <cell r="I193" t="str">
            <v>% change Q/Q</v>
          </cell>
          <cell r="L193" t="str">
            <v>NA</v>
          </cell>
          <cell r="M193">
            <v>0.13405705629891451</v>
          </cell>
          <cell r="N193">
            <v>9.2831700801424777E-2</v>
          </cell>
          <cell r="O193">
            <v>2.4852312079853389E-2</v>
          </cell>
          <cell r="P193">
            <v>0.20771218445637052</v>
          </cell>
          <cell r="Q193">
            <v>0.22992100065832788</v>
          </cell>
          <cell r="R193">
            <v>0.39743075070252898</v>
          </cell>
          <cell r="S193">
            <v>0.34214306233840852</v>
          </cell>
          <cell r="T193">
            <v>0.37542808219178081</v>
          </cell>
          <cell r="U193">
            <v>0.1923436041083102</v>
          </cell>
          <cell r="V193">
            <v>0.18698338118854951</v>
          </cell>
          <cell r="W193">
            <v>2.6242486438938561E-2</v>
          </cell>
          <cell r="X193">
            <v>8.9285714285714191E-2</v>
          </cell>
          <cell r="Y193">
            <v>0.16393442622950816</v>
          </cell>
          <cell r="Z193">
            <v>8.4507042253521236E-2</v>
          </cell>
          <cell r="AA193">
            <v>2.5974025974025983E-2</v>
          </cell>
          <cell r="AB193">
            <v>7.5949367088607556E-2</v>
          </cell>
          <cell r="AC193">
            <v>7.0588235294117618E-2</v>
          </cell>
          <cell r="AD193">
            <v>4.3956043956044022E-2</v>
          </cell>
          <cell r="AE193">
            <v>4.2105263157894646E-2</v>
          </cell>
          <cell r="AF193">
            <v>2.5252525252525304E-2</v>
          </cell>
          <cell r="AG193">
            <v>2.4630541871921263E-2</v>
          </cell>
          <cell r="AH193" t="str">
            <v>NA</v>
          </cell>
          <cell r="AI193">
            <v>-8.1475583161317866E-2</v>
          </cell>
          <cell r="AJ193">
            <v>9.6605610533188502E-2</v>
          </cell>
          <cell r="AK193">
            <v>0.1536884570237933</v>
          </cell>
          <cell r="AL193">
            <v>0.13649983627730666</v>
          </cell>
          <cell r="AM193">
            <v>0.15196943121037765</v>
          </cell>
          <cell r="AN193">
            <v>0.14440024381813221</v>
          </cell>
          <cell r="AO193">
            <v>0.11894683196660494</v>
          </cell>
          <cell r="AP193">
            <v>8.241511672347368E-2</v>
          </cell>
          <cell r="AQ193">
            <v>5.7692113361200281E-2</v>
          </cell>
          <cell r="AR193">
            <v>2.835042758716888E-2</v>
          </cell>
          <cell r="AS193">
            <v>-4.3321519005544706E-3</v>
          </cell>
          <cell r="AT193">
            <v>911895.40159780241</v>
          </cell>
          <cell r="AU193">
            <v>995127.9866163932</v>
          </cell>
          <cell r="AV193">
            <v>1058976.4801119976</v>
          </cell>
          <cell r="AW193">
            <v>1101362.224054778</v>
          </cell>
        </row>
        <row r="194">
          <cell r="I194" t="str">
            <v>WW ad views</v>
          </cell>
          <cell r="L194">
            <v>2842.3684499999999</v>
          </cell>
          <cell r="M194">
            <v>5988.5585010000004</v>
          </cell>
          <cell r="N194">
            <v>8144.9836450000003</v>
          </cell>
          <cell r="O194">
            <v>11531.507998999999</v>
          </cell>
          <cell r="P194">
            <v>14644.938435</v>
          </cell>
          <cell r="Q194">
            <v>14463.974343</v>
          </cell>
          <cell r="R194">
            <v>14686.689833</v>
          </cell>
          <cell r="S194">
            <v>29153.233948000001</v>
          </cell>
          <cell r="T194">
            <v>32450.660894000001</v>
          </cell>
          <cell r="U194">
            <v>36414.207995999997</v>
          </cell>
          <cell r="V194">
            <v>37986.575336000002</v>
          </cell>
          <cell r="W194">
            <v>52958.123173336673</v>
          </cell>
          <cell r="X194">
            <v>52313.970324928567</v>
          </cell>
          <cell r="Y194">
            <v>61820.438034361476</v>
          </cell>
          <cell r="Z194">
            <v>72539.779437406803</v>
          </cell>
          <cell r="AA194">
            <v>84779.169010413898</v>
          </cell>
          <cell r="AB194">
            <v>76233.524627940395</v>
          </cell>
          <cell r="AC194">
            <v>92199.734615138688</v>
          </cell>
          <cell r="AD194">
            <v>109503.98002138405</v>
          </cell>
          <cell r="AE194">
            <v>127811.99943216308</v>
          </cell>
          <cell r="AF194">
            <v>0.64527829098612166</v>
          </cell>
          <cell r="AG194">
            <v>0.83854022767412117</v>
          </cell>
          <cell r="AH194" t="str">
            <v>NA</v>
          </cell>
          <cell r="AI194">
            <v>1.5589422036197513</v>
          </cell>
          <cell r="AJ194">
            <v>1.1907075552889035</v>
          </cell>
          <cell r="AK194">
            <v>0.75113426512540071</v>
          </cell>
          <cell r="AL194">
            <v>0.56435859816993972</v>
          </cell>
          <cell r="AM194">
            <v>0.44734620844380779</v>
          </cell>
          <cell r="AN194">
            <v>0.37795131398509785</v>
          </cell>
          <cell r="AO194">
            <v>0.30859883738467375</v>
          </cell>
          <cell r="AP194">
            <v>0.23928687277035388</v>
          </cell>
          <cell r="AQ194">
            <v>0.19157719100185866</v>
          </cell>
          <cell r="AR194">
            <v>0.14389541945089546</v>
          </cell>
          <cell r="AS194">
            <v>9.624035800848052E-2</v>
          </cell>
          <cell r="AT194">
            <v>0.12207921821596801</v>
          </cell>
          <cell r="AU194">
            <v>9.1274267720566016E-2</v>
          </cell>
          <cell r="AV194">
            <v>6.4161087171008324E-2</v>
          </cell>
          <cell r="AW194">
            <v>4.0025198612813062E-2</v>
          </cell>
        </row>
        <row r="195">
          <cell r="I195" t="str">
            <v>WW ad views</v>
          </cell>
          <cell r="L195">
            <v>2842.3684499999999</v>
          </cell>
          <cell r="M195">
            <v>5988.5585010000004</v>
          </cell>
          <cell r="N195">
            <v>8144.9836450000003</v>
          </cell>
          <cell r="O195">
            <v>11531.507998999999</v>
          </cell>
          <cell r="P195">
            <v>14644.938435</v>
          </cell>
          <cell r="Q195">
            <v>14463.974343</v>
          </cell>
          <cell r="R195">
            <v>14686.689833</v>
          </cell>
          <cell r="S195">
            <v>29153.233948000001</v>
          </cell>
          <cell r="T195">
            <v>32450.660894000001</v>
          </cell>
          <cell r="U195">
            <v>36414.207995999997</v>
          </cell>
          <cell r="V195">
            <v>37986.575336000002</v>
          </cell>
          <cell r="W195">
            <v>52958.123173336673</v>
          </cell>
          <cell r="X195">
            <v>52313.970324928567</v>
          </cell>
          <cell r="Y195">
            <v>61820.438034361476</v>
          </cell>
          <cell r="Z195">
            <v>72539.779437406803</v>
          </cell>
          <cell r="AA195">
            <v>84779.169010413898</v>
          </cell>
          <cell r="AB195">
            <v>74204.213466510671</v>
          </cell>
          <cell r="AC195">
            <v>77630.198043046301</v>
          </cell>
          <cell r="AD195">
            <v>116495.09347742388</v>
          </cell>
          <cell r="AE195">
            <v>162333.00238242937</v>
          </cell>
          <cell r="AF195">
            <v>102864.96544297508</v>
          </cell>
          <cell r="AG195">
            <v>107604.13285613767</v>
          </cell>
          <cell r="AH195">
            <v>16.22</v>
          </cell>
          <cell r="AI195">
            <v>47.827999999999996</v>
          </cell>
          <cell r="AJ195">
            <v>103.678</v>
          </cell>
          <cell r="AK195">
            <v>182.93167</v>
          </cell>
          <cell r="AL195">
            <v>293.33306170000003</v>
          </cell>
          <cell r="AM195">
            <v>439.99959255000005</v>
          </cell>
          <cell r="AN195">
            <v>624.79942142100003</v>
          </cell>
          <cell r="AO195">
            <v>837.23122470414</v>
          </cell>
          <cell r="AP195">
            <v>1054.9113431272165</v>
          </cell>
          <cell r="AQ195">
            <v>1271.168168468296</v>
          </cell>
          <cell r="AR195">
            <v>1461.8433937385403</v>
          </cell>
          <cell r="AS195">
            <v>1600.7185161437017</v>
          </cell>
          <cell r="AT195">
            <v>0.49813339914158777</v>
          </cell>
          <cell r="AU195">
            <v>0.46813339914158775</v>
          </cell>
          <cell r="AV195">
            <v>0.43813339914158772</v>
          </cell>
          <cell r="AW195">
            <v>0.40813339914158769</v>
          </cell>
        </row>
        <row r="196">
          <cell r="I196" t="str">
            <v>% change Y/Y</v>
          </cell>
          <cell r="L196" t="str">
            <v>NA</v>
          </cell>
          <cell r="M196" t="str">
            <v>NA</v>
          </cell>
          <cell r="N196" t="str">
            <v>NA</v>
          </cell>
          <cell r="O196" t="str">
            <v>NA</v>
          </cell>
          <cell r="P196">
            <v>4.1523715846902256</v>
          </cell>
          <cell r="Q196">
            <v>1.4152681051015419</v>
          </cell>
          <cell r="R196">
            <v>0.80315768246088348</v>
          </cell>
          <cell r="S196">
            <v>1.5281371656272658</v>
          </cell>
          <cell r="T196">
            <v>1.2158277440379011</v>
          </cell>
          <cell r="U196">
            <v>1.5175796867769651</v>
          </cell>
          <cell r="V196">
            <v>1.5864626929511871</v>
          </cell>
          <cell r="W196">
            <v>0.81654369006872241</v>
          </cell>
          <cell r="X196">
            <v>0.61210800901134221</v>
          </cell>
          <cell r="Y196">
            <v>0.69770101937002948</v>
          </cell>
          <cell r="Z196">
            <v>0.90961619455757092</v>
          </cell>
          <cell r="AA196">
            <v>0.60087185742825699</v>
          </cell>
          <cell r="AB196">
            <v>0.41843972089327353</v>
          </cell>
          <cell r="AC196">
            <v>0.25573678400494892</v>
          </cell>
          <cell r="AD196">
            <v>0.60594772111135642</v>
          </cell>
          <cell r="AE196">
            <v>0.9147746348220176</v>
          </cell>
          <cell r="AF196">
            <v>0.38624157089677102</v>
          </cell>
          <cell r="AG196">
            <v>0.38611179114177552</v>
          </cell>
          <cell r="AH196" t="str">
            <v>NA</v>
          </cell>
          <cell r="AI196">
            <v>1.9487053020961773</v>
          </cell>
          <cell r="AJ196">
            <v>1.1677260182319982</v>
          </cell>
          <cell r="AK196">
            <v>0.76442128513281515</v>
          </cell>
          <cell r="AL196">
            <v>0.60351163743270941</v>
          </cell>
          <cell r="AM196">
            <v>0.5</v>
          </cell>
          <cell r="AN196">
            <v>0.41999999999999993</v>
          </cell>
          <cell r="AO196">
            <v>0.33999999999999986</v>
          </cell>
          <cell r="AP196">
            <v>0.26</v>
          </cell>
          <cell r="AQ196">
            <v>0.20500000000000007</v>
          </cell>
          <cell r="AR196">
            <v>0.14999999999999991</v>
          </cell>
          <cell r="AS196">
            <v>9.4999999999999973E-2</v>
          </cell>
          <cell r="AT196">
            <v>701628.14136054122</v>
          </cell>
          <cell r="AU196">
            <v>775620.0160415303</v>
          </cell>
          <cell r="AV196">
            <v>835974.40430346981</v>
          </cell>
          <cell r="AW196">
            <v>880448.06811149209</v>
          </cell>
        </row>
        <row r="197">
          <cell r="I197" t="str">
            <v>WW ad views per App / Site ('000)</v>
          </cell>
          <cell r="L197">
            <v>717.58860136329213</v>
          </cell>
          <cell r="M197">
            <v>1333.160841718611</v>
          </cell>
          <cell r="N197">
            <v>1659.1940609085354</v>
          </cell>
          <cell r="O197">
            <v>2292.0906378453587</v>
          </cell>
          <cell r="P197">
            <v>2410.2926983212642</v>
          </cell>
          <cell r="Q197">
            <v>1935.4977041348857</v>
          </cell>
          <cell r="R197">
            <v>1406.3669283730731</v>
          </cell>
          <cell r="S197">
            <v>2079.9967143264839</v>
          </cell>
          <cell r="T197">
            <v>1683.3001812428677</v>
          </cell>
          <cell r="U197">
            <v>1584.1907246149829</v>
          </cell>
          <cell r="V197">
            <v>1392.2656258613108</v>
          </cell>
          <cell r="W197">
            <v>1891.3615419048813</v>
          </cell>
          <cell r="X197">
            <v>1715.2121418009367</v>
          </cell>
          <cell r="Y197">
            <v>1741.4207897003232</v>
          </cell>
          <cell r="Z197">
            <v>1884.1501152573196</v>
          </cell>
          <cell r="AA197">
            <v>2146.3080762130103</v>
          </cell>
          <cell r="AB197">
            <v>1836.9524006732624</v>
          </cell>
          <cell r="AC197">
            <v>2119.5341290836482</v>
          </cell>
          <cell r="AD197">
            <v>2406.6808795908582</v>
          </cell>
          <cell r="AE197">
            <v>2690.7789354139595</v>
          </cell>
          <cell r="AF197">
            <v>0.65095840772963842</v>
          </cell>
          <cell r="AG197">
            <v>0.84490580870653398</v>
          </cell>
          <cell r="AH197" t="str">
            <v>NA</v>
          </cell>
          <cell r="AI197">
            <v>-8.1475583161317866E-2</v>
          </cell>
          <cell r="AJ197">
            <v>9.6605610533188502E-2</v>
          </cell>
          <cell r="AK197">
            <v>0.1536884570237933</v>
          </cell>
          <cell r="AL197">
            <v>0.13649983627730666</v>
          </cell>
          <cell r="AM197">
            <v>0.15196943121037765</v>
          </cell>
          <cell r="AN197">
            <v>0.14440024381813221</v>
          </cell>
          <cell r="AO197">
            <v>0.11894683196660494</v>
          </cell>
          <cell r="AP197">
            <v>8.241511672347368E-2</v>
          </cell>
          <cell r="AQ197">
            <v>5.7692113361200281E-2</v>
          </cell>
          <cell r="AR197">
            <v>2.835042758716888E-2</v>
          </cell>
          <cell r="AS197">
            <v>-4.3321519005544706E-3</v>
          </cell>
          <cell r="AT197">
            <v>0.13685474607926085</v>
          </cell>
          <cell r="AU197">
            <v>0.10545739305369062</v>
          </cell>
          <cell r="AV197">
            <v>7.7814376903222904E-2</v>
          </cell>
          <cell r="AW197">
            <v>5.3199791260448492E-2</v>
          </cell>
        </row>
        <row r="198">
          <cell r="I198" t="str">
            <v>WW ad views per App / Site ('000)</v>
          </cell>
          <cell r="L198">
            <v>717.58860136329213</v>
          </cell>
          <cell r="M198">
            <v>1333.160841718611</v>
          </cell>
          <cell r="N198">
            <v>1659.1940609085354</v>
          </cell>
          <cell r="O198">
            <v>2292.0906378453587</v>
          </cell>
          <cell r="P198">
            <v>2410.2926983212642</v>
          </cell>
          <cell r="Q198">
            <v>1935.4977041348857</v>
          </cell>
          <cell r="R198">
            <v>1406.3669283730731</v>
          </cell>
          <cell r="S198">
            <v>2079.9967143264839</v>
          </cell>
          <cell r="T198">
            <v>1683.3001812428677</v>
          </cell>
          <cell r="U198">
            <v>1584.1907246149829</v>
          </cell>
          <cell r="V198">
            <v>1392.2656258613108</v>
          </cell>
          <cell r="W198">
            <v>1891.3615419048813</v>
          </cell>
          <cell r="X198">
            <v>1715.2121418009367</v>
          </cell>
          <cell r="Y198">
            <v>1741.4207897003232</v>
          </cell>
          <cell r="Z198">
            <v>1884.1501152573196</v>
          </cell>
          <cell r="AA198">
            <v>2146.3080762130103</v>
          </cell>
          <cell r="AB198">
            <v>1745.981493329663</v>
          </cell>
          <cell r="AC198">
            <v>1706.1581987482703</v>
          </cell>
          <cell r="AD198">
            <v>2452.5282837352397</v>
          </cell>
          <cell r="AE198">
            <v>3279.4545935844317</v>
          </cell>
          <cell r="AF198">
            <v>2026.8958707975385</v>
          </cell>
          <cell r="AG198">
            <v>2069.3102472334167</v>
          </cell>
          <cell r="AH198">
            <v>3.2240111309878752</v>
          </cell>
          <cell r="AI198">
            <v>3.412385844748858</v>
          </cell>
          <cell r="AJ198">
            <v>3.7027857142857141</v>
          </cell>
          <cell r="AK198">
            <v>4.3042745882352937</v>
          </cell>
          <cell r="AL198">
            <v>5.0142403709401711</v>
          </cell>
          <cell r="AM198">
            <v>5.9863890142857148</v>
          </cell>
          <cell r="AN198">
            <v>7.0598804680338985</v>
          </cell>
          <cell r="AO198">
            <v>8.0891905768515944</v>
          </cell>
          <cell r="AP198">
            <v>8.9022054272338949</v>
          </cell>
          <cell r="AQ198">
            <v>9.5218589398374238</v>
          </cell>
          <cell r="AR198">
            <v>9.844063257498588</v>
          </cell>
          <cell r="AS198">
            <v>9.7903273158636193</v>
          </cell>
          <cell r="AT198">
            <v>0.59889283476240596</v>
          </cell>
          <cell r="AU198">
            <v>0.56571965729613038</v>
          </cell>
          <cell r="AV198">
            <v>0.53213373940659914</v>
          </cell>
          <cell r="AW198">
            <v>0.49814453362085526</v>
          </cell>
        </row>
        <row r="199">
          <cell r="I199" t="str">
            <v>% change Y/Y</v>
          </cell>
          <cell r="L199" t="str">
            <v>NA</v>
          </cell>
          <cell r="M199" t="str">
            <v>NA</v>
          </cell>
          <cell r="N199" t="str">
            <v>NA</v>
          </cell>
          <cell r="O199" t="str">
            <v>NA</v>
          </cell>
          <cell r="P199">
            <v>2.3588781841603002</v>
          </cell>
          <cell r="Q199">
            <v>0.45181109703146327</v>
          </cell>
          <cell r="R199">
            <v>-0.15237948260073941</v>
          </cell>
          <cell r="S199">
            <v>-9.2532956601685812E-2</v>
          </cell>
          <cell r="T199">
            <v>-0.30162001386169279</v>
          </cell>
          <cell r="U199">
            <v>-0.18150730882779709</v>
          </cell>
          <cell r="V199">
            <v>-1.0026759181599232E-2</v>
          </cell>
          <cell r="W199">
            <v>-9.0690129999885127E-2</v>
          </cell>
          <cell r="X199">
            <v>1.8957973695759245E-2</v>
          </cell>
          <cell r="Y199">
            <v>9.9249454401112658E-2</v>
          </cell>
          <cell r="Z199">
            <v>0.35329787668334456</v>
          </cell>
          <cell r="AA199">
            <v>0.13479524070863791</v>
          </cell>
          <cell r="AB199">
            <v>1.7939093817525675E-2</v>
          </cell>
          <cell r="AC199">
            <v>-2.0249322369765177E-2</v>
          </cell>
          <cell r="AD199">
            <v>0.3016628897428888</v>
          </cell>
          <cell r="AE199">
            <v>0.52795147627211469</v>
          </cell>
          <cell r="AF199">
            <v>0.16089195592340411</v>
          </cell>
          <cell r="AG199">
            <v>0.21284781724905377</v>
          </cell>
          <cell r="AH199" t="str">
            <v>NA</v>
          </cell>
          <cell r="AI199">
            <v>5.842867971217669E-2</v>
          </cell>
          <cell r="AJ199">
            <v>8.5101709697845918E-2</v>
          </cell>
          <cell r="AK199">
            <v>0.1624422584404428</v>
          </cell>
          <cell r="AL199">
            <v>0.16494435198102808</v>
          </cell>
          <cell r="AM199">
            <v>0.19387755102040827</v>
          </cell>
          <cell r="AN199">
            <v>0.17932203389830503</v>
          </cell>
          <cell r="AO199">
            <v>0.14579710144927538</v>
          </cell>
          <cell r="AP199">
            <v>0.1005063291139241</v>
          </cell>
          <cell r="AQ199">
            <v>6.9606741573033926E-2</v>
          </cell>
          <cell r="AR199">
            <v>3.3838383838383779E-2</v>
          </cell>
          <cell r="AS199">
            <v>-5.4587155963302658E-3</v>
          </cell>
          <cell r="AT199">
            <v>0.76941734779138526</v>
          </cell>
          <cell r="AU199">
            <v>0.77941734779138527</v>
          </cell>
          <cell r="AV199">
            <v>0.78941734779138528</v>
          </cell>
          <cell r="AW199">
            <v>0.79941734779138529</v>
          </cell>
        </row>
        <row r="200">
          <cell r="I200" t="str">
            <v>WW revenue</v>
          </cell>
          <cell r="L200">
            <v>1.627</v>
          </cell>
          <cell r="M200">
            <v>3.3879999999999999</v>
          </cell>
          <cell r="N200">
            <v>4.1029999999999998</v>
          </cell>
          <cell r="O200">
            <v>7.1020000000000003</v>
          </cell>
          <cell r="P200">
            <v>1804.5230992579309</v>
          </cell>
          <cell r="Q200">
            <v>1292.4710391259421</v>
          </cell>
          <cell r="R200">
            <v>490.48891848463506</v>
          </cell>
          <cell r="S200">
            <v>1526.6370056186206</v>
          </cell>
          <cell r="T200">
            <v>483.65380535039361</v>
          </cell>
          <cell r="U200">
            <v>782.68027414727828</v>
          </cell>
          <cell r="V200">
            <v>1531.1896762111942</v>
          </cell>
          <cell r="W200">
            <v>100</v>
          </cell>
          <cell r="X200">
            <v>100</v>
          </cell>
          <cell r="Y200">
            <v>100</v>
          </cell>
          <cell r="Z200">
            <v>250</v>
          </cell>
          <cell r="AA200">
            <v>50</v>
          </cell>
          <cell r="AB200">
            <v>37.5</v>
          </cell>
          <cell r="AC200">
            <v>25</v>
          </cell>
          <cell r="AD200">
            <v>25</v>
          </cell>
          <cell r="AE200">
            <v>25</v>
          </cell>
          <cell r="AF200">
            <v>25</v>
          </cell>
          <cell r="AG200">
            <v>25</v>
          </cell>
          <cell r="AH200" t="str">
            <v>NA</v>
          </cell>
          <cell r="AI200">
            <v>1.9487053020961773</v>
          </cell>
          <cell r="AJ200">
            <v>1.1677260182319982</v>
          </cell>
          <cell r="AK200">
            <v>0.76442128513281515</v>
          </cell>
          <cell r="AL200">
            <v>0.60351163743270941</v>
          </cell>
          <cell r="AM200">
            <v>0.5</v>
          </cell>
          <cell r="AN200">
            <v>0.41999999999999993</v>
          </cell>
          <cell r="AO200">
            <v>0.33999999999999986</v>
          </cell>
          <cell r="AP200">
            <v>0.26</v>
          </cell>
          <cell r="AQ200">
            <v>0.20500000000000007</v>
          </cell>
          <cell r="AR200">
            <v>0.14999999999999991</v>
          </cell>
          <cell r="AS200">
            <v>9.4999999999999973E-2</v>
          </cell>
          <cell r="AT200">
            <v>100</v>
          </cell>
          <cell r="AU200">
            <v>100</v>
          </cell>
          <cell r="AV200">
            <v>100</v>
          </cell>
          <cell r="AW200">
            <v>100</v>
          </cell>
        </row>
        <row r="201">
          <cell r="I201" t="str">
            <v>WW revenue</v>
          </cell>
          <cell r="L201">
            <v>1.627</v>
          </cell>
          <cell r="M201">
            <v>3.3879999999999999</v>
          </cell>
          <cell r="N201">
            <v>4.1029999999999998</v>
          </cell>
          <cell r="O201">
            <v>7.1020000000000003</v>
          </cell>
          <cell r="P201">
            <v>8.8249999999999993</v>
          </cell>
          <cell r="Q201">
            <v>9.2579999999999991</v>
          </cell>
          <cell r="R201">
            <v>11.004</v>
          </cell>
          <cell r="S201">
            <v>18.741</v>
          </cell>
          <cell r="T201">
            <v>21.492999999999999</v>
          </cell>
          <cell r="U201">
            <v>22.446999999999999</v>
          </cell>
          <cell r="V201">
            <v>25.189</v>
          </cell>
          <cell r="W201">
            <v>34.548999999999999</v>
          </cell>
          <cell r="X201">
            <v>32.93</v>
          </cell>
          <cell r="Y201">
            <v>39.411000000000001</v>
          </cell>
          <cell r="Z201">
            <v>47.366</v>
          </cell>
          <cell r="AA201">
            <v>57.96</v>
          </cell>
          <cell r="AB201">
            <v>49.438000000000002</v>
          </cell>
          <cell r="AC201">
            <v>57.009</v>
          </cell>
          <cell r="AD201">
            <v>84.785139999999998</v>
          </cell>
          <cell r="AE201">
            <v>127.51200000000001</v>
          </cell>
          <cell r="AF201">
            <v>74.157000000000011</v>
          </cell>
          <cell r="AG201">
            <v>85.513499999999993</v>
          </cell>
          <cell r="AH201">
            <v>16.22</v>
          </cell>
          <cell r="AI201">
            <v>47.827999999999996</v>
          </cell>
          <cell r="AJ201">
            <v>103.678</v>
          </cell>
          <cell r="AK201">
            <v>182.93167</v>
          </cell>
          <cell r="AL201">
            <v>293.33306170000003</v>
          </cell>
          <cell r="AM201">
            <v>439.99959255000005</v>
          </cell>
          <cell r="AN201">
            <v>624.79942142100003</v>
          </cell>
          <cell r="AO201">
            <v>837.23122470414</v>
          </cell>
          <cell r="AP201">
            <v>1054.9113431272165</v>
          </cell>
          <cell r="AQ201">
            <v>1271.168168468296</v>
          </cell>
          <cell r="AR201">
            <v>1461.8433937385403</v>
          </cell>
          <cell r="AS201">
            <v>1600.7185161437017</v>
          </cell>
          <cell r="AT201">
            <v>735.30580935313242</v>
          </cell>
          <cell r="AU201">
            <v>854.96617898783256</v>
          </cell>
          <cell r="AV201">
            <v>965.76759406085444</v>
          </cell>
          <cell r="AW201">
            <v>1063.2945837080383</v>
          </cell>
        </row>
        <row r="202">
          <cell r="I202" t="str">
            <v>% change Y/Y</v>
          </cell>
          <cell r="L202" t="str">
            <v>NA</v>
          </cell>
          <cell r="M202" t="str">
            <v>NA</v>
          </cell>
          <cell r="N202" t="str">
            <v>NA</v>
          </cell>
          <cell r="O202" t="str">
            <v>NA</v>
          </cell>
          <cell r="P202">
            <v>4.4240934234787952</v>
          </cell>
          <cell r="Q202">
            <v>1.7325855962219596</v>
          </cell>
          <cell r="R202">
            <v>1.6819400438703389</v>
          </cell>
          <cell r="S202">
            <v>1.6388341312306389</v>
          </cell>
          <cell r="T202">
            <v>1.4354674220963175</v>
          </cell>
          <cell r="U202">
            <v>1.4246057463815078</v>
          </cell>
          <cell r="V202">
            <v>1.2890766993820431</v>
          </cell>
          <cell r="W202">
            <v>0.84349821247532142</v>
          </cell>
          <cell r="X202">
            <v>0.53212673893825913</v>
          </cell>
          <cell r="Y202">
            <v>0.75573573306009734</v>
          </cell>
          <cell r="Z202">
            <v>0.88042399460081788</v>
          </cell>
          <cell r="AA202">
            <v>0.67761729717213237</v>
          </cell>
          <cell r="AB202">
            <v>0.50130580018220483</v>
          </cell>
          <cell r="AC202">
            <v>0.44652508182994599</v>
          </cell>
          <cell r="AD202">
            <v>0.79</v>
          </cell>
          <cell r="AE202">
            <v>1.2000000000000002</v>
          </cell>
          <cell r="AF202">
            <v>0.50000000000000022</v>
          </cell>
          <cell r="AG202">
            <v>0.49999999999999978</v>
          </cell>
          <cell r="AH202">
            <v>3.2240111309878752</v>
          </cell>
          <cell r="AI202">
            <v>3.412385844748858</v>
          </cell>
          <cell r="AJ202">
            <v>3.7027857142857141</v>
          </cell>
          <cell r="AK202">
            <v>4.3042745882352937</v>
          </cell>
          <cell r="AL202">
            <v>5.0142403709401711</v>
          </cell>
          <cell r="AM202">
            <v>5.9863890142857148</v>
          </cell>
          <cell r="AN202">
            <v>7.0598804680338985</v>
          </cell>
          <cell r="AO202">
            <v>8.0891905768515944</v>
          </cell>
          <cell r="AP202">
            <v>8.9022054272338949</v>
          </cell>
          <cell r="AQ202">
            <v>9.5218589398374238</v>
          </cell>
          <cell r="AR202">
            <v>9.844063257498588</v>
          </cell>
          <cell r="AS202">
            <v>9.7903273158636193</v>
          </cell>
          <cell r="AT202">
            <v>0.20125499459396989</v>
          </cell>
          <cell r="AU202">
            <v>0.16273551509129036</v>
          </cell>
          <cell r="AV202">
            <v>0.12959742478257574</v>
          </cell>
          <cell r="AW202">
            <v>0.10098391191311662</v>
          </cell>
        </row>
        <row r="203">
          <cell r="I203" t="str">
            <v>WW revenue per App / Site (annual, $ in '000)</v>
          </cell>
          <cell r="L203">
            <v>1.6430194395354709</v>
          </cell>
          <cell r="M203">
            <v>3.0169189670525376</v>
          </cell>
          <cell r="N203">
            <v>3.343247097168466</v>
          </cell>
          <cell r="O203">
            <v>5.646591134963229</v>
          </cell>
          <cell r="P203">
            <v>5.8097432521395653</v>
          </cell>
          <cell r="Q203">
            <v>4.9554395824969886</v>
          </cell>
          <cell r="R203">
            <v>4.2148807813846592</v>
          </cell>
          <cell r="S203">
            <v>5.3484589041095889</v>
          </cell>
          <cell r="T203">
            <v>4.4595912439049696</v>
          </cell>
          <cell r="U203">
            <v>3.9062037762116066</v>
          </cell>
          <cell r="V203">
            <v>3.692860284415775</v>
          </cell>
          <cell r="W203">
            <v>4.9355714285714285</v>
          </cell>
          <cell r="X203">
            <v>4.3186885245901641</v>
          </cell>
          <cell r="Y203">
            <v>4.4406760563380283</v>
          </cell>
          <cell r="Z203">
            <v>4.9211428571428568</v>
          </cell>
          <cell r="AA203">
            <v>5.8693670886075946</v>
          </cell>
          <cell r="AB203">
            <v>4.7927036144578317</v>
          </cell>
          <cell r="AC203">
            <v>5.6172000000000004</v>
          </cell>
          <cell r="AD203">
            <v>6.53754901098901</v>
          </cell>
          <cell r="AE203">
            <v>7.6629221052631573</v>
          </cell>
          <cell r="AF203">
            <v>0.84630332396297703</v>
          </cell>
          <cell r="AG203">
            <v>0.94657063239550587</v>
          </cell>
          <cell r="AH203" t="str">
            <v>NA</v>
          </cell>
          <cell r="AI203">
            <v>5.842867971217669E-2</v>
          </cell>
          <cell r="AJ203">
            <v>8.5101709697845918E-2</v>
          </cell>
          <cell r="AK203">
            <v>0.1624422584404428</v>
          </cell>
          <cell r="AL203">
            <v>0.16494435198102808</v>
          </cell>
          <cell r="AM203">
            <v>0.19387755102040827</v>
          </cell>
          <cell r="AN203">
            <v>0.17932203389830503</v>
          </cell>
          <cell r="AO203">
            <v>0.14579710144927538</v>
          </cell>
          <cell r="AP203">
            <v>0.1005063291139241</v>
          </cell>
          <cell r="AQ203">
            <v>6.9606741573033926E-2</v>
          </cell>
          <cell r="AR203">
            <v>3.3838383838383779E-2</v>
          </cell>
          <cell r="AS203">
            <v>-5.4587155963302658E-3</v>
          </cell>
          <cell r="AT203">
            <v>1.0479993118965927</v>
          </cell>
          <cell r="AU203">
            <v>1.1023003033769743</v>
          </cell>
          <cell r="AV203">
            <v>1.1552597652383003</v>
          </cell>
          <cell r="AW203">
            <v>1.2076743901417617</v>
          </cell>
        </row>
        <row r="204">
          <cell r="I204" t="str">
            <v>WW revenue per App / Site (annual, $ in '000)</v>
          </cell>
          <cell r="L204">
            <v>1.6430194395354709</v>
          </cell>
          <cell r="M204">
            <v>3.0169189670525376</v>
          </cell>
          <cell r="N204">
            <v>3.343247097168466</v>
          </cell>
          <cell r="O204">
            <v>5.646591134963229</v>
          </cell>
          <cell r="P204">
            <v>5.8097432521395653</v>
          </cell>
          <cell r="Q204">
            <v>4.9554395824969886</v>
          </cell>
          <cell r="R204">
            <v>4.2148807813846592</v>
          </cell>
          <cell r="S204">
            <v>5.3484589041095889</v>
          </cell>
          <cell r="T204">
            <v>4.4595912439049696</v>
          </cell>
          <cell r="U204">
            <v>3.9062037762116066</v>
          </cell>
          <cell r="V204">
            <v>3.692860284415775</v>
          </cell>
          <cell r="W204">
            <v>4.9355714285714285</v>
          </cell>
          <cell r="X204">
            <v>4.3186885245901641</v>
          </cell>
          <cell r="Y204">
            <v>4.4406760563380283</v>
          </cell>
          <cell r="Z204">
            <v>4.9211428571428568</v>
          </cell>
          <cell r="AA204">
            <v>5.8693670886075946</v>
          </cell>
          <cell r="AB204">
            <v>4.6529882352941181</v>
          </cell>
          <cell r="AC204">
            <v>5.0117802197802197</v>
          </cell>
          <cell r="AD204">
            <v>7.1398012631578949</v>
          </cell>
          <cell r="AE204">
            <v>10.304000000000002</v>
          </cell>
          <cell r="AF204">
            <v>5.8448866995073896</v>
          </cell>
          <cell r="AG204">
            <v>6.5779615384615377</v>
          </cell>
          <cell r="AH204">
            <v>3.2240111309878752</v>
          </cell>
          <cell r="AI204">
            <v>3.412385844748858</v>
          </cell>
          <cell r="AJ204">
            <v>3.7027857142857141</v>
          </cell>
          <cell r="AK204">
            <v>4.3042745882352937</v>
          </cell>
          <cell r="AL204">
            <v>5.0142403709401711</v>
          </cell>
          <cell r="AM204">
            <v>5.9863890142857148</v>
          </cell>
          <cell r="AN204">
            <v>7.0598804680338985</v>
          </cell>
          <cell r="AO204">
            <v>8.0891905768515944</v>
          </cell>
          <cell r="AP204">
            <v>8.9022054272338949</v>
          </cell>
          <cell r="AQ204">
            <v>9.5218589398374238</v>
          </cell>
          <cell r="AR204">
            <v>9.844063257498588</v>
          </cell>
          <cell r="AS204">
            <v>9.7903273158636193</v>
          </cell>
          <cell r="AT204">
            <v>5.6647736869472665E-2</v>
          </cell>
          <cell r="AU204">
            <v>5.1813957188685089E-2</v>
          </cell>
          <cell r="AV204">
            <v>4.8044495405726639E-2</v>
          </cell>
          <cell r="AW204">
            <v>4.5370423588368958E-2</v>
          </cell>
        </row>
        <row r="205">
          <cell r="I205" t="str">
            <v>% change Y/Y</v>
          </cell>
          <cell r="L205" t="str">
            <v>NA</v>
          </cell>
          <cell r="M205" t="str">
            <v>NA</v>
          </cell>
          <cell r="N205" t="str">
            <v>NA</v>
          </cell>
          <cell r="O205" t="str">
            <v>NA</v>
          </cell>
          <cell r="P205">
            <v>2.536016137327108</v>
          </cell>
          <cell r="Q205">
            <v>0.64254977896815779</v>
          </cell>
          <cell r="R205">
            <v>0.26071470605759761</v>
          </cell>
          <cell r="S205">
            <v>-5.279862198763241E-2</v>
          </cell>
          <cell r="T205">
            <v>-0.23239443631822676</v>
          </cell>
          <cell r="U205">
            <v>-0.211734153714913</v>
          </cell>
          <cell r="V205">
            <v>-0.12385178230293659</v>
          </cell>
          <cell r="W205">
            <v>-7.7197466212353349E-2</v>
          </cell>
          <cell r="X205">
            <v>-3.1595433663876848E-2</v>
          </cell>
          <cell r="Y205">
            <v>0.13682652282026475</v>
          </cell>
          <cell r="Z205">
            <v>0.33261008490100541</v>
          </cell>
          <cell r="AA205">
            <v>0.189197071413157</v>
          </cell>
          <cell r="AB205">
            <v>7.7407691895464703E-2</v>
          </cell>
          <cell r="AC205">
            <v>0.12860748142776002</v>
          </cell>
          <cell r="AD205">
            <v>0.45084210526315793</v>
          </cell>
          <cell r="AE205">
            <v>0.75555555555555598</v>
          </cell>
          <cell r="AF205">
            <v>0.2561576354679802</v>
          </cell>
          <cell r="AG205">
            <v>0.31249999999999978</v>
          </cell>
          <cell r="AH205" t="str">
            <v>NA</v>
          </cell>
          <cell r="AI205">
            <v>5.842867971217669E-2</v>
          </cell>
          <cell r="AJ205">
            <v>8.5101709697845918E-2</v>
          </cell>
          <cell r="AK205">
            <v>0.1624422584404428</v>
          </cell>
          <cell r="AL205">
            <v>0.16494435198102808</v>
          </cell>
          <cell r="AM205">
            <v>0.19387755102040827</v>
          </cell>
          <cell r="AN205">
            <v>0.17932203389830503</v>
          </cell>
          <cell r="AO205">
            <v>0.14579710144927538</v>
          </cell>
          <cell r="AP205">
            <v>0.1005063291139241</v>
          </cell>
          <cell r="AQ205">
            <v>6.9606741573033926E-2</v>
          </cell>
          <cell r="AR205">
            <v>3.3838383838383779E-2</v>
          </cell>
          <cell r="AS205">
            <v>-5.4587155963302658E-3</v>
          </cell>
          <cell r="AT205">
            <v>0.16570671515639823</v>
          </cell>
          <cell r="AU205">
            <v>0.18103267320592331</v>
          </cell>
          <cell r="AV205">
            <v>0.19919740449683299</v>
          </cell>
          <cell r="AW205">
            <v>0.22079709421130889</v>
          </cell>
        </row>
        <row r="207">
          <cell r="I207" t="str">
            <v>International</v>
          </cell>
        </row>
        <row r="208">
          <cell r="I208" t="str">
            <v>Headcount</v>
          </cell>
          <cell r="L208">
            <v>606.00764999999956</v>
          </cell>
          <cell r="M208">
            <v>1367.1636099999996</v>
          </cell>
          <cell r="N208">
            <v>1291.4353719999999</v>
          </cell>
          <cell r="O208">
            <v>2341.9114249999984</v>
          </cell>
          <cell r="P208">
            <v>4722.441315</v>
          </cell>
          <cell r="Q208">
            <v>4915.2508409999973</v>
          </cell>
          <cell r="R208">
            <v>6843.285824999999</v>
          </cell>
          <cell r="S208">
            <v>10814.233187000005</v>
          </cell>
          <cell r="T208">
            <v>13887.645397</v>
          </cell>
          <cell r="U208">
            <v>17532.147150999997</v>
          </cell>
          <cell r="V208">
            <v>23586.537456999991</v>
          </cell>
          <cell r="W208">
            <v>26899.124486909081</v>
          </cell>
          <cell r="X208">
            <v>27840.116820940566</v>
          </cell>
          <cell r="Y208">
            <v>31903.699854947132</v>
          </cell>
          <cell r="Z208">
            <v>47143.396130892215</v>
          </cell>
          <cell r="AA208">
            <v>52358.087866387839</v>
          </cell>
          <cell r="AB208">
            <v>46592.293786878377</v>
          </cell>
          <cell r="AC208">
            <v>58971.193755059474</v>
          </cell>
          <cell r="AD208">
            <v>76240.068271458047</v>
          </cell>
          <cell r="AE208">
            <v>79302.092218996782</v>
          </cell>
          <cell r="AF208">
            <v>80263.546261003576</v>
          </cell>
          <cell r="AG208">
            <v>83196.268974063321</v>
          </cell>
          <cell r="AH208">
            <v>103357.96609349339</v>
          </cell>
          <cell r="AI208">
            <v>107239.87906522918</v>
          </cell>
          <cell r="AL208">
            <v>5606.5180569999975</v>
          </cell>
          <cell r="AM208">
            <v>27295.211168000002</v>
          </cell>
          <cell r="AN208">
            <v>81905.454491909069</v>
          </cell>
          <cell r="AO208">
            <v>159245.30067316775</v>
          </cell>
          <cell r="AP208">
            <v>261105.64803239267</v>
          </cell>
          <cell r="AQ208">
            <v>374057.66039378953</v>
          </cell>
          <cell r="AR208">
            <v>522137.30071069661</v>
          </cell>
          <cell r="AS208">
            <v>691465.60147003829</v>
          </cell>
          <cell r="AT208">
            <v>876693.29247010499</v>
          </cell>
          <cell r="AU208">
            <v>1071878.5007028691</v>
          </cell>
          <cell r="AV208">
            <v>1271553.3759410237</v>
          </cell>
          <cell r="AW208">
            <v>1471195.5842816529</v>
          </cell>
        </row>
        <row r="209">
          <cell r="I209" t="str">
            <v>Headcount</v>
          </cell>
          <cell r="L209" t="str">
            <v>NA</v>
          </cell>
          <cell r="M209" t="str">
            <v>NA</v>
          </cell>
          <cell r="N209" t="str">
            <v>NA</v>
          </cell>
          <cell r="O209">
            <v>24</v>
          </cell>
          <cell r="P209">
            <v>6.7927090771873972</v>
          </cell>
          <cell r="Q209">
            <v>2.5952177230638833</v>
          </cell>
          <cell r="R209">
            <v>4.2989766064731878</v>
          </cell>
          <cell r="S209">
            <v>3.6176952174867214</v>
          </cell>
          <cell r="T209">
            <v>1.9407767022722653</v>
          </cell>
          <cell r="U209">
            <v>2.5668875746396536</v>
          </cell>
          <cell r="V209">
            <v>61</v>
          </cell>
          <cell r="W209">
            <v>69</v>
          </cell>
          <cell r="X209">
            <v>79</v>
          </cell>
          <cell r="Y209">
            <v>84</v>
          </cell>
          <cell r="Z209">
            <v>107</v>
          </cell>
          <cell r="AA209">
            <v>111.49162222222222</v>
          </cell>
          <cell r="AB209">
            <v>113.29516666666669</v>
          </cell>
          <cell r="AC209">
            <v>112.27569444444444</v>
          </cell>
          <cell r="AD209">
            <v>156.00600000000003</v>
          </cell>
          <cell r="AE209">
            <v>157.14601366666665</v>
          </cell>
          <cell r="AF209">
            <v>0.72267857487642972</v>
          </cell>
          <cell r="AG209">
            <v>0.41079506241003383</v>
          </cell>
          <cell r="AH209">
            <v>24</v>
          </cell>
          <cell r="AI209">
            <v>0.352295709539173</v>
          </cell>
          <cell r="AJ209">
            <v>69</v>
          </cell>
          <cell r="AK209">
            <v>111.49162222222222</v>
          </cell>
          <cell r="AL209">
            <v>157.14601366666665</v>
          </cell>
          <cell r="AM209">
            <v>167.14601366666665</v>
          </cell>
          <cell r="AN209">
            <v>177.14601366666665</v>
          </cell>
          <cell r="AO209">
            <v>187.14601366666665</v>
          </cell>
          <cell r="AP209">
            <v>197.14601366666665</v>
          </cell>
          <cell r="AQ209">
            <v>207.14601366666665</v>
          </cell>
          <cell r="AR209">
            <v>217.14601366666665</v>
          </cell>
          <cell r="AS209">
            <v>227.14601366666665</v>
          </cell>
          <cell r="AT209">
            <v>0.26529137110218004</v>
          </cell>
          <cell r="AU209">
            <v>0.23062114726946836</v>
          </cell>
          <cell r="AV209">
            <v>0.20116076591825283</v>
          </cell>
          <cell r="AW209">
            <v>0.17608497828585579</v>
          </cell>
        </row>
        <row r="210">
          <cell r="I210" t="str">
            <v>Headcount</v>
          </cell>
          <cell r="L210">
            <v>0.10103217619625043</v>
          </cell>
          <cell r="M210">
            <v>0.10954009921743033</v>
          </cell>
          <cell r="N210">
            <v>7.5356433964208297E-2</v>
          </cell>
          <cell r="O210">
            <v>10</v>
          </cell>
          <cell r="P210">
            <v>0.18218177734362445</v>
          </cell>
          <cell r="Q210">
            <v>0.18504811878455485</v>
          </cell>
          <cell r="R210">
            <v>0.20565506026281513</v>
          </cell>
          <cell r="S210">
            <v>0.22738674346893126</v>
          </cell>
          <cell r="T210">
            <v>0.24995940118666579</v>
          </cell>
          <cell r="U210">
            <v>0.2858512942025479</v>
          </cell>
          <cell r="V210">
            <v>34</v>
          </cell>
          <cell r="W210">
            <v>44</v>
          </cell>
          <cell r="X210">
            <v>49</v>
          </cell>
          <cell r="Y210">
            <v>54</v>
          </cell>
          <cell r="Z210">
            <v>73</v>
          </cell>
          <cell r="AA210">
            <v>76.064377777777764</v>
          </cell>
          <cell r="AB210">
            <v>77.29483333333333</v>
          </cell>
          <cell r="AC210">
            <v>76.599305555555532</v>
          </cell>
          <cell r="AD210">
            <v>106.43399999999998</v>
          </cell>
          <cell r="AE210">
            <v>107.21176633333329</v>
          </cell>
          <cell r="AF210">
            <v>0.39493049119555157</v>
          </cell>
          <cell r="AG210">
            <v>0.40493049119555158</v>
          </cell>
          <cell r="AH210">
            <v>10</v>
          </cell>
          <cell r="AI210">
            <v>0.4249304911955516</v>
          </cell>
          <cell r="AJ210">
            <v>44</v>
          </cell>
          <cell r="AK210">
            <v>76.064377777777764</v>
          </cell>
          <cell r="AL210">
            <v>107.21176633333329</v>
          </cell>
          <cell r="AM210">
            <v>144.38148883333326</v>
          </cell>
          <cell r="AN210">
            <v>178.68187659583322</v>
          </cell>
          <cell r="AO210">
            <v>207.78224726814568</v>
          </cell>
          <cell r="AP210">
            <v>229.37258422890847</v>
          </cell>
          <cell r="AQ210">
            <v>245.09791237105668</v>
          </cell>
          <cell r="AR210">
            <v>253.73205959747139</v>
          </cell>
          <cell r="AS210">
            <v>254.26166383749461</v>
          </cell>
          <cell r="AT210">
            <v>0.50186660085841228</v>
          </cell>
          <cell r="AU210">
            <v>0.53186660085841231</v>
          </cell>
          <cell r="AV210">
            <v>0.56186660085841234</v>
          </cell>
          <cell r="AW210">
            <v>0.59186660085841236</v>
          </cell>
        </row>
        <row r="211">
          <cell r="I211" t="str">
            <v>Sales and marketing</v>
          </cell>
          <cell r="L211">
            <v>245.65865200000007</v>
          </cell>
          <cell r="M211">
            <v>408.90976000000046</v>
          </cell>
          <cell r="N211">
            <v>541.63663499999984</v>
          </cell>
          <cell r="O211">
            <v>32</v>
          </cell>
          <cell r="P211">
            <v>610.595147</v>
          </cell>
          <cell r="Q211">
            <v>798.48107200000049</v>
          </cell>
          <cell r="R211">
            <v>707.49265600000035</v>
          </cell>
          <cell r="S211">
            <v>974.9225030000016</v>
          </cell>
          <cell r="T211">
            <v>2847.3475050000015</v>
          </cell>
          <cell r="U211">
            <v>5334.6694419999985</v>
          </cell>
          <cell r="V211">
            <v>95</v>
          </cell>
          <cell r="W211">
            <v>109</v>
          </cell>
          <cell r="X211">
            <v>114</v>
          </cell>
          <cell r="Y211">
            <v>117</v>
          </cell>
          <cell r="Z211">
            <v>143</v>
          </cell>
          <cell r="AA211">
            <v>145</v>
          </cell>
          <cell r="AB211">
            <v>147</v>
          </cell>
          <cell r="AC211">
            <v>149</v>
          </cell>
          <cell r="AD211">
            <v>151</v>
          </cell>
          <cell r="AE211">
            <v>153</v>
          </cell>
          <cell r="AF211">
            <v>135.20736418024961</v>
          </cell>
          <cell r="AG211">
            <v>152.26642231216996</v>
          </cell>
          <cell r="AH211">
            <v>32</v>
          </cell>
          <cell r="AI211">
            <v>283.00112281351517</v>
          </cell>
          <cell r="AJ211">
            <v>109</v>
          </cell>
          <cell r="AK211">
            <v>145</v>
          </cell>
          <cell r="AL211">
            <v>153</v>
          </cell>
          <cell r="AM211">
            <v>158</v>
          </cell>
          <cell r="AN211">
            <v>163</v>
          </cell>
          <cell r="AO211">
            <v>168</v>
          </cell>
          <cell r="AP211">
            <v>173</v>
          </cell>
          <cell r="AQ211">
            <v>178</v>
          </cell>
          <cell r="AR211">
            <v>183</v>
          </cell>
          <cell r="AS211">
            <v>188</v>
          </cell>
          <cell r="AT211">
            <v>469913.91196673329</v>
          </cell>
          <cell r="AU211">
            <v>595412.4486046927</v>
          </cell>
          <cell r="AV211">
            <v>735011.12507809873</v>
          </cell>
          <cell r="AW211">
            <v>887006.9749295169</v>
          </cell>
        </row>
        <row r="212">
          <cell r="I212" t="str">
            <v>Technology and development</v>
          </cell>
          <cell r="L212" t="str">
            <v>NA</v>
          </cell>
          <cell r="M212" t="str">
            <v>NA</v>
          </cell>
          <cell r="N212" t="str">
            <v>NA</v>
          </cell>
          <cell r="O212">
            <v>66</v>
          </cell>
          <cell r="P212">
            <v>1.4855430168199399</v>
          </cell>
          <cell r="Q212">
            <v>0.95270729659277298</v>
          </cell>
          <cell r="R212">
            <v>0.3062127084516737</v>
          </cell>
          <cell r="S212">
            <v>0.7761848776705218</v>
          </cell>
          <cell r="T212">
            <v>3.6632331078779465</v>
          </cell>
          <cell r="U212">
            <v>5.6810217913343291</v>
          </cell>
          <cell r="V212">
            <v>190</v>
          </cell>
          <cell r="W212">
            <v>222</v>
          </cell>
          <cell r="X212">
            <v>242</v>
          </cell>
          <cell r="Y212">
            <v>255</v>
          </cell>
          <cell r="Z212">
            <v>323</v>
          </cell>
          <cell r="AA212">
            <v>332.55599999999998</v>
          </cell>
          <cell r="AB212">
            <v>337.59000000000003</v>
          </cell>
          <cell r="AC212">
            <v>337.875</v>
          </cell>
          <cell r="AD212">
            <v>413.44</v>
          </cell>
          <cell r="AE212">
            <v>417.35777999999993</v>
          </cell>
          <cell r="AF212">
            <v>58.317810432565473</v>
          </cell>
          <cell r="AG212">
            <v>65.675744849282452</v>
          </cell>
          <cell r="AH212">
            <v>66</v>
          </cell>
          <cell r="AI212">
            <v>122.06440035647536</v>
          </cell>
          <cell r="AJ212">
            <v>222</v>
          </cell>
          <cell r="AK212">
            <v>332.55599999999998</v>
          </cell>
          <cell r="AL212">
            <v>417.35777999999993</v>
          </cell>
          <cell r="AM212">
            <v>469.52750249999991</v>
          </cell>
          <cell r="AN212">
            <v>518.82789026249986</v>
          </cell>
          <cell r="AO212">
            <v>562.92826093481233</v>
          </cell>
          <cell r="AP212">
            <v>599.51859789557511</v>
          </cell>
          <cell r="AQ212">
            <v>630.24392603772333</v>
          </cell>
          <cell r="AR212">
            <v>653.87807326413804</v>
          </cell>
          <cell r="AS212">
            <v>669.40767750416126</v>
          </cell>
          <cell r="AT212">
            <v>0.30562968568308113</v>
          </cell>
          <cell r="AU212">
            <v>0.26706708067592566</v>
          </cell>
          <cell r="AV212">
            <v>0.23445710078878212</v>
          </cell>
          <cell r="AW212">
            <v>0.20679394456140754</v>
          </cell>
        </row>
        <row r="213">
          <cell r="I213" t="str">
            <v>General and administrative</v>
          </cell>
          <cell r="L213">
            <v>8.6427448207849367E-2</v>
          </cell>
          <cell r="M213">
            <v>6.8281834423378943E-2</v>
          </cell>
          <cell r="N213">
            <v>6.6499413455851059E-2</v>
          </cell>
          <cell r="O213">
            <v>32</v>
          </cell>
          <cell r="P213">
            <v>4.16932546155835E-2</v>
          </cell>
          <cell r="Q213">
            <v>5.520481805793815E-2</v>
          </cell>
          <cell r="R213">
            <v>4.817236995162192E-2</v>
          </cell>
          <cell r="S213">
            <v>3.3441315798410219E-2</v>
          </cell>
          <cell r="T213">
            <v>8.7743898785323807E-2</v>
          </cell>
          <cell r="U213">
            <v>0.14649966965053854</v>
          </cell>
          <cell r="V213">
            <v>95</v>
          </cell>
          <cell r="W213">
            <v>32</v>
          </cell>
          <cell r="X213">
            <v>20</v>
          </cell>
          <cell r="Y213">
            <v>13</v>
          </cell>
          <cell r="Z213">
            <v>68</v>
          </cell>
          <cell r="AA213">
            <v>9.5559999999999832</v>
          </cell>
          <cell r="AB213">
            <v>5.0340000000000487</v>
          </cell>
          <cell r="AC213">
            <v>0.28499999999996817</v>
          </cell>
          <cell r="AD213">
            <v>75.564999999999998</v>
          </cell>
          <cell r="AE213">
            <v>3.9177799999999365</v>
          </cell>
          <cell r="AF213">
            <v>154</v>
          </cell>
          <cell r="AG213">
            <v>155</v>
          </cell>
          <cell r="AH213">
            <v>32</v>
          </cell>
          <cell r="AI213">
            <v>157</v>
          </cell>
          <cell r="AJ213">
            <v>109</v>
          </cell>
          <cell r="AK213">
            <v>110.55599999999998</v>
          </cell>
          <cell r="AL213">
            <v>84.801779999999951</v>
          </cell>
          <cell r="AM213">
            <v>52.169722499999978</v>
          </cell>
          <cell r="AN213">
            <v>49.300387762499952</v>
          </cell>
          <cell r="AO213">
            <v>44.100370672312465</v>
          </cell>
          <cell r="AP213">
            <v>36.590336960762784</v>
          </cell>
          <cell r="AQ213">
            <v>30.725328142148214</v>
          </cell>
          <cell r="AR213">
            <v>23.634147226414711</v>
          </cell>
          <cell r="AS213">
            <v>15.529604240023218</v>
          </cell>
          <cell r="AT213">
            <v>0.40110716523759404</v>
          </cell>
          <cell r="AU213">
            <v>0.43428034270386962</v>
          </cell>
          <cell r="AV213">
            <v>0.46786626059340086</v>
          </cell>
          <cell r="AW213">
            <v>0.50185546637914469</v>
          </cell>
        </row>
        <row r="214">
          <cell r="I214" t="str">
            <v>Total headcount</v>
          </cell>
          <cell r="L214">
            <v>0.40537219620907466</v>
          </cell>
          <cell r="M214">
            <v>0.29909350790868444</v>
          </cell>
          <cell r="N214">
            <v>0.41940669021724758</v>
          </cell>
          <cell r="O214">
            <v>66</v>
          </cell>
          <cell r="P214">
            <v>0.12929650286188893</v>
          </cell>
          <cell r="Q214">
            <v>0.16244970965460456</v>
          </cell>
          <cell r="R214">
            <v>0.10338493438566852</v>
          </cell>
          <cell r="S214">
            <v>9.0151792192901328E-2</v>
          </cell>
          <cell r="T214">
            <v>0.20502737675135943</v>
          </cell>
          <cell r="U214">
            <v>0.30427929882482879</v>
          </cell>
          <cell r="V214">
            <v>190</v>
          </cell>
          <cell r="W214">
            <v>222</v>
          </cell>
          <cell r="X214">
            <v>242</v>
          </cell>
          <cell r="Y214">
            <v>255</v>
          </cell>
          <cell r="Z214">
            <v>323</v>
          </cell>
          <cell r="AA214">
            <v>332.55599999999998</v>
          </cell>
          <cell r="AB214">
            <v>337.59000000000003</v>
          </cell>
          <cell r="AC214">
            <v>337.875</v>
          </cell>
          <cell r="AD214">
            <v>413.44</v>
          </cell>
          <cell r="AE214">
            <v>417.35777999999993</v>
          </cell>
          <cell r="AF214">
            <v>347.52517461281508</v>
          </cell>
          <cell r="AG214">
            <v>372.9421671614524</v>
          </cell>
          <cell r="AH214">
            <v>66</v>
          </cell>
          <cell r="AI214">
            <v>562.06552316999057</v>
          </cell>
          <cell r="AJ214">
            <v>222</v>
          </cell>
          <cell r="AK214">
            <v>332.55599999999998</v>
          </cell>
          <cell r="AL214">
            <v>417.35777999999993</v>
          </cell>
          <cell r="AM214">
            <v>469.52750249999991</v>
          </cell>
          <cell r="AN214">
            <v>518.82789026249986</v>
          </cell>
          <cell r="AO214">
            <v>562.92826093481233</v>
          </cell>
          <cell r="AP214">
            <v>599.51859789557511</v>
          </cell>
          <cell r="AQ214">
            <v>630.24392603772333</v>
          </cell>
          <cell r="AR214">
            <v>653.87807326413804</v>
          </cell>
          <cell r="AS214">
            <v>669.40767750416126</v>
          </cell>
          <cell r="AT214">
            <v>0.51148234082014332</v>
          </cell>
          <cell r="AU214">
            <v>0.52663034260239117</v>
          </cell>
          <cell r="AV214">
            <v>0.54122860516457705</v>
          </cell>
          <cell r="AW214">
            <v>0.55536072256274949</v>
          </cell>
        </row>
        <row r="215">
          <cell r="I215" t="str">
            <v>Period-to-period change</v>
          </cell>
          <cell r="P215">
            <v>-2760.7569334718573</v>
          </cell>
          <cell r="Q215">
            <v>-1366.4379825407989</v>
          </cell>
          <cell r="R215">
            <v>-3160.2175583157905</v>
          </cell>
          <cell r="S215">
            <v>-1442.233029283841</v>
          </cell>
          <cell r="T215">
            <v>757.30873889470502</v>
          </cell>
          <cell r="U215">
            <v>1418.2958917022422</v>
          </cell>
          <cell r="V215">
            <v>1630.409963155342</v>
          </cell>
          <cell r="W215">
            <v>32</v>
          </cell>
          <cell r="X215">
            <v>20</v>
          </cell>
          <cell r="Y215">
            <v>13</v>
          </cell>
          <cell r="Z215">
            <v>68</v>
          </cell>
          <cell r="AA215">
            <v>9.5559999999999832</v>
          </cell>
          <cell r="AB215">
            <v>5.0340000000000487</v>
          </cell>
          <cell r="AC215">
            <v>0.28499999999996817</v>
          </cell>
          <cell r="AD215">
            <v>75.564999999999998</v>
          </cell>
          <cell r="AE215">
            <v>3.9177799999999365</v>
          </cell>
          <cell r="AF215">
            <v>-152.08862376050985</v>
          </cell>
          <cell r="AG215">
            <v>25.416992548637324</v>
          </cell>
          <cell r="AH215">
            <v>133.96595783854758</v>
          </cell>
          <cell r="AI215">
            <v>55.157398169990586</v>
          </cell>
          <cell r="AK215">
            <v>90.25862398332805</v>
          </cell>
          <cell r="AL215">
            <v>187.35517438999688</v>
          </cell>
          <cell r="AM215">
            <v>-1979.9975102883932</v>
          </cell>
          <cell r="AN215">
            <v>1715.3121629879236</v>
          </cell>
          <cell r="AO215">
            <v>611.78838230176166</v>
          </cell>
          <cell r="AP215">
            <v>984.34129373200562</v>
          </cell>
          <cell r="AQ215">
            <v>167.21900215906916</v>
          </cell>
          <cell r="AR215">
            <v>179.61838739995463</v>
          </cell>
          <cell r="AS215">
            <v>165.90514008666236</v>
          </cell>
          <cell r="AT215">
            <v>158.02593792729357</v>
          </cell>
          <cell r="AU215">
            <v>151.48001782247843</v>
          </cell>
          <cell r="AV215">
            <v>145.98262562185883</v>
          </cell>
          <cell r="AW215">
            <v>141.3211739817244</v>
          </cell>
        </row>
        <row r="216">
          <cell r="I216" t="str">
            <v>Revenue (reported)</v>
          </cell>
          <cell r="L216">
            <v>1.627E-2</v>
          </cell>
          <cell r="M216">
            <v>3.388E-2</v>
          </cell>
          <cell r="N216">
            <v>4.1029999999999997E-2</v>
          </cell>
          <cell r="O216">
            <v>7.102E-2</v>
          </cell>
          <cell r="P216">
            <v>8.8249999999999995E-2</v>
          </cell>
          <cell r="Q216">
            <v>0.18515999999999999</v>
          </cell>
          <cell r="R216">
            <v>0.33011999999999997</v>
          </cell>
          <cell r="S216">
            <v>0.90247000000000011</v>
          </cell>
          <cell r="T216">
            <v>1.3</v>
          </cell>
          <cell r="U216">
            <v>1.8</v>
          </cell>
          <cell r="V216">
            <v>3.0226799999999998</v>
          </cell>
          <cell r="W216">
            <v>4.1983200000000007</v>
          </cell>
          <cell r="X216">
            <v>4</v>
          </cell>
          <cell r="Y216">
            <v>4.5999999999999996</v>
          </cell>
          <cell r="Z216">
            <v>6.2</v>
          </cell>
          <cell r="AA216">
            <v>11.424000000000001</v>
          </cell>
          <cell r="AB216">
            <v>9.0965920000000011</v>
          </cell>
          <cell r="AC216">
            <v>15.392430000000001</v>
          </cell>
          <cell r="AD216">
            <v>15.1</v>
          </cell>
          <cell r="AE216">
            <v>18.757499721964788</v>
          </cell>
          <cell r="AF216">
            <v>18.310249885078779</v>
          </cell>
          <cell r="AG216">
            <v>21.613332389249312</v>
          </cell>
          <cell r="AH216">
            <v>24.118640000000006</v>
          </cell>
          <cell r="AI216">
            <v>29.659109638554227</v>
          </cell>
          <cell r="AL216">
            <v>0.16220000000000001</v>
          </cell>
          <cell r="AM216">
            <v>1.506</v>
          </cell>
          <cell r="AN216">
            <v>10.321000000000002</v>
          </cell>
          <cell r="AO216">
            <v>26.224000000000004</v>
          </cell>
          <cell r="AP216">
            <v>58.346521721964791</v>
          </cell>
          <cell r="AQ216">
            <v>93.701331912882324</v>
          </cell>
          <cell r="AR216">
            <v>149.80776637803524</v>
          </cell>
          <cell r="AS216">
            <v>222.33244186300652</v>
          </cell>
          <cell r="AT216">
            <v>310.12980192640021</v>
          </cell>
          <cell r="AU216">
            <v>410.84891652042683</v>
          </cell>
          <cell r="AV216">
            <v>521.46252454780586</v>
          </cell>
          <cell r="AW216">
            <v>638.7872156411114</v>
          </cell>
        </row>
        <row r="217">
          <cell r="I217" t="str">
            <v>% change Y/Y</v>
          </cell>
          <cell r="L217" t="str">
            <v>NA</v>
          </cell>
          <cell r="M217" t="str">
            <v>NA</v>
          </cell>
          <cell r="N217" t="str">
            <v>NA</v>
          </cell>
          <cell r="O217" t="str">
            <v>NA</v>
          </cell>
          <cell r="P217">
            <v>4.4240934234787952</v>
          </cell>
          <cell r="Q217">
            <v>4.4651711924439192</v>
          </cell>
          <cell r="R217">
            <v>7.0458201316110163</v>
          </cell>
          <cell r="S217">
            <v>11.707265558997467</v>
          </cell>
          <cell r="T217">
            <v>13.730878186968839</v>
          </cell>
          <cell r="U217">
            <v>8.7213220998055743</v>
          </cell>
          <cell r="V217">
            <v>8.1563067975281722</v>
          </cell>
          <cell r="W217">
            <v>3.6520327545513984</v>
          </cell>
          <cell r="X217">
            <v>2.0769230769230766</v>
          </cell>
          <cell r="Y217">
            <v>1.5555555555555554</v>
          </cell>
          <cell r="Z217">
            <v>1.0511598978390038</v>
          </cell>
          <cell r="AA217">
            <v>1.7210884353741496</v>
          </cell>
          <cell r="AB217">
            <v>1.2741480000000003</v>
          </cell>
          <cell r="AC217">
            <v>2.346180434782609</v>
          </cell>
          <cell r="AD217">
            <v>1.435483870967742</v>
          </cell>
          <cell r="AE217">
            <v>0.64193800087226771</v>
          </cell>
          <cell r="AF217">
            <v>1.0128692025627593</v>
          </cell>
          <cell r="AG217">
            <v>0.40415336559914916</v>
          </cell>
          <cell r="AH217">
            <v>0.59726092715231838</v>
          </cell>
          <cell r="AI217">
            <v>0.58118672947779904</v>
          </cell>
          <cell r="AL217" t="str">
            <v>NA</v>
          </cell>
          <cell r="AM217">
            <v>8.2848335388409371</v>
          </cell>
          <cell r="AN217">
            <v>5.8532536520584335</v>
          </cell>
          <cell r="AO217">
            <v>1.5408390659819786</v>
          </cell>
          <cell r="AP217">
            <v>1.2249283756087852</v>
          </cell>
          <cell r="AQ217">
            <v>0.60594546422821405</v>
          </cell>
          <cell r="AR217">
            <v>0.59877947644668694</v>
          </cell>
          <cell r="AS217">
            <v>0.48411826194616325</v>
          </cell>
          <cell r="AT217">
            <v>0.39489225831240304</v>
          </cell>
          <cell r="AU217">
            <v>0.32476438564884913</v>
          </cell>
          <cell r="AV217">
            <v>0.26923183579061361</v>
          </cell>
          <cell r="AW217">
            <v>0.22499160643431737</v>
          </cell>
        </row>
        <row r="218">
          <cell r="I218" t="str">
            <v>Unique users</v>
          </cell>
          <cell r="L218">
            <v>6.6230111854558224E-2</v>
          </cell>
          <cell r="M218">
            <v>8.2854466472015637E-2</v>
          </cell>
          <cell r="N218">
            <v>7.5751892225680059E-2</v>
          </cell>
          <cell r="O218">
            <v>0.12938941261894357</v>
          </cell>
          <cell r="P218">
            <v>0.14453111924258383</v>
          </cell>
          <cell r="Q218">
            <v>0.23189028080054461</v>
          </cell>
          <cell r="R218">
            <v>0.46660555017831851</v>
          </cell>
          <cell r="S218">
            <v>0.92568383355902351</v>
          </cell>
          <cell r="T218">
            <v>0.45656527617973325</v>
          </cell>
          <cell r="U218">
            <v>0.33741547054978721</v>
          </cell>
          <cell r="V218">
            <v>0.48100710395016927</v>
          </cell>
          <cell r="W218">
            <v>0.47385212959122297</v>
          </cell>
          <cell r="X218">
            <v>0.40071681092470118</v>
          </cell>
          <cell r="Y218">
            <v>0.37416156473887963</v>
          </cell>
          <cell r="Z218">
            <v>0.40588927900381155</v>
          </cell>
          <cell r="AA218">
            <v>400</v>
          </cell>
          <cell r="AB218">
            <v>420</v>
          </cell>
          <cell r="AC218">
            <v>450</v>
          </cell>
          <cell r="AD218">
            <v>0.48336156607782949</v>
          </cell>
          <cell r="AE218">
            <v>0.54997125592145013</v>
          </cell>
          <cell r="AF218">
            <v>0.50928832944303859</v>
          </cell>
          <cell r="AG218">
            <v>0.54633886820665756</v>
          </cell>
          <cell r="AH218">
            <v>0.52183565021855527</v>
          </cell>
          <cell r="AI218">
            <v>0.58617904009099442</v>
          </cell>
          <cell r="AL218">
            <v>9.2946455117325813E-2</v>
          </cell>
          <cell r="AM218">
            <v>0.48714352261085259</v>
          </cell>
          <cell r="AN218">
            <v>0.4424664696012961</v>
          </cell>
          <cell r="AO218">
            <v>0.43577666905007684</v>
          </cell>
          <cell r="AP218">
            <v>0.50718448473618916</v>
          </cell>
          <cell r="AQ218">
            <v>0.54373474095329388</v>
          </cell>
          <cell r="AR218">
            <v>0.59966975472857198</v>
          </cell>
          <cell r="AS218">
            <v>0.64953087779891794</v>
          </cell>
          <cell r="AT218">
            <v>0.69250816296222362</v>
          </cell>
          <cell r="AU218">
            <v>0.72875627314961466</v>
          </cell>
          <cell r="AV218">
            <v>0.7586681813443229</v>
          </cell>
          <cell r="AW218">
            <v>0.78279442181087577</v>
          </cell>
        </row>
        <row r="219">
          <cell r="I219" t="str">
            <v>Profiles</v>
          </cell>
          <cell r="L219" t="str">
            <v>NA</v>
          </cell>
          <cell r="M219" t="str">
            <v>NA</v>
          </cell>
          <cell r="N219" t="str">
            <v>NA</v>
          </cell>
          <cell r="O219" t="str">
            <v>NA</v>
          </cell>
          <cell r="P219">
            <v>1.1822569099683111</v>
          </cell>
          <cell r="Q219">
            <v>1.7987662062716474</v>
          </cell>
          <cell r="R219">
            <v>5.1596553758447001</v>
          </cell>
          <cell r="S219">
            <v>6.1542471275079933</v>
          </cell>
          <cell r="T219">
            <v>2.1589409849751822</v>
          </cell>
          <cell r="U219">
            <v>0.45506516868642644</v>
          </cell>
          <cell r="V219">
            <v>3.0864514505554164E-2</v>
          </cell>
          <cell r="W219">
            <v>-0.48810586032449144</v>
          </cell>
          <cell r="X219">
            <v>150</v>
          </cell>
          <cell r="Y219">
            <v>0.10890459210189163</v>
          </cell>
          <cell r="Z219">
            <v>-0.15616780777137895</v>
          </cell>
          <cell r="AA219">
            <v>350</v>
          </cell>
          <cell r="AB219">
            <v>350</v>
          </cell>
          <cell r="AC219">
            <v>450</v>
          </cell>
          <cell r="AD219">
            <v>0.1908704937074488</v>
          </cell>
          <cell r="AE219">
            <v>8.9266881759256123E-2</v>
          </cell>
          <cell r="AF219">
            <v>0.12425449183829484</v>
          </cell>
          <cell r="AG219">
            <v>5.1098608374278376E-2</v>
          </cell>
          <cell r="AH219">
            <v>7.9596903934498586E-2</v>
          </cell>
          <cell r="AI219">
            <v>6.5835775560451726E-2</v>
          </cell>
          <cell r="AL219" t="str">
            <v>NA</v>
          </cell>
          <cell r="AM219">
            <v>4.2411199759682487</v>
          </cell>
          <cell r="AN219">
            <v>-9.1712300248003253E-2</v>
          </cell>
          <cell r="AO219">
            <v>-1.5119339002676035E-2</v>
          </cell>
          <cell r="AP219">
            <v>0.16386332898860756</v>
          </cell>
          <cell r="AQ219">
            <v>7.2065012470001522E-2</v>
          </cell>
          <cell r="AR219">
            <v>0.10287187770494666</v>
          </cell>
          <cell r="AS219">
            <v>8.3147636973811556E-2</v>
          </cell>
          <cell r="AT219">
            <v>6.6166654476756959E-2</v>
          </cell>
          <cell r="AU219">
            <v>5.2343224421122603E-2</v>
          </cell>
          <cell r="AV219">
            <v>4.1045146775110286E-2</v>
          </cell>
          <cell r="AW219">
            <v>3.1800780709957177E-2</v>
          </cell>
        </row>
        <row r="220">
          <cell r="I220" t="str">
            <v>% variance from WW</v>
          </cell>
          <cell r="L220">
            <v>-0.88429601697887694</v>
          </cell>
          <cell r="M220">
            <v>-0.85354816424533386</v>
          </cell>
          <cell r="N220">
            <v>-0.84962273379089281</v>
          </cell>
          <cell r="O220">
            <v>-0.78991058200489173</v>
          </cell>
          <cell r="P220">
            <v>-0.76015304892359381</v>
          </cell>
          <cell r="Q220">
            <v>-0.63771278117410424</v>
          </cell>
          <cell r="R220">
            <v>-0.37723636951787687</v>
          </cell>
          <cell r="S220">
            <v>0.43998064999881037</v>
          </cell>
          <cell r="T220">
            <v>-0.31066649824203318</v>
          </cell>
          <cell r="U220">
            <v>-0.45263433306597034</v>
          </cell>
          <cell r="V220">
            <v>-0.2746114339055028</v>
          </cell>
          <cell r="W220">
            <v>-0.27366003517207793</v>
          </cell>
          <cell r="X220">
            <v>-0.36340457469132015</v>
          </cell>
          <cell r="Y220">
            <v>-0.41308690904113987</v>
          </cell>
          <cell r="Z220">
            <v>-0.39099218450097883</v>
          </cell>
          <cell r="AA220">
            <v>-0.26147284099830337</v>
          </cell>
          <cell r="AB220">
            <v>-0.32006598871791803</v>
          </cell>
          <cell r="AC220">
            <v>-0.29220757794574381</v>
          </cell>
          <cell r="AD220">
            <v>-0.32009863505472191</v>
          </cell>
          <cell r="AE220">
            <v>-0.27615294384248967</v>
          </cell>
          <cell r="AF220">
            <v>-0.32059486051335662</v>
          </cell>
          <cell r="AG220">
            <v>-0.33617361586241012</v>
          </cell>
          <cell r="AH220">
            <v>-0.30253601146933085</v>
          </cell>
          <cell r="AI220">
            <v>-0.26739808564952139</v>
          </cell>
          <cell r="AL220">
            <v>-0.83664220080450136</v>
          </cell>
          <cell r="AM220">
            <v>-0.25699269859256924</v>
          </cell>
          <cell r="AN220">
            <v>-0.31798091113162985</v>
          </cell>
          <cell r="AO220">
            <v>-0.33843013013983314</v>
          </cell>
          <cell r="AP220">
            <v>-0.2987774603188873</v>
          </cell>
          <cell r="AQ220">
            <v>-0.30329853706079091</v>
          </cell>
          <cell r="AR220">
            <v>-0.28079720285709153</v>
          </cell>
          <cell r="AS220">
            <v>-0.2623953783975973</v>
          </cell>
          <cell r="AT220">
            <v>-0.24777942737241676</v>
          </cell>
          <cell r="AU220">
            <v>-0.23611812283710309</v>
          </cell>
          <cell r="AV220">
            <v>-0.22679796862592694</v>
          </cell>
          <cell r="AW220">
            <v>-0.2193568579647186</v>
          </cell>
        </row>
        <row r="223">
          <cell r="I223" t="str">
            <v>Requests &amp; Revenue per App / Site</v>
          </cell>
        </row>
        <row r="224">
          <cell r="I224" t="str">
            <v>Apps / Sites ('000)</v>
          </cell>
          <cell r="L224">
            <v>3.9609999999999999</v>
          </cell>
          <cell r="M224">
            <v>4.492</v>
          </cell>
          <cell r="N224">
            <v>4.9089999999999998</v>
          </cell>
          <cell r="O224">
            <v>5.0309999999999997</v>
          </cell>
          <cell r="P224">
            <v>6.0759999999999996</v>
          </cell>
          <cell r="Q224">
            <v>7.4729999999999999</v>
          </cell>
          <cell r="R224">
            <v>10.443</v>
          </cell>
          <cell r="S224">
            <v>14.016</v>
          </cell>
          <cell r="T224">
            <v>19.277999999999999</v>
          </cell>
          <cell r="U224">
            <v>22.986000000000001</v>
          </cell>
          <cell r="V224">
            <v>27.283999999999999</v>
          </cell>
          <cell r="W224">
            <v>28</v>
          </cell>
          <cell r="X224">
            <v>30.5</v>
          </cell>
          <cell r="Y224">
            <v>35.5</v>
          </cell>
          <cell r="Z224">
            <v>38.5</v>
          </cell>
          <cell r="AA224">
            <v>39.5</v>
          </cell>
          <cell r="AB224">
            <v>42.5</v>
          </cell>
          <cell r="AC224">
            <v>45.5</v>
          </cell>
          <cell r="AD224">
            <v>49.5</v>
          </cell>
          <cell r="AE224">
            <v>51.5</v>
          </cell>
          <cell r="AF224">
            <v>53.5</v>
          </cell>
          <cell r="AG224">
            <v>55.5</v>
          </cell>
          <cell r="AH224">
            <v>57.5</v>
          </cell>
          <cell r="AI224">
            <v>59.5</v>
          </cell>
          <cell r="AL224">
            <v>5.0309999999999997</v>
          </cell>
          <cell r="AM224">
            <v>14.016</v>
          </cell>
          <cell r="AN224">
            <v>28</v>
          </cell>
          <cell r="AO224">
            <v>39.5</v>
          </cell>
          <cell r="AP224">
            <v>51.5</v>
          </cell>
          <cell r="AQ224">
            <v>59.5</v>
          </cell>
          <cell r="AR224">
            <v>64.5</v>
          </cell>
          <cell r="AS224">
            <v>69.5</v>
          </cell>
          <cell r="AT224">
            <v>74.5</v>
          </cell>
          <cell r="AU224">
            <v>79.5</v>
          </cell>
          <cell r="AV224">
            <v>84.5</v>
          </cell>
          <cell r="AW224">
            <v>89.5</v>
          </cell>
        </row>
        <row r="225">
          <cell r="I225" t="str">
            <v>% change Y/Y</v>
          </cell>
          <cell r="L225" t="str">
            <v>NA</v>
          </cell>
          <cell r="M225" t="str">
            <v>NA</v>
          </cell>
          <cell r="N225" t="str">
            <v>NA</v>
          </cell>
          <cell r="O225" t="str">
            <v>NA</v>
          </cell>
          <cell r="P225">
            <v>0.53395607169906589</v>
          </cell>
          <cell r="Q225">
            <v>0.66362422083704353</v>
          </cell>
          <cell r="R225">
            <v>1.1273171725402324</v>
          </cell>
          <cell r="S225">
            <v>1.7859272510435305</v>
          </cell>
          <cell r="T225">
            <v>2.1728110599078341</v>
          </cell>
          <cell r="U225">
            <v>2.0758731433159374</v>
          </cell>
          <cell r="V225">
            <v>1.6126591975485973</v>
          </cell>
          <cell r="W225">
            <v>0.99771689497716887</v>
          </cell>
          <cell r="X225">
            <v>0.58211432721236656</v>
          </cell>
          <cell r="Y225">
            <v>0.5444183415992343</v>
          </cell>
          <cell r="Z225">
            <v>0.41108341885354061</v>
          </cell>
          <cell r="AA225">
            <v>0.41071428571428581</v>
          </cell>
          <cell r="AB225">
            <v>0.39344262295081966</v>
          </cell>
          <cell r="AC225">
            <v>0.28169014084507049</v>
          </cell>
          <cell r="AD225">
            <v>0.28571428571428581</v>
          </cell>
          <cell r="AE225">
            <v>0.30379746835443044</v>
          </cell>
          <cell r="AF225">
            <v>0.25882352941176467</v>
          </cell>
          <cell r="AG225">
            <v>0.21978021978021989</v>
          </cell>
          <cell r="AH225">
            <v>0.16161616161616155</v>
          </cell>
          <cell r="AI225">
            <v>0.15533980582524265</v>
          </cell>
          <cell r="AL225" t="str">
            <v>NA</v>
          </cell>
          <cell r="AM225">
            <v>1.7859272510435305</v>
          </cell>
          <cell r="AN225">
            <v>0.99771689497716887</v>
          </cell>
          <cell r="AO225">
            <v>0.41071428571428581</v>
          </cell>
          <cell r="AP225">
            <v>0.30379746835443044</v>
          </cell>
          <cell r="AQ225">
            <v>0.15533980582524265</v>
          </cell>
          <cell r="AR225">
            <v>8.4033613445378075E-2</v>
          </cell>
          <cell r="AS225">
            <v>7.7519379844961156E-2</v>
          </cell>
          <cell r="AT225">
            <v>7.1942446043165464E-2</v>
          </cell>
          <cell r="AU225">
            <v>6.7114093959731447E-2</v>
          </cell>
          <cell r="AV225">
            <v>6.2893081761006275E-2</v>
          </cell>
          <cell r="AW225">
            <v>5.9171597633136175E-2</v>
          </cell>
        </row>
        <row r="226">
          <cell r="I226" t="str">
            <v>% change Q/Q</v>
          </cell>
          <cell r="M226">
            <v>0.13405705629891451</v>
          </cell>
          <cell r="N226">
            <v>9.2831700801424777E-2</v>
          </cell>
          <cell r="O226">
            <v>2.4852312079853389E-2</v>
          </cell>
          <cell r="P226">
            <v>0.20771218445637052</v>
          </cell>
          <cell r="Q226">
            <v>0.22992100065832788</v>
          </cell>
          <cell r="R226">
            <v>0.39743075070252898</v>
          </cell>
          <cell r="S226">
            <v>0.34214306233840852</v>
          </cell>
          <cell r="T226">
            <v>0.37542808219178081</v>
          </cell>
          <cell r="U226">
            <v>0.1923436041083102</v>
          </cell>
          <cell r="V226">
            <v>0.18698338118854951</v>
          </cell>
          <cell r="W226">
            <v>2.6242486438938561E-2</v>
          </cell>
          <cell r="X226">
            <v>8.9285714285714191E-2</v>
          </cell>
          <cell r="Y226">
            <v>0.16393442622950816</v>
          </cell>
          <cell r="Z226">
            <v>8.4507042253521236E-2</v>
          </cell>
          <cell r="AA226">
            <v>2.5974025974025983E-2</v>
          </cell>
          <cell r="AB226">
            <v>7.5949367088607556E-2</v>
          </cell>
          <cell r="AC226">
            <v>7.0588235294117618E-2</v>
          </cell>
          <cell r="AD226">
            <v>8.7912087912087822E-2</v>
          </cell>
          <cell r="AE226">
            <v>4.0404040404040442E-2</v>
          </cell>
          <cell r="AF226">
            <v>3.8834951456310662E-2</v>
          </cell>
          <cell r="AG226">
            <v>3.7383177570093462E-2</v>
          </cell>
          <cell r="AH226">
            <v>3.6036036036036112E-2</v>
          </cell>
          <cell r="AI226">
            <v>3.4782608695652195E-2</v>
          </cell>
        </row>
        <row r="228">
          <cell r="I228" t="str">
            <v>WW ad views</v>
          </cell>
          <cell r="L228">
            <v>2842.3684499999999</v>
          </cell>
          <cell r="M228">
            <v>5988.5585010000004</v>
          </cell>
          <cell r="N228">
            <v>8144.9836450000003</v>
          </cell>
          <cell r="O228">
            <v>11531.507998999999</v>
          </cell>
          <cell r="P228">
            <v>14644.938435</v>
          </cell>
          <cell r="Q228">
            <v>14463.974343</v>
          </cell>
          <cell r="R228">
            <v>14686.689833</v>
          </cell>
          <cell r="S228">
            <v>29153.233948000001</v>
          </cell>
          <cell r="T228">
            <v>32450.660894000001</v>
          </cell>
          <cell r="U228">
            <v>36414.207995999997</v>
          </cell>
          <cell r="V228">
            <v>37986.575336000002</v>
          </cell>
          <cell r="W228">
            <v>52958.123173336673</v>
          </cell>
          <cell r="X228">
            <v>52313.970324928567</v>
          </cell>
          <cell r="Y228">
            <v>61820.438034361476</v>
          </cell>
          <cell r="Z228">
            <v>93056.571511204165</v>
          </cell>
          <cell r="AA228">
            <v>84779.169010413898</v>
          </cell>
          <cell r="AB228">
            <v>74204.213466510671</v>
          </cell>
          <cell r="AC228">
            <v>77630.198043046301</v>
          </cell>
          <cell r="AD228">
            <v>121418.602431097</v>
          </cell>
          <cell r="AE228">
            <v>133497.53485397153</v>
          </cell>
          <cell r="AF228">
            <v>125308.23063053326</v>
          </cell>
          <cell r="AG228">
            <v>128146.74003776397</v>
          </cell>
          <cell r="AH228">
            <v>149983.27328571348</v>
          </cell>
          <cell r="AI228">
            <v>164796.3322082349</v>
          </cell>
          <cell r="AL228">
            <v>28507.418595000003</v>
          </cell>
          <cell r="AM228">
            <v>72948.836558999988</v>
          </cell>
          <cell r="AN228">
            <v>159809.56739933667</v>
          </cell>
          <cell r="AO228">
            <v>291970.14888090815</v>
          </cell>
          <cell r="AP228">
            <v>406750.54879462556</v>
          </cell>
          <cell r="AQ228">
            <v>568234.57616224559</v>
          </cell>
          <cell r="AR228">
            <v>744620.99048790499</v>
          </cell>
          <cell r="AS228">
            <v>930665.91963646456</v>
          </cell>
          <cell r="AT228">
            <v>1118098.1587929688</v>
          </cell>
          <cell r="AU228">
            <v>1299925.5557351282</v>
          </cell>
          <cell r="AV228">
            <v>1470987.4822024915</v>
          </cell>
          <cell r="AW228">
            <v>1628032.0065316125</v>
          </cell>
        </row>
        <row r="229">
          <cell r="I229" t="str">
            <v>% change Y/Y</v>
          </cell>
          <cell r="L229" t="str">
            <v>NA</v>
          </cell>
          <cell r="M229" t="str">
            <v>NA</v>
          </cell>
          <cell r="N229" t="str">
            <v>NA</v>
          </cell>
          <cell r="O229" t="str">
            <v>NA</v>
          </cell>
          <cell r="P229">
            <v>4.1523715846902256</v>
          </cell>
          <cell r="Q229">
            <v>1.4152681051015419</v>
          </cell>
          <cell r="R229">
            <v>0.80315768246088348</v>
          </cell>
          <cell r="S229">
            <v>1.5281371656272658</v>
          </cell>
          <cell r="T229">
            <v>1.2158277440379011</v>
          </cell>
          <cell r="U229">
            <v>1.5175796867769651</v>
          </cell>
          <cell r="V229">
            <v>1.5864626929511871</v>
          </cell>
          <cell r="W229">
            <v>0.81654369006872241</v>
          </cell>
          <cell r="X229">
            <v>0.61210800901134221</v>
          </cell>
          <cell r="Y229">
            <v>0.69770101937002948</v>
          </cell>
          <cell r="Z229">
            <v>1.4497225845735597</v>
          </cell>
          <cell r="AA229">
            <v>0.60087185742825699</v>
          </cell>
          <cell r="AB229">
            <v>0.41843972089327353</v>
          </cell>
          <cell r="AC229">
            <v>0.25573678400494892</v>
          </cell>
          <cell r="AD229">
            <v>0.30478267637958267</v>
          </cell>
          <cell r="AE229">
            <v>0.57465019311021193</v>
          </cell>
          <cell r="AF229">
            <v>0.68869427727424792</v>
          </cell>
          <cell r="AG229">
            <v>0.65073313308702385</v>
          </cell>
          <cell r="AH229">
            <v>0.23525777996684205</v>
          </cell>
          <cell r="AI229">
            <v>0.23445224953779165</v>
          </cell>
          <cell r="AL229" t="str">
            <v>NA</v>
          </cell>
          <cell r="AM229">
            <v>1.5589422036197513</v>
          </cell>
          <cell r="AN229">
            <v>1.1907075552889035</v>
          </cell>
          <cell r="AO229">
            <v>0.8269879183849167</v>
          </cell>
          <cell r="AP229">
            <v>0.39312375033426883</v>
          </cell>
          <cell r="AQ229">
            <v>0.39700998030897727</v>
          </cell>
          <cell r="AR229">
            <v>0.31041126627130233</v>
          </cell>
          <cell r="AS229">
            <v>0.24985184614075351</v>
          </cell>
          <cell r="AT229">
            <v>0.20139583410308903</v>
          </cell>
          <cell r="AU229">
            <v>0.1626220341320026</v>
          </cell>
          <cell r="AV229">
            <v>0.13159363296817794</v>
          </cell>
          <cell r="AW229">
            <v>0.10676129214504271</v>
          </cell>
        </row>
        <row r="231">
          <cell r="I231" t="str">
            <v>WW ad views per App / Site ('000)</v>
          </cell>
          <cell r="L231">
            <v>717.58860136329213</v>
          </cell>
          <cell r="M231">
            <v>1333.160841718611</v>
          </cell>
          <cell r="N231">
            <v>1659.1940609085354</v>
          </cell>
          <cell r="O231">
            <v>2292.0906378453587</v>
          </cell>
          <cell r="P231">
            <v>2410.2926983212642</v>
          </cell>
          <cell r="Q231">
            <v>1935.4977041348857</v>
          </cell>
          <cell r="R231">
            <v>1406.3669283730731</v>
          </cell>
          <cell r="S231">
            <v>2079.9967143264839</v>
          </cell>
          <cell r="T231">
            <v>1683.3001812428677</v>
          </cell>
          <cell r="U231">
            <v>1584.1907246149829</v>
          </cell>
          <cell r="V231">
            <v>1392.2656258613108</v>
          </cell>
          <cell r="W231">
            <v>1891.3615419048813</v>
          </cell>
          <cell r="X231">
            <v>1715.2121418009367</v>
          </cell>
          <cell r="Y231">
            <v>1741.4207897003232</v>
          </cell>
          <cell r="Z231">
            <v>2417.0538054858225</v>
          </cell>
          <cell r="AA231">
            <v>2146.3080762130103</v>
          </cell>
          <cell r="AB231">
            <v>1745.981493329663</v>
          </cell>
          <cell r="AC231">
            <v>1706.1581987482703</v>
          </cell>
          <cell r="AD231">
            <v>2452.9010592140808</v>
          </cell>
          <cell r="AE231">
            <v>2592.1851427955639</v>
          </cell>
          <cell r="AF231">
            <v>2342.2099183277246</v>
          </cell>
          <cell r="AG231">
            <v>2308.9502709507024</v>
          </cell>
          <cell r="AH231">
            <v>2608.404752795017</v>
          </cell>
          <cell r="AI231">
            <v>2769.6862556005867</v>
          </cell>
          <cell r="AL231">
            <v>5666.35233452594</v>
          </cell>
          <cell r="AM231">
            <v>5204.6829736729442</v>
          </cell>
          <cell r="AN231">
            <v>5707.4845499763096</v>
          </cell>
          <cell r="AO231">
            <v>7391.6493387571682</v>
          </cell>
          <cell r="AP231">
            <v>7898.068908633506</v>
          </cell>
          <cell r="AQ231">
            <v>9550.1609439032873</v>
          </cell>
          <cell r="AR231">
            <v>11544.511480432635</v>
          </cell>
          <cell r="AS231">
            <v>13390.876541531865</v>
          </cell>
          <cell r="AT231">
            <v>15008.028977086829</v>
          </cell>
          <cell r="AU231">
            <v>16351.264852014192</v>
          </cell>
          <cell r="AV231">
            <v>17408.135884053154</v>
          </cell>
          <cell r="AW231">
            <v>18190.301748956565</v>
          </cell>
        </row>
        <row r="232">
          <cell r="I232" t="str">
            <v>% change Y/Y</v>
          </cell>
          <cell r="L232" t="str">
            <v>NA</v>
          </cell>
          <cell r="M232" t="str">
            <v>NA</v>
          </cell>
          <cell r="N232" t="str">
            <v>NA</v>
          </cell>
          <cell r="O232" t="str">
            <v>NA</v>
          </cell>
          <cell r="P232">
            <v>2.3588781841603002</v>
          </cell>
          <cell r="Q232">
            <v>0.45181109703146327</v>
          </cell>
          <cell r="R232">
            <v>-0.15237948260073941</v>
          </cell>
          <cell r="S232">
            <v>-9.2532956601685812E-2</v>
          </cell>
          <cell r="T232">
            <v>-0.30162001386169279</v>
          </cell>
          <cell r="U232">
            <v>-0.18150730882779709</v>
          </cell>
          <cell r="V232">
            <v>-1.0026759181599232E-2</v>
          </cell>
          <cell r="W232">
            <v>-9.0690129999885127E-2</v>
          </cell>
          <cell r="X232">
            <v>1.8957973695759245E-2</v>
          </cell>
          <cell r="Y232">
            <v>9.9249454401112658E-2</v>
          </cell>
          <cell r="Z232">
            <v>0.73605794798714297</v>
          </cell>
          <cell r="AA232">
            <v>0.13479524070863791</v>
          </cell>
          <cell r="AB232">
            <v>1.7939093817525675E-2</v>
          </cell>
          <cell r="AC232">
            <v>-2.0249322369765177E-2</v>
          </cell>
          <cell r="AD232">
            <v>1.483097051745319E-2</v>
          </cell>
          <cell r="AE232">
            <v>0.20774141024958004</v>
          </cell>
          <cell r="AF232">
            <v>0.34148610811505686</v>
          </cell>
          <cell r="AG232">
            <v>0.35330373973801077</v>
          </cell>
          <cell r="AH232">
            <v>6.3395827971455265E-2</v>
          </cell>
          <cell r="AI232">
            <v>6.8475476490693632E-2</v>
          </cell>
          <cell r="AL232" t="str">
            <v>NA</v>
          </cell>
          <cell r="AM232">
            <v>-8.1475583161317866E-2</v>
          </cell>
          <cell r="AN232">
            <v>9.6605610533188502E-2</v>
          </cell>
          <cell r="AO232">
            <v>0.29508004341209282</v>
          </cell>
          <cell r="AP232">
            <v>6.8512391033080045E-2</v>
          </cell>
          <cell r="AQ232">
            <v>0.20917670564558555</v>
          </cell>
          <cell r="AR232">
            <v>0.20882899756810036</v>
          </cell>
          <cell r="AS232">
            <v>0.15993444713782168</v>
          </cell>
          <cell r="AT232">
            <v>0.12076524121026422</v>
          </cell>
          <cell r="AU232">
            <v>8.9501151482191066E-2</v>
          </cell>
          <cell r="AV232">
            <v>6.4635429833966196E-2</v>
          </cell>
          <cell r="AW232">
            <v>4.4931052360403401E-2</v>
          </cell>
        </row>
        <row r="234">
          <cell r="I234" t="str">
            <v>WW revenue</v>
          </cell>
          <cell r="L234">
            <v>1.627</v>
          </cell>
          <cell r="M234">
            <v>3.3879999999999999</v>
          </cell>
          <cell r="N234">
            <v>4.1029999999999998</v>
          </cell>
          <cell r="O234">
            <v>7.1020000000000003</v>
          </cell>
          <cell r="P234">
            <v>8.8249999999999993</v>
          </cell>
          <cell r="Q234">
            <v>9.2579999999999991</v>
          </cell>
          <cell r="R234">
            <v>11.004</v>
          </cell>
          <cell r="S234">
            <v>18.741</v>
          </cell>
          <cell r="T234">
            <v>21.492999999999999</v>
          </cell>
          <cell r="U234">
            <v>22.446999999999999</v>
          </cell>
          <cell r="V234">
            <v>25.189</v>
          </cell>
          <cell r="W234">
            <v>34.548999999999999</v>
          </cell>
          <cell r="X234">
            <v>32.93</v>
          </cell>
          <cell r="Y234">
            <v>39.411000000000001</v>
          </cell>
          <cell r="Z234">
            <v>47.366</v>
          </cell>
          <cell r="AA234">
            <v>57.96</v>
          </cell>
          <cell r="AB234">
            <v>49.438000000000002</v>
          </cell>
          <cell r="AC234">
            <v>57.009</v>
          </cell>
          <cell r="AD234">
            <v>56.061</v>
          </cell>
          <cell r="AE234">
            <v>65.874272822057463</v>
          </cell>
          <cell r="AF234">
            <v>61.004785266450412</v>
          </cell>
          <cell r="AG234">
            <v>68.495897424119562</v>
          </cell>
          <cell r="AH234">
            <v>72.879300000000001</v>
          </cell>
          <cell r="AI234">
            <v>85.636554668674705</v>
          </cell>
          <cell r="AL234">
            <v>16.22</v>
          </cell>
          <cell r="AM234">
            <v>47.827999999999996</v>
          </cell>
          <cell r="AN234">
            <v>103.678</v>
          </cell>
          <cell r="AO234">
            <v>177.667</v>
          </cell>
          <cell r="AP234">
            <v>228.38227282205747</v>
          </cell>
          <cell r="AQ234">
            <v>288.01653735924469</v>
          </cell>
          <cell r="AR234">
            <v>403.22315230294254</v>
          </cell>
          <cell r="AS234">
            <v>532.25456103988415</v>
          </cell>
          <cell r="AT234">
            <v>668.51172866609443</v>
          </cell>
          <cell r="AU234">
            <v>805.42293069691061</v>
          </cell>
          <cell r="AV234">
            <v>937.38342366229244</v>
          </cell>
          <cell r="AW234">
            <v>1060.2481437685565</v>
          </cell>
        </row>
        <row r="235">
          <cell r="I235" t="str">
            <v>% change Y/Y</v>
          </cell>
          <cell r="L235" t="str">
            <v>NA</v>
          </cell>
          <cell r="M235" t="str">
            <v>NA</v>
          </cell>
          <cell r="N235" t="str">
            <v>NA</v>
          </cell>
          <cell r="O235" t="str">
            <v>NA</v>
          </cell>
          <cell r="P235">
            <v>4.4240934234787952</v>
          </cell>
          <cell r="Q235">
            <v>1.7325855962219596</v>
          </cell>
          <cell r="R235">
            <v>1.6819400438703389</v>
          </cell>
          <cell r="S235">
            <v>1.6388341312306389</v>
          </cell>
          <cell r="T235">
            <v>1.4354674220963175</v>
          </cell>
          <cell r="U235">
            <v>1.4246057463815078</v>
          </cell>
          <cell r="V235">
            <v>1.2890766993820431</v>
          </cell>
          <cell r="W235">
            <v>0.84349821247532142</v>
          </cell>
          <cell r="X235">
            <v>0.53212673893825913</v>
          </cell>
          <cell r="Y235">
            <v>0.75573573306009734</v>
          </cell>
          <cell r="Z235">
            <v>0.88042399460081788</v>
          </cell>
          <cell r="AA235">
            <v>0.67761729717213237</v>
          </cell>
          <cell r="AB235">
            <v>0.50130580018220483</v>
          </cell>
          <cell r="AC235">
            <v>0.44652508182994599</v>
          </cell>
          <cell r="AD235">
            <v>0.18357049360300648</v>
          </cell>
          <cell r="AE235">
            <v>0.13654715013901764</v>
          </cell>
          <cell r="AF235">
            <v>0.23396547729379047</v>
          </cell>
          <cell r="AG235">
            <v>0.20149270157553301</v>
          </cell>
          <cell r="AH235">
            <v>0.30000000000000004</v>
          </cell>
          <cell r="AI235">
            <v>0.30000000000000004</v>
          </cell>
          <cell r="AL235" t="str">
            <v>NA</v>
          </cell>
          <cell r="AM235">
            <v>1.9487053020961773</v>
          </cell>
          <cell r="AN235">
            <v>1.1677260182319982</v>
          </cell>
          <cell r="AO235">
            <v>0.71364223846910635</v>
          </cell>
          <cell r="AP235">
            <v>0.28545128145382925</v>
          </cell>
          <cell r="AQ235">
            <v>0.26111599556437937</v>
          </cell>
          <cell r="AR235">
            <v>0.39999999999999991</v>
          </cell>
          <cell r="AS235">
            <v>0.32000000000000006</v>
          </cell>
          <cell r="AT235">
            <v>0.25599999999999978</v>
          </cell>
          <cell r="AU235">
            <v>0.20480000000000009</v>
          </cell>
          <cell r="AV235">
            <v>0.16383999999999999</v>
          </cell>
          <cell r="AW235">
            <v>0.13107200000000008</v>
          </cell>
        </row>
        <row r="237">
          <cell r="I237" t="str">
            <v>WW revenue per App / Site (annual, $ in '000)</v>
          </cell>
          <cell r="L237">
            <v>1.6430194395354709</v>
          </cell>
          <cell r="M237">
            <v>3.0169189670525376</v>
          </cell>
          <cell r="N237">
            <v>3.343247097168466</v>
          </cell>
          <cell r="O237">
            <v>5.646591134963229</v>
          </cell>
          <cell r="P237">
            <v>5.8097432521395653</v>
          </cell>
          <cell r="Q237">
            <v>4.9554395824969886</v>
          </cell>
          <cell r="R237">
            <v>4.2148807813846592</v>
          </cell>
          <cell r="S237">
            <v>5.3484589041095889</v>
          </cell>
          <cell r="T237">
            <v>4.4595912439049696</v>
          </cell>
          <cell r="U237">
            <v>3.9062037762116066</v>
          </cell>
          <cell r="V237">
            <v>3.692860284415775</v>
          </cell>
          <cell r="W237">
            <v>4.9355714285714285</v>
          </cell>
          <cell r="X237">
            <v>4.3186885245901641</v>
          </cell>
          <cell r="Y237">
            <v>4.4406760563380283</v>
          </cell>
          <cell r="Z237">
            <v>4.9211428571428568</v>
          </cell>
          <cell r="AA237">
            <v>5.8693670886075946</v>
          </cell>
          <cell r="AB237">
            <v>4.6529882352941181</v>
          </cell>
          <cell r="AC237">
            <v>5.0117802197802197</v>
          </cell>
          <cell r="AD237">
            <v>4.5301818181818181</v>
          </cell>
          <cell r="AE237">
            <v>5.1164483745287352</v>
          </cell>
          <cell r="AF237">
            <v>4.5611054404822742</v>
          </cell>
          <cell r="AG237">
            <v>4.9366412557924004</v>
          </cell>
          <cell r="AH237">
            <v>5.069864347826087</v>
          </cell>
          <cell r="AI237">
            <v>5.7570793054571228</v>
          </cell>
          <cell r="AL237">
            <v>3.2240111309878752</v>
          </cell>
          <cell r="AM237">
            <v>3.412385844748858</v>
          </cell>
          <cell r="AN237">
            <v>3.7027857142857141</v>
          </cell>
          <cell r="AO237">
            <v>4.4978987341772152</v>
          </cell>
          <cell r="AP237">
            <v>4.4346072392632516</v>
          </cell>
          <cell r="AQ237">
            <v>4.840614073264617</v>
          </cell>
          <cell r="AR237">
            <v>6.2515217411308921</v>
          </cell>
          <cell r="AS237">
            <v>7.6583390077681175</v>
          </cell>
          <cell r="AT237">
            <v>8.9733117941757641</v>
          </cell>
          <cell r="AU237">
            <v>10.131106046502021</v>
          </cell>
          <cell r="AV237">
            <v>11.093294954583342</v>
          </cell>
          <cell r="AW237">
            <v>11.846347975067671</v>
          </cell>
        </row>
        <row r="238">
          <cell r="I238" t="str">
            <v>% change Y/Y</v>
          </cell>
          <cell r="L238" t="str">
            <v>NA</v>
          </cell>
          <cell r="M238" t="str">
            <v>NA</v>
          </cell>
          <cell r="N238" t="str">
            <v>NA</v>
          </cell>
          <cell r="O238" t="str">
            <v>NA</v>
          </cell>
          <cell r="P238">
            <v>2.536016137327108</v>
          </cell>
          <cell r="Q238">
            <v>0.64254977896815779</v>
          </cell>
          <cell r="R238">
            <v>0.26071470605759761</v>
          </cell>
          <cell r="S238">
            <v>-5.279862198763241E-2</v>
          </cell>
          <cell r="T238">
            <v>-0.23239443631822676</v>
          </cell>
          <cell r="U238">
            <v>-0.211734153714913</v>
          </cell>
          <cell r="V238">
            <v>-0.12385178230293659</v>
          </cell>
          <cell r="W238">
            <v>-7.7197466212353349E-2</v>
          </cell>
          <cell r="X238">
            <v>-3.1595433663876848E-2</v>
          </cell>
          <cell r="Y238">
            <v>0.13682652282026475</v>
          </cell>
          <cell r="Z238">
            <v>0.33261008490100541</v>
          </cell>
          <cell r="AA238">
            <v>0.189197071413157</v>
          </cell>
          <cell r="AB238">
            <v>7.7407691895464703E-2</v>
          </cell>
          <cell r="AC238">
            <v>0.12860748142776002</v>
          </cell>
          <cell r="AD238">
            <v>-7.9445171642106072E-2</v>
          </cell>
          <cell r="AE238">
            <v>-0.1282793702817242</v>
          </cell>
          <cell r="AF238">
            <v>-1.9747050747923489E-2</v>
          </cell>
          <cell r="AG238">
            <v>-1.4992469879518078E-2</v>
          </cell>
          <cell r="AH238">
            <v>0.11913043478260876</v>
          </cell>
          <cell r="AI238">
            <v>0.12521008403361344</v>
          </cell>
          <cell r="AL238" t="str">
            <v>NA</v>
          </cell>
          <cell r="AM238">
            <v>5.842867971217669E-2</v>
          </cell>
          <cell r="AN238">
            <v>8.5101709697845918E-2</v>
          </cell>
          <cell r="AO238">
            <v>0.21473373866164502</v>
          </cell>
          <cell r="AP238">
            <v>-1.40713472344417E-2</v>
          </cell>
          <cell r="AQ238">
            <v>9.155418103471491E-2</v>
          </cell>
          <cell r="AR238">
            <v>0.29147286821705398</v>
          </cell>
          <cell r="AS238">
            <v>0.22503597122302166</v>
          </cell>
          <cell r="AT238">
            <v>0.17170469798657706</v>
          </cell>
          <cell r="AU238">
            <v>0.12902641509433965</v>
          </cell>
          <cell r="AV238">
            <v>9.4973727810650832E-2</v>
          </cell>
          <cell r="AW238">
            <v>6.7883620111731879E-2</v>
          </cell>
        </row>
        <row r="243">
          <cell r="I243" t="str">
            <v>Headcount</v>
          </cell>
        </row>
        <row r="244">
          <cell r="I244" t="str">
            <v>Sales and marketing</v>
          </cell>
          <cell r="O244">
            <v>24</v>
          </cell>
          <cell r="V244">
            <v>61</v>
          </cell>
          <cell r="W244">
            <v>69</v>
          </cell>
          <cell r="X244">
            <v>84</v>
          </cell>
          <cell r="Y244">
            <v>100</v>
          </cell>
          <cell r="Z244">
            <v>107</v>
          </cell>
          <cell r="AA244">
            <v>99.425959812311675</v>
          </cell>
          <cell r="AB244">
            <v>130</v>
          </cell>
          <cell r="AC244">
            <v>142</v>
          </cell>
          <cell r="AD244">
            <v>164.37761076467683</v>
          </cell>
          <cell r="AE244">
            <v>193.07727485980794</v>
          </cell>
          <cell r="AF244">
            <v>156.78960957473731</v>
          </cell>
          <cell r="AG244">
            <v>172.53204251155046</v>
          </cell>
          <cell r="AH244">
            <v>181.12492553573821</v>
          </cell>
          <cell r="AI244">
            <v>212.78051788595155</v>
          </cell>
          <cell r="AL244">
            <v>24</v>
          </cell>
          <cell r="AN244">
            <v>69</v>
          </cell>
          <cell r="AO244">
            <v>99.425959812311675</v>
          </cell>
          <cell r="AP244">
            <v>193.07727485980794</v>
          </cell>
          <cell r="AQ244">
            <v>203.07727485980794</v>
          </cell>
          <cell r="AR244">
            <v>213.07727485980794</v>
          </cell>
          <cell r="AS244">
            <v>223.07727485980794</v>
          </cell>
          <cell r="AT244">
            <v>233.07727485980794</v>
          </cell>
          <cell r="AU244">
            <v>243.07727485980794</v>
          </cell>
          <cell r="AV244">
            <v>253.07727485980794</v>
          </cell>
          <cell r="AW244">
            <v>263.07727485980797</v>
          </cell>
        </row>
        <row r="245">
          <cell r="I245" t="str">
            <v>Technology and development</v>
          </cell>
          <cell r="O245">
            <v>10</v>
          </cell>
          <cell r="V245">
            <v>34</v>
          </cell>
          <cell r="W245">
            <v>44</v>
          </cell>
          <cell r="X245">
            <v>49</v>
          </cell>
          <cell r="Y245">
            <v>54</v>
          </cell>
          <cell r="Z245">
            <v>73</v>
          </cell>
          <cell r="AA245">
            <v>67.832664171016376</v>
          </cell>
          <cell r="AB245">
            <v>65.664013564125923</v>
          </cell>
          <cell r="AC245">
            <v>61.247618660655476</v>
          </cell>
          <cell r="AD245">
            <v>70.899557890595659</v>
          </cell>
          <cell r="AE245">
            <v>83.278333117268161</v>
          </cell>
          <cell r="AF245">
            <v>67.626691670327943</v>
          </cell>
          <cell r="AG245">
            <v>74.416737651348186</v>
          </cell>
          <cell r="AH245">
            <v>78.123030768679669</v>
          </cell>
          <cell r="AI245">
            <v>91.776760689405236</v>
          </cell>
          <cell r="AL245">
            <v>10</v>
          </cell>
          <cell r="AN245">
            <v>44</v>
          </cell>
          <cell r="AO245">
            <v>67.832664171016376</v>
          </cell>
          <cell r="AP245">
            <v>83.278333117268161</v>
          </cell>
          <cell r="AQ245">
            <v>122.74256345327831</v>
          </cell>
          <cell r="AR245">
            <v>156.12454728458692</v>
          </cell>
          <cell r="AS245">
            <v>183.70069305613856</v>
          </cell>
          <cell r="AT245">
            <v>205.4864830027592</v>
          </cell>
          <cell r="AU245">
            <v>221.79854740532267</v>
          </cell>
          <cell r="AV245">
            <v>233.13074108530247</v>
          </cell>
          <cell r="AW245">
            <v>240.05934935179175</v>
          </cell>
        </row>
        <row r="246">
          <cell r="I246" t="str">
            <v>General and administrative</v>
          </cell>
          <cell r="O246">
            <v>32</v>
          </cell>
          <cell r="V246">
            <v>95</v>
          </cell>
          <cell r="W246">
            <v>109</v>
          </cell>
          <cell r="X246">
            <v>114</v>
          </cell>
          <cell r="Y246">
            <v>117</v>
          </cell>
          <cell r="Z246">
            <v>143</v>
          </cell>
          <cell r="AA246">
            <v>145</v>
          </cell>
          <cell r="AB246">
            <v>147</v>
          </cell>
          <cell r="AC246">
            <v>149</v>
          </cell>
          <cell r="AD246">
            <v>151</v>
          </cell>
          <cell r="AE246">
            <v>153</v>
          </cell>
          <cell r="AF246">
            <v>154</v>
          </cell>
          <cell r="AG246">
            <v>155</v>
          </cell>
          <cell r="AH246">
            <v>156</v>
          </cell>
          <cell r="AI246">
            <v>157</v>
          </cell>
          <cell r="AL246">
            <v>32</v>
          </cell>
          <cell r="AN246">
            <v>109</v>
          </cell>
          <cell r="AO246">
            <v>145</v>
          </cell>
          <cell r="AP246">
            <v>153</v>
          </cell>
          <cell r="AQ246">
            <v>158</v>
          </cell>
          <cell r="AR246">
            <v>163</v>
          </cell>
          <cell r="AS246">
            <v>168</v>
          </cell>
          <cell r="AT246">
            <v>173</v>
          </cell>
          <cell r="AU246">
            <v>178</v>
          </cell>
          <cell r="AV246">
            <v>183</v>
          </cell>
          <cell r="AW246">
            <v>188</v>
          </cell>
        </row>
        <row r="247">
          <cell r="I247" t="str">
            <v>Total headcount</v>
          </cell>
          <cell r="O247">
            <v>66</v>
          </cell>
          <cell r="V247">
            <v>190</v>
          </cell>
          <cell r="W247">
            <v>222</v>
          </cell>
          <cell r="X247">
            <v>247</v>
          </cell>
          <cell r="Y247">
            <v>271</v>
          </cell>
          <cell r="Z247">
            <v>323</v>
          </cell>
          <cell r="AA247">
            <v>312.25862398332805</v>
          </cell>
          <cell r="AB247">
            <v>308.91126632250229</v>
          </cell>
          <cell r="AC247">
            <v>331.50414858795767</v>
          </cell>
          <cell r="AD247">
            <v>386.27716865527248</v>
          </cell>
          <cell r="AE247">
            <v>429.35560797707609</v>
          </cell>
          <cell r="AF247">
            <v>378.41630124506526</v>
          </cell>
          <cell r="AG247">
            <v>401.94878016289863</v>
          </cell>
          <cell r="AH247">
            <v>415.24795630441787</v>
          </cell>
          <cell r="AI247">
            <v>461.5572785753568</v>
          </cell>
          <cell r="AL247">
            <v>66</v>
          </cell>
          <cell r="AN247">
            <v>222</v>
          </cell>
          <cell r="AO247">
            <v>312.25862398332805</v>
          </cell>
          <cell r="AP247">
            <v>429.35560797707609</v>
          </cell>
          <cell r="AQ247">
            <v>483.81983831308628</v>
          </cell>
          <cell r="AR247">
            <v>532.2018221443949</v>
          </cell>
          <cell r="AS247">
            <v>574.77796791594653</v>
          </cell>
          <cell r="AT247">
            <v>611.56375786256717</v>
          </cell>
          <cell r="AU247">
            <v>642.87582226513064</v>
          </cell>
          <cell r="AV247">
            <v>669.20801594511045</v>
          </cell>
          <cell r="AW247">
            <v>691.13662421159972</v>
          </cell>
        </row>
        <row r="248">
          <cell r="I248" t="str">
            <v>Period-to-period change</v>
          </cell>
          <cell r="W248">
            <v>32</v>
          </cell>
          <cell r="X248">
            <v>25</v>
          </cell>
          <cell r="Y248">
            <v>24</v>
          </cell>
          <cell r="Z248">
            <v>52</v>
          </cell>
          <cell r="AA248">
            <v>-10.74137601667195</v>
          </cell>
          <cell r="AB248">
            <v>-3.3473576608257645</v>
          </cell>
          <cell r="AC248">
            <v>22.592882265455387</v>
          </cell>
          <cell r="AD248">
            <v>54.773020067314803</v>
          </cell>
          <cell r="AE248">
            <v>43.078439321803614</v>
          </cell>
          <cell r="AF248">
            <v>-50.939306732010834</v>
          </cell>
          <cell r="AG248">
            <v>23.532478917833373</v>
          </cell>
          <cell r="AH248">
            <v>13.29917614151924</v>
          </cell>
          <cell r="AI248">
            <v>46.309322270938935</v>
          </cell>
          <cell r="AO248">
            <v>90.25862398332805</v>
          </cell>
          <cell r="AP248">
            <v>117.09698399374804</v>
          </cell>
          <cell r="AQ248">
            <v>54.464230336010189</v>
          </cell>
          <cell r="AR248">
            <v>48.381983831308617</v>
          </cell>
          <cell r="AS248">
            <v>42.576145771551637</v>
          </cell>
          <cell r="AT248">
            <v>36.785789946620639</v>
          </cell>
          <cell r="AU248">
            <v>31.312064402563465</v>
          </cell>
          <cell r="AV248">
            <v>26.33219367997981</v>
          </cell>
          <cell r="AW248">
            <v>21.928608266489277</v>
          </cell>
        </row>
        <row r="251">
          <cell r="I251" t="str">
            <v>Unique users</v>
          </cell>
          <cell r="AA251">
            <v>400</v>
          </cell>
          <cell r="AB251">
            <v>420</v>
          </cell>
          <cell r="AC251">
            <v>450</v>
          </cell>
          <cell r="AD251">
            <v>500</v>
          </cell>
          <cell r="AE251">
            <v>600</v>
          </cell>
          <cell r="AF251">
            <v>650</v>
          </cell>
        </row>
        <row r="252">
          <cell r="I252" t="str">
            <v>Profiles</v>
          </cell>
          <cell r="X252">
            <v>150</v>
          </cell>
          <cell r="AA252">
            <v>350</v>
          </cell>
          <cell r="AB252">
            <v>350</v>
          </cell>
          <cell r="AC252">
            <v>450</v>
          </cell>
          <cell r="AD252">
            <v>480</v>
          </cell>
          <cell r="AE252">
            <v>170</v>
          </cell>
          <cell r="AF252">
            <v>170</v>
          </cell>
        </row>
        <row r="253">
          <cell r="I253" t="str">
            <v>Profiles</v>
          </cell>
          <cell r="X253">
            <v>150</v>
          </cell>
          <cell r="AA253">
            <v>350</v>
          </cell>
          <cell r="AB253">
            <v>350</v>
          </cell>
          <cell r="AC253">
            <v>450</v>
          </cell>
          <cell r="AD253">
            <v>480</v>
          </cell>
          <cell r="AE253">
            <v>625</v>
          </cell>
          <cell r="AF253">
            <v>650</v>
          </cell>
        </row>
        <row r="254">
          <cell r="I254" t="str">
            <v>Profiles that link PC &amp; Mobile users</v>
          </cell>
          <cell r="AE254">
            <v>50</v>
          </cell>
        </row>
      </sheetData>
      <sheetData sheetId="4"/>
      <sheetData sheetId="5" refreshError="1"/>
      <sheetData sheetId="6" refreshError="1"/>
      <sheetData sheetId="7"/>
      <sheetData sheetId="8"/>
      <sheetData sheetId="9"/>
      <sheetData sheetId="10"/>
      <sheetData sheetId="11"/>
      <sheetData sheetId="12"/>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_CIQHiddenCacheSheet"/>
      <sheetName val="Comps"/>
      <sheetName val="Table Output"/>
      <sheetName val="GM"/>
      <sheetName val="Control Center"/>
      <sheetName val="__FDSCACHE__"/>
      <sheetName val="Master List"/>
    </sheetNames>
    <sheetDataSet>
      <sheetData sheetId="0" refreshError="1"/>
      <sheetData sheetId="1" refreshError="1"/>
      <sheetData sheetId="2">
        <row r="2">
          <cell r="T2">
            <v>20</v>
          </cell>
        </row>
      </sheetData>
      <sheetData sheetId="3" refreshError="1"/>
      <sheetData sheetId="4" refreshError="1"/>
      <sheetData sheetId="5">
        <row r="21">
          <cell r="D21">
            <v>1</v>
          </cell>
        </row>
        <row r="26">
          <cell r="D26">
            <v>2</v>
          </cell>
        </row>
        <row r="29">
          <cell r="D29">
            <v>2000</v>
          </cell>
        </row>
      </sheetData>
      <sheetData sheetId="6" refreshError="1"/>
      <sheetData sheetId="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line Analysis"/>
      <sheetName val="Baseline Description"/>
      <sheetName val="Initiation Tables"/>
      <sheetName val="Initiation Charts"/>
      <sheetName val="Baseline Analysis (2)"/>
      <sheetName val="Delivery - Test"/>
      <sheetName val="SOTP Analysis"/>
      <sheetName val="NY vs. ROU Build"/>
      <sheetName val="New York vs. Rest"/>
      <sheetName val="Preview"/>
      <sheetName val="QTR"/>
      <sheetName val="QTR2"/>
      <sheetName val="Seamless Grub Derivation"/>
      <sheetName val="Incremental Margins"/>
      <sheetName val="Delivery - Unit Economics"/>
      <sheetName val="Other Charts"/>
    </sheetNames>
    <definedNames>
      <definedName name="AdjustValue" refersTo="#REF!"/>
      <definedName name="computer" refersTo="#REF!"/>
      <definedName name="desk" refersTo="#REF!"/>
      <definedName name="dfdfasdfdasfdsfadasfdsfadsfdsf" refersTo="#REF!"/>
      <definedName name="dfvbfbfb" refersTo="#REF!"/>
      <definedName name="glad" refersTo="#REF!"/>
      <definedName name="hklkl" refersTo="#REF!"/>
      <definedName name="kkk" refersTo="#REF!"/>
      <definedName name="lamp" refersTo="#REF!"/>
      <definedName name="lisahuang" refersTo="#REF!"/>
      <definedName name="mynameis" refersTo="#REF!"/>
      <definedName name="newstuff" refersTo="#REF!"/>
      <definedName name="oldstuff" refersTo="#REF!"/>
      <definedName name="phone" refersTo="#REF!"/>
      <definedName name="Print_Cover_Tabs" refersTo="#REF!"/>
      <definedName name="Print_Document" refersTo="#REF!"/>
      <definedName name="ROADproforma" refersTo="#REF!"/>
      <definedName name="sad" refersTo="#REF!"/>
      <definedName name="sName" refersTo="#REF!"/>
      <definedName name="sName1" refersTo="#REF!"/>
      <definedName name="wiop" refersTo="#REF!"/>
      <definedName name="wqwqwwq" refersTo="#REF!"/>
    </definedNames>
    <sheetDataSet>
      <sheetData sheetId="0">
        <row r="3">
          <cell r="B3" t="str">
            <v>Table 1</v>
          </cell>
          <cell r="C3" t="str">
            <v>4Q13</v>
          </cell>
          <cell r="D3">
            <v>0</v>
          </cell>
          <cell r="E3">
            <v>0</v>
          </cell>
          <cell r="F3">
            <v>0</v>
          </cell>
          <cell r="G3">
            <v>0</v>
          </cell>
        </row>
        <row r="4">
          <cell r="B4">
            <v>0</v>
          </cell>
          <cell r="C4" t="str">
            <v>Seamless Standalone</v>
          </cell>
          <cell r="D4" t="str">
            <v>+</v>
          </cell>
          <cell r="E4" t="str">
            <v>GrubHub Standalone</v>
          </cell>
          <cell r="F4" t="str">
            <v>=</v>
          </cell>
          <cell r="G4" t="str">
            <v>Total Company</v>
          </cell>
        </row>
        <row r="5">
          <cell r="B5" t="str">
            <v>LTM Active Diners</v>
          </cell>
          <cell r="C5">
            <v>1.5209999999999999</v>
          </cell>
          <cell r="D5">
            <v>0</v>
          </cell>
          <cell r="E5">
            <v>1.9</v>
          </cell>
          <cell r="F5">
            <v>0</v>
          </cell>
          <cell r="G5">
            <v>3.4209999999999998</v>
          </cell>
        </row>
        <row r="6">
          <cell r="B6" t="str">
            <v>x Orders per LTM Active Diner</v>
          </cell>
          <cell r="C6">
            <v>5.5916845565590529</v>
          </cell>
          <cell r="D6">
            <v>0</v>
          </cell>
          <cell r="E6">
            <v>2.928692520775622</v>
          </cell>
          <cell r="F6">
            <v>0</v>
          </cell>
          <cell r="G6">
            <v>4.112676995030693</v>
          </cell>
        </row>
        <row r="7">
          <cell r="B7" t="str">
            <v>= Total Orders</v>
          </cell>
          <cell r="C7">
            <v>8.5049522105263193</v>
          </cell>
          <cell r="D7">
            <v>0</v>
          </cell>
          <cell r="E7">
            <v>5.5645157894736812</v>
          </cell>
          <cell r="F7">
            <v>0</v>
          </cell>
          <cell r="G7">
            <v>14.069468000000001</v>
          </cell>
          <cell r="K7">
            <v>0</v>
          </cell>
        </row>
        <row r="8">
          <cell r="B8">
            <v>0</v>
          </cell>
          <cell r="C8">
            <v>0</v>
          </cell>
          <cell r="D8">
            <v>0</v>
          </cell>
          <cell r="E8">
            <v>0</v>
          </cell>
          <cell r="F8">
            <v>0</v>
          </cell>
          <cell r="G8">
            <v>0</v>
          </cell>
        </row>
        <row r="9">
          <cell r="B9" t="str">
            <v xml:space="preserve">% of Total </v>
          </cell>
          <cell r="C9">
            <v>0</v>
          </cell>
          <cell r="D9">
            <v>0</v>
          </cell>
          <cell r="E9">
            <v>0</v>
          </cell>
          <cell r="F9">
            <v>0</v>
          </cell>
          <cell r="G9">
            <v>0</v>
          </cell>
        </row>
        <row r="10">
          <cell r="B10" t="str">
            <v>LTM Active Diners</v>
          </cell>
          <cell r="C10">
            <v>0.44460684010523238</v>
          </cell>
          <cell r="D10">
            <v>0</v>
          </cell>
          <cell r="E10">
            <v>0.55539315989476756</v>
          </cell>
          <cell r="F10">
            <v>0</v>
          </cell>
          <cell r="G10">
            <v>0</v>
          </cell>
        </row>
        <row r="11">
          <cell r="B11" t="str">
            <v>Total Orders</v>
          </cell>
          <cell r="C11">
            <v>0.60449707199492686</v>
          </cell>
          <cell r="D11">
            <v>0</v>
          </cell>
          <cell r="E11">
            <v>0.3955029280050732</v>
          </cell>
          <cell r="F11">
            <v>0</v>
          </cell>
          <cell r="G11">
            <v>0</v>
          </cell>
        </row>
        <row r="12">
          <cell r="C12">
            <v>0</v>
          </cell>
          <cell r="D12">
            <v>0</v>
          </cell>
          <cell r="E12">
            <v>0</v>
          </cell>
          <cell r="F12">
            <v>0</v>
          </cell>
          <cell r="G12">
            <v>0</v>
          </cell>
          <cell r="H12">
            <v>0</v>
          </cell>
          <cell r="I12">
            <v>0</v>
          </cell>
          <cell r="J12">
            <v>0</v>
          </cell>
          <cell r="K12">
            <v>0</v>
          </cell>
          <cell r="L12">
            <v>0</v>
          </cell>
          <cell r="M12">
            <v>0</v>
          </cell>
          <cell r="N12">
            <v>0</v>
          </cell>
          <cell r="O12">
            <v>0</v>
          </cell>
          <cell r="Q12" t="str">
            <v>Table 3</v>
          </cell>
          <cell r="R12">
            <v>0</v>
          </cell>
          <cell r="S12">
            <v>0</v>
          </cell>
          <cell r="T12">
            <v>0</v>
          </cell>
          <cell r="U12">
            <v>0</v>
          </cell>
        </row>
        <row r="13">
          <cell r="B13" t="str">
            <v>Table 2</v>
          </cell>
          <cell r="C13" t="str">
            <v>4Q13 Baseline</v>
          </cell>
          <cell r="D13">
            <v>0</v>
          </cell>
          <cell r="E13">
            <v>0</v>
          </cell>
          <cell r="F13">
            <v>0</v>
          </cell>
          <cell r="G13">
            <v>0</v>
          </cell>
          <cell r="H13">
            <v>0</v>
          </cell>
          <cell r="I13">
            <v>0</v>
          </cell>
          <cell r="J13">
            <v>0</v>
          </cell>
          <cell r="K13">
            <v>0</v>
          </cell>
          <cell r="L13">
            <v>0</v>
          </cell>
          <cell r="M13">
            <v>0</v>
          </cell>
          <cell r="N13">
            <v>0</v>
          </cell>
          <cell r="O13">
            <v>0</v>
          </cell>
          <cell r="Q13" t="str">
            <v># of Orders Per Day 
by Market Size</v>
          </cell>
          <cell r="R13">
            <v>0</v>
          </cell>
          <cell r="S13">
            <v>0</v>
          </cell>
          <cell r="T13">
            <v>0</v>
          </cell>
          <cell r="U13">
            <v>0</v>
          </cell>
        </row>
        <row r="14">
          <cell r="B14">
            <v>0</v>
          </cell>
          <cell r="C14" t="str">
            <v>Seamless Corporate</v>
          </cell>
          <cell r="D14" t="str">
            <v>+</v>
          </cell>
          <cell r="E14" t="str">
            <v>Seamless Consumer</v>
          </cell>
          <cell r="F14" t="str">
            <v>=</v>
          </cell>
          <cell r="G14" t="str">
            <v>Seamless Standalone</v>
          </cell>
          <cell r="H14" t="str">
            <v>+</v>
          </cell>
          <cell r="I14" t="str">
            <v>GrubHub Standalone</v>
          </cell>
          <cell r="J14" t="str">
            <v>=</v>
          </cell>
          <cell r="K14" t="str">
            <v>Total Company</v>
          </cell>
          <cell r="L14" t="str">
            <v>-</v>
          </cell>
          <cell r="M14" t="str">
            <v>Seamless Corporate</v>
          </cell>
          <cell r="N14" t="str">
            <v>=</v>
          </cell>
          <cell r="O14" t="str">
            <v>Total Co. - Consumer</v>
          </cell>
          <cell r="Q14" t="str">
            <v>Daily Order Range Range</v>
          </cell>
          <cell r="R14" t="str">
            <v># of Markets</v>
          </cell>
          <cell r="S14" t="str">
            <v># of Daily Orders Per Market est.</v>
          </cell>
          <cell r="T14" t="str">
            <v>Total Daily Orders est.</v>
          </cell>
          <cell r="U14" t="str">
            <v>% of Total Orders</v>
          </cell>
        </row>
        <row r="15">
          <cell r="B15" t="str">
            <v>Total</v>
          </cell>
          <cell r="C15">
            <v>0</v>
          </cell>
          <cell r="D15">
            <v>0</v>
          </cell>
          <cell r="E15">
            <v>0</v>
          </cell>
          <cell r="F15">
            <v>0</v>
          </cell>
          <cell r="G15">
            <v>0</v>
          </cell>
          <cell r="H15">
            <v>0</v>
          </cell>
          <cell r="I15">
            <v>0</v>
          </cell>
          <cell r="J15">
            <v>0</v>
          </cell>
          <cell r="K15">
            <v>0</v>
          </cell>
          <cell r="L15">
            <v>0</v>
          </cell>
          <cell r="M15">
            <v>0</v>
          </cell>
          <cell r="N15">
            <v>0</v>
          </cell>
          <cell r="O15">
            <v>0</v>
          </cell>
          <cell r="Q15" t="str">
            <v xml:space="preserve">New York Metro </v>
          </cell>
          <cell r="R15">
            <v>1</v>
          </cell>
          <cell r="S15">
            <v>100819.72528260869</v>
          </cell>
          <cell r="T15">
            <v>100819.72528260869</v>
          </cell>
          <cell r="U15">
            <v>0.65925838318833374</v>
          </cell>
        </row>
        <row r="16">
          <cell r="B16" t="str">
            <v>LTM Active Diners</v>
          </cell>
          <cell r="C16">
            <v>7.6742552727272748E-2</v>
          </cell>
          <cell r="D16">
            <v>0</v>
          </cell>
          <cell r="E16">
            <v>0</v>
          </cell>
          <cell r="F16">
            <v>0</v>
          </cell>
          <cell r="G16">
            <v>1.5209999999999999</v>
          </cell>
          <cell r="H16">
            <v>0</v>
          </cell>
          <cell r="I16">
            <v>1.9</v>
          </cell>
          <cell r="J16">
            <v>0</v>
          </cell>
          <cell r="K16">
            <v>3.4209999999999998</v>
          </cell>
          <cell r="L16">
            <v>0</v>
          </cell>
          <cell r="M16">
            <v>7.6742552727272748E-2</v>
          </cell>
          <cell r="N16">
            <v>0</v>
          </cell>
          <cell r="O16">
            <v>3.3442574472727271</v>
          </cell>
          <cell r="Q16" t="str">
            <v>Greater than 1000</v>
          </cell>
          <cell r="R16">
            <v>6</v>
          </cell>
          <cell r="S16">
            <v>4059.8791195652179</v>
          </cell>
          <cell r="T16">
            <v>24359.274717391309</v>
          </cell>
          <cell r="U16">
            <v>0.15928486237006265</v>
          </cell>
        </row>
        <row r="17">
          <cell r="B17" t="str">
            <v>x Orders per LTM Active Diner</v>
          </cell>
          <cell r="C17">
            <v>24.749999999999996</v>
          </cell>
          <cell r="D17">
            <v>0</v>
          </cell>
          <cell r="E17">
            <v>0</v>
          </cell>
          <cell r="F17">
            <v>0</v>
          </cell>
          <cell r="G17">
            <v>5.5916845565590529</v>
          </cell>
          <cell r="H17">
            <v>0</v>
          </cell>
          <cell r="I17">
            <v>2.928692520775622</v>
          </cell>
          <cell r="J17">
            <v>0</v>
          </cell>
          <cell r="K17">
            <v>4.112676995030693</v>
          </cell>
          <cell r="L17">
            <v>0</v>
          </cell>
          <cell r="M17">
            <v>24.749999999999996</v>
          </cell>
          <cell r="N17">
            <v>0</v>
          </cell>
          <cell r="O17">
            <v>3.6391007605962939</v>
          </cell>
          <cell r="Q17" t="str">
            <v>500-1000</v>
          </cell>
          <cell r="R17">
            <v>13</v>
          </cell>
          <cell r="S17">
            <v>750</v>
          </cell>
          <cell r="T17">
            <v>9750</v>
          </cell>
          <cell r="U17">
            <v>6.3755075884887755E-2</v>
          </cell>
        </row>
        <row r="18">
          <cell r="B18" t="str">
            <v>= Total Orders</v>
          </cell>
          <cell r="C18">
            <v>1.8993781800000002</v>
          </cell>
          <cell r="D18">
            <v>0</v>
          </cell>
          <cell r="E18">
            <v>6.6055740305263191</v>
          </cell>
          <cell r="F18">
            <v>0</v>
          </cell>
          <cell r="G18">
            <v>8.5049522105263193</v>
          </cell>
          <cell r="H18">
            <v>0</v>
          </cell>
          <cell r="I18">
            <v>5.5645157894736812</v>
          </cell>
          <cell r="J18">
            <v>0</v>
          </cell>
          <cell r="K18">
            <v>14.069468000000001</v>
          </cell>
          <cell r="L18">
            <v>0</v>
          </cell>
          <cell r="M18">
            <v>1.8993781800000002</v>
          </cell>
          <cell r="N18">
            <v>0</v>
          </cell>
          <cell r="O18">
            <v>12.170089820000001</v>
          </cell>
          <cell r="Q18" t="str">
            <v>Less than 500</v>
          </cell>
          <cell r="R18">
            <v>120</v>
          </cell>
          <cell r="S18">
            <v>150</v>
          </cell>
          <cell r="T18">
            <v>18000</v>
          </cell>
          <cell r="U18">
            <v>0.11770167855671586</v>
          </cell>
        </row>
        <row r="19">
          <cell r="B19">
            <v>0</v>
          </cell>
          <cell r="C19">
            <v>0</v>
          </cell>
          <cell r="D19">
            <v>0</v>
          </cell>
          <cell r="E19">
            <v>0</v>
          </cell>
          <cell r="F19">
            <v>0</v>
          </cell>
          <cell r="G19">
            <v>0</v>
          </cell>
          <cell r="H19">
            <v>0</v>
          </cell>
          <cell r="I19">
            <v>0</v>
          </cell>
          <cell r="J19">
            <v>0</v>
          </cell>
          <cell r="K19">
            <v>0</v>
          </cell>
          <cell r="L19">
            <v>0</v>
          </cell>
          <cell r="M19">
            <v>0</v>
          </cell>
          <cell r="N19">
            <v>0</v>
          </cell>
          <cell r="O19">
            <v>0</v>
          </cell>
          <cell r="Q19" t="str">
            <v>Total</v>
          </cell>
          <cell r="R19">
            <v>140</v>
          </cell>
          <cell r="S19">
            <v>0</v>
          </cell>
          <cell r="T19">
            <v>152929</v>
          </cell>
          <cell r="U19">
            <v>0</v>
          </cell>
        </row>
        <row r="20">
          <cell r="B20" t="str">
            <v>Baseline Assumptions</v>
          </cell>
          <cell r="C20">
            <v>0</v>
          </cell>
          <cell r="D20">
            <v>0</v>
          </cell>
          <cell r="E20">
            <v>0</v>
          </cell>
          <cell r="F20">
            <v>0</v>
          </cell>
          <cell r="G20">
            <v>0</v>
          </cell>
          <cell r="H20">
            <v>0</v>
          </cell>
          <cell r="I20">
            <v>0</v>
          </cell>
          <cell r="J20">
            <v>0</v>
          </cell>
          <cell r="K20">
            <v>0</v>
          </cell>
          <cell r="L20">
            <v>0</v>
          </cell>
          <cell r="M20">
            <v>0</v>
          </cell>
          <cell r="N20">
            <v>0</v>
          </cell>
          <cell r="O20">
            <v>0</v>
          </cell>
          <cell r="Q20">
            <v>0</v>
          </cell>
          <cell r="R20">
            <v>0</v>
          </cell>
          <cell r="S20">
            <v>0</v>
          </cell>
          <cell r="T20">
            <v>0</v>
          </cell>
          <cell r="U20">
            <v>0</v>
          </cell>
        </row>
        <row r="21">
          <cell r="B21" t="str">
            <v>New York Active Diners as % of Total</v>
          </cell>
          <cell r="C21">
            <v>0</v>
          </cell>
          <cell r="D21">
            <v>0</v>
          </cell>
          <cell r="E21">
            <v>0</v>
          </cell>
          <cell r="F21">
            <v>0</v>
          </cell>
          <cell r="G21">
            <v>0.7</v>
          </cell>
          <cell r="H21">
            <v>0</v>
          </cell>
          <cell r="I21">
            <v>0.2</v>
          </cell>
          <cell r="J21">
            <v>0</v>
          </cell>
          <cell r="K21">
            <v>0.42230342005261612</v>
          </cell>
          <cell r="L21">
            <v>0</v>
          </cell>
          <cell r="M21">
            <v>0</v>
          </cell>
          <cell r="N21">
            <v>0</v>
          </cell>
          <cell r="O21">
            <v>0</v>
          </cell>
          <cell r="Q21" t="str">
            <v>New York Daily Average Orders</v>
          </cell>
          <cell r="R21">
            <v>0</v>
          </cell>
          <cell r="S21">
            <v>0</v>
          </cell>
          <cell r="T21">
            <v>0</v>
          </cell>
          <cell r="U21">
            <v>0</v>
          </cell>
        </row>
        <row r="22">
          <cell r="B22" t="str">
            <v>x-New York Active Diners as % of Total</v>
          </cell>
          <cell r="C22">
            <v>0</v>
          </cell>
          <cell r="D22">
            <v>0</v>
          </cell>
          <cell r="E22">
            <v>0</v>
          </cell>
          <cell r="F22">
            <v>0</v>
          </cell>
          <cell r="G22">
            <v>0.30000000000000004</v>
          </cell>
          <cell r="H22">
            <v>0</v>
          </cell>
          <cell r="I22">
            <v>0.8</v>
          </cell>
          <cell r="J22">
            <v>0</v>
          </cell>
          <cell r="K22">
            <v>0.57769657994738388</v>
          </cell>
          <cell r="L22">
            <v>0</v>
          </cell>
          <cell r="M22">
            <v>0</v>
          </cell>
          <cell r="N22">
            <v>0</v>
          </cell>
          <cell r="O22">
            <v>0</v>
          </cell>
          <cell r="Q22" t="str">
            <v>New York Total Orders Est.(m)</v>
          </cell>
          <cell r="R22">
            <v>0</v>
          </cell>
          <cell r="S22">
            <v>0</v>
          </cell>
          <cell r="T22">
            <v>9.2754147259999993</v>
          </cell>
          <cell r="U22">
            <v>0</v>
          </cell>
        </row>
        <row r="23">
          <cell r="B23">
            <v>0</v>
          </cell>
          <cell r="C23">
            <v>0</v>
          </cell>
          <cell r="D23">
            <v>0</v>
          </cell>
          <cell r="E23">
            <v>0</v>
          </cell>
          <cell r="F23">
            <v>0</v>
          </cell>
          <cell r="G23">
            <v>0</v>
          </cell>
          <cell r="H23">
            <v>0</v>
          </cell>
          <cell r="I23">
            <v>0</v>
          </cell>
          <cell r="J23">
            <v>0</v>
          </cell>
          <cell r="K23">
            <v>0</v>
          </cell>
          <cell r="L23">
            <v>0</v>
          </cell>
          <cell r="M23">
            <v>0</v>
          </cell>
          <cell r="N23">
            <v>0</v>
          </cell>
          <cell r="O23">
            <v>0</v>
          </cell>
          <cell r="Q23" t="str">
            <v>/ Days in QTR</v>
          </cell>
          <cell r="R23">
            <v>0</v>
          </cell>
          <cell r="S23">
            <v>0</v>
          </cell>
          <cell r="T23">
            <v>92</v>
          </cell>
          <cell r="U23">
            <v>0</v>
          </cell>
        </row>
        <row r="24">
          <cell r="B24" t="str">
            <v>Corporate Orders as a % of Total</v>
          </cell>
          <cell r="C24">
            <v>0.13500000000000001</v>
          </cell>
          <cell r="D24">
            <v>0</v>
          </cell>
          <cell r="E24">
            <v>0</v>
          </cell>
          <cell r="F24">
            <v>0</v>
          </cell>
          <cell r="G24">
            <v>0</v>
          </cell>
          <cell r="H24">
            <v>0</v>
          </cell>
          <cell r="I24">
            <v>0</v>
          </cell>
          <cell r="J24">
            <v>0</v>
          </cell>
          <cell r="K24">
            <v>0</v>
          </cell>
          <cell r="L24">
            <v>0</v>
          </cell>
          <cell r="M24">
            <v>0</v>
          </cell>
          <cell r="N24">
            <v>0</v>
          </cell>
          <cell r="O24">
            <v>0</v>
          </cell>
          <cell r="Q24" t="str">
            <v>= New York DAGs - 4Q13 est.</v>
          </cell>
          <cell r="R24">
            <v>0</v>
          </cell>
          <cell r="S24">
            <v>0</v>
          </cell>
          <cell r="T24">
            <v>100819.72528260869</v>
          </cell>
          <cell r="U24">
            <v>0</v>
          </cell>
        </row>
        <row r="25">
          <cell r="B25">
            <v>0</v>
          </cell>
          <cell r="C25">
            <v>0</v>
          </cell>
          <cell r="D25">
            <v>0</v>
          </cell>
          <cell r="E25">
            <v>0</v>
          </cell>
          <cell r="F25">
            <v>0</v>
          </cell>
          <cell r="G25">
            <v>0</v>
          </cell>
          <cell r="H25">
            <v>0</v>
          </cell>
          <cell r="I25">
            <v>0</v>
          </cell>
          <cell r="J25">
            <v>0</v>
          </cell>
          <cell r="K25">
            <v>0</v>
          </cell>
          <cell r="L25">
            <v>0</v>
          </cell>
          <cell r="M25">
            <v>0</v>
          </cell>
          <cell r="N25">
            <v>0</v>
          </cell>
          <cell r="O25">
            <v>0</v>
          </cell>
          <cell r="Q25" t="str">
            <v>Top 6 Metro Areas</v>
          </cell>
          <cell r="R25">
            <v>0</v>
          </cell>
          <cell r="S25">
            <v>0</v>
          </cell>
          <cell r="T25">
            <v>0</v>
          </cell>
          <cell r="U25">
            <v>0</v>
          </cell>
        </row>
        <row r="26">
          <cell r="B26" t="str">
            <v>New York Est.</v>
          </cell>
          <cell r="C26">
            <v>0</v>
          </cell>
          <cell r="D26">
            <v>0</v>
          </cell>
          <cell r="E26">
            <v>0</v>
          </cell>
          <cell r="F26">
            <v>0</v>
          </cell>
          <cell r="G26">
            <v>0</v>
          </cell>
          <cell r="H26">
            <v>0</v>
          </cell>
          <cell r="I26">
            <v>0</v>
          </cell>
          <cell r="J26">
            <v>0</v>
          </cell>
          <cell r="K26">
            <v>0</v>
          </cell>
          <cell r="L26">
            <v>0</v>
          </cell>
          <cell r="M26">
            <v>0</v>
          </cell>
          <cell r="N26">
            <v>0</v>
          </cell>
          <cell r="O26">
            <v>0</v>
          </cell>
          <cell r="Q26" t="str">
            <v>Top 6 Metro DAGs</v>
          </cell>
          <cell r="R26">
            <v>0</v>
          </cell>
          <cell r="S26">
            <v>0</v>
          </cell>
          <cell r="T26">
            <v>24359.274717391309</v>
          </cell>
          <cell r="U26">
            <v>0</v>
          </cell>
        </row>
        <row r="27">
          <cell r="B27" t="str">
            <v>LTM Active Diners</v>
          </cell>
          <cell r="C27">
            <v>6.9068297454545471E-2</v>
          </cell>
          <cell r="D27">
            <v>0</v>
          </cell>
          <cell r="E27">
            <v>0.9956317025454543</v>
          </cell>
          <cell r="F27">
            <v>0</v>
          </cell>
          <cell r="G27">
            <v>1.0646999999999998</v>
          </cell>
          <cell r="H27">
            <v>0</v>
          </cell>
          <cell r="I27">
            <v>0.38</v>
          </cell>
          <cell r="J27">
            <v>0</v>
          </cell>
          <cell r="K27">
            <v>1.4446999999999997</v>
          </cell>
          <cell r="L27">
            <v>0</v>
          </cell>
          <cell r="M27">
            <v>6.9068297454545471E-2</v>
          </cell>
          <cell r="N27">
            <v>0</v>
          </cell>
          <cell r="O27">
            <v>1.3756317025454541</v>
          </cell>
          <cell r="Q27" t="str">
            <v>x Days in QTR</v>
          </cell>
          <cell r="R27">
            <v>0</v>
          </cell>
          <cell r="S27">
            <v>0</v>
          </cell>
          <cell r="T27">
            <v>92</v>
          </cell>
          <cell r="U27">
            <v>0</v>
          </cell>
        </row>
        <row r="28">
          <cell r="B28" t="str">
            <v>x Orders per LTM Active Diner</v>
          </cell>
          <cell r="C28">
            <v>24.75</v>
          </cell>
          <cell r="D28">
            <v>0</v>
          </cell>
          <cell r="E28">
            <v>5.5</v>
          </cell>
          <cell r="F28">
            <v>0</v>
          </cell>
          <cell r="G28">
            <v>6.7487693491124272</v>
          </cell>
          <cell r="H28">
            <v>0</v>
          </cell>
          <cell r="I28">
            <v>5.5</v>
          </cell>
          <cell r="J28">
            <v>0</v>
          </cell>
          <cell r="K28">
            <v>6.4203050640271346</v>
          </cell>
          <cell r="L28">
            <v>0</v>
          </cell>
          <cell r="M28">
            <v>24.75</v>
          </cell>
          <cell r="N28">
            <v>0</v>
          </cell>
          <cell r="O28">
            <v>5.5000000000000009</v>
          </cell>
          <cell r="Q28" t="str">
            <v>= Top 6 Total Orders Est.(m)</v>
          </cell>
          <cell r="R28">
            <v>0</v>
          </cell>
          <cell r="S28">
            <v>0</v>
          </cell>
          <cell r="T28">
            <v>2.2410532740000004</v>
          </cell>
          <cell r="U28">
            <v>0</v>
          </cell>
        </row>
        <row r="29">
          <cell r="B29" t="str">
            <v>= Total Orders</v>
          </cell>
          <cell r="C29">
            <v>1.7094403620000003</v>
          </cell>
          <cell r="D29">
            <v>0</v>
          </cell>
          <cell r="E29">
            <v>5.4759743639999989</v>
          </cell>
          <cell r="F29">
            <v>0</v>
          </cell>
          <cell r="G29">
            <v>7.1854147259999994</v>
          </cell>
          <cell r="H29">
            <v>0</v>
          </cell>
          <cell r="I29">
            <v>2.09</v>
          </cell>
          <cell r="J29">
            <v>0</v>
          </cell>
          <cell r="K29">
            <v>9.2754147259999993</v>
          </cell>
          <cell r="L29">
            <v>0</v>
          </cell>
          <cell r="M29">
            <v>1.7094403620000005</v>
          </cell>
          <cell r="N29">
            <v>0</v>
          </cell>
          <cell r="O29">
            <v>7.5659743639999988</v>
          </cell>
          <cell r="Q29">
            <v>0</v>
          </cell>
          <cell r="R29">
            <v>0</v>
          </cell>
          <cell r="S29">
            <v>0</v>
          </cell>
          <cell r="T29">
            <v>0</v>
          </cell>
          <cell r="U29">
            <v>0</v>
          </cell>
        </row>
        <row r="30">
          <cell r="B30">
            <v>0</v>
          </cell>
          <cell r="C30">
            <v>0</v>
          </cell>
          <cell r="D30">
            <v>0</v>
          </cell>
          <cell r="E30">
            <v>0</v>
          </cell>
          <cell r="F30">
            <v>0</v>
          </cell>
          <cell r="G30">
            <v>0</v>
          </cell>
          <cell r="H30">
            <v>0</v>
          </cell>
          <cell r="I30">
            <v>0</v>
          </cell>
          <cell r="J30">
            <v>0</v>
          </cell>
          <cell r="K30">
            <v>0</v>
          </cell>
          <cell r="L30">
            <v>0</v>
          </cell>
          <cell r="M30">
            <v>0</v>
          </cell>
          <cell r="N30">
            <v>0</v>
          </cell>
          <cell r="O30">
            <v>0</v>
          </cell>
          <cell r="Q30" t="str">
            <v>Rest of USA</v>
          </cell>
          <cell r="R30">
            <v>0</v>
          </cell>
          <cell r="S30">
            <v>0</v>
          </cell>
          <cell r="T30">
            <v>0</v>
          </cell>
          <cell r="U30">
            <v>0</v>
          </cell>
        </row>
        <row r="31">
          <cell r="B31" t="str">
            <v>Baseline Assumptions</v>
          </cell>
          <cell r="C31">
            <v>0</v>
          </cell>
          <cell r="D31">
            <v>0</v>
          </cell>
          <cell r="E31">
            <v>0</v>
          </cell>
          <cell r="F31">
            <v>0</v>
          </cell>
          <cell r="G31">
            <v>0</v>
          </cell>
          <cell r="H31">
            <v>0</v>
          </cell>
          <cell r="I31">
            <v>0</v>
          </cell>
          <cell r="J31">
            <v>0</v>
          </cell>
          <cell r="K31">
            <v>0</v>
          </cell>
          <cell r="L31">
            <v>0</v>
          </cell>
          <cell r="M31">
            <v>0</v>
          </cell>
          <cell r="N31">
            <v>0</v>
          </cell>
          <cell r="O31">
            <v>0</v>
          </cell>
          <cell r="Q31" t="str">
            <v>Total Reported Orders</v>
          </cell>
          <cell r="R31">
            <v>0</v>
          </cell>
          <cell r="S31">
            <v>0</v>
          </cell>
          <cell r="T31">
            <v>14.069468000000001</v>
          </cell>
          <cell r="U31">
            <v>0</v>
          </cell>
        </row>
        <row r="32">
          <cell r="B32" t="str">
            <v>New York Corporate Orders as % of Total</v>
          </cell>
          <cell r="C32">
            <v>0.9</v>
          </cell>
          <cell r="D32">
            <v>0</v>
          </cell>
          <cell r="E32">
            <v>0</v>
          </cell>
          <cell r="F32">
            <v>0</v>
          </cell>
          <cell r="G32">
            <v>0</v>
          </cell>
          <cell r="H32">
            <v>0</v>
          </cell>
          <cell r="I32">
            <v>0</v>
          </cell>
          <cell r="J32">
            <v>0</v>
          </cell>
          <cell r="K32">
            <v>0</v>
          </cell>
          <cell r="L32">
            <v>0</v>
          </cell>
          <cell r="M32">
            <v>0</v>
          </cell>
          <cell r="N32">
            <v>0</v>
          </cell>
          <cell r="O32">
            <v>0</v>
          </cell>
          <cell r="Q32" t="str">
            <v>- New York Orders est.</v>
          </cell>
          <cell r="R32">
            <v>0</v>
          </cell>
          <cell r="S32">
            <v>0</v>
          </cell>
          <cell r="T32">
            <v>9.2754147259999993</v>
          </cell>
          <cell r="U32">
            <v>0</v>
          </cell>
        </row>
        <row r="33">
          <cell r="B33" t="str">
            <v>Consumer Order Frequency</v>
          </cell>
          <cell r="C33">
            <v>0</v>
          </cell>
          <cell r="D33">
            <v>0</v>
          </cell>
          <cell r="E33">
            <v>5.5</v>
          </cell>
          <cell r="F33">
            <v>0</v>
          </cell>
          <cell r="G33">
            <v>0</v>
          </cell>
          <cell r="H33">
            <v>0</v>
          </cell>
          <cell r="I33">
            <v>5.5</v>
          </cell>
          <cell r="J33">
            <v>0</v>
          </cell>
          <cell r="K33">
            <v>0</v>
          </cell>
          <cell r="L33">
            <v>0</v>
          </cell>
          <cell r="M33">
            <v>0</v>
          </cell>
          <cell r="N33">
            <v>0</v>
          </cell>
          <cell r="O33">
            <v>0</v>
          </cell>
          <cell r="Q33" t="str">
            <v>- Top 6 Metro Orders est.</v>
          </cell>
          <cell r="R33">
            <v>0</v>
          </cell>
          <cell r="S33">
            <v>0</v>
          </cell>
          <cell r="T33">
            <v>2.2410532740000004</v>
          </cell>
          <cell r="U33">
            <v>0</v>
          </cell>
        </row>
        <row r="34">
          <cell r="B34" t="str">
            <v>Corporate Order Frequency</v>
          </cell>
          <cell r="C34">
            <v>24.75</v>
          </cell>
          <cell r="D34">
            <v>0</v>
          </cell>
          <cell r="E34">
            <v>0</v>
          </cell>
          <cell r="F34">
            <v>0</v>
          </cell>
          <cell r="G34">
            <v>0</v>
          </cell>
          <cell r="H34">
            <v>0</v>
          </cell>
          <cell r="I34">
            <v>0</v>
          </cell>
          <cell r="J34">
            <v>0</v>
          </cell>
          <cell r="K34">
            <v>0</v>
          </cell>
          <cell r="L34">
            <v>0</v>
          </cell>
          <cell r="M34">
            <v>0</v>
          </cell>
          <cell r="N34">
            <v>0</v>
          </cell>
          <cell r="O34">
            <v>0</v>
          </cell>
          <cell r="Q34" t="str">
            <v>= Rest of USA Orders</v>
          </cell>
          <cell r="R34">
            <v>0</v>
          </cell>
          <cell r="S34">
            <v>0</v>
          </cell>
          <cell r="T34">
            <v>2.5530000000000008</v>
          </cell>
          <cell r="U34">
            <v>0</v>
          </cell>
        </row>
        <row r="35">
          <cell r="B35">
            <v>0</v>
          </cell>
          <cell r="C35">
            <v>0</v>
          </cell>
          <cell r="D35">
            <v>0</v>
          </cell>
          <cell r="E35">
            <v>0</v>
          </cell>
          <cell r="F35">
            <v>0</v>
          </cell>
          <cell r="G35">
            <v>0</v>
          </cell>
          <cell r="H35">
            <v>0</v>
          </cell>
          <cell r="I35">
            <v>0</v>
          </cell>
          <cell r="J35">
            <v>0</v>
          </cell>
          <cell r="K35">
            <v>0</v>
          </cell>
          <cell r="L35">
            <v>0</v>
          </cell>
          <cell r="M35">
            <v>0</v>
          </cell>
          <cell r="N35">
            <v>0</v>
          </cell>
          <cell r="O35">
            <v>0</v>
          </cell>
        </row>
        <row r="36">
          <cell r="B36" t="str">
            <v>Orders as % of Total Company</v>
          </cell>
          <cell r="C36">
            <v>0.12150000000000001</v>
          </cell>
          <cell r="D36">
            <v>0</v>
          </cell>
          <cell r="E36">
            <v>0.38920976713547367</v>
          </cell>
          <cell r="F36">
            <v>0</v>
          </cell>
          <cell r="G36">
            <v>0.51070976713547367</v>
          </cell>
          <cell r="H36">
            <v>0</v>
          </cell>
          <cell r="I36">
            <v>0.14854861605285999</v>
          </cell>
          <cell r="J36">
            <v>0</v>
          </cell>
          <cell r="K36">
            <v>0.65925838318833374</v>
          </cell>
          <cell r="L36">
            <v>0</v>
          </cell>
          <cell r="M36">
            <v>0</v>
          </cell>
          <cell r="N36">
            <v>0</v>
          </cell>
          <cell r="O36">
            <v>0</v>
          </cell>
        </row>
        <row r="37">
          <cell r="B37" t="str">
            <v/>
          </cell>
          <cell r="C37">
            <v>0</v>
          </cell>
          <cell r="D37">
            <v>0</v>
          </cell>
          <cell r="E37">
            <v>0</v>
          </cell>
          <cell r="F37">
            <v>0</v>
          </cell>
          <cell r="G37">
            <v>0</v>
          </cell>
          <cell r="H37">
            <v>0</v>
          </cell>
          <cell r="I37">
            <v>0</v>
          </cell>
          <cell r="J37">
            <v>0</v>
          </cell>
          <cell r="K37">
            <v>0</v>
          </cell>
          <cell r="L37">
            <v>0</v>
          </cell>
          <cell r="M37">
            <v>0</v>
          </cell>
          <cell r="N37">
            <v>0</v>
          </cell>
          <cell r="O37">
            <v>0</v>
          </cell>
        </row>
        <row r="38">
          <cell r="B38" t="str">
            <v xml:space="preserve">Total x-New York Est. </v>
          </cell>
          <cell r="C38">
            <v>0</v>
          </cell>
          <cell r="D38">
            <v>0</v>
          </cell>
          <cell r="E38">
            <v>0</v>
          </cell>
          <cell r="F38">
            <v>0</v>
          </cell>
          <cell r="G38">
            <v>0</v>
          </cell>
          <cell r="H38">
            <v>0</v>
          </cell>
          <cell r="I38">
            <v>0</v>
          </cell>
          <cell r="J38">
            <v>0</v>
          </cell>
          <cell r="K38">
            <v>0</v>
          </cell>
          <cell r="L38">
            <v>0</v>
          </cell>
          <cell r="M38">
            <v>0</v>
          </cell>
          <cell r="N38">
            <v>0</v>
          </cell>
          <cell r="O38">
            <v>0</v>
          </cell>
          <cell r="Q38" t="str">
            <v>Table 4</v>
          </cell>
        </row>
        <row r="39">
          <cell r="B39" t="str">
            <v>LTM Active Diners</v>
          </cell>
          <cell r="C39">
            <v>7.6742552727272718E-3</v>
          </cell>
          <cell r="D39">
            <v>0</v>
          </cell>
          <cell r="E39">
            <v>0.4486257447272729</v>
          </cell>
          <cell r="F39">
            <v>0</v>
          </cell>
          <cell r="G39">
            <v>0.45630000000000015</v>
          </cell>
          <cell r="H39">
            <v>0</v>
          </cell>
          <cell r="I39">
            <v>1.52</v>
          </cell>
          <cell r="J39">
            <v>0</v>
          </cell>
          <cell r="K39">
            <v>1.9763000000000002</v>
          </cell>
          <cell r="L39">
            <v>0</v>
          </cell>
          <cell r="M39">
            <v>7.6742552727272718E-3</v>
          </cell>
          <cell r="N39">
            <v>0</v>
          </cell>
          <cell r="O39">
            <v>1.9686257447272728</v>
          </cell>
        </row>
        <row r="40">
          <cell r="B40" t="str">
            <v>x Orders per LTM Active Diner</v>
          </cell>
          <cell r="C40">
            <v>24.75</v>
          </cell>
          <cell r="D40">
            <v>0</v>
          </cell>
          <cell r="E40">
            <v>2.5179109308874428</v>
          </cell>
          <cell r="F40">
            <v>0</v>
          </cell>
          <cell r="G40">
            <v>2.8918200406011825</v>
          </cell>
          <cell r="H40">
            <v>0</v>
          </cell>
          <cell r="I40">
            <v>2.285865650969527</v>
          </cell>
          <cell r="J40">
            <v>0</v>
          </cell>
          <cell r="K40">
            <v>2.4257720356221224</v>
          </cell>
          <cell r="L40">
            <v>0</v>
          </cell>
          <cell r="M40">
            <v>24.75</v>
          </cell>
          <cell r="N40">
            <v>0</v>
          </cell>
          <cell r="O40">
            <v>2.3387459339752978</v>
          </cell>
          <cell r="Q40">
            <v>0</v>
          </cell>
          <cell r="R40" t="str">
            <v>4Q13A</v>
          </cell>
          <cell r="S40" t="str">
            <v>1Q14A</v>
          </cell>
          <cell r="T40" t="str">
            <v>2Q14A</v>
          </cell>
          <cell r="U40" t="str">
            <v>3Q14A</v>
          </cell>
          <cell r="V40" t="str">
            <v>4Q14A</v>
          </cell>
        </row>
        <row r="41">
          <cell r="B41" t="str">
            <v>= Total Orders</v>
          </cell>
          <cell r="C41">
            <v>0.18993781799999998</v>
          </cell>
          <cell r="D41">
            <v>0</v>
          </cell>
          <cell r="E41">
            <v>1.1295996665263199</v>
          </cell>
          <cell r="F41">
            <v>0</v>
          </cell>
          <cell r="G41">
            <v>1.3195374845263199</v>
          </cell>
          <cell r="H41">
            <v>0</v>
          </cell>
          <cell r="I41">
            <v>3.4745157894736813</v>
          </cell>
          <cell r="J41">
            <v>0</v>
          </cell>
          <cell r="K41">
            <v>4.7940532740000013</v>
          </cell>
          <cell r="L41">
            <v>0</v>
          </cell>
          <cell r="M41">
            <v>0.18993781799999998</v>
          </cell>
          <cell r="N41">
            <v>0</v>
          </cell>
          <cell r="O41">
            <v>4.6041154560000015</v>
          </cell>
          <cell r="Q41" t="str">
            <v>Total Company</v>
          </cell>
          <cell r="R41">
            <v>0</v>
          </cell>
          <cell r="S41">
            <v>0</v>
          </cell>
          <cell r="T41">
            <v>0</v>
          </cell>
          <cell r="U41">
            <v>0</v>
          </cell>
          <cell r="V41">
            <v>0</v>
          </cell>
        </row>
        <row r="42">
          <cell r="B42">
            <v>0</v>
          </cell>
          <cell r="C42">
            <v>0</v>
          </cell>
          <cell r="D42">
            <v>0</v>
          </cell>
          <cell r="E42">
            <v>0</v>
          </cell>
          <cell r="F42">
            <v>0</v>
          </cell>
          <cell r="G42">
            <v>0</v>
          </cell>
          <cell r="H42">
            <v>0</v>
          </cell>
          <cell r="I42">
            <v>0</v>
          </cell>
          <cell r="J42">
            <v>0</v>
          </cell>
          <cell r="K42">
            <v>0</v>
          </cell>
          <cell r="L42">
            <v>0</v>
          </cell>
          <cell r="M42">
            <v>0</v>
          </cell>
          <cell r="N42">
            <v>0</v>
          </cell>
          <cell r="O42">
            <v>0</v>
          </cell>
          <cell r="Q42" t="str">
            <v>Total Active Diners (m)</v>
          </cell>
          <cell r="R42">
            <v>3.4209999999999998</v>
          </cell>
          <cell r="S42">
            <v>3.851</v>
          </cell>
          <cell r="T42">
            <v>4.1920000000000002</v>
          </cell>
          <cell r="U42">
            <v>4.5709999999999997</v>
          </cell>
          <cell r="V42">
            <v>5.03</v>
          </cell>
        </row>
        <row r="43">
          <cell r="B43" t="str">
            <v>Top 6 Metropolitan Areas</v>
          </cell>
          <cell r="C43">
            <v>0</v>
          </cell>
          <cell r="D43">
            <v>0</v>
          </cell>
          <cell r="E43">
            <v>0</v>
          </cell>
          <cell r="F43">
            <v>0</v>
          </cell>
          <cell r="G43">
            <v>0</v>
          </cell>
          <cell r="H43">
            <v>0</v>
          </cell>
          <cell r="I43">
            <v>0</v>
          </cell>
          <cell r="J43">
            <v>0</v>
          </cell>
          <cell r="K43">
            <v>0</v>
          </cell>
          <cell r="L43">
            <v>0</v>
          </cell>
          <cell r="M43">
            <v>0</v>
          </cell>
          <cell r="N43">
            <v>0</v>
          </cell>
          <cell r="O43">
            <v>0</v>
          </cell>
          <cell r="Q43" t="str">
            <v>LTM Active Diners - Net Adds</v>
          </cell>
          <cell r="R43">
            <v>0.371</v>
          </cell>
          <cell r="S43">
            <v>0.43000000000000016</v>
          </cell>
          <cell r="T43">
            <v>0.34100000000000019</v>
          </cell>
          <cell r="U43">
            <v>0.37899999999999956</v>
          </cell>
          <cell r="V43">
            <v>0.45900000000000052</v>
          </cell>
        </row>
        <row r="44">
          <cell r="B44" t="str">
            <v>LTM Active Diners</v>
          </cell>
          <cell r="C44">
            <v>7.6742552727272718E-3</v>
          </cell>
          <cell r="D44">
            <v>0</v>
          </cell>
          <cell r="E44">
            <v>0</v>
          </cell>
          <cell r="F44">
            <v>0</v>
          </cell>
          <cell r="G44">
            <v>0</v>
          </cell>
          <cell r="H44">
            <v>0</v>
          </cell>
          <cell r="I44">
            <v>0</v>
          </cell>
          <cell r="J44">
            <v>0</v>
          </cell>
          <cell r="K44">
            <v>0</v>
          </cell>
          <cell r="L44">
            <v>0</v>
          </cell>
          <cell r="M44">
            <v>7.6742552727272718E-3</v>
          </cell>
          <cell r="N44">
            <v>0</v>
          </cell>
          <cell r="O44">
            <v>0.82044618240000022</v>
          </cell>
          <cell r="Q44" t="str">
            <v>Y/Y Change in Active Diners</v>
          </cell>
          <cell r="R44">
            <v>0.47393364928909931</v>
          </cell>
          <cell r="S44">
            <v>0.49437330228948384</v>
          </cell>
          <cell r="T44">
            <v>0.50682961897915169</v>
          </cell>
          <cell r="U44">
            <v>0.498688524590164</v>
          </cell>
          <cell r="V44">
            <v>0.4703303127740428</v>
          </cell>
        </row>
        <row r="45">
          <cell r="B45" t="str">
            <v>x Orders per LTM Active Diner</v>
          </cell>
          <cell r="C45">
            <v>24.75</v>
          </cell>
          <cell r="D45">
            <v>0</v>
          </cell>
          <cell r="E45">
            <v>0</v>
          </cell>
          <cell r="F45">
            <v>0</v>
          </cell>
          <cell r="G45">
            <v>0</v>
          </cell>
          <cell r="H45">
            <v>0</v>
          </cell>
          <cell r="I45">
            <v>0</v>
          </cell>
          <cell r="J45">
            <v>0</v>
          </cell>
          <cell r="K45">
            <v>0</v>
          </cell>
          <cell r="L45">
            <v>0</v>
          </cell>
          <cell r="M45">
            <v>24.75</v>
          </cell>
          <cell r="N45">
            <v>0</v>
          </cell>
          <cell r="O45">
            <v>2.5</v>
          </cell>
          <cell r="Q45" t="str">
            <v>Orders per LTM Active Diner</v>
          </cell>
          <cell r="R45">
            <v>4.112676995030693</v>
          </cell>
          <cell r="S45">
            <v>4.234744222279927</v>
          </cell>
          <cell r="T45">
            <v>3.7880486641221371</v>
          </cell>
          <cell r="U45">
            <v>3.475913366878145</v>
          </cell>
          <cell r="V45">
            <v>3.7074353876739559</v>
          </cell>
        </row>
        <row r="46">
          <cell r="B46" t="str">
            <v>= Total Orders</v>
          </cell>
          <cell r="C46">
            <v>0.18993781799999998</v>
          </cell>
          <cell r="D46">
            <v>0</v>
          </cell>
          <cell r="E46">
            <v>0</v>
          </cell>
          <cell r="F46">
            <v>0</v>
          </cell>
          <cell r="G46">
            <v>0</v>
          </cell>
          <cell r="H46">
            <v>0</v>
          </cell>
          <cell r="I46">
            <v>0</v>
          </cell>
          <cell r="J46">
            <v>0</v>
          </cell>
          <cell r="K46">
            <v>2.2410532740000004</v>
          </cell>
          <cell r="L46">
            <v>0</v>
          </cell>
          <cell r="M46">
            <v>0.18993781799999998</v>
          </cell>
          <cell r="N46">
            <v>0</v>
          </cell>
          <cell r="O46">
            <v>2.0511154560000007</v>
          </cell>
          <cell r="Q46" t="str">
            <v>Y/Y Change</v>
          </cell>
          <cell r="R46">
            <v>-1.2790788745062565E-2</v>
          </cell>
          <cell r="S46">
            <v>-6.0768064307137215E-2</v>
          </cell>
          <cell r="T46">
            <v>-0.10986887655414801</v>
          </cell>
          <cell r="U46">
            <v>-0.11221814756997883</v>
          </cell>
          <cell r="V46">
            <v>-9.8534751901592665E-2</v>
          </cell>
        </row>
        <row r="47">
          <cell r="B47">
            <v>0</v>
          </cell>
          <cell r="C47">
            <v>0</v>
          </cell>
          <cell r="D47">
            <v>0</v>
          </cell>
          <cell r="E47">
            <v>0</v>
          </cell>
          <cell r="F47">
            <v>0</v>
          </cell>
          <cell r="G47">
            <v>0</v>
          </cell>
          <cell r="H47">
            <v>0</v>
          </cell>
          <cell r="I47">
            <v>0</v>
          </cell>
          <cell r="J47">
            <v>0</v>
          </cell>
          <cell r="K47">
            <v>0</v>
          </cell>
          <cell r="L47">
            <v>0</v>
          </cell>
          <cell r="M47">
            <v>0</v>
          </cell>
          <cell r="N47">
            <v>0</v>
          </cell>
          <cell r="O47">
            <v>0</v>
          </cell>
          <cell r="Q47" t="str">
            <v>Corporate</v>
          </cell>
          <cell r="R47">
            <v>0</v>
          </cell>
          <cell r="S47">
            <v>0</v>
          </cell>
          <cell r="T47">
            <v>0</v>
          </cell>
          <cell r="U47">
            <v>0</v>
          </cell>
          <cell r="V47">
            <v>0</v>
          </cell>
        </row>
        <row r="48">
          <cell r="B48" t="str">
            <v>Rest of USA</v>
          </cell>
          <cell r="C48">
            <v>0</v>
          </cell>
          <cell r="D48">
            <v>0</v>
          </cell>
          <cell r="E48">
            <v>0</v>
          </cell>
          <cell r="F48">
            <v>0</v>
          </cell>
          <cell r="G48">
            <v>0</v>
          </cell>
          <cell r="H48">
            <v>0</v>
          </cell>
          <cell r="I48">
            <v>0</v>
          </cell>
          <cell r="J48">
            <v>0</v>
          </cell>
          <cell r="K48">
            <v>0</v>
          </cell>
          <cell r="L48">
            <v>0</v>
          </cell>
          <cell r="M48">
            <v>0</v>
          </cell>
          <cell r="N48">
            <v>0</v>
          </cell>
          <cell r="O48">
            <v>0</v>
          </cell>
          <cell r="Q48" t="str">
            <v>Total Active Diners (m)</v>
          </cell>
          <cell r="R48">
            <v>7.6742552727272748E-2</v>
          </cell>
          <cell r="S48">
            <v>7.7387552727272754E-2</v>
          </cell>
          <cell r="T48">
            <v>7.7899052727272752E-2</v>
          </cell>
          <cell r="U48">
            <v>7.8467552727272752E-2</v>
          </cell>
          <cell r="V48">
            <v>7.9156052727272747E-2</v>
          </cell>
        </row>
        <row r="49">
          <cell r="B49" t="str">
            <v>LTM Active Diners</v>
          </cell>
          <cell r="C49">
            <v>0</v>
          </cell>
          <cell r="D49">
            <v>0</v>
          </cell>
          <cell r="E49">
            <v>0</v>
          </cell>
          <cell r="F49">
            <v>0</v>
          </cell>
          <cell r="G49">
            <v>0</v>
          </cell>
          <cell r="H49">
            <v>0</v>
          </cell>
          <cell r="I49">
            <v>0</v>
          </cell>
          <cell r="J49">
            <v>0</v>
          </cell>
          <cell r="K49">
            <v>0</v>
          </cell>
          <cell r="L49">
            <v>0</v>
          </cell>
          <cell r="M49">
            <v>0</v>
          </cell>
          <cell r="N49">
            <v>0</v>
          </cell>
          <cell r="O49">
            <v>1.1481795623272728</v>
          </cell>
          <cell r="Q49" t="str">
            <v>LTM Active Diners - Net Adds</v>
          </cell>
          <cell r="R49">
            <v>0</v>
          </cell>
          <cell r="S49">
            <v>6.4500000000000028E-4</v>
          </cell>
          <cell r="T49">
            <v>5.1150000000000034E-4</v>
          </cell>
          <cell r="U49">
            <v>5.6849999999999934E-4</v>
          </cell>
          <cell r="V49">
            <v>6.8850000000000074E-4</v>
          </cell>
        </row>
        <row r="50">
          <cell r="B50" t="str">
            <v>x Orders per LTM Active Diner</v>
          </cell>
          <cell r="C50">
            <v>0</v>
          </cell>
          <cell r="D50">
            <v>0</v>
          </cell>
          <cell r="E50">
            <v>0</v>
          </cell>
          <cell r="F50">
            <v>0</v>
          </cell>
          <cell r="G50">
            <v>0</v>
          </cell>
          <cell r="H50">
            <v>0</v>
          </cell>
          <cell r="I50">
            <v>0</v>
          </cell>
          <cell r="J50">
            <v>0</v>
          </cell>
          <cell r="K50">
            <v>0</v>
          </cell>
          <cell r="L50">
            <v>0</v>
          </cell>
          <cell r="M50">
            <v>0</v>
          </cell>
          <cell r="N50">
            <v>0</v>
          </cell>
          <cell r="O50">
            <v>2.2235198080213721</v>
          </cell>
          <cell r="Q50" t="str">
            <v>Orders per LTM Active Diner</v>
          </cell>
          <cell r="R50">
            <v>24.749999999999996</v>
          </cell>
          <cell r="S50">
            <v>25.492499999999996</v>
          </cell>
          <cell r="T50">
            <v>24.217874999999996</v>
          </cell>
          <cell r="U50">
            <v>23.006981249999995</v>
          </cell>
          <cell r="V50">
            <v>25.492499999999996</v>
          </cell>
        </row>
        <row r="51">
          <cell r="B51" t="str">
            <v>= Total Orders</v>
          </cell>
          <cell r="C51">
            <v>0</v>
          </cell>
          <cell r="D51">
            <v>0</v>
          </cell>
          <cell r="E51">
            <v>0</v>
          </cell>
          <cell r="F51">
            <v>0</v>
          </cell>
          <cell r="G51">
            <v>0</v>
          </cell>
          <cell r="H51">
            <v>0</v>
          </cell>
          <cell r="I51">
            <v>0</v>
          </cell>
          <cell r="J51">
            <v>0</v>
          </cell>
          <cell r="K51">
            <v>2.5530000000000008</v>
          </cell>
          <cell r="L51">
            <v>0</v>
          </cell>
          <cell r="M51">
            <v>0</v>
          </cell>
          <cell r="N51">
            <v>0</v>
          </cell>
          <cell r="O51">
            <v>2.5530000000000008</v>
          </cell>
          <cell r="Q51" t="str">
            <v>Q/Q Change - Est. Seasonality</v>
          </cell>
          <cell r="R51">
            <v>0</v>
          </cell>
          <cell r="S51">
            <v>0.03</v>
          </cell>
          <cell r="T51">
            <v>-0.05</v>
          </cell>
          <cell r="U51">
            <v>-0.05</v>
          </cell>
          <cell r="V51">
            <v>0.10803324099723</v>
          </cell>
        </row>
        <row r="52">
          <cell r="E52">
            <v>0</v>
          </cell>
          <cell r="J52">
            <v>0</v>
          </cell>
          <cell r="Q52" t="str">
            <v>Y/Y Change</v>
          </cell>
          <cell r="R52">
            <v>0</v>
          </cell>
          <cell r="S52">
            <v>0</v>
          </cell>
          <cell r="T52">
            <v>0</v>
          </cell>
          <cell r="U52">
            <v>0</v>
          </cell>
          <cell r="V52">
            <v>0.03</v>
          </cell>
        </row>
        <row r="53">
          <cell r="Q53" t="str">
            <v>New York</v>
          </cell>
          <cell r="R53">
            <v>0</v>
          </cell>
          <cell r="S53">
            <v>0</v>
          </cell>
          <cell r="T53">
            <v>0</v>
          </cell>
          <cell r="U53">
            <v>0</v>
          </cell>
          <cell r="V53">
            <v>0</v>
          </cell>
        </row>
        <row r="54">
          <cell r="Q54" t="str">
            <v>Total Active Diners (m)</v>
          </cell>
          <cell r="R54">
            <v>1.3756317025454541</v>
          </cell>
          <cell r="S54">
            <v>1.4616317025454542</v>
          </cell>
          <cell r="T54">
            <v>1.5298317025454542</v>
          </cell>
          <cell r="U54">
            <v>1.6056317025454541</v>
          </cell>
          <cell r="V54">
            <v>1.6974317025454542</v>
          </cell>
        </row>
        <row r="55">
          <cell r="Q55" t="str">
            <v>LTM Active Diners - Net Adds</v>
          </cell>
          <cell r="R55">
            <v>0</v>
          </cell>
          <cell r="S55">
            <v>8.6000000000000035E-2</v>
          </cell>
          <cell r="T55">
            <v>6.8200000000000038E-2</v>
          </cell>
          <cell r="U55">
            <v>7.5799999999999923E-2</v>
          </cell>
          <cell r="V55">
            <v>9.1800000000000104E-2</v>
          </cell>
        </row>
        <row r="56">
          <cell r="Q56" t="str">
            <v>Y/Y Change in Active Diners</v>
          </cell>
          <cell r="R56">
            <v>0</v>
          </cell>
          <cell r="S56">
            <v>0</v>
          </cell>
          <cell r="T56">
            <v>0</v>
          </cell>
          <cell r="U56">
            <v>0</v>
          </cell>
          <cell r="V56">
            <v>0.23392889201706013</v>
          </cell>
        </row>
        <row r="57">
          <cell r="Q57" t="str">
            <v>Orders per LTM Active Diner</v>
          </cell>
          <cell r="R57">
            <v>5.5000000000000009</v>
          </cell>
          <cell r="S57">
            <v>5.9125000000000005</v>
          </cell>
          <cell r="T57">
            <v>5.3803750000000008</v>
          </cell>
          <cell r="U57">
            <v>5.1113562500000009</v>
          </cell>
          <cell r="V57">
            <v>5.6100000000000012</v>
          </cell>
        </row>
        <row r="58">
          <cell r="Q58" t="str">
            <v>Q/Q Change - Est. Seasonality</v>
          </cell>
          <cell r="R58">
            <v>0</v>
          </cell>
          <cell r="S58">
            <v>7.4999999999999997E-2</v>
          </cell>
          <cell r="T58">
            <v>-0.09</v>
          </cell>
          <cell r="U58">
            <v>-0.05</v>
          </cell>
          <cell r="V58">
            <v>9.7556054716397389E-2</v>
          </cell>
        </row>
        <row r="59">
          <cell r="Q59" t="str">
            <v>Y/Y Change</v>
          </cell>
          <cell r="R59">
            <v>0</v>
          </cell>
          <cell r="S59">
            <v>0</v>
          </cell>
          <cell r="T59">
            <v>0</v>
          </cell>
          <cell r="U59">
            <v>0</v>
          </cell>
          <cell r="V59">
            <v>0.02</v>
          </cell>
        </row>
        <row r="60">
          <cell r="Q60" t="str">
            <v>Top 6 Metro</v>
          </cell>
          <cell r="R60">
            <v>0</v>
          </cell>
          <cell r="S60">
            <v>0</v>
          </cell>
          <cell r="T60">
            <v>0</v>
          </cell>
          <cell r="U60">
            <v>0</v>
          </cell>
          <cell r="V60">
            <v>0</v>
          </cell>
        </row>
        <row r="61">
          <cell r="Q61" t="str">
            <v>Total Active Diners (m)</v>
          </cell>
          <cell r="R61">
            <v>0.82044618240000022</v>
          </cell>
          <cell r="S61">
            <v>0.94944618240000023</v>
          </cell>
          <cell r="T61">
            <v>1.0517461824000003</v>
          </cell>
          <cell r="U61">
            <v>1.1654461824000002</v>
          </cell>
          <cell r="V61">
            <v>1.3031461824000004</v>
          </cell>
        </row>
        <row r="62">
          <cell r="Q62" t="str">
            <v>LTM Active Diners - Net Adds</v>
          </cell>
          <cell r="R62">
            <v>0</v>
          </cell>
          <cell r="S62">
            <v>0.12900000000000003</v>
          </cell>
          <cell r="T62">
            <v>0.10230000000000006</v>
          </cell>
          <cell r="U62">
            <v>0.11369999999999986</v>
          </cell>
          <cell r="V62">
            <v>0.13770000000000016</v>
          </cell>
        </row>
        <row r="63">
          <cell r="Q63" t="str">
            <v>Y/Y Change in Active Diners</v>
          </cell>
          <cell r="R63">
            <v>0</v>
          </cell>
          <cell r="S63">
            <v>0</v>
          </cell>
          <cell r="T63">
            <v>0</v>
          </cell>
          <cell r="U63">
            <v>0</v>
          </cell>
          <cell r="V63">
            <v>0.58833840702139395</v>
          </cell>
        </row>
        <row r="64">
          <cell r="Q64" t="str">
            <v>Orders per LTM Active Diner</v>
          </cell>
          <cell r="R64">
            <v>2.5</v>
          </cell>
          <cell r="S64">
            <v>2.625</v>
          </cell>
          <cell r="T64">
            <v>2.415</v>
          </cell>
          <cell r="U64">
            <v>2.2942499999999999</v>
          </cell>
          <cell r="V64">
            <v>2.5499999999999998</v>
          </cell>
        </row>
        <row r="65">
          <cell r="Q65" t="str">
            <v>Q/Q Change - Est. Seasonality</v>
          </cell>
          <cell r="R65">
            <v>0</v>
          </cell>
          <cell r="S65">
            <v>0.05</v>
          </cell>
          <cell r="T65">
            <v>-0.08</v>
          </cell>
          <cell r="U65">
            <v>-0.05</v>
          </cell>
          <cell r="V65">
            <v>0.11147433801896045</v>
          </cell>
        </row>
        <row r="66">
          <cell r="Q66" t="str">
            <v>Y/Y Change</v>
          </cell>
          <cell r="R66">
            <v>0</v>
          </cell>
          <cell r="S66">
            <v>0</v>
          </cell>
          <cell r="T66">
            <v>0</v>
          </cell>
          <cell r="U66">
            <v>0</v>
          </cell>
          <cell r="V66">
            <v>0.02</v>
          </cell>
        </row>
        <row r="67">
          <cell r="Q67" t="str">
            <v>Rest of USA</v>
          </cell>
          <cell r="R67">
            <v>0</v>
          </cell>
          <cell r="S67">
            <v>0</v>
          </cell>
          <cell r="T67">
            <v>0</v>
          </cell>
          <cell r="U67">
            <v>0</v>
          </cell>
          <cell r="V67">
            <v>0</v>
          </cell>
        </row>
        <row r="68">
          <cell r="Q68" t="str">
            <v>Total Active Diners (m)</v>
          </cell>
          <cell r="R68">
            <v>1.1481795623272728</v>
          </cell>
          <cell r="S68">
            <v>1.3625345623272729</v>
          </cell>
          <cell r="T68">
            <v>1.532523062327273</v>
          </cell>
          <cell r="U68">
            <v>1.7214545623272728</v>
          </cell>
          <cell r="V68">
            <v>1.9502660623272732</v>
          </cell>
        </row>
        <row r="69">
          <cell r="Q69" t="str">
            <v>LTM Active Diners - Net Adds</v>
          </cell>
          <cell r="R69">
            <v>0</v>
          </cell>
          <cell r="S69">
            <v>0.2143550000000001</v>
          </cell>
          <cell r="T69">
            <v>0.1699885000000001</v>
          </cell>
          <cell r="U69">
            <v>0.18893149999999981</v>
          </cell>
          <cell r="V69">
            <v>0.22881150000000028</v>
          </cell>
        </row>
        <row r="70">
          <cell r="Q70" t="str">
            <v>Y/Y Change in Active Diners</v>
          </cell>
          <cell r="R70">
            <v>0</v>
          </cell>
          <cell r="S70">
            <v>0</v>
          </cell>
          <cell r="T70">
            <v>0</v>
          </cell>
          <cell r="U70">
            <v>0</v>
          </cell>
          <cell r="V70">
            <v>0.69857235428771425</v>
          </cell>
        </row>
        <row r="71">
          <cell r="Q71" t="str">
            <v>Orders per LTM Active Diner</v>
          </cell>
          <cell r="R71">
            <v>2.2235198080213721</v>
          </cell>
          <cell r="S71">
            <v>2.3493012438029708</v>
          </cell>
          <cell r="T71">
            <v>2.1023600104658349</v>
          </cell>
          <cell r="U71">
            <v>1.8602395984044526</v>
          </cell>
          <cell r="V71">
            <v>1.940709415275081</v>
          </cell>
        </row>
        <row r="72">
          <cell r="Q72" t="str">
            <v>Q/Q Change - Est. Seasonality</v>
          </cell>
          <cell r="R72">
            <v>0</v>
          </cell>
          <cell r="S72">
            <v>5.6568614917591908E-2</v>
          </cell>
          <cell r="T72">
            <v>-0.1051126303995803</v>
          </cell>
          <cell r="U72">
            <v>-0.11516600908316077</v>
          </cell>
          <cell r="V72">
            <v>4.3257770095663117E-2</v>
          </cell>
        </row>
        <row r="73">
          <cell r="Q73" t="str">
            <v>Y/Y Change</v>
          </cell>
          <cell r="R73">
            <v>0</v>
          </cell>
          <cell r="S73">
            <v>0</v>
          </cell>
          <cell r="T73">
            <v>0</v>
          </cell>
          <cell r="U73">
            <v>0</v>
          </cell>
          <cell r="V73">
            <v>-0.1271904085252803</v>
          </cell>
        </row>
      </sheetData>
      <sheetData sheetId="1"/>
      <sheetData sheetId="2">
        <row r="3">
          <cell r="B3" t="str">
            <v>(in millions)</v>
          </cell>
          <cell r="C3">
            <v>0</v>
          </cell>
          <cell r="D3">
            <v>0</v>
          </cell>
          <cell r="E3">
            <v>0</v>
          </cell>
          <cell r="F3">
            <v>0</v>
          </cell>
          <cell r="G3" t="str">
            <v>4Q13</v>
          </cell>
          <cell r="H3" t="str">
            <v>1Q14</v>
          </cell>
          <cell r="I3" t="str">
            <v>2Q14</v>
          </cell>
          <cell r="J3" t="str">
            <v>3Q14</v>
          </cell>
          <cell r="K3" t="str">
            <v>4Q14</v>
          </cell>
        </row>
        <row r="4">
          <cell r="B4" t="str">
            <v>Total</v>
          </cell>
          <cell r="C4">
            <v>0</v>
          </cell>
          <cell r="D4">
            <v>0</v>
          </cell>
          <cell r="E4">
            <v>0</v>
          </cell>
          <cell r="F4">
            <v>0</v>
          </cell>
          <cell r="G4">
            <v>0</v>
          </cell>
          <cell r="H4">
            <v>0</v>
          </cell>
          <cell r="I4">
            <v>0</v>
          </cell>
          <cell r="J4">
            <v>0</v>
          </cell>
          <cell r="K4">
            <v>0</v>
          </cell>
        </row>
        <row r="5">
          <cell r="B5" t="str">
            <v>Addressable Population</v>
          </cell>
          <cell r="C5">
            <v>0</v>
          </cell>
          <cell r="D5">
            <v>0</v>
          </cell>
          <cell r="E5">
            <v>0</v>
          </cell>
          <cell r="F5">
            <v>0</v>
          </cell>
          <cell r="G5">
            <v>108.77575491753748</v>
          </cell>
          <cell r="H5">
            <v>108.9117246111844</v>
          </cell>
          <cell r="I5">
            <v>109.04786426694838</v>
          </cell>
          <cell r="J5">
            <v>109.18417409728207</v>
          </cell>
          <cell r="K5">
            <v>109.32065431490366</v>
          </cell>
        </row>
        <row r="6">
          <cell r="B6" t="str">
            <v>x % Penetration</v>
          </cell>
          <cell r="C6">
            <v>0</v>
          </cell>
          <cell r="D6">
            <v>0</v>
          </cell>
          <cell r="E6">
            <v>0</v>
          </cell>
          <cell r="F6">
            <v>0</v>
          </cell>
          <cell r="G6">
            <v>3.1450023055169307E-2</v>
          </cell>
          <cell r="H6">
            <v>3.5358911207660118E-2</v>
          </cell>
          <cell r="I6">
            <v>3.8441834951833759E-2</v>
          </cell>
          <cell r="J6">
            <v>4.1865041685686812E-2</v>
          </cell>
          <cell r="K6">
            <v>4.6011433351933945E-2</v>
          </cell>
        </row>
        <row r="7">
          <cell r="B7" t="str">
            <v>= LTM Active Customers</v>
          </cell>
          <cell r="C7">
            <v>2.3210000000000002</v>
          </cell>
          <cell r="D7">
            <v>2.577</v>
          </cell>
          <cell r="E7">
            <v>2.782</v>
          </cell>
          <cell r="F7">
            <v>3.05</v>
          </cell>
          <cell r="G7">
            <v>3.4209999999999998</v>
          </cell>
          <cell r="H7">
            <v>3.851</v>
          </cell>
          <cell r="I7">
            <v>4.1920000000000002</v>
          </cell>
          <cell r="J7">
            <v>4.5709999999999997</v>
          </cell>
          <cell r="K7">
            <v>5.03</v>
          </cell>
        </row>
        <row r="8">
          <cell r="B8" t="str">
            <v>Y/Y Change</v>
          </cell>
          <cell r="C8">
            <v>0</v>
          </cell>
          <cell r="D8">
            <v>0</v>
          </cell>
          <cell r="E8">
            <v>0</v>
          </cell>
          <cell r="F8">
            <v>0</v>
          </cell>
          <cell r="G8">
            <v>0.47393364928909931</v>
          </cell>
          <cell r="H8">
            <v>0.49437330228948384</v>
          </cell>
          <cell r="I8">
            <v>0.50682961897915169</v>
          </cell>
          <cell r="J8">
            <v>0.498688524590164</v>
          </cell>
          <cell r="K8">
            <v>0.4703303127740428</v>
          </cell>
        </row>
        <row r="9">
          <cell r="B9">
            <v>0</v>
          </cell>
          <cell r="C9">
            <v>0</v>
          </cell>
          <cell r="D9">
            <v>0</v>
          </cell>
          <cell r="E9">
            <v>0</v>
          </cell>
          <cell r="F9">
            <v>0</v>
          </cell>
          <cell r="G9">
            <v>0</v>
          </cell>
          <cell r="H9">
            <v>0</v>
          </cell>
          <cell r="I9">
            <v>0</v>
          </cell>
          <cell r="J9">
            <v>0</v>
          </cell>
          <cell r="K9">
            <v>0</v>
          </cell>
        </row>
        <row r="10">
          <cell r="B10" t="str">
            <v>New York</v>
          </cell>
          <cell r="C10">
            <v>0</v>
          </cell>
          <cell r="D10">
            <v>0</v>
          </cell>
          <cell r="E10">
            <v>0</v>
          </cell>
          <cell r="F10">
            <v>0</v>
          </cell>
          <cell r="G10">
            <v>0</v>
          </cell>
          <cell r="H10">
            <v>0</v>
          </cell>
          <cell r="I10">
            <v>0</v>
          </cell>
          <cell r="J10">
            <v>0</v>
          </cell>
          <cell r="K10">
            <v>0</v>
          </cell>
        </row>
        <row r="11">
          <cell r="B11" t="str">
            <v>Addressable Population</v>
          </cell>
          <cell r="C11">
            <v>0</v>
          </cell>
          <cell r="D11">
            <v>0</v>
          </cell>
          <cell r="E11">
            <v>0</v>
          </cell>
          <cell r="F11">
            <v>0</v>
          </cell>
          <cell r="G11">
            <v>12.972660097499995</v>
          </cell>
          <cell r="H11">
            <v>12.988875922621869</v>
          </cell>
          <cell r="I11">
            <v>13.005112017525146</v>
          </cell>
          <cell r="J11">
            <v>13.021368407547053</v>
          </cell>
          <cell r="K11">
            <v>13.037645118056487</v>
          </cell>
        </row>
        <row r="12">
          <cell r="B12" t="str">
            <v>x % Penetration</v>
          </cell>
          <cell r="C12">
            <v>0</v>
          </cell>
          <cell r="D12">
            <v>0</v>
          </cell>
          <cell r="E12">
            <v>0</v>
          </cell>
          <cell r="F12">
            <v>0</v>
          </cell>
          <cell r="G12">
            <v>0.10604083450938152</v>
          </cell>
          <cell r="H12">
            <v>0.11252949918474674</v>
          </cell>
          <cell r="I12">
            <v>0.11763310461946939</v>
          </cell>
          <cell r="J12">
            <v>0.12330744759627922</v>
          </cell>
          <cell r="K12">
            <v>0.13019465456952775</v>
          </cell>
        </row>
        <row r="13">
          <cell r="B13" t="str">
            <v>= LTM Active Customers</v>
          </cell>
          <cell r="C13">
            <v>0</v>
          </cell>
          <cell r="D13">
            <v>0</v>
          </cell>
          <cell r="E13">
            <v>0</v>
          </cell>
          <cell r="F13">
            <v>0</v>
          </cell>
          <cell r="G13">
            <v>1.3756317025454541</v>
          </cell>
          <cell r="H13">
            <v>1.4616317025454542</v>
          </cell>
          <cell r="I13">
            <v>1.5298317025454542</v>
          </cell>
          <cell r="J13">
            <v>1.6056317025454541</v>
          </cell>
          <cell r="K13">
            <v>1.6974317025454542</v>
          </cell>
        </row>
        <row r="14">
          <cell r="B14" t="str">
            <v>Y/Y Change</v>
          </cell>
          <cell r="C14">
            <v>0</v>
          </cell>
          <cell r="D14">
            <v>0</v>
          </cell>
          <cell r="E14">
            <v>0</v>
          </cell>
          <cell r="F14">
            <v>0</v>
          </cell>
          <cell r="G14">
            <v>0</v>
          </cell>
          <cell r="H14">
            <v>0</v>
          </cell>
          <cell r="I14">
            <v>0</v>
          </cell>
          <cell r="J14">
            <v>0</v>
          </cell>
          <cell r="K14">
            <v>0.23392889201706013</v>
          </cell>
        </row>
        <row r="15">
          <cell r="B15">
            <v>0</v>
          </cell>
          <cell r="C15">
            <v>0</v>
          </cell>
          <cell r="D15">
            <v>0</v>
          </cell>
          <cell r="E15">
            <v>0</v>
          </cell>
          <cell r="F15">
            <v>0</v>
          </cell>
          <cell r="G15">
            <v>0</v>
          </cell>
          <cell r="H15">
            <v>0</v>
          </cell>
          <cell r="I15">
            <v>0</v>
          </cell>
          <cell r="J15">
            <v>0</v>
          </cell>
          <cell r="K15">
            <v>0</v>
          </cell>
        </row>
        <row r="16">
          <cell r="B16" t="str">
            <v>Top 6 Metro</v>
          </cell>
          <cell r="C16">
            <v>0</v>
          </cell>
          <cell r="D16">
            <v>0</v>
          </cell>
          <cell r="E16">
            <v>0</v>
          </cell>
          <cell r="F16">
            <v>0</v>
          </cell>
          <cell r="G16">
            <v>0</v>
          </cell>
          <cell r="H16">
            <v>0</v>
          </cell>
          <cell r="I16">
            <v>0</v>
          </cell>
          <cell r="J16">
            <v>0</v>
          </cell>
          <cell r="K16">
            <v>0</v>
          </cell>
        </row>
        <row r="17">
          <cell r="B17" t="str">
            <v>Addressable Population</v>
          </cell>
          <cell r="C17">
            <v>0</v>
          </cell>
          <cell r="D17">
            <v>0</v>
          </cell>
          <cell r="E17">
            <v>0</v>
          </cell>
          <cell r="F17">
            <v>0</v>
          </cell>
          <cell r="G17">
            <v>27.874774992599995</v>
          </cell>
          <cell r="H17">
            <v>27.909618461340745</v>
          </cell>
          <cell r="I17">
            <v>27.944505484417419</v>
          </cell>
          <cell r="J17">
            <v>27.979436116272939</v>
          </cell>
          <cell r="K17">
            <v>28.014410411418279</v>
          </cell>
        </row>
        <row r="18">
          <cell r="B18" t="str">
            <v>x % Penetration</v>
          </cell>
          <cell r="C18">
            <v>0</v>
          </cell>
          <cell r="D18">
            <v>0</v>
          </cell>
          <cell r="E18">
            <v>0</v>
          </cell>
          <cell r="F18">
            <v>0</v>
          </cell>
          <cell r="G18">
            <v>2.9433284488136913E-2</v>
          </cell>
          <cell r="H18">
            <v>3.4018601283107255E-2</v>
          </cell>
          <cell r="I18">
            <v>3.7636958112802578E-2</v>
          </cell>
          <cell r="J18">
            <v>4.165366941480899E-2</v>
          </cell>
          <cell r="K18">
            <v>4.6516994763125777E-2</v>
          </cell>
        </row>
        <row r="19">
          <cell r="B19" t="str">
            <v>= LTM Active Customers</v>
          </cell>
          <cell r="C19">
            <v>0</v>
          </cell>
          <cell r="D19">
            <v>0</v>
          </cell>
          <cell r="E19">
            <v>0</v>
          </cell>
          <cell r="F19">
            <v>0</v>
          </cell>
          <cell r="G19">
            <v>0.82044618240000022</v>
          </cell>
          <cell r="H19">
            <v>0.94944618240000023</v>
          </cell>
          <cell r="I19">
            <v>1.0517461824000003</v>
          </cell>
          <cell r="J19">
            <v>1.1654461824000002</v>
          </cell>
          <cell r="K19">
            <v>1.3031461824000004</v>
          </cell>
        </row>
        <row r="20">
          <cell r="B20" t="str">
            <v>Y/Y Change</v>
          </cell>
          <cell r="C20">
            <v>0</v>
          </cell>
          <cell r="D20">
            <v>0</v>
          </cell>
          <cell r="E20">
            <v>0</v>
          </cell>
          <cell r="F20">
            <v>0</v>
          </cell>
          <cell r="G20">
            <v>0</v>
          </cell>
          <cell r="H20">
            <v>0</v>
          </cell>
          <cell r="I20">
            <v>0</v>
          </cell>
          <cell r="J20">
            <v>0</v>
          </cell>
          <cell r="K20">
            <v>0.58833840702139395</v>
          </cell>
        </row>
        <row r="21">
          <cell r="B21">
            <v>0</v>
          </cell>
          <cell r="C21">
            <v>0</v>
          </cell>
          <cell r="D21">
            <v>0</v>
          </cell>
          <cell r="E21">
            <v>0</v>
          </cell>
          <cell r="F21">
            <v>0</v>
          </cell>
          <cell r="G21">
            <v>0</v>
          </cell>
          <cell r="H21">
            <v>0</v>
          </cell>
          <cell r="I21">
            <v>0</v>
          </cell>
          <cell r="J21">
            <v>0</v>
          </cell>
          <cell r="K21">
            <v>0</v>
          </cell>
        </row>
        <row r="22">
          <cell r="B22" t="str">
            <v>Rest of USA</v>
          </cell>
          <cell r="C22">
            <v>0</v>
          </cell>
          <cell r="D22">
            <v>0</v>
          </cell>
          <cell r="E22">
            <v>0</v>
          </cell>
          <cell r="F22">
            <v>0</v>
          </cell>
          <cell r="G22">
            <v>0</v>
          </cell>
          <cell r="H22">
            <v>0</v>
          </cell>
          <cell r="I22">
            <v>0</v>
          </cell>
          <cell r="J22">
            <v>0</v>
          </cell>
          <cell r="K22">
            <v>0</v>
          </cell>
        </row>
        <row r="23">
          <cell r="B23" t="str">
            <v>Addressable Population</v>
          </cell>
          <cell r="C23">
            <v>0</v>
          </cell>
          <cell r="D23">
            <v>0</v>
          </cell>
          <cell r="E23">
            <v>0</v>
          </cell>
          <cell r="F23">
            <v>0</v>
          </cell>
          <cell r="G23">
            <v>67.928319827437491</v>
          </cell>
          <cell r="H23">
            <v>68.013230227221783</v>
          </cell>
          <cell r="I23">
            <v>68.098246765005811</v>
          </cell>
          <cell r="J23">
            <v>68.183369573462073</v>
          </cell>
          <cell r="K23">
            <v>68.268598785428892</v>
          </cell>
        </row>
        <row r="24">
          <cell r="B24" t="str">
            <v>x % Penetration</v>
          </cell>
          <cell r="C24">
            <v>0</v>
          </cell>
          <cell r="D24">
            <v>0</v>
          </cell>
          <cell r="E24">
            <v>0</v>
          </cell>
          <cell r="F24">
            <v>0</v>
          </cell>
          <cell r="G24">
            <v>1.6902811158056967E-2</v>
          </cell>
          <cell r="H24">
            <v>2.003337523854188E-2</v>
          </cell>
          <cell r="I24">
            <v>2.2504589106614164E-2</v>
          </cell>
          <cell r="J24">
            <v>2.5247425774001159E-2</v>
          </cell>
          <cell r="K24">
            <v>2.8567541988917075E-2</v>
          </cell>
        </row>
        <row r="25">
          <cell r="B25" t="str">
            <v>= LTM Active Customers</v>
          </cell>
          <cell r="C25">
            <v>0</v>
          </cell>
          <cell r="D25">
            <v>0</v>
          </cell>
          <cell r="E25">
            <v>0</v>
          </cell>
          <cell r="F25">
            <v>0</v>
          </cell>
          <cell r="G25">
            <v>1.1481795623272728</v>
          </cell>
          <cell r="H25">
            <v>1.3625345623272729</v>
          </cell>
          <cell r="I25">
            <v>1.532523062327273</v>
          </cell>
          <cell r="J25">
            <v>1.7214545623272728</v>
          </cell>
          <cell r="K25">
            <v>1.9502660623272732</v>
          </cell>
        </row>
        <row r="26">
          <cell r="B26" t="str">
            <v>Y/Y Change</v>
          </cell>
          <cell r="C26">
            <v>0</v>
          </cell>
          <cell r="D26">
            <v>0</v>
          </cell>
          <cell r="E26">
            <v>0</v>
          </cell>
          <cell r="F26">
            <v>0</v>
          </cell>
          <cell r="G26">
            <v>0</v>
          </cell>
          <cell r="H26">
            <v>0</v>
          </cell>
          <cell r="I26">
            <v>0</v>
          </cell>
          <cell r="J26">
            <v>0</v>
          </cell>
          <cell r="K26">
            <v>0.69857235428771425</v>
          </cell>
        </row>
        <row r="27">
          <cell r="B27">
            <v>0</v>
          </cell>
          <cell r="C27">
            <v>0</v>
          </cell>
          <cell r="D27">
            <v>0</v>
          </cell>
          <cell r="E27">
            <v>0</v>
          </cell>
          <cell r="F27">
            <v>0</v>
          </cell>
          <cell r="G27">
            <v>0</v>
          </cell>
          <cell r="H27">
            <v>0</v>
          </cell>
          <cell r="I27">
            <v>0</v>
          </cell>
          <cell r="J27">
            <v>0</v>
          </cell>
          <cell r="K27">
            <v>0</v>
          </cell>
        </row>
        <row r="28">
          <cell r="B28" t="str">
            <v>Corporate</v>
          </cell>
          <cell r="C28">
            <v>0</v>
          </cell>
          <cell r="D28">
            <v>0</v>
          </cell>
          <cell r="E28">
            <v>0</v>
          </cell>
          <cell r="F28">
            <v>0</v>
          </cell>
          <cell r="G28">
            <v>0</v>
          </cell>
          <cell r="H28">
            <v>0</v>
          </cell>
          <cell r="I28">
            <v>0</v>
          </cell>
          <cell r="J28">
            <v>0</v>
          </cell>
          <cell r="K28">
            <v>0</v>
          </cell>
        </row>
        <row r="29">
          <cell r="B29" t="str">
            <v>LTM Active Customers</v>
          </cell>
          <cell r="C29">
            <v>0</v>
          </cell>
          <cell r="D29">
            <v>0</v>
          </cell>
          <cell r="E29">
            <v>0</v>
          </cell>
          <cell r="F29">
            <v>0</v>
          </cell>
          <cell r="G29">
            <v>7.6742552727272748E-2</v>
          </cell>
          <cell r="H29">
            <v>7.7387552727272754E-2</v>
          </cell>
          <cell r="I29">
            <v>7.7899052727272752E-2</v>
          </cell>
          <cell r="J29">
            <v>7.8467552727272752E-2</v>
          </cell>
          <cell r="K29">
            <v>7.9156052727272747E-2</v>
          </cell>
        </row>
        <row r="30">
          <cell r="B30" t="str">
            <v>Y/Y Change</v>
          </cell>
          <cell r="C30">
            <v>0</v>
          </cell>
          <cell r="D30">
            <v>0</v>
          </cell>
          <cell r="E30">
            <v>0</v>
          </cell>
          <cell r="F30">
            <v>0</v>
          </cell>
          <cell r="G30">
            <v>0</v>
          </cell>
          <cell r="H30">
            <v>0</v>
          </cell>
          <cell r="I30">
            <v>0</v>
          </cell>
          <cell r="J30">
            <v>0</v>
          </cell>
          <cell r="K30">
            <v>3.1449305688033169E-2</v>
          </cell>
        </row>
        <row r="34">
          <cell r="B34" t="str">
            <v>2014 - EOP (in millions)</v>
          </cell>
          <cell r="C34">
            <v>0</v>
          </cell>
          <cell r="D34">
            <v>0</v>
          </cell>
          <cell r="E34">
            <v>0</v>
          </cell>
          <cell r="F34">
            <v>0</v>
          </cell>
          <cell r="G34" t="str">
            <v>Corporate</v>
          </cell>
          <cell r="H34" t="str">
            <v>New York</v>
          </cell>
          <cell r="I34" t="str">
            <v>Top 6 Metro</v>
          </cell>
          <cell r="J34" t="str">
            <v>Rest of USA</v>
          </cell>
          <cell r="K34" t="str">
            <v>Total</v>
          </cell>
        </row>
        <row r="35">
          <cell r="B35" t="str">
            <v>Addressable Population</v>
          </cell>
          <cell r="C35">
            <v>0</v>
          </cell>
          <cell r="D35">
            <v>0</v>
          </cell>
          <cell r="E35">
            <v>0</v>
          </cell>
          <cell r="F35">
            <v>0</v>
          </cell>
          <cell r="G35">
            <v>0</v>
          </cell>
          <cell r="H35">
            <v>13.037645118056487</v>
          </cell>
          <cell r="I35">
            <v>28.014410411418279</v>
          </cell>
          <cell r="J35">
            <v>68.268598785428892</v>
          </cell>
          <cell r="K35">
            <v>109.32065431490366</v>
          </cell>
        </row>
        <row r="36">
          <cell r="B36" t="str">
            <v>x % Penetration</v>
          </cell>
          <cell r="C36">
            <v>0</v>
          </cell>
          <cell r="D36">
            <v>0</v>
          </cell>
          <cell r="E36">
            <v>0</v>
          </cell>
          <cell r="F36">
            <v>0</v>
          </cell>
          <cell r="G36">
            <v>0</v>
          </cell>
          <cell r="H36">
            <v>0.13019465456952775</v>
          </cell>
          <cell r="I36">
            <v>4.6516994763125777E-2</v>
          </cell>
          <cell r="J36">
            <v>2.8567541988917075E-2</v>
          </cell>
          <cell r="K36">
            <v>4.6011433351933945E-2</v>
          </cell>
        </row>
        <row r="37">
          <cell r="B37" t="str">
            <v>= LTM Active Customers (m)</v>
          </cell>
          <cell r="C37">
            <v>0</v>
          </cell>
          <cell r="D37">
            <v>0</v>
          </cell>
          <cell r="E37">
            <v>0</v>
          </cell>
          <cell r="F37">
            <v>0</v>
          </cell>
          <cell r="G37">
            <v>7.9156052727272747E-2</v>
          </cell>
          <cell r="H37">
            <v>1.6974317025454542</v>
          </cell>
          <cell r="I37">
            <v>1.3031461824000004</v>
          </cell>
          <cell r="J37">
            <v>1.9502660623272732</v>
          </cell>
          <cell r="K37">
            <v>5.03</v>
          </cell>
        </row>
        <row r="38">
          <cell r="B38" t="str">
            <v>Y/Y Change</v>
          </cell>
          <cell r="C38">
            <v>0</v>
          </cell>
          <cell r="D38">
            <v>0</v>
          </cell>
          <cell r="E38">
            <v>0</v>
          </cell>
          <cell r="F38">
            <v>0</v>
          </cell>
          <cell r="G38">
            <v>3.1449305688033169E-2</v>
          </cell>
          <cell r="H38">
            <v>0.23392889201706013</v>
          </cell>
          <cell r="I38">
            <v>0.58833840702139395</v>
          </cell>
          <cell r="J38">
            <v>0.69857235428771425</v>
          </cell>
          <cell r="K38">
            <v>0.4703303127740428</v>
          </cell>
        </row>
        <row r="46">
          <cell r="M46" t="str">
            <v xml:space="preserve">4Q13 </v>
          </cell>
          <cell r="N46">
            <v>0</v>
          </cell>
          <cell r="O46">
            <v>0</v>
          </cell>
          <cell r="P46">
            <v>0</v>
          </cell>
          <cell r="Q46">
            <v>0</v>
          </cell>
          <cell r="R46">
            <v>0</v>
          </cell>
          <cell r="S46">
            <v>0</v>
          </cell>
          <cell r="T46">
            <v>0</v>
          </cell>
          <cell r="U46">
            <v>0</v>
          </cell>
        </row>
        <row r="47">
          <cell r="M47" t="str">
            <v>As Disclosed</v>
          </cell>
          <cell r="N47">
            <v>0</v>
          </cell>
          <cell r="O47">
            <v>0</v>
          </cell>
          <cell r="Q47" t="str">
            <v>As Estimated on Combined Basis</v>
          </cell>
          <cell r="R47">
            <v>0</v>
          </cell>
          <cell r="S47">
            <v>0</v>
          </cell>
          <cell r="T47">
            <v>0</v>
          </cell>
          <cell r="U47">
            <v>0</v>
          </cell>
        </row>
        <row r="48">
          <cell r="L48">
            <v>0</v>
          </cell>
          <cell r="M48" t="str">
            <v>Seamless Standalone</v>
          </cell>
          <cell r="N48" t="str">
            <v>Grubub Standalone</v>
          </cell>
          <cell r="O48" t="str">
            <v>Total</v>
          </cell>
          <cell r="P48">
            <v>0</v>
          </cell>
          <cell r="Q48" t="str">
            <v>Corporate</v>
          </cell>
          <cell r="R48" t="str">
            <v>New York</v>
          </cell>
          <cell r="S48" t="str">
            <v>Top 6 Metro</v>
          </cell>
          <cell r="T48" t="str">
            <v>Rest of USA</v>
          </cell>
          <cell r="U48" t="str">
            <v>Total</v>
          </cell>
        </row>
        <row r="49">
          <cell r="L49" t="str">
            <v>Order per LTM Active Diner</v>
          </cell>
          <cell r="M49">
            <v>5.5916845565590529</v>
          </cell>
          <cell r="N49">
            <v>2.928692520775622</v>
          </cell>
          <cell r="O49">
            <v>4.112676995030693</v>
          </cell>
          <cell r="Q49">
            <v>24.749999999999996</v>
          </cell>
          <cell r="R49">
            <v>5.5000000000000009</v>
          </cell>
          <cell r="S49">
            <v>2.5</v>
          </cell>
          <cell r="T49">
            <v>2.2235198080213721</v>
          </cell>
          <cell r="U49">
            <v>4.112676995030693</v>
          </cell>
        </row>
        <row r="50">
          <cell r="L50" t="str">
            <v>Index: Seamless Standalone = 100</v>
          </cell>
          <cell r="M50">
            <v>100</v>
          </cell>
          <cell r="N50">
            <v>52.375853665426497</v>
          </cell>
          <cell r="O50">
            <v>73.549874879950409</v>
          </cell>
          <cell r="Q50">
            <v>442.62153470313723</v>
          </cell>
          <cell r="R50">
            <v>98.360341045141652</v>
          </cell>
          <cell r="S50">
            <v>44.709245929609828</v>
          </cell>
          <cell r="T50">
            <v>39.764757570474544</v>
          </cell>
          <cell r="U50">
            <v>73.549874879950409</v>
          </cell>
        </row>
        <row r="51">
          <cell r="L51" t="str">
            <v>% of Total Active Users</v>
          </cell>
          <cell r="M51">
            <v>0.44460684010523238</v>
          </cell>
          <cell r="N51">
            <v>0.55539315989476767</v>
          </cell>
          <cell r="O51">
            <v>1</v>
          </cell>
          <cell r="P51">
            <v>0</v>
          </cell>
          <cell r="Q51">
            <v>2.2432783609258333E-2</v>
          </cell>
          <cell r="R51">
            <v>0.4021139148042836</v>
          </cell>
          <cell r="S51">
            <v>0.23982641987722897</v>
          </cell>
          <cell r="T51">
            <v>0.33562688170922911</v>
          </cell>
          <cell r="U51">
            <v>1</v>
          </cell>
        </row>
        <row r="138">
          <cell r="AH138" t="str">
            <v>New York</v>
          </cell>
          <cell r="AI138" t="str">
            <v>Boston</v>
          </cell>
          <cell r="AJ138" t="str">
            <v>Chicago</v>
          </cell>
          <cell r="AK138" t="str">
            <v>Los Angeles</v>
          </cell>
          <cell r="AL138" t="str">
            <v>Philadelphia</v>
          </cell>
          <cell r="AM138" t="str">
            <v>San Fransisco</v>
          </cell>
          <cell r="AN138" t="str">
            <v>Washington DC</v>
          </cell>
        </row>
        <row r="139">
          <cell r="AG139" t="str">
            <v>Do not offer delivery</v>
          </cell>
          <cell r="AH139">
            <v>7623</v>
          </cell>
          <cell r="AI139">
            <v>1637</v>
          </cell>
          <cell r="AJ139">
            <v>3110</v>
          </cell>
          <cell r="AK139">
            <v>6598</v>
          </cell>
          <cell r="AL139">
            <v>3178</v>
          </cell>
          <cell r="AM139">
            <v>3329</v>
          </cell>
          <cell r="AN139">
            <v>3153</v>
          </cell>
        </row>
        <row r="140">
          <cell r="AG140" t="str">
            <v>/ Total Restaurants</v>
          </cell>
          <cell r="AH140">
            <v>17958</v>
          </cell>
          <cell r="AI140">
            <v>2241</v>
          </cell>
          <cell r="AJ140">
            <v>5345</v>
          </cell>
          <cell r="AK140">
            <v>8930</v>
          </cell>
          <cell r="AL140">
            <v>4726</v>
          </cell>
          <cell r="AM140">
            <v>4076</v>
          </cell>
          <cell r="AN140">
            <v>4118</v>
          </cell>
        </row>
        <row r="141">
          <cell r="AG141" t="str">
            <v>= % of total</v>
          </cell>
          <cell r="AH141">
            <v>0.42449047778149013</v>
          </cell>
          <cell r="AI141">
            <v>0.73047746541722447</v>
          </cell>
          <cell r="AJ141">
            <v>0.5818521983161834</v>
          </cell>
          <cell r="AK141">
            <v>0.73885778275475922</v>
          </cell>
          <cell r="AL141">
            <v>0.67245027507405841</v>
          </cell>
          <cell r="AM141">
            <v>0.8167320902845927</v>
          </cell>
          <cell r="AN141">
            <v>0.76566294317629913</v>
          </cell>
        </row>
        <row r="143">
          <cell r="AG143" t="str">
            <v>Top 6 City Average</v>
          </cell>
          <cell r="AH143">
            <v>0</v>
          </cell>
          <cell r="AI143">
            <v>0.7176721258371862</v>
          </cell>
        </row>
      </sheetData>
      <sheetData sheetId="3"/>
      <sheetData sheetId="4"/>
      <sheetData sheetId="5"/>
      <sheetData sheetId="6"/>
      <sheetData sheetId="7"/>
      <sheetData sheetId="8"/>
      <sheetData sheetId="9">
        <row r="7">
          <cell r="B7">
            <v>0</v>
          </cell>
          <cell r="D7" t="str">
            <v>1Q2016</v>
          </cell>
          <cell r="E7">
            <v>0</v>
          </cell>
          <cell r="F7">
            <v>0</v>
          </cell>
          <cell r="G7" t="str">
            <v>Y/Y Change</v>
          </cell>
          <cell r="H7">
            <v>0</v>
          </cell>
          <cell r="J7">
            <v>0</v>
          </cell>
        </row>
        <row r="8">
          <cell r="B8">
            <v>0</v>
          </cell>
          <cell r="D8" t="str">
            <v>Estimate</v>
          </cell>
          <cell r="E8" t="str">
            <v>Consensus</v>
          </cell>
          <cell r="F8">
            <v>0</v>
          </cell>
          <cell r="G8" t="str">
            <v>Absolute</v>
          </cell>
          <cell r="H8" t="str">
            <v>%/bp</v>
          </cell>
          <cell r="J8" t="str">
            <v>1Q2015</v>
          </cell>
        </row>
        <row r="9">
          <cell r="B9" t="str">
            <v>Revenue</v>
          </cell>
          <cell r="D9">
            <v>112.24</v>
          </cell>
          <cell r="E9" t="str">
            <v xml:space="preserve">#NAME?   </v>
          </cell>
          <cell r="F9">
            <v>0</v>
          </cell>
          <cell r="G9">
            <v>23.991</v>
          </cell>
          <cell r="H9">
            <v>0.27185577173679021</v>
          </cell>
          <cell r="J9">
            <v>88.248999999999995</v>
          </cell>
        </row>
        <row r="10">
          <cell r="B10" t="str">
            <v>- Sales &amp; Marketing</v>
          </cell>
          <cell r="D10">
            <v>28.832999999999998</v>
          </cell>
          <cell r="E10">
            <v>0</v>
          </cell>
          <cell r="F10">
            <v>0</v>
          </cell>
          <cell r="G10">
            <v>4.7259999999999991</v>
          </cell>
          <cell r="H10">
            <v>0.19604264321566348</v>
          </cell>
          <cell r="J10">
            <v>24.106999999999999</v>
          </cell>
        </row>
        <row r="11">
          <cell r="B11" t="str">
            <v>- Operations &amp; Support</v>
          </cell>
          <cell r="D11">
            <v>34.987000000000002</v>
          </cell>
          <cell r="E11">
            <v>0</v>
          </cell>
          <cell r="F11">
            <v>0</v>
          </cell>
          <cell r="G11">
            <v>12.286000000000001</v>
          </cell>
          <cell r="H11">
            <v>0.54120963834192326</v>
          </cell>
          <cell r="J11">
            <v>22.701000000000001</v>
          </cell>
        </row>
        <row r="12">
          <cell r="B12" t="str">
            <v>- Tech and Content</v>
          </cell>
          <cell r="D12">
            <v>10.192</v>
          </cell>
          <cell r="E12">
            <v>0</v>
          </cell>
          <cell r="F12">
            <v>0</v>
          </cell>
          <cell r="G12">
            <v>2.5259999999999998</v>
          </cell>
          <cell r="H12">
            <v>0.32950691364466472</v>
          </cell>
          <cell r="J12">
            <v>7.6660000000000004</v>
          </cell>
        </row>
        <row r="13">
          <cell r="B13" t="str">
            <v>- General &amp; Administrative</v>
          </cell>
          <cell r="D13">
            <v>13.5898</v>
          </cell>
          <cell r="E13">
            <v>0</v>
          </cell>
          <cell r="F13">
            <v>0</v>
          </cell>
          <cell r="G13">
            <v>4.4887999999999995</v>
          </cell>
          <cell r="H13">
            <v>0.49322052521700899</v>
          </cell>
          <cell r="J13">
            <v>9.1010000000000009</v>
          </cell>
        </row>
        <row r="14">
          <cell r="B14" t="str">
            <v>- Depreciation &amp; Amortization</v>
          </cell>
          <cell r="D14">
            <v>7.3079999999999998</v>
          </cell>
          <cell r="E14">
            <v>0</v>
          </cell>
          <cell r="F14">
            <v>0</v>
          </cell>
          <cell r="G14">
            <v>1.0590000000000002</v>
          </cell>
          <cell r="H14">
            <v>0.16946711473835818</v>
          </cell>
          <cell r="J14">
            <v>6.2489999999999997</v>
          </cell>
        </row>
        <row r="15">
          <cell r="B15" t="str">
            <v>= Operating Income</v>
          </cell>
          <cell r="D15">
            <v>17.330199999999994</v>
          </cell>
          <cell r="E15">
            <v>0</v>
          </cell>
          <cell r="F15">
            <v>0</v>
          </cell>
          <cell r="G15">
            <v>-1.0947999999999993</v>
          </cell>
          <cell r="H15">
            <v>-5.9419267299864298E-2</v>
          </cell>
          <cell r="J15">
            <v>18.424999999999994</v>
          </cell>
        </row>
        <row r="16">
          <cell r="B16" t="str">
            <v>+ Other Income / (Expense), Net</v>
          </cell>
          <cell r="D16">
            <v>0</v>
          </cell>
          <cell r="E16">
            <v>0</v>
          </cell>
          <cell r="F16">
            <v>0</v>
          </cell>
          <cell r="G16">
            <v>0</v>
          </cell>
          <cell r="H16" t="str">
            <v>-</v>
          </cell>
          <cell r="J16">
            <v>0</v>
          </cell>
        </row>
        <row r="17">
          <cell r="B17" t="str">
            <v>+ Other Non-Operating Gains / (Losses)</v>
          </cell>
          <cell r="D17">
            <v>0</v>
          </cell>
          <cell r="E17">
            <v>0</v>
          </cell>
          <cell r="F17">
            <v>0</v>
          </cell>
          <cell r="G17">
            <v>0</v>
          </cell>
          <cell r="H17" t="str">
            <v>-</v>
          </cell>
          <cell r="J17">
            <v>0</v>
          </cell>
        </row>
        <row r="18">
          <cell r="B18" t="str">
            <v>= Pretax Income</v>
          </cell>
          <cell r="D18">
            <v>17.330199999999994</v>
          </cell>
          <cell r="E18">
            <v>0</v>
          </cell>
          <cell r="F18">
            <v>0</v>
          </cell>
          <cell r="G18">
            <v>-1.0947999999999993</v>
          </cell>
          <cell r="H18">
            <v>-5.9419267299864298E-2</v>
          </cell>
          <cell r="J18">
            <v>18.424999999999994</v>
          </cell>
        </row>
        <row r="19">
          <cell r="B19" t="str">
            <v>+ Income Tax Provision</v>
          </cell>
          <cell r="D19">
            <v>-7.3979999999999997</v>
          </cell>
          <cell r="E19">
            <v>0</v>
          </cell>
          <cell r="F19">
            <v>0</v>
          </cell>
          <cell r="G19">
            <v>0.45700000000000074</v>
          </cell>
          <cell r="H19">
            <v>-5.8179503500954896E-2</v>
          </cell>
          <cell r="J19">
            <v>-7.8550000000000004</v>
          </cell>
        </row>
        <row r="20">
          <cell r="B20" t="str">
            <v xml:space="preserve">= Net Income (Loss) </v>
          </cell>
          <cell r="D20">
            <v>9.9321999999999946</v>
          </cell>
          <cell r="E20">
            <v>0</v>
          </cell>
          <cell r="F20">
            <v>0</v>
          </cell>
          <cell r="G20">
            <v>-0.63779999999999859</v>
          </cell>
          <cell r="H20">
            <v>-6.0340586565752037E-2</v>
          </cell>
          <cell r="J20">
            <v>10.569999999999993</v>
          </cell>
        </row>
        <row r="21">
          <cell r="B21" t="str">
            <v>- Preferred Stock Tax Distributions</v>
          </cell>
          <cell r="D21">
            <v>0</v>
          </cell>
          <cell r="E21">
            <v>0</v>
          </cell>
          <cell r="F21">
            <v>0</v>
          </cell>
          <cell r="G21">
            <v>0</v>
          </cell>
          <cell r="H21" t="str">
            <v>-</v>
          </cell>
          <cell r="J21">
            <v>0</v>
          </cell>
        </row>
        <row r="22">
          <cell r="B22" t="str">
            <v xml:space="preserve">= Net Income (Loss) Attributable to Common </v>
          </cell>
          <cell r="D22">
            <v>9.9321999999999946</v>
          </cell>
          <cell r="E22">
            <v>0</v>
          </cell>
          <cell r="F22">
            <v>0</v>
          </cell>
          <cell r="G22">
            <v>-0.63779999999999859</v>
          </cell>
          <cell r="H22">
            <v>-6.0340586565752037E-2</v>
          </cell>
          <cell r="J22">
            <v>10.569999999999993</v>
          </cell>
        </row>
        <row r="23">
          <cell r="B23">
            <v>0</v>
          </cell>
          <cell r="D23">
            <v>0</v>
          </cell>
          <cell r="E23">
            <v>0</v>
          </cell>
          <cell r="F23">
            <v>0</v>
          </cell>
          <cell r="G23">
            <v>0</v>
          </cell>
          <cell r="H23">
            <v>0</v>
          </cell>
          <cell r="J23">
            <v>0</v>
          </cell>
        </row>
        <row r="24">
          <cell r="B24" t="str">
            <v xml:space="preserve">GAAP Basic EPS </v>
          </cell>
          <cell r="D24">
            <v>0.12</v>
          </cell>
          <cell r="E24">
            <v>0</v>
          </cell>
          <cell r="F24">
            <v>0</v>
          </cell>
          <cell r="G24">
            <v>-1.0000000000000009E-2</v>
          </cell>
          <cell r="H24">
            <v>-7.6923076923076983E-2</v>
          </cell>
          <cell r="J24">
            <v>0.13</v>
          </cell>
        </row>
        <row r="25">
          <cell r="B25" t="str">
            <v>GAAP Diluted EPS</v>
          </cell>
          <cell r="D25">
            <v>0.11589633484638087</v>
          </cell>
          <cell r="E25">
            <v>0</v>
          </cell>
          <cell r="F25">
            <v>0</v>
          </cell>
          <cell r="G25">
            <v>-8.3133998124829411E-3</v>
          </cell>
          <cell r="H25">
            <v>-6.6930340325702345E-2</v>
          </cell>
          <cell r="J25">
            <v>0.12420973465886381</v>
          </cell>
        </row>
        <row r="26">
          <cell r="B26" t="str">
            <v>Non-GAAP EPS</v>
          </cell>
          <cell r="D26">
            <v>0.20117154225836936</v>
          </cell>
          <cell r="E26" t="str">
            <v xml:space="preserve">#NAME?   </v>
          </cell>
          <cell r="F26">
            <v>0</v>
          </cell>
          <cell r="G26">
            <v>2.5715009789921306E-2</v>
          </cell>
          <cell r="H26">
            <v>0.14656057217217361</v>
          </cell>
          <cell r="J26">
            <v>0.17545653246844806</v>
          </cell>
        </row>
        <row r="27">
          <cell r="B27">
            <v>0</v>
          </cell>
          <cell r="D27">
            <v>0</v>
          </cell>
          <cell r="E27">
            <v>0</v>
          </cell>
          <cell r="F27">
            <v>0</v>
          </cell>
          <cell r="G27">
            <v>0</v>
          </cell>
          <cell r="H27">
            <v>0</v>
          </cell>
          <cell r="J27">
            <v>0</v>
          </cell>
        </row>
        <row r="28">
          <cell r="B28" t="str">
            <v>Basic Shares Outstanding</v>
          </cell>
          <cell r="D28">
            <v>84.71</v>
          </cell>
          <cell r="E28">
            <v>0</v>
          </cell>
          <cell r="F28">
            <v>0</v>
          </cell>
          <cell r="G28">
            <v>1.9269999999999925</v>
          </cell>
          <cell r="H28">
            <v>2.3277726103185344E-2</v>
          </cell>
          <cell r="J28">
            <v>82.783000000000001</v>
          </cell>
        </row>
        <row r="29">
          <cell r="B29" t="str">
            <v>Diluted Shares Outstanding</v>
          </cell>
          <cell r="D29">
            <v>85.698999999999998</v>
          </cell>
          <cell r="E29">
            <v>0</v>
          </cell>
          <cell r="F29">
            <v>0</v>
          </cell>
          <cell r="G29">
            <v>0.60099999999999909</v>
          </cell>
          <cell r="H29">
            <v>7.0624456508966028E-3</v>
          </cell>
          <cell r="J29">
            <v>85.097999999999999</v>
          </cell>
        </row>
        <row r="30">
          <cell r="B30">
            <v>0</v>
          </cell>
          <cell r="D30">
            <v>0</v>
          </cell>
          <cell r="E30">
            <v>0</v>
          </cell>
          <cell r="F30">
            <v>0</v>
          </cell>
          <cell r="G30">
            <v>0</v>
          </cell>
          <cell r="H30">
            <v>0</v>
          </cell>
          <cell r="J30">
            <v>0</v>
          </cell>
        </row>
        <row r="31">
          <cell r="B31" t="str">
            <v>Non-GAAP Operating Income (x-SBC)</v>
          </cell>
          <cell r="D31">
            <v>25.062199999999994</v>
          </cell>
          <cell r="E31" t="str">
            <v xml:space="preserve">#NAME?   </v>
          </cell>
          <cell r="F31">
            <v>0</v>
          </cell>
          <cell r="G31">
            <v>3.0611999999999995</v>
          </cell>
          <cell r="H31">
            <v>0.13913913003954367</v>
          </cell>
          <cell r="J31">
            <v>22.000999999999994</v>
          </cell>
        </row>
        <row r="32">
          <cell r="B32" t="str">
            <v>Adj. EBITDA (x-SBC)</v>
          </cell>
          <cell r="D32">
            <v>32.370199999999997</v>
          </cell>
          <cell r="E32" t="str">
            <v xml:space="preserve">#NAME?   </v>
          </cell>
          <cell r="F32">
            <v>0</v>
          </cell>
          <cell r="G32">
            <v>4.1202000000000041</v>
          </cell>
          <cell r="H32">
            <v>0.14584778761061964</v>
          </cell>
          <cell r="J32">
            <v>28.249999999999993</v>
          </cell>
        </row>
        <row r="33">
          <cell r="B33" t="str">
            <v>Non-GAAP Net Income</v>
          </cell>
          <cell r="C33">
            <v>0</v>
          </cell>
          <cell r="D33">
            <v>17.240199999999994</v>
          </cell>
          <cell r="E33">
            <v>0</v>
          </cell>
          <cell r="F33">
            <v>0</v>
          </cell>
          <cell r="G33">
            <v>2.3092000000000024</v>
          </cell>
          <cell r="H33">
            <v>0.15465809389860047</v>
          </cell>
          <cell r="J33">
            <v>14.930999999999992</v>
          </cell>
        </row>
        <row r="34">
          <cell r="B34">
            <v>0</v>
          </cell>
          <cell r="C34">
            <v>0</v>
          </cell>
          <cell r="D34">
            <v>0</v>
          </cell>
          <cell r="E34">
            <v>0</v>
          </cell>
          <cell r="F34">
            <v>0</v>
          </cell>
          <cell r="G34">
            <v>0</v>
          </cell>
          <cell r="H34">
            <v>0</v>
          </cell>
          <cell r="J34">
            <v>0</v>
          </cell>
        </row>
        <row r="35">
          <cell r="B35" t="str">
            <v>Margins</v>
          </cell>
          <cell r="C35">
            <v>0</v>
          </cell>
          <cell r="D35">
            <v>0</v>
          </cell>
          <cell r="E35">
            <v>0</v>
          </cell>
          <cell r="F35">
            <v>0</v>
          </cell>
          <cell r="G35">
            <v>0</v>
          </cell>
          <cell r="H35">
            <v>0</v>
          </cell>
          <cell r="J35">
            <v>0</v>
          </cell>
        </row>
        <row r="36">
          <cell r="B36" t="str">
            <v>Sales &amp; Marketing / Revenue</v>
          </cell>
          <cell r="C36">
            <v>0</v>
          </cell>
          <cell r="D36">
            <v>0.25688702779757661</v>
          </cell>
          <cell r="E36">
            <v>0</v>
          </cell>
          <cell r="F36">
            <v>0</v>
          </cell>
          <cell r="G36">
            <v>0</v>
          </cell>
          <cell r="H36">
            <v>-162.83206426040641</v>
          </cell>
          <cell r="J36">
            <v>0.27317023422361725</v>
          </cell>
        </row>
        <row r="37">
          <cell r="B37" t="str">
            <v>Operations &amp; Support / Revenue</v>
          </cell>
          <cell r="C37">
            <v>0</v>
          </cell>
          <cell r="D37">
            <v>0.31171596578759803</v>
          </cell>
          <cell r="E37">
            <v>0</v>
          </cell>
          <cell r="F37">
            <v>0</v>
          </cell>
          <cell r="G37">
            <v>0</v>
          </cell>
          <cell r="H37">
            <v>544.77923430177543</v>
          </cell>
          <cell r="J37">
            <v>0.25723804235742048</v>
          </cell>
        </row>
        <row r="38">
          <cell r="B38" t="str">
            <v>Tech and Content / Revenue</v>
          </cell>
          <cell r="C38">
            <v>0</v>
          </cell>
          <cell r="D38">
            <v>9.0805416963649327E-2</v>
          </cell>
          <cell r="E38">
            <v>0</v>
          </cell>
          <cell r="F38">
            <v>0</v>
          </cell>
          <cell r="G38">
            <v>0</v>
          </cell>
          <cell r="H38">
            <v>39.375771014412422</v>
          </cell>
          <cell r="J38">
            <v>8.6867839862208085E-2</v>
          </cell>
        </row>
        <row r="39">
          <cell r="B39" t="str">
            <v>Sales &amp; Marketing / Revenue</v>
          </cell>
          <cell r="C39">
            <v>0</v>
          </cell>
          <cell r="D39">
            <v>0.12107804704205276</v>
          </cell>
          <cell r="E39">
            <v>0</v>
          </cell>
          <cell r="F39">
            <v>0</v>
          </cell>
          <cell r="G39">
            <v>0</v>
          </cell>
          <cell r="H39">
            <v>179.49399691941122</v>
          </cell>
          <cell r="J39">
            <v>0.10312864735011164</v>
          </cell>
        </row>
        <row r="40">
          <cell r="B40" t="str">
            <v>Operating Margin</v>
          </cell>
          <cell r="C40">
            <v>0</v>
          </cell>
          <cell r="D40">
            <v>0.15440306486101207</v>
          </cell>
          <cell r="E40" t="e">
            <v>#VALUE!</v>
          </cell>
          <cell r="F40">
            <v>0</v>
          </cell>
          <cell r="G40">
            <v>0</v>
          </cell>
          <cell r="H40">
            <v>-543.8117065440448</v>
          </cell>
          <cell r="J40">
            <v>0.20878423551541656</v>
          </cell>
        </row>
        <row r="41">
          <cell r="B41" t="str">
            <v>Adj. Operating Margin</v>
          </cell>
          <cell r="C41">
            <v>0</v>
          </cell>
          <cell r="D41">
            <v>0.22329116179615105</v>
          </cell>
          <cell r="E41">
            <v>0</v>
          </cell>
          <cell r="F41">
            <v>0</v>
          </cell>
          <cell r="G41">
            <v>0</v>
          </cell>
          <cell r="H41">
            <v>-260.1477934765789</v>
          </cell>
          <cell r="J41">
            <v>0.24930594114380894</v>
          </cell>
        </row>
        <row r="42">
          <cell r="B42" t="str">
            <v>Adj. EBITDA Margin</v>
          </cell>
          <cell r="C42">
            <v>0</v>
          </cell>
          <cell r="D42">
            <v>0.28840163934426227</v>
          </cell>
          <cell r="E42" t="e">
            <v>#VALUE!</v>
          </cell>
          <cell r="F42">
            <v>0</v>
          </cell>
          <cell r="G42">
            <v>0</v>
          </cell>
          <cell r="H42">
            <v>-317.15302490772643</v>
          </cell>
          <cell r="J42">
            <v>0.32011694183503492</v>
          </cell>
        </row>
        <row r="43">
          <cell r="B43">
            <v>0</v>
          </cell>
          <cell r="C43">
            <v>0</v>
          </cell>
          <cell r="D43">
            <v>0</v>
          </cell>
          <cell r="E43">
            <v>0</v>
          </cell>
          <cell r="F43">
            <v>0</v>
          </cell>
          <cell r="G43">
            <v>0</v>
          </cell>
          <cell r="H43">
            <v>0</v>
          </cell>
          <cell r="J43">
            <v>0</v>
          </cell>
        </row>
        <row r="44">
          <cell r="B44">
            <v>0</v>
          </cell>
          <cell r="C44">
            <v>0</v>
          </cell>
          <cell r="D44">
            <v>0</v>
          </cell>
          <cell r="E44">
            <v>0</v>
          </cell>
          <cell r="F44">
            <v>0</v>
          </cell>
          <cell r="G44">
            <v>0</v>
          </cell>
          <cell r="H44">
            <v>0</v>
          </cell>
          <cell r="J44">
            <v>0</v>
          </cell>
        </row>
        <row r="45">
          <cell r="B45">
            <v>0</v>
          </cell>
          <cell r="D45" t="str">
            <v>1Q2015</v>
          </cell>
          <cell r="E45" t="str">
            <v>1Q2015</v>
          </cell>
          <cell r="F45">
            <v>0</v>
          </cell>
          <cell r="G45" t="str">
            <v>Variance</v>
          </cell>
          <cell r="H45">
            <v>0</v>
          </cell>
          <cell r="J45">
            <v>0</v>
          </cell>
        </row>
        <row r="46">
          <cell r="B46">
            <v>0</v>
          </cell>
          <cell r="D46" t="str">
            <v>Actual</v>
          </cell>
          <cell r="E46" t="str">
            <v>Consensus</v>
          </cell>
          <cell r="F46">
            <v>0</v>
          </cell>
          <cell r="G46" t="str">
            <v>Absolute</v>
          </cell>
          <cell r="H46" t="str">
            <v>Percent</v>
          </cell>
          <cell r="J46" t="str">
            <v>1Q2014</v>
          </cell>
        </row>
        <row r="47">
          <cell r="B47">
            <v>0</v>
          </cell>
          <cell r="D47">
            <v>0</v>
          </cell>
          <cell r="E47">
            <v>0</v>
          </cell>
          <cell r="F47">
            <v>0</v>
          </cell>
          <cell r="G47">
            <v>0</v>
          </cell>
          <cell r="H47">
            <v>0</v>
          </cell>
          <cell r="J47">
            <v>0</v>
          </cell>
        </row>
        <row r="48">
          <cell r="B48" t="str">
            <v>Metrics</v>
          </cell>
          <cell r="D48">
            <v>0</v>
          </cell>
          <cell r="E48">
            <v>0</v>
          </cell>
          <cell r="F48">
            <v>0</v>
          </cell>
          <cell r="G48">
            <v>0</v>
          </cell>
          <cell r="H48">
            <v>0</v>
          </cell>
          <cell r="J48">
            <v>0</v>
          </cell>
        </row>
        <row r="49">
          <cell r="B49" t="str">
            <v>LTM Active Diners</v>
          </cell>
          <cell r="D49">
            <v>6.97</v>
          </cell>
          <cell r="E49">
            <v>7.15</v>
          </cell>
          <cell r="F49">
            <v>0</v>
          </cell>
          <cell r="G49">
            <v>1.37</v>
          </cell>
          <cell r="H49">
            <v>0.24464285714285719</v>
          </cell>
          <cell r="J49">
            <v>5.6</v>
          </cell>
        </row>
        <row r="50">
          <cell r="B50" t="str">
            <v>x Orders per LTM Active Diner</v>
          </cell>
          <cell r="D50">
            <v>3.4963845050215205</v>
          </cell>
          <cell r="E50">
            <v>3.437636363636364</v>
          </cell>
          <cell r="F50">
            <v>0</v>
          </cell>
          <cell r="G50">
            <v>-0.27557978069276556</v>
          </cell>
          <cell r="H50">
            <v>-7.3060018552264683E-2</v>
          </cell>
          <cell r="J50">
            <v>3.7719642857142861</v>
          </cell>
        </row>
        <row r="51">
          <cell r="B51" t="str">
            <v>= Total Orders</v>
          </cell>
          <cell r="D51">
            <v>24.369799999999998</v>
          </cell>
          <cell r="E51">
            <v>24.579100000000004</v>
          </cell>
          <cell r="F51">
            <v>0</v>
          </cell>
          <cell r="G51">
            <v>3.2467999999999968</v>
          </cell>
          <cell r="H51">
            <v>0.15370922690905631</v>
          </cell>
          <cell r="J51">
            <v>21.123000000000001</v>
          </cell>
        </row>
        <row r="52">
          <cell r="B52" t="str">
            <v>Daily Average Grubs (in thousands)</v>
          </cell>
          <cell r="D52">
            <v>267.8</v>
          </cell>
          <cell r="E52">
            <v>270.10000000000002</v>
          </cell>
          <cell r="F52">
            <v>0</v>
          </cell>
          <cell r="G52">
            <v>33.100000000000023</v>
          </cell>
          <cell r="H52">
            <v>0.14103110353642959</v>
          </cell>
          <cell r="J52">
            <v>234.7</v>
          </cell>
        </row>
        <row r="53">
          <cell r="B53" t="str">
            <v>x $ Average Order Value (implied)</v>
          </cell>
          <cell r="D53">
            <v>29.257523656328736</v>
          </cell>
          <cell r="E53">
            <v>29.065344133837282</v>
          </cell>
          <cell r="F53">
            <v>0</v>
          </cell>
          <cell r="G53">
            <v>1.3306193340260357</v>
          </cell>
          <cell r="H53">
            <v>4.7646503123634436E-2</v>
          </cell>
          <cell r="J53">
            <v>27.9269043223027</v>
          </cell>
        </row>
        <row r="54">
          <cell r="B54" t="str">
            <v>= Gross Food Sales</v>
          </cell>
          <cell r="D54">
            <v>713</v>
          </cell>
          <cell r="E54">
            <v>714.4</v>
          </cell>
          <cell r="F54">
            <v>0</v>
          </cell>
          <cell r="G54">
            <v>123.10000000000002</v>
          </cell>
          <cell r="H54">
            <v>0.20867943719274457</v>
          </cell>
          <cell r="J54">
            <v>589.9</v>
          </cell>
        </row>
        <row r="55">
          <cell r="B55" t="str">
            <v xml:space="preserve">% Commission </v>
          </cell>
          <cell r="D55">
            <v>0.15741935483870967</v>
          </cell>
          <cell r="E55">
            <v>0.156</v>
          </cell>
          <cell r="F55">
            <v>0</v>
          </cell>
          <cell r="G55">
            <v>0</v>
          </cell>
          <cell r="H55">
            <v>78.194226468127354</v>
          </cell>
          <cell r="J55">
            <v>0.14959993219189693</v>
          </cell>
        </row>
        <row r="56">
          <cell r="B56">
            <v>0</v>
          </cell>
          <cell r="D56">
            <v>0</v>
          </cell>
          <cell r="E56">
            <v>0</v>
          </cell>
          <cell r="F56">
            <v>0</v>
          </cell>
          <cell r="G56">
            <v>0</v>
          </cell>
          <cell r="H56">
            <v>0</v>
          </cell>
          <cell r="J56">
            <v>0</v>
          </cell>
        </row>
      </sheetData>
      <sheetData sheetId="10">
        <row r="6">
          <cell r="D6">
            <v>0</v>
          </cell>
          <cell r="E6">
            <v>0</v>
          </cell>
          <cell r="F6">
            <v>0</v>
          </cell>
          <cell r="G6">
            <v>0</v>
          </cell>
          <cell r="H6">
            <v>0</v>
          </cell>
        </row>
        <row r="7">
          <cell r="B7">
            <v>0</v>
          </cell>
          <cell r="D7" t="str">
            <v>1Q2016</v>
          </cell>
          <cell r="E7">
            <v>0</v>
          </cell>
          <cell r="F7">
            <v>0</v>
          </cell>
          <cell r="G7" t="str">
            <v>Variance</v>
          </cell>
          <cell r="H7">
            <v>0</v>
          </cell>
          <cell r="I7">
            <v>0</v>
          </cell>
          <cell r="J7">
            <v>0</v>
          </cell>
          <cell r="K7" t="str">
            <v>Y/Y Growth (%)</v>
          </cell>
          <cell r="L7">
            <v>0</v>
          </cell>
          <cell r="M7" t="str">
            <v>Variance</v>
          </cell>
          <cell r="N7">
            <v>0</v>
          </cell>
          <cell r="O7" t="str">
            <v>1Q2016</v>
          </cell>
        </row>
        <row r="8">
          <cell r="B8">
            <v>0</v>
          </cell>
          <cell r="D8" t="str">
            <v>Actual</v>
          </cell>
          <cell r="E8" t="str">
            <v>Estimate</v>
          </cell>
          <cell r="F8">
            <v>0</v>
          </cell>
          <cell r="G8" t="str">
            <v>Absolute</v>
          </cell>
          <cell r="H8" t="str">
            <v>Percent</v>
          </cell>
          <cell r="I8">
            <v>0</v>
          </cell>
          <cell r="J8" t="str">
            <v>1Q15</v>
          </cell>
          <cell r="K8" t="str">
            <v>Actual</v>
          </cell>
          <cell r="L8" t="str">
            <v>Estimate</v>
          </cell>
          <cell r="M8" t="str">
            <v>Y/Y</v>
          </cell>
          <cell r="N8">
            <v>0</v>
          </cell>
          <cell r="O8" t="str">
            <v>Consensus</v>
          </cell>
        </row>
        <row r="9">
          <cell r="B9" t="str">
            <v>Revenue</v>
          </cell>
          <cell r="D9">
            <v>112.2</v>
          </cell>
          <cell r="E9">
            <v>111.54741982601087</v>
          </cell>
          <cell r="F9">
            <v>0</v>
          </cell>
          <cell r="G9">
            <v>0.65258017398913637</v>
          </cell>
          <cell r="H9">
            <v>5.8502489345519252E-3</v>
          </cell>
          <cell r="I9">
            <v>0</v>
          </cell>
          <cell r="J9">
            <v>88.248999999999995</v>
          </cell>
          <cell r="K9">
            <v>0.27140250881029826</v>
          </cell>
          <cell r="L9">
            <v>0.26400774882447253</v>
          </cell>
          <cell r="M9">
            <v>7.3947599858257274E-3</v>
          </cell>
          <cell r="N9">
            <v>0</v>
          </cell>
          <cell r="O9" t="str">
            <v xml:space="preserve">#NAME?   </v>
          </cell>
        </row>
        <row r="10">
          <cell r="B10" t="str">
            <v>- Sales &amp; Marketing</v>
          </cell>
          <cell r="D10">
            <v>28.832999999999998</v>
          </cell>
          <cell r="E10">
            <v>27.571201885435272</v>
          </cell>
          <cell r="F10">
            <v>0</v>
          </cell>
          <cell r="G10">
            <v>1.2617981145647263</v>
          </cell>
          <cell r="H10">
            <v>4.5765074725715248E-2</v>
          </cell>
          <cell r="I10">
            <v>0</v>
          </cell>
          <cell r="J10">
            <v>24.106999999999999</v>
          </cell>
          <cell r="K10">
            <v>0.19604264321566345</v>
          </cell>
          <cell r="L10">
            <v>0.14370107792073972</v>
          </cell>
          <cell r="M10">
            <v>5.2341565294923731E-2</v>
          </cell>
          <cell r="N10">
            <v>0</v>
          </cell>
          <cell r="O10">
            <v>0</v>
          </cell>
        </row>
        <row r="11">
          <cell r="B11" t="str">
            <v>- Operations &amp; Support</v>
          </cell>
          <cell r="D11">
            <v>34.987000000000002</v>
          </cell>
          <cell r="E11">
            <v>36.029816603801514</v>
          </cell>
          <cell r="F11">
            <v>0</v>
          </cell>
          <cell r="G11">
            <v>-1.0428166038015121</v>
          </cell>
          <cell r="H11">
            <v>-2.8943156032925361E-2</v>
          </cell>
          <cell r="I11">
            <v>0</v>
          </cell>
          <cell r="J11">
            <v>22.701000000000001</v>
          </cell>
          <cell r="K11">
            <v>0.54120963834192337</v>
          </cell>
          <cell r="L11">
            <v>0.58714667212023763</v>
          </cell>
          <cell r="M11">
            <v>-4.5937033778314262E-2</v>
          </cell>
          <cell r="N11">
            <v>0</v>
          </cell>
          <cell r="O11">
            <v>0</v>
          </cell>
        </row>
        <row r="12">
          <cell r="B12" t="str">
            <v>- Tech and Content</v>
          </cell>
          <cell r="D12">
            <v>10.192</v>
          </cell>
          <cell r="E12">
            <v>8.8122461662548588</v>
          </cell>
          <cell r="F12">
            <v>0</v>
          </cell>
          <cell r="G12">
            <v>1.3797538337451414</v>
          </cell>
          <cell r="H12">
            <v>0.15657232080382599</v>
          </cell>
          <cell r="I12">
            <v>0</v>
          </cell>
          <cell r="J12">
            <v>7.6660000000000004</v>
          </cell>
          <cell r="K12">
            <v>0.32950691364466467</v>
          </cell>
          <cell r="L12">
            <v>0.14952337154381135</v>
          </cell>
          <cell r="M12">
            <v>0.17998354210085332</v>
          </cell>
          <cell r="N12">
            <v>0</v>
          </cell>
          <cell r="O12">
            <v>0</v>
          </cell>
        </row>
        <row r="13">
          <cell r="B13" t="str">
            <v>- General &amp; Administrative</v>
          </cell>
          <cell r="D13">
            <v>13.5898</v>
          </cell>
          <cell r="E13">
            <v>11.154741982601088</v>
          </cell>
          <cell r="F13">
            <v>0</v>
          </cell>
          <cell r="G13">
            <v>2.4350580173989123</v>
          </cell>
          <cell r="H13">
            <v>0.21829801363375864</v>
          </cell>
          <cell r="I13">
            <v>0</v>
          </cell>
          <cell r="J13">
            <v>9.1010000000000009</v>
          </cell>
          <cell r="K13">
            <v>0.49322052521700899</v>
          </cell>
          <cell r="L13">
            <v>0.22566113422712752</v>
          </cell>
          <cell r="M13">
            <v>0.26755939098988146</v>
          </cell>
          <cell r="N13">
            <v>0</v>
          </cell>
          <cell r="O13">
            <v>0</v>
          </cell>
        </row>
        <row r="14">
          <cell r="B14" t="str">
            <v>- Depreciation &amp; Amortization</v>
          </cell>
          <cell r="D14">
            <v>7.3079999999999998</v>
          </cell>
          <cell r="E14">
            <v>8.3660564869508143</v>
          </cell>
          <cell r="F14">
            <v>0</v>
          </cell>
          <cell r="G14">
            <v>-1.0580564869508144</v>
          </cell>
          <cell r="H14">
            <v>-0.12647015814453882</v>
          </cell>
          <cell r="I14">
            <v>0</v>
          </cell>
          <cell r="J14">
            <v>6.2489999999999997</v>
          </cell>
          <cell r="K14">
            <v>0.16946711473835818</v>
          </cell>
          <cell r="L14">
            <v>0.33878324323104736</v>
          </cell>
          <cell r="M14">
            <v>-0.16931612849268918</v>
          </cell>
          <cell r="N14">
            <v>0</v>
          </cell>
          <cell r="O14">
            <v>0</v>
          </cell>
        </row>
        <row r="15">
          <cell r="B15" t="str">
            <v>= Operating Income</v>
          </cell>
          <cell r="D15">
            <v>17.330199999999994</v>
          </cell>
          <cell r="E15">
            <v>19.613356700967319</v>
          </cell>
          <cell r="F15">
            <v>0</v>
          </cell>
          <cell r="G15">
            <v>-2.283156700967325</v>
          </cell>
          <cell r="H15">
            <v>-0.1164082587074308</v>
          </cell>
          <cell r="I15">
            <v>0</v>
          </cell>
          <cell r="J15">
            <v>18.424999999999994</v>
          </cell>
          <cell r="K15">
            <v>-5.9419267299864353E-2</v>
          </cell>
          <cell r="L15">
            <v>6.4496971558606564E-2</v>
          </cell>
          <cell r="M15">
            <v>-0.12391623885847092</v>
          </cell>
          <cell r="N15">
            <v>0</v>
          </cell>
          <cell r="O15">
            <v>0</v>
          </cell>
        </row>
        <row r="16">
          <cell r="B16" t="str">
            <v>+ Other Income / (Expense), Net</v>
          </cell>
          <cell r="D16">
            <v>0</v>
          </cell>
          <cell r="E16">
            <v>0</v>
          </cell>
          <cell r="F16">
            <v>0</v>
          </cell>
          <cell r="G16">
            <v>0</v>
          </cell>
          <cell r="H16" t="str">
            <v>-</v>
          </cell>
          <cell r="I16">
            <v>0</v>
          </cell>
          <cell r="J16">
            <v>0</v>
          </cell>
          <cell r="K16" t="str">
            <v>-</v>
          </cell>
          <cell r="L16" t="str">
            <v>-</v>
          </cell>
          <cell r="M16" t="str">
            <v>-</v>
          </cell>
          <cell r="N16">
            <v>0</v>
          </cell>
          <cell r="O16">
            <v>0</v>
          </cell>
        </row>
        <row r="17">
          <cell r="B17" t="str">
            <v>+ Other Non-Operating Gains / (Losses)</v>
          </cell>
          <cell r="D17">
            <v>0</v>
          </cell>
          <cell r="E17">
            <v>0</v>
          </cell>
          <cell r="F17">
            <v>0</v>
          </cell>
          <cell r="G17">
            <v>0</v>
          </cell>
          <cell r="H17" t="str">
            <v>-</v>
          </cell>
          <cell r="I17">
            <v>0</v>
          </cell>
          <cell r="J17">
            <v>0</v>
          </cell>
          <cell r="K17" t="str">
            <v>-</v>
          </cell>
          <cell r="L17" t="str">
            <v>-</v>
          </cell>
          <cell r="M17" t="str">
            <v>-</v>
          </cell>
          <cell r="N17">
            <v>0</v>
          </cell>
          <cell r="O17">
            <v>0</v>
          </cell>
        </row>
        <row r="18">
          <cell r="B18" t="str">
            <v>= Pretax Income</v>
          </cell>
          <cell r="D18">
            <v>17.330199999999994</v>
          </cell>
          <cell r="E18">
            <v>19.613356700967319</v>
          </cell>
          <cell r="F18">
            <v>0</v>
          </cell>
          <cell r="G18">
            <v>-2.283156700967325</v>
          </cell>
          <cell r="H18">
            <v>-0.1164082587074308</v>
          </cell>
          <cell r="I18">
            <v>0</v>
          </cell>
          <cell r="J18">
            <v>18.424999999999994</v>
          </cell>
          <cell r="K18">
            <v>-5.9419267299864353E-2</v>
          </cell>
          <cell r="L18">
            <v>6.4496971558606564E-2</v>
          </cell>
          <cell r="M18">
            <v>-0.12391623885847092</v>
          </cell>
          <cell r="N18">
            <v>0</v>
          </cell>
          <cell r="O18">
            <v>0</v>
          </cell>
        </row>
        <row r="19">
          <cell r="B19" t="str">
            <v>+ Income Tax Provision</v>
          </cell>
          <cell r="D19">
            <v>-7.3979999999999997</v>
          </cell>
          <cell r="E19">
            <v>-6.8646748453385618</v>
          </cell>
          <cell r="F19">
            <v>0</v>
          </cell>
          <cell r="G19">
            <v>-0.53332515466143793</v>
          </cell>
          <cell r="H19">
            <v>7.7691247827068002E-2</v>
          </cell>
          <cell r="I19">
            <v>0</v>
          </cell>
          <cell r="J19">
            <v>-7.8550000000000004</v>
          </cell>
          <cell r="K19">
            <v>-5.817950350095491E-2</v>
          </cell>
          <cell r="L19">
            <v>-0.12607576762080697</v>
          </cell>
          <cell r="M19">
            <v>6.7896264119852057E-2</v>
          </cell>
          <cell r="N19">
            <v>0</v>
          </cell>
          <cell r="O19">
            <v>0</v>
          </cell>
        </row>
        <row r="20">
          <cell r="B20" t="str">
            <v xml:space="preserve">= Net Income (Loss) </v>
          </cell>
          <cell r="D20">
            <v>9.9321999999999946</v>
          </cell>
          <cell r="E20">
            <v>12.748681855628757</v>
          </cell>
          <cell r="F20">
            <v>0</v>
          </cell>
          <cell r="G20">
            <v>-2.8164818556287621</v>
          </cell>
          <cell r="H20">
            <v>-0.22092337761062239</v>
          </cell>
          <cell r="I20">
            <v>0</v>
          </cell>
          <cell r="J20">
            <v>10.569999999999993</v>
          </cell>
          <cell r="K20">
            <v>-6.034058656575203E-2</v>
          </cell>
          <cell r="L20">
            <v>0.20611938085418768</v>
          </cell>
          <cell r="M20">
            <v>-0.26645996741993971</v>
          </cell>
          <cell r="N20">
            <v>0</v>
          </cell>
          <cell r="O20">
            <v>0</v>
          </cell>
        </row>
        <row r="21">
          <cell r="B21" t="str">
            <v>- Preferred Stock Tax Distributions</v>
          </cell>
          <cell r="D21">
            <v>0</v>
          </cell>
          <cell r="E21">
            <v>0</v>
          </cell>
          <cell r="F21">
            <v>0</v>
          </cell>
          <cell r="G21">
            <v>0</v>
          </cell>
          <cell r="H21">
            <v>0</v>
          </cell>
          <cell r="I21">
            <v>0</v>
          </cell>
          <cell r="J21">
            <v>0</v>
          </cell>
          <cell r="K21" t="str">
            <v>-</v>
          </cell>
          <cell r="L21" t="str">
            <v>-</v>
          </cell>
          <cell r="M21">
            <v>0</v>
          </cell>
          <cell r="N21">
            <v>0</v>
          </cell>
          <cell r="O21">
            <v>0</v>
          </cell>
        </row>
        <row r="22">
          <cell r="B22" t="str">
            <v xml:space="preserve">= Net Income (Loss) Attributable to Common </v>
          </cell>
          <cell r="D22">
            <v>9.9321999999999946</v>
          </cell>
          <cell r="E22">
            <v>12.748681855628757</v>
          </cell>
          <cell r="F22">
            <v>0</v>
          </cell>
          <cell r="G22">
            <v>10.882531051156016</v>
          </cell>
          <cell r="H22">
            <v>0</v>
          </cell>
          <cell r="I22">
            <v>0</v>
          </cell>
          <cell r="J22">
            <v>10.569999999999993</v>
          </cell>
          <cell r="K22">
            <v>-6.034058656575203E-2</v>
          </cell>
          <cell r="L22">
            <v>0.20611938085418768</v>
          </cell>
          <cell r="M22">
            <v>0</v>
          </cell>
          <cell r="N22">
            <v>0</v>
          </cell>
          <cell r="O22">
            <v>0</v>
          </cell>
        </row>
        <row r="23">
          <cell r="B23">
            <v>0</v>
          </cell>
          <cell r="D23">
            <v>0</v>
          </cell>
          <cell r="E23">
            <v>0</v>
          </cell>
          <cell r="F23">
            <v>0</v>
          </cell>
          <cell r="G23">
            <v>0</v>
          </cell>
          <cell r="H23">
            <v>0</v>
          </cell>
          <cell r="I23">
            <v>0</v>
          </cell>
          <cell r="J23">
            <v>0</v>
          </cell>
          <cell r="K23">
            <v>0</v>
          </cell>
          <cell r="L23">
            <v>0</v>
          </cell>
          <cell r="M23">
            <v>0</v>
          </cell>
          <cell r="N23">
            <v>0</v>
          </cell>
          <cell r="O23">
            <v>0</v>
          </cell>
        </row>
        <row r="24">
          <cell r="B24" t="str">
            <v xml:space="preserve">GAAP Basic EPS </v>
          </cell>
          <cell r="D24">
            <v>0.12</v>
          </cell>
          <cell r="E24">
            <v>0.15</v>
          </cell>
          <cell r="F24">
            <v>0</v>
          </cell>
          <cell r="G24">
            <v>-0.03</v>
          </cell>
          <cell r="H24">
            <v>-0.2</v>
          </cell>
          <cell r="I24">
            <v>0</v>
          </cell>
          <cell r="J24">
            <v>0.13</v>
          </cell>
          <cell r="K24">
            <v>-7.6923076923076983E-2</v>
          </cell>
          <cell r="L24">
            <v>0.15384615384615374</v>
          </cell>
          <cell r="M24">
            <v>-0.23076923076923073</v>
          </cell>
          <cell r="N24">
            <v>0</v>
          </cell>
          <cell r="O24">
            <v>0</v>
          </cell>
        </row>
        <row r="25">
          <cell r="B25" t="str">
            <v>GAAP Diluted EPS</v>
          </cell>
          <cell r="D25">
            <v>0.11589633484638087</v>
          </cell>
          <cell r="E25">
            <v>0.14733515534012429</v>
          </cell>
          <cell r="F25">
            <v>0</v>
          </cell>
          <cell r="G25">
            <v>-3.1438820493743413E-2</v>
          </cell>
          <cell r="H25">
            <v>-0.21338302064545739</v>
          </cell>
          <cell r="I25">
            <v>0</v>
          </cell>
          <cell r="J25">
            <v>0.12420973465886381</v>
          </cell>
          <cell r="K25">
            <v>-6.6930340325702331E-2</v>
          </cell>
          <cell r="L25">
            <v>0.18618042092089926</v>
          </cell>
          <cell r="M25">
            <v>-0.25311076124660159</v>
          </cell>
          <cell r="N25">
            <v>0</v>
          </cell>
          <cell r="O25">
            <v>0</v>
          </cell>
        </row>
        <row r="26">
          <cell r="B26" t="str">
            <v>Non-GAAP EPS</v>
          </cell>
          <cell r="D26">
            <v>0.20117154225836936</v>
          </cell>
          <cell r="E26">
            <v>0.22851202440887258</v>
          </cell>
          <cell r="F26">
            <v>0</v>
          </cell>
          <cell r="G26">
            <v>-2.734048215050322E-2</v>
          </cell>
          <cell r="H26">
            <v>-0.11964570451480212</v>
          </cell>
          <cell r="I26">
            <v>0</v>
          </cell>
          <cell r="J26">
            <v>0.17545653246844806</v>
          </cell>
          <cell r="K26">
            <v>0.14656057217217366</v>
          </cell>
          <cell r="L26">
            <v>0.3023853896688935</v>
          </cell>
          <cell r="M26">
            <v>-0.15582481749671984</v>
          </cell>
          <cell r="N26">
            <v>0</v>
          </cell>
          <cell r="O26" t="str">
            <v>#NAME?</v>
          </cell>
        </row>
        <row r="27">
          <cell r="B27">
            <v>0</v>
          </cell>
          <cell r="D27">
            <v>0</v>
          </cell>
          <cell r="E27">
            <v>0</v>
          </cell>
          <cell r="F27">
            <v>0</v>
          </cell>
          <cell r="G27">
            <v>0</v>
          </cell>
          <cell r="H27">
            <v>0</v>
          </cell>
          <cell r="I27">
            <v>0</v>
          </cell>
          <cell r="J27">
            <v>0</v>
          </cell>
          <cell r="K27">
            <v>0</v>
          </cell>
          <cell r="L27">
            <v>0</v>
          </cell>
          <cell r="M27">
            <v>0</v>
          </cell>
          <cell r="N27">
            <v>0</v>
          </cell>
          <cell r="O27">
            <v>0</v>
          </cell>
        </row>
        <row r="28">
          <cell r="B28" t="str">
            <v>Basic Shares Outstanding</v>
          </cell>
          <cell r="D28">
            <v>84.71</v>
          </cell>
          <cell r="E28">
            <v>85.244444797837488</v>
          </cell>
          <cell r="F28">
            <v>0</v>
          </cell>
          <cell r="G28">
            <v>-0.53444479783749443</v>
          </cell>
          <cell r="H28">
            <v>-6.2695557359187873E-3</v>
          </cell>
          <cell r="I28">
            <v>0</v>
          </cell>
          <cell r="J28">
            <v>82.783000000000001</v>
          </cell>
          <cell r="K28">
            <v>2.3277726103185348E-2</v>
          </cell>
          <cell r="L28">
            <v>2.9733698921728946E-2</v>
          </cell>
          <cell r="M28">
            <v>-6.4559728185435983E-3</v>
          </cell>
          <cell r="N28">
            <v>0</v>
          </cell>
          <cell r="O28">
            <v>0</v>
          </cell>
        </row>
        <row r="29">
          <cell r="B29" t="str">
            <v>Diluted Shares Outstanding</v>
          </cell>
          <cell r="D29">
            <v>85.698999999999998</v>
          </cell>
          <cell r="E29">
            <v>86.528444797837494</v>
          </cell>
          <cell r="F29">
            <v>0</v>
          </cell>
          <cell r="G29">
            <v>-0.82944479783749614</v>
          </cell>
          <cell r="H29">
            <v>-9.5858049890459318E-3</v>
          </cell>
          <cell r="I29">
            <v>0</v>
          </cell>
          <cell r="J29">
            <v>85.097999999999999</v>
          </cell>
          <cell r="K29">
            <v>7.0624456508965316E-3</v>
          </cell>
          <cell r="L29">
            <v>1.6809382098727399E-2</v>
          </cell>
          <cell r="M29">
            <v>-9.7469364478308673E-3</v>
          </cell>
          <cell r="N29">
            <v>0</v>
          </cell>
          <cell r="O29">
            <v>0</v>
          </cell>
        </row>
        <row r="30">
          <cell r="B30">
            <v>0</v>
          </cell>
          <cell r="D30">
            <v>0</v>
          </cell>
          <cell r="E30">
            <v>0</v>
          </cell>
          <cell r="F30">
            <v>0</v>
          </cell>
          <cell r="G30">
            <v>0</v>
          </cell>
          <cell r="H30">
            <v>0</v>
          </cell>
          <cell r="I30">
            <v>0</v>
          </cell>
          <cell r="J30">
            <v>0</v>
          </cell>
          <cell r="K30">
            <v>0</v>
          </cell>
          <cell r="L30">
            <v>0</v>
          </cell>
          <cell r="M30">
            <v>0</v>
          </cell>
          <cell r="N30">
            <v>0</v>
          </cell>
          <cell r="O30">
            <v>0</v>
          </cell>
        </row>
        <row r="31">
          <cell r="B31" t="str">
            <v>Non-GAAP Operating Income (x-SBC)</v>
          </cell>
          <cell r="D31">
            <v>25.062199999999994</v>
          </cell>
          <cell r="E31">
            <v>23.071326715573655</v>
          </cell>
          <cell r="F31">
            <v>0</v>
          </cell>
          <cell r="G31">
            <v>1.990873284426339</v>
          </cell>
          <cell r="H31">
            <v>8.6292102269197007E-2</v>
          </cell>
          <cell r="I31">
            <v>0</v>
          </cell>
          <cell r="J31">
            <v>22.000999999999994</v>
          </cell>
          <cell r="K31">
            <v>0.1391391300395437</v>
          </cell>
          <cell r="L31">
            <v>4.8649003025937887E-2</v>
          </cell>
          <cell r="M31">
            <v>9.0490127013605814E-2</v>
          </cell>
          <cell r="N31">
            <v>0</v>
          </cell>
          <cell r="O31" t="str">
            <v>#NAME?</v>
          </cell>
        </row>
        <row r="32">
          <cell r="B32" t="str">
            <v>Adj. EBITDA (x-SBC)</v>
          </cell>
          <cell r="D32">
            <v>32.4</v>
          </cell>
          <cell r="E32">
            <v>31.437383202524469</v>
          </cell>
          <cell r="F32">
            <v>0</v>
          </cell>
          <cell r="G32">
            <v>0.96261679747552975</v>
          </cell>
          <cell r="H32">
            <v>3.0620131175492692E-2</v>
          </cell>
          <cell r="I32">
            <v>0</v>
          </cell>
          <cell r="J32">
            <v>28.249999999999993</v>
          </cell>
          <cell r="K32">
            <v>0.14690265486725695</v>
          </cell>
          <cell r="L32">
            <v>0.11282772398316743</v>
          </cell>
          <cell r="M32">
            <v>3.4074930884089527E-2</v>
          </cell>
          <cell r="N32">
            <v>0</v>
          </cell>
          <cell r="O32" t="str">
            <v xml:space="preserve">#NAME?   </v>
          </cell>
        </row>
        <row r="33">
          <cell r="B33" t="str">
            <v>Non-GAAP Net Income</v>
          </cell>
          <cell r="C33">
            <v>0</v>
          </cell>
          <cell r="D33">
            <v>17.240199999999994</v>
          </cell>
          <cell r="E33">
            <v>19.772790089705225</v>
          </cell>
          <cell r="F33">
            <v>0</v>
          </cell>
          <cell r="G33">
            <v>-2.5325900897052307</v>
          </cell>
          <cell r="H33">
            <v>-0.1280846091125922</v>
          </cell>
          <cell r="I33">
            <v>0</v>
          </cell>
          <cell r="J33">
            <v>14.930999999999992</v>
          </cell>
          <cell r="K33">
            <v>0.15465809389860041</v>
          </cell>
          <cell r="L33">
            <v>0.32427768332363782</v>
          </cell>
          <cell r="M33">
            <v>-0.16961958942503741</v>
          </cell>
          <cell r="N33">
            <v>0</v>
          </cell>
          <cell r="O33">
            <v>0</v>
          </cell>
        </row>
        <row r="34">
          <cell r="B34">
            <v>0</v>
          </cell>
          <cell r="C34">
            <v>0</v>
          </cell>
          <cell r="D34">
            <v>0</v>
          </cell>
          <cell r="E34">
            <v>0</v>
          </cell>
          <cell r="F34">
            <v>0</v>
          </cell>
          <cell r="G34">
            <v>0</v>
          </cell>
          <cell r="H34">
            <v>0</v>
          </cell>
          <cell r="I34">
            <v>0</v>
          </cell>
          <cell r="J34">
            <v>0</v>
          </cell>
          <cell r="K34">
            <v>0</v>
          </cell>
          <cell r="L34">
            <v>0</v>
          </cell>
          <cell r="M34">
            <v>0</v>
          </cell>
          <cell r="N34">
            <v>0</v>
          </cell>
          <cell r="O34">
            <v>0</v>
          </cell>
        </row>
        <row r="35">
          <cell r="B35" t="str">
            <v>Margins</v>
          </cell>
          <cell r="C35">
            <v>0</v>
          </cell>
          <cell r="D35">
            <v>0</v>
          </cell>
          <cell r="E35">
            <v>0</v>
          </cell>
          <cell r="F35">
            <v>0</v>
          </cell>
          <cell r="G35">
            <v>0</v>
          </cell>
          <cell r="H35">
            <v>0</v>
          </cell>
          <cell r="I35">
            <v>0</v>
          </cell>
          <cell r="J35">
            <v>0</v>
          </cell>
          <cell r="K35">
            <v>0</v>
          </cell>
          <cell r="L35">
            <v>0</v>
          </cell>
          <cell r="M35">
            <v>0</v>
          </cell>
          <cell r="N35">
            <v>0</v>
          </cell>
          <cell r="O35">
            <v>0</v>
          </cell>
        </row>
        <row r="36">
          <cell r="B36" t="str">
            <v>Sales &amp; Marketing / Revenue</v>
          </cell>
          <cell r="C36">
            <v>0</v>
          </cell>
          <cell r="D36">
            <v>0.25697860962566843</v>
          </cell>
          <cell r="E36">
            <v>0.24717023422361725</v>
          </cell>
          <cell r="F36">
            <v>0</v>
          </cell>
          <cell r="G36">
            <v>0</v>
          </cell>
          <cell r="H36">
            <v>9.8083754020511782E-3</v>
          </cell>
          <cell r="I36">
            <v>0</v>
          </cell>
          <cell r="J36">
            <v>0</v>
          </cell>
          <cell r="K36">
            <v>0</v>
          </cell>
          <cell r="L36">
            <v>0</v>
          </cell>
          <cell r="M36">
            <v>0</v>
          </cell>
          <cell r="N36">
            <v>0</v>
          </cell>
          <cell r="O36">
            <v>0</v>
          </cell>
        </row>
        <row r="37">
          <cell r="B37" t="str">
            <v xml:space="preserve"> Operations &amp; Support / Revenue</v>
          </cell>
          <cell r="C37">
            <v>0</v>
          </cell>
          <cell r="D37">
            <v>0.3118270944741533</v>
          </cell>
          <cell r="E37">
            <v>0.32300000000000001</v>
          </cell>
          <cell r="F37">
            <v>0</v>
          </cell>
          <cell r="G37">
            <v>0</v>
          </cell>
          <cell r="H37">
            <v>-1.117290552584671E-2</v>
          </cell>
          <cell r="I37">
            <v>0</v>
          </cell>
          <cell r="J37">
            <v>0</v>
          </cell>
          <cell r="K37">
            <v>0</v>
          </cell>
          <cell r="L37">
            <v>0</v>
          </cell>
          <cell r="M37">
            <v>0</v>
          </cell>
          <cell r="N37">
            <v>0</v>
          </cell>
          <cell r="O37">
            <v>0</v>
          </cell>
        </row>
        <row r="38">
          <cell r="B38" t="str">
            <v>Tech and Content / Revenue</v>
          </cell>
          <cell r="C38">
            <v>0</v>
          </cell>
          <cell r="D38">
            <v>9.0837789661319071E-2</v>
          </cell>
          <cell r="E38">
            <v>7.9000000000000001E-2</v>
          </cell>
          <cell r="F38">
            <v>0</v>
          </cell>
          <cell r="G38">
            <v>0</v>
          </cell>
          <cell r="H38">
            <v>1.183778966131907E-2</v>
          </cell>
          <cell r="I38">
            <v>0</v>
          </cell>
          <cell r="J38">
            <v>0.27317023422361725</v>
          </cell>
          <cell r="K38">
            <v>0</v>
          </cell>
          <cell r="L38">
            <v>0</v>
          </cell>
          <cell r="M38">
            <v>0</v>
          </cell>
          <cell r="N38">
            <v>0</v>
          </cell>
          <cell r="O38">
            <v>0</v>
          </cell>
        </row>
        <row r="39">
          <cell r="B39" t="str">
            <v>Sales &amp; Marketing / Revenue</v>
          </cell>
          <cell r="C39">
            <v>0</v>
          </cell>
          <cell r="D39">
            <v>0.12112121212121212</v>
          </cell>
          <cell r="E39">
            <v>0.10000000000000002</v>
          </cell>
          <cell r="F39">
            <v>0</v>
          </cell>
          <cell r="G39">
            <v>0</v>
          </cell>
          <cell r="H39">
            <v>2.1121212121212096E-2</v>
          </cell>
          <cell r="I39">
            <v>0</v>
          </cell>
          <cell r="J39">
            <v>0.25723804235742048</v>
          </cell>
          <cell r="K39">
            <v>0</v>
          </cell>
          <cell r="L39">
            <v>0</v>
          </cell>
          <cell r="M39">
            <v>0</v>
          </cell>
          <cell r="N39">
            <v>0</v>
          </cell>
          <cell r="O39">
            <v>0</v>
          </cell>
        </row>
        <row r="40">
          <cell r="B40" t="str">
            <v>Operating Margin</v>
          </cell>
          <cell r="C40">
            <v>0</v>
          </cell>
          <cell r="D40">
            <v>0.15445811051693401</v>
          </cell>
          <cell r="E40">
            <v>0.17582976577638271</v>
          </cell>
          <cell r="F40">
            <v>0</v>
          </cell>
          <cell r="G40">
            <v>0</v>
          </cell>
          <cell r="H40">
            <v>-2.1371655259448702E-2</v>
          </cell>
          <cell r="I40">
            <v>0</v>
          </cell>
          <cell r="J40">
            <v>8.6867839862208085E-2</v>
          </cell>
          <cell r="K40">
            <v>0</v>
          </cell>
          <cell r="L40">
            <v>0</v>
          </cell>
          <cell r="M40">
            <v>0</v>
          </cell>
          <cell r="N40">
            <v>0</v>
          </cell>
          <cell r="O40" t="e">
            <v>#VALUE!</v>
          </cell>
        </row>
        <row r="41">
          <cell r="B41" t="str">
            <v>Adj. Operating Margin</v>
          </cell>
          <cell r="C41">
            <v>0</v>
          </cell>
          <cell r="D41">
            <v>0.22337076648841347</v>
          </cell>
          <cell r="E41">
            <v>0.20682976577638268</v>
          </cell>
          <cell r="F41">
            <v>0</v>
          </cell>
          <cell r="G41">
            <v>0</v>
          </cell>
          <cell r="H41">
            <v>1.6541000712030796E-2</v>
          </cell>
          <cell r="I41">
            <v>0</v>
          </cell>
          <cell r="J41">
            <v>0.10312864735011164</v>
          </cell>
          <cell r="K41">
            <v>0</v>
          </cell>
          <cell r="L41">
            <v>0</v>
          </cell>
          <cell r="M41">
            <v>0</v>
          </cell>
          <cell r="N41">
            <v>0</v>
          </cell>
          <cell r="O41">
            <v>0</v>
          </cell>
        </row>
        <row r="42">
          <cell r="B42" t="str">
            <v>Adj. EBITDA Margin</v>
          </cell>
          <cell r="C42">
            <v>0</v>
          </cell>
          <cell r="D42">
            <v>0.28877005347593582</v>
          </cell>
          <cell r="E42">
            <v>0.28182976577638269</v>
          </cell>
          <cell r="F42">
            <v>0</v>
          </cell>
          <cell r="G42">
            <v>0</v>
          </cell>
          <cell r="H42">
            <v>6.9402876995531271E-3</v>
          </cell>
          <cell r="I42">
            <v>0</v>
          </cell>
          <cell r="J42">
            <v>0.32011694183503492</v>
          </cell>
          <cell r="K42">
            <v>-313.46888359099103</v>
          </cell>
          <cell r="L42">
            <v>-382.87176058652227</v>
          </cell>
          <cell r="M42">
            <v>0</v>
          </cell>
          <cell r="N42">
            <v>0</v>
          </cell>
          <cell r="O42" t="e">
            <v>#VALUE!</v>
          </cell>
        </row>
        <row r="43">
          <cell r="B43">
            <v>0</v>
          </cell>
          <cell r="C43">
            <v>0</v>
          </cell>
          <cell r="D43">
            <v>0</v>
          </cell>
          <cell r="E43">
            <v>0</v>
          </cell>
          <cell r="F43">
            <v>0</v>
          </cell>
          <cell r="G43">
            <v>0</v>
          </cell>
          <cell r="H43">
            <v>0</v>
          </cell>
          <cell r="I43">
            <v>0</v>
          </cell>
          <cell r="J43">
            <v>0</v>
          </cell>
          <cell r="K43">
            <v>0</v>
          </cell>
          <cell r="L43">
            <v>0</v>
          </cell>
          <cell r="M43">
            <v>0</v>
          </cell>
          <cell r="N43">
            <v>0</v>
          </cell>
          <cell r="O43">
            <v>0</v>
          </cell>
        </row>
        <row r="44">
          <cell r="B44">
            <v>0</v>
          </cell>
          <cell r="C44">
            <v>0</v>
          </cell>
          <cell r="D44">
            <v>0</v>
          </cell>
          <cell r="E44">
            <v>0</v>
          </cell>
          <cell r="F44">
            <v>0</v>
          </cell>
          <cell r="G44">
            <v>0</v>
          </cell>
          <cell r="H44">
            <v>0</v>
          </cell>
          <cell r="I44">
            <v>0</v>
          </cell>
          <cell r="J44">
            <v>0</v>
          </cell>
          <cell r="K44">
            <v>0</v>
          </cell>
          <cell r="L44">
            <v>0</v>
          </cell>
          <cell r="M44">
            <v>0</v>
          </cell>
          <cell r="N44">
            <v>0</v>
          </cell>
          <cell r="O44">
            <v>0</v>
          </cell>
        </row>
        <row r="45">
          <cell r="B45">
            <v>0</v>
          </cell>
          <cell r="D45" t="str">
            <v>1Q2015</v>
          </cell>
          <cell r="E45" t="str">
            <v>1Q2015</v>
          </cell>
          <cell r="F45">
            <v>0</v>
          </cell>
          <cell r="G45" t="str">
            <v>Variance</v>
          </cell>
          <cell r="H45">
            <v>0</v>
          </cell>
          <cell r="I45">
            <v>0</v>
          </cell>
          <cell r="J45">
            <v>0</v>
          </cell>
          <cell r="K45" t="str">
            <v>1Q2014</v>
          </cell>
          <cell r="L45">
            <v>0</v>
          </cell>
          <cell r="M45" t="str">
            <v>Variance</v>
          </cell>
          <cell r="N45">
            <v>0</v>
          </cell>
          <cell r="O45" t="str">
            <v>1Q2015</v>
          </cell>
        </row>
        <row r="46">
          <cell r="B46">
            <v>0</v>
          </cell>
          <cell r="D46" t="str">
            <v>Actual</v>
          </cell>
          <cell r="E46" t="str">
            <v>Actual</v>
          </cell>
          <cell r="F46">
            <v>0</v>
          </cell>
          <cell r="G46" t="str">
            <v>Absolute</v>
          </cell>
          <cell r="H46" t="str">
            <v>Percent</v>
          </cell>
          <cell r="I46">
            <v>0</v>
          </cell>
          <cell r="J46">
            <v>0</v>
          </cell>
          <cell r="K46" t="str">
            <v>Actual</v>
          </cell>
          <cell r="L46" t="str">
            <v>Estimate</v>
          </cell>
          <cell r="M46" t="str">
            <v>Y/Y</v>
          </cell>
          <cell r="N46">
            <v>0</v>
          </cell>
          <cell r="O46" t="str">
            <v>Consensus</v>
          </cell>
        </row>
        <row r="47">
          <cell r="B47">
            <v>0</v>
          </cell>
          <cell r="D47">
            <v>0</v>
          </cell>
          <cell r="E47">
            <v>0</v>
          </cell>
          <cell r="F47">
            <v>0</v>
          </cell>
          <cell r="G47">
            <v>0</v>
          </cell>
          <cell r="H47">
            <v>0</v>
          </cell>
          <cell r="I47">
            <v>0</v>
          </cell>
          <cell r="J47">
            <v>0</v>
          </cell>
          <cell r="K47">
            <v>0</v>
          </cell>
          <cell r="L47">
            <v>0</v>
          </cell>
          <cell r="M47">
            <v>0</v>
          </cell>
          <cell r="N47">
            <v>0</v>
          </cell>
          <cell r="O47">
            <v>0</v>
          </cell>
        </row>
        <row r="48">
          <cell r="B48" t="str">
            <v>Metrics</v>
          </cell>
          <cell r="D48">
            <v>0</v>
          </cell>
          <cell r="E48">
            <v>0</v>
          </cell>
          <cell r="F48">
            <v>0</v>
          </cell>
          <cell r="G48">
            <v>0</v>
          </cell>
          <cell r="H48">
            <v>0</v>
          </cell>
          <cell r="I48">
            <v>0</v>
          </cell>
          <cell r="J48">
            <v>0</v>
          </cell>
          <cell r="K48">
            <v>0</v>
          </cell>
          <cell r="L48">
            <v>0</v>
          </cell>
          <cell r="M48">
            <v>0</v>
          </cell>
          <cell r="N48">
            <v>0</v>
          </cell>
          <cell r="O48">
            <v>0</v>
          </cell>
        </row>
        <row r="49">
          <cell r="B49" t="str">
            <v>LTM Active Diners</v>
          </cell>
          <cell r="D49">
            <v>6.97</v>
          </cell>
          <cell r="E49">
            <v>7.3504476094240001</v>
          </cell>
          <cell r="F49">
            <v>0</v>
          </cell>
          <cell r="G49">
            <v>-0.38044760942400035</v>
          </cell>
          <cell r="H49">
            <v>-5.1758427464502835E-2</v>
          </cell>
          <cell r="I49">
            <v>0</v>
          </cell>
          <cell r="J49">
            <v>5.6</v>
          </cell>
          <cell r="K49">
            <v>0.24464285714285716</v>
          </cell>
          <cell r="L49">
            <v>0.31257993025428576</v>
          </cell>
          <cell r="M49">
            <v>-6.7937073111428603E-2</v>
          </cell>
          <cell r="N49">
            <v>0</v>
          </cell>
          <cell r="O49">
            <v>7.15</v>
          </cell>
        </row>
        <row r="50">
          <cell r="B50" t="str">
            <v>x Orders per LTM Active Diner</v>
          </cell>
          <cell r="D50">
            <v>3.4963845050215205</v>
          </cell>
          <cell r="E50">
            <v>3.4066987263110398</v>
          </cell>
          <cell r="F50">
            <v>0</v>
          </cell>
          <cell r="G50">
            <v>8.9685778710480779E-2</v>
          </cell>
          <cell r="H50">
            <v>2.6326301770628675E-2</v>
          </cell>
          <cell r="I50">
            <v>0</v>
          </cell>
          <cell r="J50">
            <v>3.7719642857142861</v>
          </cell>
          <cell r="K50">
            <v>-7.3060018552264738E-2</v>
          </cell>
          <cell r="L50">
            <v>-9.6836961258257803E-2</v>
          </cell>
          <cell r="M50">
            <v>2.3776942705993065E-2</v>
          </cell>
          <cell r="N50">
            <v>0</v>
          </cell>
          <cell r="O50">
            <v>3.437636363636364</v>
          </cell>
        </row>
        <row r="51">
          <cell r="B51" t="str">
            <v>= Total Orders</v>
          </cell>
          <cell r="D51">
            <v>24.369799999999998</v>
          </cell>
          <cell r="E51">
            <v>25.040760508840769</v>
          </cell>
          <cell r="F51">
            <v>0</v>
          </cell>
          <cell r="G51">
            <v>-0.6709605088407713</v>
          </cell>
          <cell r="H51">
            <v>-2.6794733674477867E-2</v>
          </cell>
          <cell r="I51">
            <v>0</v>
          </cell>
          <cell r="J51">
            <v>21.123000000000001</v>
          </cell>
          <cell r="K51">
            <v>0.15370922690905631</v>
          </cell>
          <cell r="L51">
            <v>0.18547367839988493</v>
          </cell>
          <cell r="M51">
            <v>-3.1764451490828627E-2</v>
          </cell>
          <cell r="N51">
            <v>0</v>
          </cell>
          <cell r="O51">
            <v>24.579100000000004</v>
          </cell>
        </row>
        <row r="52">
          <cell r="B52" t="str">
            <v>Daily Average Grubs (in thousands)</v>
          </cell>
          <cell r="D52">
            <v>267.8</v>
          </cell>
          <cell r="E52">
            <v>275.17319240484363</v>
          </cell>
          <cell r="F52">
            <v>0</v>
          </cell>
          <cell r="G52">
            <v>-7.3731924048436213</v>
          </cell>
          <cell r="H52">
            <v>-2.6794733674477794E-2</v>
          </cell>
          <cell r="I52">
            <v>0</v>
          </cell>
          <cell r="J52">
            <v>234.7</v>
          </cell>
          <cell r="K52">
            <v>0.14103110353642956</v>
          </cell>
          <cell r="L52">
            <v>0.17244649512076538</v>
          </cell>
          <cell r="M52">
            <v>-3.1415391584335817E-2</v>
          </cell>
          <cell r="N52">
            <v>0</v>
          </cell>
          <cell r="O52">
            <v>270.10000000000002</v>
          </cell>
        </row>
        <row r="53">
          <cell r="B53" t="str">
            <v>x $ Average Order Value (implied)</v>
          </cell>
          <cell r="D53">
            <v>29.257523656328736</v>
          </cell>
          <cell r="E53">
            <v>28.764711451971781</v>
          </cell>
          <cell r="F53">
            <v>0</v>
          </cell>
          <cell r="G53">
            <v>0.49281220435695516</v>
          </cell>
          <cell r="H53">
            <v>1.7132527304499472E-2</v>
          </cell>
          <cell r="I53">
            <v>0</v>
          </cell>
          <cell r="J53">
            <v>27.9269043223027</v>
          </cell>
          <cell r="K53">
            <v>4.7646503123634387E-2</v>
          </cell>
          <cell r="L53">
            <v>3.0000000000000027E-2</v>
          </cell>
          <cell r="M53">
            <v>1.7646503123634361E-2</v>
          </cell>
          <cell r="N53">
            <v>0</v>
          </cell>
          <cell r="O53">
            <v>29.065344133837282</v>
          </cell>
        </row>
        <row r="54">
          <cell r="B54" t="str">
            <v>= Gross Food Sales</v>
          </cell>
          <cell r="D54">
            <v>713</v>
          </cell>
          <cell r="E54">
            <v>720.29025057473484</v>
          </cell>
          <cell r="F54">
            <v>0</v>
          </cell>
          <cell r="G54">
            <v>-7.2902505747348414</v>
          </cell>
          <cell r="H54">
            <v>-1.0121267876273205E-2</v>
          </cell>
          <cell r="I54">
            <v>0</v>
          </cell>
          <cell r="J54">
            <v>589.9</v>
          </cell>
          <cell r="K54">
            <v>0.20867943719274451</v>
          </cell>
          <cell r="L54">
            <v>0.22103788875188135</v>
          </cell>
          <cell r="M54">
            <v>-1.235845155913684E-2</v>
          </cell>
          <cell r="N54">
            <v>0</v>
          </cell>
          <cell r="O54">
            <v>714.4</v>
          </cell>
        </row>
        <row r="55">
          <cell r="B55" t="str">
            <v xml:space="preserve">% Commission </v>
          </cell>
          <cell r="D55">
            <v>0.15741935483870967</v>
          </cell>
          <cell r="E55">
            <v>0.15486454208842174</v>
          </cell>
          <cell r="F55">
            <v>0</v>
          </cell>
          <cell r="G55">
            <v>0</v>
          </cell>
          <cell r="H55">
            <v>2.5548127502879325E-3</v>
          </cell>
          <cell r="I55">
            <v>0</v>
          </cell>
          <cell r="J55">
            <v>0.14959993219189693</v>
          </cell>
          <cell r="K55">
            <v>5.2268891651518157E-2</v>
          </cell>
          <cell r="L55">
            <v>3.5191258574714501E-2</v>
          </cell>
          <cell r="M55">
            <v>1.7077633076803655E-2</v>
          </cell>
          <cell r="N55">
            <v>0</v>
          </cell>
          <cell r="O55">
            <v>0.156</v>
          </cell>
        </row>
        <row r="56">
          <cell r="B56">
            <v>0</v>
          </cell>
          <cell r="D56">
            <v>0</v>
          </cell>
          <cell r="E56">
            <v>0</v>
          </cell>
          <cell r="F56">
            <v>0</v>
          </cell>
          <cell r="G56">
            <v>0</v>
          </cell>
          <cell r="H56">
            <v>0</v>
          </cell>
          <cell r="I56">
            <v>0</v>
          </cell>
          <cell r="J56">
            <v>0</v>
          </cell>
          <cell r="K56">
            <v>0</v>
          </cell>
          <cell r="L56">
            <v>0</v>
          </cell>
          <cell r="M56">
            <v>0</v>
          </cell>
          <cell r="N56">
            <v>0</v>
          </cell>
          <cell r="O56">
            <v>0</v>
          </cell>
        </row>
      </sheetData>
      <sheetData sheetId="11">
        <row r="8">
          <cell r="B8">
            <v>0</v>
          </cell>
          <cell r="C8" t="str">
            <v>2Q2016</v>
          </cell>
          <cell r="D8">
            <v>0</v>
          </cell>
          <cell r="E8">
            <v>0</v>
          </cell>
          <cell r="F8">
            <v>0</v>
          </cell>
        </row>
        <row r="9">
          <cell r="B9">
            <v>0</v>
          </cell>
          <cell r="C9" t="str">
            <v>Estimate</v>
          </cell>
          <cell r="D9">
            <v>0</v>
          </cell>
          <cell r="E9" t="str">
            <v>Guidance</v>
          </cell>
          <cell r="F9">
            <v>0</v>
          </cell>
        </row>
        <row r="10">
          <cell r="B10">
            <v>0</v>
          </cell>
          <cell r="C10" t="str">
            <v>MSe</v>
          </cell>
          <cell r="D10" t="str">
            <v>Consensus</v>
          </cell>
          <cell r="E10" t="str">
            <v>Low</v>
          </cell>
          <cell r="F10" t="str">
            <v>High</v>
          </cell>
        </row>
        <row r="11">
          <cell r="B11" t="str">
            <v>Revenue</v>
          </cell>
          <cell r="C11">
            <v>107.82431556498798</v>
          </cell>
          <cell r="D11" t="str">
            <v>#NAME?</v>
          </cell>
          <cell r="E11">
            <v>109</v>
          </cell>
          <cell r="F11">
            <v>111</v>
          </cell>
        </row>
        <row r="12">
          <cell r="B12" t="str">
            <v>Variance to MS/Consensus at Midpoint</v>
          </cell>
          <cell r="C12">
            <v>2.0178050040120077E-2</v>
          </cell>
          <cell r="D12" t="e">
            <v>#VALUE!</v>
          </cell>
          <cell r="E12">
            <v>0</v>
          </cell>
          <cell r="F12">
            <v>0</v>
          </cell>
        </row>
        <row r="13">
          <cell r="B13">
            <v>0</v>
          </cell>
          <cell r="C13">
            <v>0</v>
          </cell>
          <cell r="D13">
            <v>0</v>
          </cell>
          <cell r="E13">
            <v>0</v>
          </cell>
          <cell r="F13">
            <v>0</v>
          </cell>
        </row>
        <row r="14">
          <cell r="B14" t="str">
            <v>Adj. EBITDA</v>
          </cell>
          <cell r="C14">
            <v>29.532124441709286</v>
          </cell>
          <cell r="D14" t="str">
            <v>#NAME?</v>
          </cell>
          <cell r="E14">
            <v>29</v>
          </cell>
          <cell r="F14">
            <v>31</v>
          </cell>
        </row>
        <row r="15">
          <cell r="B15" t="str">
            <v>Variance to MS/Consensus at Midpoint</v>
          </cell>
          <cell r="C15">
            <v>1.5842936027653964E-2</v>
          </cell>
          <cell r="D15" t="e">
            <v>#VALUE!</v>
          </cell>
          <cell r="E15">
            <v>0</v>
          </cell>
          <cell r="F15">
            <v>0</v>
          </cell>
        </row>
        <row r="16">
          <cell r="C16">
            <v>0</v>
          </cell>
          <cell r="D16">
            <v>0</v>
          </cell>
          <cell r="E16">
            <v>0</v>
          </cell>
          <cell r="F16">
            <v>0</v>
          </cell>
        </row>
        <row r="18">
          <cell r="B18">
            <v>0</v>
          </cell>
          <cell r="C18">
            <v>2016</v>
          </cell>
          <cell r="D18">
            <v>0</v>
          </cell>
          <cell r="E18">
            <v>0</v>
          </cell>
          <cell r="F18">
            <v>0</v>
          </cell>
          <cell r="G18">
            <v>0</v>
          </cell>
          <cell r="H18">
            <v>0</v>
          </cell>
        </row>
        <row r="19">
          <cell r="B19">
            <v>0</v>
          </cell>
          <cell r="C19" t="str">
            <v>Estimate</v>
          </cell>
          <cell r="D19">
            <v>0</v>
          </cell>
          <cell r="E19" t="str">
            <v>Guidance</v>
          </cell>
          <cell r="F19">
            <v>0</v>
          </cell>
          <cell r="G19" t="str">
            <v>Revised Guide</v>
          </cell>
          <cell r="H19">
            <v>0</v>
          </cell>
        </row>
        <row r="20">
          <cell r="B20">
            <v>0</v>
          </cell>
          <cell r="C20" t="str">
            <v>MSe</v>
          </cell>
          <cell r="D20" t="str">
            <v>Consensus</v>
          </cell>
          <cell r="E20" t="str">
            <v>Low</v>
          </cell>
          <cell r="F20" t="str">
            <v>High</v>
          </cell>
          <cell r="G20" t="str">
            <v>Low</v>
          </cell>
          <cell r="H20" t="str">
            <v>High</v>
          </cell>
        </row>
        <row r="21">
          <cell r="B21" t="str">
            <v>Revenue</v>
          </cell>
          <cell r="C21">
            <v>453.45791811185802</v>
          </cell>
          <cell r="D21">
            <v>448.78100000000001</v>
          </cell>
          <cell r="E21">
            <v>445</v>
          </cell>
          <cell r="F21">
            <v>465</v>
          </cell>
          <cell r="G21">
            <v>450</v>
          </cell>
          <cell r="H21">
            <v>465</v>
          </cell>
        </row>
        <row r="22">
          <cell r="B22" t="str">
            <v>Variance to MS/Consensus at Midpoint</v>
          </cell>
          <cell r="C22">
            <v>8.9139073918318434E-3</v>
          </cell>
          <cell r="D22">
            <v>1.9428184348267763E-2</v>
          </cell>
          <cell r="E22">
            <v>0</v>
          </cell>
          <cell r="F22">
            <v>0</v>
          </cell>
          <cell r="G22">
            <v>0</v>
          </cell>
          <cell r="H22">
            <v>0</v>
          </cell>
        </row>
        <row r="23">
          <cell r="B23" t="str">
            <v>Variance of Previous Guide to Revised Guide</v>
          </cell>
          <cell r="C23">
            <v>0</v>
          </cell>
          <cell r="D23">
            <v>0</v>
          </cell>
          <cell r="E23">
            <v>0</v>
          </cell>
          <cell r="F23">
            <v>0</v>
          </cell>
          <cell r="G23">
            <v>1.1235955056179803E-2</v>
          </cell>
          <cell r="H23">
            <v>0</v>
          </cell>
        </row>
        <row r="24">
          <cell r="B24">
            <v>0</v>
          </cell>
          <cell r="C24">
            <v>0</v>
          </cell>
          <cell r="D24">
            <v>0</v>
          </cell>
          <cell r="E24">
            <v>0</v>
          </cell>
          <cell r="F24">
            <v>0</v>
          </cell>
          <cell r="G24">
            <v>0</v>
          </cell>
          <cell r="H24">
            <v>0</v>
          </cell>
        </row>
        <row r="25">
          <cell r="B25" t="str">
            <v>Adj. EBITDA</v>
          </cell>
          <cell r="C25">
            <v>125.34654740707188</v>
          </cell>
          <cell r="D25">
            <v>123.584</v>
          </cell>
          <cell r="E25">
            <v>122</v>
          </cell>
          <cell r="F25">
            <v>130</v>
          </cell>
          <cell r="G25">
            <v>122</v>
          </cell>
          <cell r="H25">
            <v>130</v>
          </cell>
        </row>
        <row r="26">
          <cell r="B26" t="str">
            <v>Variance to MS/Consensus at Midpoint</v>
          </cell>
          <cell r="C26">
            <v>5.2131678649749436E-3</v>
          </cell>
          <cell r="D26">
            <v>1.9549456240290031E-2</v>
          </cell>
          <cell r="E26">
            <v>0</v>
          </cell>
          <cell r="F26">
            <v>0</v>
          </cell>
          <cell r="G26">
            <v>0</v>
          </cell>
          <cell r="H26">
            <v>0</v>
          </cell>
        </row>
        <row r="27">
          <cell r="B27" t="str">
            <v>Variance of Previous Guide to Revised Guide</v>
          </cell>
          <cell r="C27">
            <v>0</v>
          </cell>
          <cell r="D27">
            <v>0</v>
          </cell>
          <cell r="E27">
            <v>0</v>
          </cell>
          <cell r="F27">
            <v>0</v>
          </cell>
          <cell r="G27">
            <v>0</v>
          </cell>
          <cell r="H27">
            <v>0</v>
          </cell>
        </row>
        <row r="28">
          <cell r="C28">
            <v>0</v>
          </cell>
          <cell r="D28">
            <v>0</v>
          </cell>
          <cell r="E28">
            <v>0</v>
          </cell>
          <cell r="F28">
            <v>0</v>
          </cell>
          <cell r="G28">
            <v>0</v>
          </cell>
          <cell r="H28">
            <v>0</v>
          </cell>
        </row>
        <row r="35">
          <cell r="B35">
            <v>0</v>
          </cell>
          <cell r="C35" t="str">
            <v>2Q2016</v>
          </cell>
          <cell r="D35">
            <v>0</v>
          </cell>
          <cell r="E35">
            <v>0</v>
          </cell>
          <cell r="F35" t="str">
            <v>x</v>
          </cell>
        </row>
        <row r="36">
          <cell r="B36">
            <v>0</v>
          </cell>
          <cell r="C36" t="str">
            <v>Estimate</v>
          </cell>
          <cell r="D36">
            <v>0</v>
          </cell>
          <cell r="E36">
            <v>0</v>
          </cell>
          <cell r="F36" t="str">
            <v>x</v>
          </cell>
        </row>
        <row r="37">
          <cell r="B37">
            <v>0</v>
          </cell>
          <cell r="C37" t="str">
            <v>MSe</v>
          </cell>
          <cell r="D37" t="str">
            <v>Consensus</v>
          </cell>
          <cell r="E37" t="str">
            <v>% above/ (below) Consensus</v>
          </cell>
          <cell r="F37">
            <v>0</v>
          </cell>
        </row>
        <row r="38">
          <cell r="B38" t="str">
            <v>Revenue</v>
          </cell>
          <cell r="C38">
            <v>114.55265269054756</v>
          </cell>
          <cell r="D38" t="str">
            <v>#NAME?</v>
          </cell>
          <cell r="E38" t="e">
            <v>#VALUE!</v>
          </cell>
          <cell r="F38">
            <v>0</v>
          </cell>
        </row>
        <row r="39">
          <cell r="B39" t="str">
            <v>Adj. EBITDA</v>
          </cell>
          <cell r="C39">
            <v>30.11487717100708</v>
          </cell>
          <cell r="D39" t="str">
            <v>#NAME?</v>
          </cell>
          <cell r="E39" t="e">
            <v>#VALUE!</v>
          </cell>
          <cell r="F39">
            <v>0</v>
          </cell>
        </row>
        <row r="40">
          <cell r="C40">
            <v>0</v>
          </cell>
          <cell r="D40">
            <v>0</v>
          </cell>
          <cell r="E40">
            <v>0</v>
          </cell>
          <cell r="F40">
            <v>0</v>
          </cell>
        </row>
        <row r="41">
          <cell r="F41">
            <v>0</v>
          </cell>
        </row>
        <row r="43">
          <cell r="B43">
            <v>0</v>
          </cell>
          <cell r="C43">
            <v>2016</v>
          </cell>
          <cell r="D43">
            <v>0</v>
          </cell>
          <cell r="E43">
            <v>0</v>
          </cell>
          <cell r="F43">
            <v>0</v>
          </cell>
        </row>
        <row r="44">
          <cell r="B44">
            <v>0</v>
          </cell>
          <cell r="C44" t="str">
            <v>Estimate</v>
          </cell>
          <cell r="D44">
            <v>0</v>
          </cell>
          <cell r="E44" t="str">
            <v>Previous Guide</v>
          </cell>
          <cell r="F44">
            <v>0</v>
          </cell>
        </row>
        <row r="45">
          <cell r="B45">
            <v>0</v>
          </cell>
          <cell r="C45" t="str">
            <v>MSe</v>
          </cell>
          <cell r="D45" t="str">
            <v>Consensus</v>
          </cell>
          <cell r="E45" t="str">
            <v>Low</v>
          </cell>
          <cell r="F45" t="str">
            <v>High</v>
          </cell>
        </row>
        <row r="46">
          <cell r="B46" t="str">
            <v>Revenue</v>
          </cell>
          <cell r="C46">
            <v>471.57904752165092</v>
          </cell>
          <cell r="D46" t="str">
            <v>#NAME?</v>
          </cell>
          <cell r="E46">
            <v>445</v>
          </cell>
          <cell r="F46">
            <v>465</v>
          </cell>
        </row>
        <row r="47">
          <cell r="B47" t="str">
            <v>% above/(below) midpoint of previous guide</v>
          </cell>
          <cell r="C47">
            <v>3.64374670805514E-2</v>
          </cell>
          <cell r="D47" t="e">
            <v>#VALUE!</v>
          </cell>
          <cell r="E47">
            <v>0</v>
          </cell>
          <cell r="F47">
            <v>0</v>
          </cell>
        </row>
        <row r="48">
          <cell r="B48" t="str">
            <v>Adj. EBITDA</v>
          </cell>
          <cell r="C48">
            <v>127.23728088557854</v>
          </cell>
          <cell r="D48" t="str">
            <v>#NAME?</v>
          </cell>
          <cell r="E48">
            <v>122</v>
          </cell>
          <cell r="F48">
            <v>130</v>
          </cell>
        </row>
        <row r="49">
          <cell r="B49" t="str">
            <v>% above/(below) midpoint of previous guide</v>
          </cell>
          <cell r="C49">
            <v>9.819689568083767E-3</v>
          </cell>
          <cell r="D49" t="e">
            <v>#VALUE!</v>
          </cell>
          <cell r="E49">
            <v>0</v>
          </cell>
          <cell r="F49">
            <v>0</v>
          </cell>
        </row>
        <row r="50">
          <cell r="C50">
            <v>0</v>
          </cell>
          <cell r="D50">
            <v>0</v>
          </cell>
          <cell r="E50">
            <v>0</v>
          </cell>
          <cell r="F50">
            <v>0</v>
          </cell>
        </row>
      </sheetData>
      <sheetData sheetId="12"/>
      <sheetData sheetId="13">
        <row r="45">
          <cell r="I45" t="str">
            <v>In-House Delivery Analysis</v>
          </cell>
          <cell r="J45">
            <v>0</v>
          </cell>
          <cell r="K45">
            <v>0</v>
          </cell>
          <cell r="L45">
            <v>0</v>
          </cell>
          <cell r="M45">
            <v>0</v>
          </cell>
          <cell r="N45">
            <v>0</v>
          </cell>
          <cell r="O45">
            <v>0</v>
          </cell>
          <cell r="P45">
            <v>0</v>
          </cell>
          <cell r="Q45">
            <v>0</v>
          </cell>
          <cell r="R45">
            <v>0</v>
          </cell>
          <cell r="S45">
            <v>0</v>
          </cell>
          <cell r="T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DW45">
            <v>0</v>
          </cell>
          <cell r="DX45">
            <v>0</v>
          </cell>
          <cell r="DY45">
            <v>2014</v>
          </cell>
          <cell r="DZ45">
            <v>2015</v>
          </cell>
          <cell r="EA45">
            <v>2016</v>
          </cell>
          <cell r="EB45">
            <v>2017</v>
          </cell>
          <cell r="EC45">
            <v>2018</v>
          </cell>
          <cell r="ED45">
            <v>2019</v>
          </cell>
          <cell r="EE45">
            <v>2020</v>
          </cell>
          <cell r="EF45">
            <v>2021</v>
          </cell>
          <cell r="EG45">
            <v>2022</v>
          </cell>
          <cell r="EH45">
            <v>2023</v>
          </cell>
          <cell r="EI45">
            <v>2024</v>
          </cell>
          <cell r="EJ45">
            <v>2025</v>
          </cell>
        </row>
        <row r="46">
          <cell r="I46" t="str">
            <v>Restaurant Delivery as % of Total Incremental Orders</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DW46">
            <v>0</v>
          </cell>
          <cell r="DX46">
            <v>0</v>
          </cell>
          <cell r="DY46">
            <v>1</v>
          </cell>
          <cell r="DZ46">
            <v>0.9</v>
          </cell>
          <cell r="EA46">
            <v>0.85</v>
          </cell>
          <cell r="EB46">
            <v>0.8</v>
          </cell>
          <cell r="EC46">
            <v>0.75</v>
          </cell>
          <cell r="ED46">
            <v>0.7</v>
          </cell>
          <cell r="EE46">
            <v>0.69</v>
          </cell>
          <cell r="EF46">
            <v>0.67999999999999994</v>
          </cell>
          <cell r="EG46">
            <v>0.66999999999999993</v>
          </cell>
          <cell r="EH46">
            <v>0.65999999999999992</v>
          </cell>
          <cell r="EI46">
            <v>0.64999999999999991</v>
          </cell>
          <cell r="EJ46">
            <v>0.6399999999999999</v>
          </cell>
        </row>
        <row r="47">
          <cell r="I47" t="str">
            <v>In-house Delivery as % of Total Incremental Orders</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DW47">
            <v>0</v>
          </cell>
          <cell r="DX47">
            <v>0</v>
          </cell>
          <cell r="DY47">
            <v>0</v>
          </cell>
          <cell r="DZ47">
            <v>0.1</v>
          </cell>
          <cell r="EA47">
            <v>0.15000000000000002</v>
          </cell>
          <cell r="EB47">
            <v>0.2</v>
          </cell>
          <cell r="EC47">
            <v>0.25</v>
          </cell>
          <cell r="ED47">
            <v>0.3</v>
          </cell>
          <cell r="EE47">
            <v>0.31</v>
          </cell>
          <cell r="EF47">
            <v>0.32</v>
          </cell>
          <cell r="EG47">
            <v>0.33</v>
          </cell>
          <cell r="EH47">
            <v>0.34</v>
          </cell>
          <cell r="EI47">
            <v>0.35000000000000003</v>
          </cell>
          <cell r="EJ47">
            <v>0.36000000000000004</v>
          </cell>
        </row>
        <row r="48">
          <cell r="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DW48">
            <v>0</v>
          </cell>
          <cell r="DX48">
            <v>0</v>
          </cell>
          <cell r="DY48">
            <v>0</v>
          </cell>
          <cell r="DZ48">
            <v>0</v>
          </cell>
          <cell r="EA48">
            <v>0</v>
          </cell>
          <cell r="EB48">
            <v>0</v>
          </cell>
          <cell r="EC48">
            <v>0</v>
          </cell>
          <cell r="ED48">
            <v>0</v>
          </cell>
          <cell r="EE48">
            <v>0</v>
          </cell>
          <cell r="EF48">
            <v>0</v>
          </cell>
          <cell r="EG48">
            <v>0</v>
          </cell>
          <cell r="EH48">
            <v>0</v>
          </cell>
          <cell r="EI48">
            <v>0</v>
          </cell>
          <cell r="EJ48">
            <v>0</v>
          </cell>
        </row>
        <row r="49">
          <cell r="I49" t="str">
            <v>Restaurant Delivery Order Margin</v>
          </cell>
          <cell r="BJ49">
            <v>0</v>
          </cell>
          <cell r="BK49">
            <v>0</v>
          </cell>
          <cell r="BL49">
            <v>0</v>
          </cell>
          <cell r="BM49">
            <v>0</v>
          </cell>
          <cell r="BN49">
            <v>0</v>
          </cell>
          <cell r="BO49">
            <v>0</v>
          </cell>
          <cell r="BP49">
            <v>0</v>
          </cell>
          <cell r="BQ49">
            <v>0</v>
          </cell>
          <cell r="BR49">
            <v>0</v>
          </cell>
          <cell r="BS49">
            <v>0</v>
          </cell>
          <cell r="BT49">
            <v>0</v>
          </cell>
          <cell r="BU49">
            <v>0</v>
          </cell>
          <cell r="BV49">
            <v>0</v>
          </cell>
          <cell r="BW49">
            <v>0</v>
          </cell>
          <cell r="BX49">
            <v>0</v>
          </cell>
          <cell r="BY49">
            <v>0</v>
          </cell>
          <cell r="DW49">
            <v>0</v>
          </cell>
          <cell r="DX49">
            <v>0</v>
          </cell>
          <cell r="DY49">
            <v>0.74</v>
          </cell>
          <cell r="DZ49">
            <v>0.74</v>
          </cell>
          <cell r="EA49">
            <v>0.74</v>
          </cell>
          <cell r="EB49">
            <v>0.74</v>
          </cell>
          <cell r="EC49">
            <v>0.74</v>
          </cell>
          <cell r="ED49">
            <v>0.74</v>
          </cell>
          <cell r="EE49">
            <v>0.74</v>
          </cell>
          <cell r="EF49">
            <v>0.74</v>
          </cell>
          <cell r="EG49">
            <v>0.74</v>
          </cell>
          <cell r="EH49">
            <v>0.74</v>
          </cell>
          <cell r="EI49">
            <v>0.74</v>
          </cell>
          <cell r="EJ49">
            <v>0.74</v>
          </cell>
        </row>
        <row r="50">
          <cell r="I50" t="str">
            <v>In-house Delivery Order Margin</v>
          </cell>
          <cell r="BJ50">
            <v>0</v>
          </cell>
          <cell r="BK50">
            <v>0</v>
          </cell>
          <cell r="BL50">
            <v>0</v>
          </cell>
          <cell r="BM50">
            <v>0</v>
          </cell>
          <cell r="BN50">
            <v>0</v>
          </cell>
          <cell r="BO50">
            <v>0</v>
          </cell>
          <cell r="BP50">
            <v>0</v>
          </cell>
          <cell r="BQ50">
            <v>0</v>
          </cell>
          <cell r="BR50">
            <v>0</v>
          </cell>
          <cell r="BS50">
            <v>0</v>
          </cell>
          <cell r="BT50">
            <v>0</v>
          </cell>
          <cell r="BU50">
            <v>0</v>
          </cell>
          <cell r="BV50">
            <v>0</v>
          </cell>
          <cell r="BW50">
            <v>0</v>
          </cell>
          <cell r="BX50">
            <v>0</v>
          </cell>
          <cell r="BY50">
            <v>0</v>
          </cell>
          <cell r="DW50">
            <v>0</v>
          </cell>
          <cell r="DX50">
            <v>0</v>
          </cell>
          <cell r="DY50">
            <v>0</v>
          </cell>
          <cell r="DZ50">
            <v>0.3</v>
          </cell>
          <cell r="EA50">
            <v>0.35</v>
          </cell>
          <cell r="EB50">
            <v>0.39999999999999997</v>
          </cell>
          <cell r="EC50">
            <v>0.44999999999999996</v>
          </cell>
          <cell r="ED50">
            <v>0.49999999999999994</v>
          </cell>
          <cell r="EE50">
            <v>0.5</v>
          </cell>
          <cell r="EF50">
            <v>0.5</v>
          </cell>
          <cell r="EG50">
            <v>0.5</v>
          </cell>
          <cell r="EH50">
            <v>0.5</v>
          </cell>
          <cell r="EI50">
            <v>0.5</v>
          </cell>
          <cell r="EJ50">
            <v>0.5</v>
          </cell>
        </row>
        <row r="51">
          <cell r="I51">
            <v>0</v>
          </cell>
          <cell r="BJ51">
            <v>0</v>
          </cell>
          <cell r="BK51">
            <v>0</v>
          </cell>
          <cell r="BL51">
            <v>0</v>
          </cell>
          <cell r="BM51">
            <v>0</v>
          </cell>
          <cell r="BN51">
            <v>0</v>
          </cell>
          <cell r="BO51">
            <v>0</v>
          </cell>
          <cell r="BP51">
            <v>0</v>
          </cell>
          <cell r="BQ51">
            <v>0</v>
          </cell>
          <cell r="BR51">
            <v>0</v>
          </cell>
          <cell r="BS51">
            <v>0</v>
          </cell>
          <cell r="BT51">
            <v>0</v>
          </cell>
          <cell r="BU51">
            <v>0</v>
          </cell>
          <cell r="BV51">
            <v>0</v>
          </cell>
          <cell r="BW51">
            <v>0</v>
          </cell>
          <cell r="BX51">
            <v>0</v>
          </cell>
          <cell r="BY51">
            <v>0</v>
          </cell>
          <cell r="DW51">
            <v>0</v>
          </cell>
          <cell r="DX51">
            <v>0</v>
          </cell>
          <cell r="DY51">
            <v>0</v>
          </cell>
          <cell r="DZ51">
            <v>0</v>
          </cell>
          <cell r="EA51">
            <v>0</v>
          </cell>
          <cell r="EB51">
            <v>0</v>
          </cell>
          <cell r="EC51">
            <v>0</v>
          </cell>
          <cell r="ED51">
            <v>0</v>
          </cell>
          <cell r="EE51">
            <v>0</v>
          </cell>
          <cell r="EF51">
            <v>0</v>
          </cell>
          <cell r="EG51">
            <v>0</v>
          </cell>
          <cell r="EH51">
            <v>0</v>
          </cell>
          <cell r="EI51">
            <v>0</v>
          </cell>
          <cell r="EJ51">
            <v>0</v>
          </cell>
        </row>
        <row r="52">
          <cell r="I52" t="str">
            <v xml:space="preserve">Implied Incremental Order Margin </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cell r="BX52">
            <v>0</v>
          </cell>
          <cell r="BY52">
            <v>0</v>
          </cell>
          <cell r="DW52">
            <v>0</v>
          </cell>
          <cell r="DX52">
            <v>0</v>
          </cell>
          <cell r="DY52">
            <v>0.74</v>
          </cell>
          <cell r="DZ52">
            <v>0.69600000000000006</v>
          </cell>
          <cell r="EA52">
            <v>0.68149999999999999</v>
          </cell>
          <cell r="EB52">
            <v>0.67199999999999993</v>
          </cell>
          <cell r="EC52">
            <v>0.66749999999999998</v>
          </cell>
          <cell r="ED52">
            <v>0.66799999999999993</v>
          </cell>
          <cell r="EE52">
            <v>0.66559999999999997</v>
          </cell>
          <cell r="EF52">
            <v>0.66320000000000001</v>
          </cell>
          <cell r="EG52">
            <v>0.66079999999999994</v>
          </cell>
          <cell r="EH52">
            <v>0.65839999999999999</v>
          </cell>
          <cell r="EI52">
            <v>0.65599999999999992</v>
          </cell>
          <cell r="EJ52">
            <v>0.65359999999999996</v>
          </cell>
        </row>
      </sheetData>
      <sheetData sheetId="14">
        <row r="4">
          <cell r="B4" t="str">
            <v>GrubHub Incremental Margin</v>
          </cell>
          <cell r="C4">
            <v>0</v>
          </cell>
          <cell r="D4">
            <v>0</v>
          </cell>
          <cell r="E4">
            <v>0</v>
          </cell>
          <cell r="F4" t="str">
            <v>In-house Delivery Incremental Cost Per Order</v>
          </cell>
          <cell r="G4">
            <v>0</v>
          </cell>
          <cell r="H4">
            <v>0</v>
          </cell>
          <cell r="I4">
            <v>0</v>
          </cell>
          <cell r="J4">
            <v>0</v>
          </cell>
          <cell r="K4">
            <v>0</v>
          </cell>
        </row>
        <row r="5">
          <cell r="B5" t="str">
            <v xml:space="preserve">$ AOV </v>
          </cell>
          <cell r="C5">
            <v>26.787841910668227</v>
          </cell>
          <cell r="D5">
            <v>0</v>
          </cell>
          <cell r="E5">
            <v>0</v>
          </cell>
          <cell r="F5" t="str">
            <v>Est Hourly Cost</v>
          </cell>
          <cell r="G5" t="str">
            <v>Orders  Delivered Per Hour</v>
          </cell>
          <cell r="H5">
            <v>0</v>
          </cell>
          <cell r="I5">
            <v>0</v>
          </cell>
          <cell r="J5">
            <v>0</v>
          </cell>
          <cell r="K5">
            <v>0</v>
          </cell>
        </row>
        <row r="6">
          <cell r="B6" t="str">
            <v>x Commission %</v>
          </cell>
          <cell r="C6">
            <v>0.14499999999999999</v>
          </cell>
          <cell r="D6">
            <v>0</v>
          </cell>
          <cell r="E6">
            <v>0</v>
          </cell>
          <cell r="F6">
            <v>0</v>
          </cell>
          <cell r="G6">
            <v>1</v>
          </cell>
          <cell r="H6">
            <v>2</v>
          </cell>
          <cell r="I6">
            <v>3</v>
          </cell>
          <cell r="J6">
            <v>5</v>
          </cell>
          <cell r="K6">
            <v>10</v>
          </cell>
        </row>
        <row r="7">
          <cell r="B7" t="str">
            <v>= Revenue</v>
          </cell>
          <cell r="C7">
            <v>3.8842370770468926</v>
          </cell>
          <cell r="F7">
            <v>15</v>
          </cell>
          <cell r="G7">
            <v>15</v>
          </cell>
          <cell r="H7">
            <v>7.5</v>
          </cell>
          <cell r="I7">
            <v>5</v>
          </cell>
          <cell r="J7">
            <v>3</v>
          </cell>
          <cell r="K7">
            <v>1.5</v>
          </cell>
        </row>
        <row r="8">
          <cell r="B8" t="str">
            <v>- CC Costs</v>
          </cell>
          <cell r="C8">
            <v>0.53575683821336451</v>
          </cell>
          <cell r="F8">
            <v>20</v>
          </cell>
          <cell r="G8">
            <v>20</v>
          </cell>
          <cell r="H8">
            <v>10</v>
          </cell>
          <cell r="I8">
            <v>6.666666666666667</v>
          </cell>
          <cell r="J8">
            <v>4</v>
          </cell>
          <cell r="K8">
            <v>2</v>
          </cell>
        </row>
        <row r="9">
          <cell r="B9" t="str">
            <v>- Care &amp; Operations Costs</v>
          </cell>
          <cell r="C9">
            <v>0.25</v>
          </cell>
        </row>
        <row r="10">
          <cell r="B10" t="str">
            <v>- Other Costs</v>
          </cell>
          <cell r="C10">
            <v>0.23</v>
          </cell>
        </row>
        <row r="11">
          <cell r="B11" t="str">
            <v>- Delivery Costs</v>
          </cell>
          <cell r="C11">
            <v>0</v>
          </cell>
          <cell r="F11" t="str">
            <v>Incremental Margin @ $15 per hr Labor Cost</v>
          </cell>
          <cell r="G11">
            <v>0</v>
          </cell>
          <cell r="H11">
            <v>0</v>
          </cell>
          <cell r="I11">
            <v>0</v>
          </cell>
          <cell r="J11">
            <v>0</v>
          </cell>
          <cell r="K11">
            <v>0</v>
          </cell>
        </row>
        <row r="12">
          <cell r="B12" t="str">
            <v>= Incremental Profit</v>
          </cell>
          <cell r="C12">
            <v>2.868480238833528</v>
          </cell>
          <cell r="F12" t="str">
            <v>Deliveries Per Hour</v>
          </cell>
          <cell r="G12" t="str">
            <v>AOV % Uplift</v>
          </cell>
          <cell r="H12">
            <v>0</v>
          </cell>
          <cell r="I12">
            <v>0</v>
          </cell>
          <cell r="J12">
            <v>0</v>
          </cell>
          <cell r="K12">
            <v>0</v>
          </cell>
        </row>
        <row r="13">
          <cell r="B13" t="str">
            <v>Incremental Margin</v>
          </cell>
          <cell r="C13">
            <v>0.73849257445798744</v>
          </cell>
          <cell r="F13">
            <v>0</v>
          </cell>
          <cell r="G13">
            <v>0</v>
          </cell>
          <cell r="H13">
            <v>0.25</v>
          </cell>
          <cell r="I13">
            <v>0.5</v>
          </cell>
          <cell r="J13">
            <v>0.75</v>
          </cell>
          <cell r="K13">
            <v>1</v>
          </cell>
        </row>
      </sheetData>
      <sheetData sheetId="1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_CIQHiddenCacheSheet"/>
      <sheetName val="Cover"/>
      <sheetName val="Operating Cases&gt;&gt;&gt;"/>
      <sheetName val="Control Page"/>
      <sheetName val="Guidance Case"/>
      <sheetName val="BAML Case"/>
      <sheetName val="Consensus Case"/>
      <sheetName val="JEF Case"/>
      <sheetName val="Adj. Consensus Case"/>
      <sheetName val="Client Input"/>
      <sheetName val="Guaranteed Dividend"/>
      <sheetName val="Sponsor Case"/>
      <sheetName val="Input Financials"/>
      <sheetName val="NEW OUTPUT"/>
      <sheetName val="Stub Period"/>
      <sheetName val="Model"/>
      <sheetName val="IRR Calculation"/>
      <sheetName val="Debt Schedule"/>
      <sheetName val="Amortization"/>
      <sheetName val="Rating Advisory Output"/>
      <sheetName val="CCC Credit Output"/>
      <sheetName val="Covenants"/>
      <sheetName val="DCF Analysis"/>
      <sheetName val="LBO DCF"/>
      <sheetName val="PPT Output&gt;&gt;&gt;"/>
      <sheetName val="Key Financials"/>
      <sheetName val="ValMat (1)"/>
      <sheetName val="ValMat (2)"/>
      <sheetName val="IRR Sensitivities"/>
      <sheetName val="EBITDA Comparison"/>
      <sheetName val="IRR Curve"/>
      <sheetName val="ATP Sensitivities"/>
      <sheetName val="DCF Sensitivities"/>
      <sheetName val="S&amp;U"/>
      <sheetName val="Deleveraging"/>
      <sheetName val="Tornado"/>
      <sheetName val="S&amp;P Ratios"/>
      <sheetName val="Growth Comparison"/>
      <sheetName val="CCC S&amp;U"/>
      <sheetName val="LAF Output&gt;&gt;&gt;"/>
      <sheetName val="US LBO Output"/>
      <sheetName val="US Sources &amp; Uses"/>
      <sheetName val="New S&amp;U and Cap Table"/>
      <sheetName val="Credit Output&gt;&gt;&gt;"/>
      <sheetName val="Credit - RV"/>
      <sheetName val="Credit - Historical"/>
      <sheetName val="Credit - Assumptions"/>
      <sheetName val="Other&gt;&gt;&gt;"/>
      <sheetName val="Added Value Analysis"/>
      <sheetName val="Moody's Industries"/>
    </sheetNames>
    <sheetDataSet>
      <sheetData sheetId="0" refreshError="1"/>
      <sheetData sheetId="1" refreshError="1"/>
      <sheetData sheetId="2" refreshError="1"/>
      <sheetData sheetId="3"/>
      <sheetData sheetId="4"/>
      <sheetData sheetId="5"/>
      <sheetData sheetId="6"/>
      <sheetData sheetId="7" refreshError="1"/>
      <sheetData sheetId="8"/>
      <sheetData sheetId="9" refreshError="1"/>
      <sheetData sheetId="10" refreshError="1"/>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6">
          <cell r="O6">
            <v>0.01</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al --&gt;"/>
      <sheetName val="_CIQHiddenCacheSheet"/>
      <sheetName val="Valmat"/>
      <sheetName val="DEV"/>
      <sheetName val="SOTP_"/>
      <sheetName val="DCF"/>
      <sheetName val="Out--&gt;"/>
      <sheetName val="Comp"/>
      <sheetName val="Val Inp--&gt;"/>
      <sheetName val="Comps Bench"/>
      <sheetName val="SS Marg"/>
      <sheetName val="Deliv"/>
      <sheetName val="Case"/>
      <sheetName val="TSO"/>
      <sheetName val="SS EBITDA"/>
      <sheetName val="Barcelona"/>
      <sheetName val="Toledo"/>
      <sheetName val="Regression"/>
      <sheetName val="SOTP"/>
      <sheetName val="Sheet3"/>
      <sheetName val="Eq Stk"/>
      <sheetName val="Conv"/>
      <sheetName val="Size"/>
      <sheetName val="SOTP Prem"/>
      <sheetName val="Lyft --&gt;"/>
      <sheetName val="Val"/>
      <sheetName val="Key Metrics"/>
      <sheetName val="IS"/>
      <sheetName val="BS"/>
      <sheetName val="CFS"/>
      <sheetName val="old --&gt;"/>
      <sheetName val="RSUs_old"/>
      <sheetName val="Conv_old"/>
      <sheetName val="Meituan"/>
      <sheetName val="Val Method"/>
      <sheetName val="Delivery Bench"/>
      <sheetName val="Comps Bench Old"/>
      <sheetName val="Comps"/>
      <sheetName val="Forward Model"/>
      <sheetName val="Sensitvity"/>
      <sheetName val="2018 and SS EBITDA Multiples"/>
      <sheetName val="Non-GAAP"/>
      <sheetName val="Sheet6"/>
      <sheetName val="SS EBITDA (SOTP)"/>
    </sheetNames>
    <sheetDataSet>
      <sheetData sheetId="0"/>
      <sheetData sheetId="1"/>
      <sheetData sheetId="2"/>
      <sheetData sheetId="3"/>
      <sheetData sheetId="4"/>
      <sheetData sheetId="5">
        <row r="6">
          <cell r="J6">
            <v>0.09</v>
          </cell>
        </row>
        <row r="7">
          <cell r="J7">
            <v>0.03</v>
          </cell>
        </row>
        <row r="8">
          <cell r="J8">
            <v>13</v>
          </cell>
        </row>
        <row r="13">
          <cell r="N13">
            <v>0.09</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trl"/>
      <sheetName val="Cap"/>
      <sheetName val="Out--&gt;"/>
      <sheetName val="Nelson Deck"/>
      <sheetName val="Vest"/>
      <sheetName val="Comp"/>
      <sheetName val="Oth--&gt;"/>
      <sheetName val="Preced"/>
      <sheetName val="lib--&gt;"/>
      <sheetName val="RSUs"/>
      <sheetName val="RSU day"/>
      <sheetName val="Opt"/>
      <sheetName val="Cap Table"/>
      <sheetName val="Author2_Font_Color_Togg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igator"/>
      <sheetName val="Row Sheet"/>
      <sheetName val="JCF"/>
      <sheetName val="Acquisitions"/>
      <sheetName val="table_1"/>
      <sheetName val="table_2"/>
      <sheetName val="table_3"/>
      <sheetName val="table_4"/>
      <sheetName val="description"/>
      <sheetName val="data_chart"/>
      <sheetName val="Report List Sheet"/>
      <sheetName val="DDE Values"/>
      <sheetName val="Report Sheet"/>
      <sheetName val="data peers"/>
      <sheetName val="MShares"/>
      <sheetName val="taxaties"/>
      <sheetName val="Input Data"/>
      <sheetName val="margin"/>
      <sheetName val="Tax_oud2"/>
      <sheetName val="Tax_oud"/>
      <sheetName val="Data Linker"/>
      <sheetName val="LinkerDDE"/>
      <sheetName val="sales"/>
      <sheetName val="volume"/>
      <sheetName val="Chart1"/>
      <sheetName val="grafieken"/>
      <sheetName val="graphs"/>
      <sheetName val="Acquisition"/>
      <sheetName val="NetworkOwn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8">
          <cell r="A8" t="str">
            <v>ValuadSales</v>
          </cell>
        </row>
        <row r="9">
          <cell r="A9" t="str">
            <v>Increase (Decrease) Required</v>
          </cell>
        </row>
        <row r="11">
          <cell r="A11" t="str">
            <v>Valuad COGS</v>
          </cell>
        </row>
        <row r="12">
          <cell r="A12" t="str">
            <v>Increase (Decrease) Required</v>
          </cell>
        </row>
        <row r="14">
          <cell r="A14" t="str">
            <v>Valuad SG&amp;A</v>
          </cell>
        </row>
        <row r="15">
          <cell r="A15" t="str">
            <v>Increase (Decrease) Required</v>
          </cell>
        </row>
        <row r="74">
          <cell r="A74" t="str">
            <v>Valuad Accounts Receivable</v>
          </cell>
        </row>
        <row r="75">
          <cell r="A75" t="str">
            <v>Increase (Decrease) Required</v>
          </cell>
        </row>
        <row r="77">
          <cell r="A77" t="str">
            <v>Valuad Inventory</v>
          </cell>
        </row>
        <row r="78">
          <cell r="A78" t="str">
            <v>Increase (Decrease) Required</v>
          </cell>
        </row>
        <row r="87">
          <cell r="A87" t="str">
            <v>Valuad PPE</v>
          </cell>
        </row>
        <row r="88">
          <cell r="A88" t="str">
            <v>Increase (Decrease) Required</v>
          </cell>
        </row>
        <row r="100">
          <cell r="A100" t="str">
            <v>Valuad Accounts Payable</v>
          </cell>
        </row>
        <row r="101">
          <cell r="A101" t="str">
            <v>Increase (Decrease) Required</v>
          </cell>
        </row>
        <row r="742">
          <cell r="G742">
            <v>1996</v>
          </cell>
        </row>
        <row r="1003">
          <cell r="D1003" t="str">
            <v>CHF</v>
          </cell>
          <cell r="F1003" t="str">
            <v>CHF</v>
          </cell>
        </row>
      </sheetData>
      <sheetData sheetId="17"/>
      <sheetData sheetId="18"/>
      <sheetData sheetId="19"/>
      <sheetData sheetId="20"/>
      <sheetData sheetId="21"/>
      <sheetData sheetId="22" refreshError="1"/>
      <sheetData sheetId="23" refreshError="1"/>
      <sheetData sheetId="24" refreshError="1"/>
      <sheetData sheetId="25"/>
      <sheetData sheetId="26"/>
      <sheetData sheetId="27" refreshError="1"/>
      <sheetData sheetId="2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b-Models &gt;&gt;"/>
      <sheetName val="PP&amp;E"/>
      <sheetName val="WC"/>
      <sheetName val="Investments"/>
      <sheetName val="SBC"/>
      <sheetName val="Forward SBC"/>
      <sheetName val="Debt Disc. &amp; Iss. Costs"/>
      <sheetName val="Tax"/>
      <sheetName val="India Vehicle Leases"/>
      <sheetName val="NegNetRev"/>
      <sheetName val="RE Adj"/>
      <sheetName val="IPO_"/>
      <sheetName val="Debt Schedule"/>
      <sheetName val="OpEx"/>
      <sheetName val="RSU Tax Est."/>
      <sheetName val="Vested as of IPO"/>
      <sheetName val="Vested after IPO"/>
      <sheetName val="Vesting by Date"/>
      <sheetName val="Insurance Reserve"/>
      <sheetName val="Source Data &gt;&gt;"/>
      <sheetName val="GAAP P&amp;L"/>
      <sheetName val="Adjustments"/>
      <sheetName val="GAAP CF"/>
      <sheetName val="GAAP BS"/>
      <sheetName val="GAAP LOB"/>
      <sheetName val="Forecast"/>
      <sheetName val="Operating Model"/>
      <sheetName val="Corporate"/>
      <sheetName val="Outline"/>
      <sheetName val="FCF"/>
      <sheetName val="Rev v ANR"/>
      <sheetName val="Analyst Views &gt;&gt;"/>
      <sheetName val="Model (old)"/>
      <sheetName val="3statement overview"/>
      <sheetName val="COR"/>
      <sheetName val="Model Adj"/>
      <sheetName val="AnalystSubmodel"/>
      <sheetName val="2 - Debt RF"/>
      <sheetName val="5 - Schedule of Future Activity"/>
      <sheetName val="{PL}PickLst (1)"/>
      <sheetName val="Submodel Detail"/>
      <sheetName val="BneWorkBookProperties"/>
      <sheetName val="PopCache"/>
      <sheetName val="BneLog"/>
      <sheetName val="{PL}PickLst"/>
      <sheetName val="{PL}PickLst (2)"/>
      <sheetName val="{PL}PickLst (3)"/>
      <sheetName val="{PL}PickLst (4)"/>
      <sheetName val="{PL}PickLst (5)"/>
      <sheetName val="{PL}PickLst (6)"/>
      <sheetName val="Sheet2"/>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5">
          <cell r="D5">
            <v>365.25</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12">
          <cell r="H12">
            <v>1</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1"/>
      <sheetName val="Sheet1"/>
      <sheetName val="Scenario"/>
      <sheetName val="ImportantDisclosures"/>
      <sheetName val="IndexInformation"/>
      <sheetName val="Income"/>
      <sheetName val="GWP"/>
      <sheetName val="Income Statement"/>
      <sheetName val="Margins"/>
      <sheetName val="Euro vs. PM"/>
      <sheetName val="Ruble"/>
      <sheetName val="MS_IRI_Methodology"/>
      <sheetName val="MARKET_SHARE ($)_RAW_DATA"/>
      <sheetName val="NEXXUS_RAW_DATA"/>
      <sheetName val="HAIR_CARE_MARKET SHARE ROLL-UP"/>
      <sheetName val="TOTAL_ACV_DOLLAR_SALES"/>
      <sheetName val="Comps"/>
      <sheetName val="Switches"/>
      <sheetName val="EBITDA"/>
      <sheetName val="SSB Nielsen Sales"/>
      <sheetName val="TimeSeries"/>
      <sheetName val="Valuation Analyzer"/>
      <sheetName val="GWP-WLine"/>
      <sheetName val="TS_Stnd_Dev_Band"/>
      <sheetName val="Print "/>
      <sheetName val="Lookup"/>
      <sheetName val="Input"/>
      <sheetName val="99 cons YTD"/>
      <sheetName val="KPN"/>
      <sheetName val="B"/>
      <sheetName val="Ratios"/>
      <sheetName val="C"/>
      <sheetName val="Realizations vs Average"/>
      <sheetName val="summary"/>
      <sheetName val="Oil Consumption – barrels"/>
      <sheetName val="rev change analysis"/>
      <sheetName val="SOP"/>
      <sheetName val="O1000"/>
      <sheetName val="BBG"/>
      <sheetName val="Data2"/>
      <sheetName val="Val"/>
      <sheetName val="Mom"/>
      <sheetName val="Prod"/>
      <sheetName val="Prof"/>
      <sheetName val="Global penetration"/>
      <sheetName val="penetration province"/>
      <sheetName val="graphy"/>
      <sheetName val="Private Auto"/>
      <sheetName val="value driver"/>
      <sheetName val="sec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esentation"/>
      <sheetName val="Company Grolsch"/>
      <sheetName val="OutputNew"/>
      <sheetName val="remarks"/>
      <sheetName val="Names"/>
      <sheetName val="sales model"/>
      <sheetName val="assumptions"/>
      <sheetName val="interims"/>
      <sheetName val="EVA"/>
      <sheetName val="P&amp;L"/>
      <sheetName val="Semi_Annual"/>
      <sheetName val="BS &amp; CFS"/>
      <sheetName val="Valuation"/>
      <sheetName val="Output"/>
      <sheetName val="table interims"/>
      <sheetName val="shareholders "/>
      <sheetName val="Acquisitions"/>
      <sheetName val="UpdateDBS"/>
      <sheetName val="mndata"/>
      <sheetName val="Koppel"/>
      <sheetName val="sleeman"/>
      <sheetName val="Unit and Pricing Mod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
      <sheetName val="Exp"/>
      <sheetName val="Hds"/>
      <sheetName val="CFd"/>
      <sheetName val="BS"/>
    </sheetNames>
    <sheetDataSet>
      <sheetData sheetId="0"/>
      <sheetData sheetId="1"/>
      <sheetData sheetId="2">
        <row r="4">
          <cell r="DX4" t="str">
            <v>(biz) (dpt) (postion) = (a,r,c,…) (1,2,3,…) (s,d,m,o,…)</v>
          </cell>
        </row>
        <row r="5">
          <cell r="DX5" t="str">
            <v>?1?</v>
          </cell>
          <cell r="DY5" t="str">
            <v>?2?</v>
          </cell>
          <cell r="DZ5" t="str">
            <v>?3?</v>
          </cell>
        </row>
        <row r="6">
          <cell r="DX6">
            <v>7</v>
          </cell>
          <cell r="DY6">
            <v>130</v>
          </cell>
          <cell r="DZ6">
            <v>269</v>
          </cell>
        </row>
        <row r="7">
          <cell r="DX7" t="str">
            <v>exec</v>
          </cell>
          <cell r="DY7" t="str">
            <v>other</v>
          </cell>
          <cell r="DZ7" t="str">
            <v>sales</v>
          </cell>
        </row>
        <row r="9">
          <cell r="DX9">
            <v>0</v>
          </cell>
          <cell r="DY9">
            <v>0</v>
          </cell>
          <cell r="DZ9">
            <v>0</v>
          </cell>
        </row>
        <row r="10">
          <cell r="DX10">
            <v>0</v>
          </cell>
          <cell r="DY10">
            <v>0</v>
          </cell>
          <cell r="DZ10">
            <v>0</v>
          </cell>
        </row>
        <row r="11">
          <cell r="DX11">
            <v>0</v>
          </cell>
          <cell r="DY11">
            <v>0</v>
          </cell>
          <cell r="DZ11">
            <v>0</v>
          </cell>
        </row>
        <row r="12">
          <cell r="DX12">
            <v>0</v>
          </cell>
          <cell r="DY12">
            <v>0</v>
          </cell>
          <cell r="DZ12">
            <v>0</v>
          </cell>
        </row>
        <row r="13">
          <cell r="DX13">
            <v>1</v>
          </cell>
          <cell r="DY13">
            <v>0</v>
          </cell>
          <cell r="DZ13">
            <v>0</v>
          </cell>
        </row>
        <row r="15">
          <cell r="DX15">
            <v>1</v>
          </cell>
          <cell r="DY15">
            <v>0</v>
          </cell>
          <cell r="DZ15">
            <v>0</v>
          </cell>
        </row>
        <row r="17">
          <cell r="DX17">
            <v>1</v>
          </cell>
          <cell r="DY17">
            <v>0</v>
          </cell>
          <cell r="DZ17">
            <v>0</v>
          </cell>
        </row>
        <row r="18">
          <cell r="DX18">
            <v>1</v>
          </cell>
          <cell r="DY18">
            <v>0</v>
          </cell>
          <cell r="DZ18">
            <v>0</v>
          </cell>
        </row>
        <row r="20">
          <cell r="DX20">
            <v>1</v>
          </cell>
          <cell r="DY20">
            <v>0</v>
          </cell>
          <cell r="DZ20">
            <v>0</v>
          </cell>
        </row>
        <row r="21">
          <cell r="DX21">
            <v>1</v>
          </cell>
          <cell r="DY21">
            <v>0</v>
          </cell>
          <cell r="DZ21">
            <v>0</v>
          </cell>
        </row>
        <row r="23">
          <cell r="DX23">
            <v>1</v>
          </cell>
          <cell r="DY23">
            <v>0</v>
          </cell>
          <cell r="DZ23">
            <v>0</v>
          </cell>
        </row>
        <row r="24">
          <cell r="DX24">
            <v>0</v>
          </cell>
          <cell r="DY24">
            <v>0</v>
          </cell>
          <cell r="DZ24">
            <v>0</v>
          </cell>
        </row>
        <row r="25">
          <cell r="DX25">
            <v>0</v>
          </cell>
          <cell r="DY25">
            <v>0</v>
          </cell>
          <cell r="DZ25">
            <v>0</v>
          </cell>
        </row>
        <row r="26">
          <cell r="DX26">
            <v>0</v>
          </cell>
          <cell r="DY26">
            <v>0</v>
          </cell>
          <cell r="DZ26">
            <v>0</v>
          </cell>
        </row>
        <row r="27">
          <cell r="DX27">
            <v>0</v>
          </cell>
          <cell r="DY27">
            <v>0</v>
          </cell>
          <cell r="DZ27">
            <v>0</v>
          </cell>
        </row>
        <row r="28">
          <cell r="DX28">
            <v>0</v>
          </cell>
          <cell r="DY28">
            <v>0</v>
          </cell>
          <cell r="DZ28">
            <v>0</v>
          </cell>
        </row>
        <row r="29">
          <cell r="DX29">
            <v>0</v>
          </cell>
          <cell r="DY29">
            <v>0</v>
          </cell>
          <cell r="DZ29">
            <v>0</v>
          </cell>
        </row>
        <row r="30">
          <cell r="DX30">
            <v>0</v>
          </cell>
          <cell r="DY30">
            <v>0</v>
          </cell>
          <cell r="DZ30">
            <v>0</v>
          </cell>
        </row>
        <row r="33">
          <cell r="DX33">
            <v>0</v>
          </cell>
          <cell r="DY33">
            <v>1</v>
          </cell>
          <cell r="DZ33">
            <v>0</v>
          </cell>
        </row>
        <row r="35">
          <cell r="DX35">
            <v>0</v>
          </cell>
          <cell r="DY35">
            <v>1</v>
          </cell>
          <cell r="DZ35">
            <v>0</v>
          </cell>
        </row>
        <row r="37">
          <cell r="DX37">
            <v>0</v>
          </cell>
          <cell r="DY37">
            <v>1</v>
          </cell>
          <cell r="DZ37">
            <v>0</v>
          </cell>
        </row>
        <row r="39">
          <cell r="DX39">
            <v>0</v>
          </cell>
          <cell r="DY39">
            <v>1</v>
          </cell>
          <cell r="DZ39">
            <v>0</v>
          </cell>
        </row>
        <row r="40">
          <cell r="DX40">
            <v>0</v>
          </cell>
          <cell r="DY40">
            <v>1</v>
          </cell>
          <cell r="DZ40">
            <v>0</v>
          </cell>
        </row>
        <row r="44">
          <cell r="DX44">
            <v>0</v>
          </cell>
          <cell r="DY44">
            <v>1</v>
          </cell>
          <cell r="DZ44">
            <v>0</v>
          </cell>
        </row>
        <row r="45">
          <cell r="DX45">
            <v>0</v>
          </cell>
          <cell r="DY45">
            <v>1</v>
          </cell>
          <cell r="DZ45">
            <v>0</v>
          </cell>
        </row>
        <row r="46">
          <cell r="DX46">
            <v>0</v>
          </cell>
          <cell r="DY46">
            <v>1</v>
          </cell>
          <cell r="DZ46">
            <v>0</v>
          </cell>
        </row>
        <row r="48">
          <cell r="DX48">
            <v>0</v>
          </cell>
          <cell r="DY48">
            <v>1</v>
          </cell>
          <cell r="DZ48">
            <v>0</v>
          </cell>
        </row>
        <row r="50">
          <cell r="DX50">
            <v>0</v>
          </cell>
          <cell r="DY50">
            <v>1</v>
          </cell>
          <cell r="DZ50">
            <v>0</v>
          </cell>
        </row>
        <row r="52">
          <cell r="DX52">
            <v>0</v>
          </cell>
          <cell r="DY52">
            <v>1</v>
          </cell>
          <cell r="DZ52">
            <v>0</v>
          </cell>
        </row>
        <row r="53">
          <cell r="DX53">
            <v>0</v>
          </cell>
          <cell r="DY53">
            <v>1</v>
          </cell>
          <cell r="DZ53">
            <v>0</v>
          </cell>
        </row>
        <row r="54">
          <cell r="DX54">
            <v>0</v>
          </cell>
          <cell r="DY54">
            <v>0</v>
          </cell>
          <cell r="DZ54">
            <v>0</v>
          </cell>
        </row>
        <row r="55">
          <cell r="DX55">
            <v>0</v>
          </cell>
          <cell r="DY55">
            <v>0</v>
          </cell>
          <cell r="DZ55">
            <v>0</v>
          </cell>
        </row>
        <row r="56">
          <cell r="DX56">
            <v>0</v>
          </cell>
          <cell r="DY56">
            <v>0</v>
          </cell>
          <cell r="DZ56">
            <v>0</v>
          </cell>
        </row>
        <row r="57">
          <cell r="DX57">
            <v>0</v>
          </cell>
          <cell r="DY57">
            <v>0</v>
          </cell>
          <cell r="DZ57">
            <v>0</v>
          </cell>
        </row>
        <row r="58">
          <cell r="DX58">
            <v>0</v>
          </cell>
          <cell r="DY58">
            <v>0</v>
          </cell>
          <cell r="DZ58">
            <v>0</v>
          </cell>
        </row>
        <row r="59">
          <cell r="DX59">
            <v>0</v>
          </cell>
          <cell r="DY59">
            <v>0</v>
          </cell>
          <cell r="DZ59">
            <v>0</v>
          </cell>
        </row>
        <row r="60">
          <cell r="DX60">
            <v>0</v>
          </cell>
          <cell r="DY60">
            <v>0</v>
          </cell>
          <cell r="DZ60">
            <v>0</v>
          </cell>
        </row>
        <row r="61">
          <cell r="DX61">
            <v>0</v>
          </cell>
          <cell r="DY61">
            <v>1</v>
          </cell>
          <cell r="DZ61">
            <v>0</v>
          </cell>
        </row>
        <row r="62">
          <cell r="DX62">
            <v>0</v>
          </cell>
          <cell r="DY62">
            <v>1</v>
          </cell>
          <cell r="DZ62">
            <v>0</v>
          </cell>
        </row>
        <row r="63">
          <cell r="DX63">
            <v>0</v>
          </cell>
          <cell r="DY63">
            <v>1</v>
          </cell>
          <cell r="DZ63">
            <v>0</v>
          </cell>
        </row>
        <row r="64">
          <cell r="DX64">
            <v>0</v>
          </cell>
          <cell r="DY64">
            <v>1</v>
          </cell>
          <cell r="DZ64">
            <v>0</v>
          </cell>
        </row>
        <row r="65">
          <cell r="DX65">
            <v>0</v>
          </cell>
          <cell r="DY65">
            <v>1</v>
          </cell>
          <cell r="DZ65">
            <v>0</v>
          </cell>
        </row>
        <row r="66">
          <cell r="DX66">
            <v>0</v>
          </cell>
          <cell r="DY66">
            <v>1</v>
          </cell>
          <cell r="DZ66">
            <v>0</v>
          </cell>
        </row>
        <row r="67">
          <cell r="DX67">
            <v>0</v>
          </cell>
          <cell r="DY67">
            <v>1</v>
          </cell>
          <cell r="DZ67">
            <v>0</v>
          </cell>
        </row>
        <row r="68">
          <cell r="DX68">
            <v>0</v>
          </cell>
          <cell r="DY68">
            <v>1</v>
          </cell>
          <cell r="DZ68">
            <v>0</v>
          </cell>
        </row>
        <row r="69">
          <cell r="DX69">
            <v>0</v>
          </cell>
          <cell r="DY69">
            <v>1</v>
          </cell>
          <cell r="DZ69">
            <v>0</v>
          </cell>
        </row>
        <row r="70">
          <cell r="DX70">
            <v>0</v>
          </cell>
          <cell r="DY70">
            <v>1</v>
          </cell>
          <cell r="DZ70">
            <v>0</v>
          </cell>
        </row>
        <row r="72">
          <cell r="DX72">
            <v>0</v>
          </cell>
          <cell r="DY72">
            <v>1</v>
          </cell>
          <cell r="DZ72">
            <v>0</v>
          </cell>
        </row>
        <row r="73">
          <cell r="DX73">
            <v>0</v>
          </cell>
          <cell r="DY73">
            <v>1</v>
          </cell>
          <cell r="DZ73">
            <v>0</v>
          </cell>
        </row>
        <row r="74">
          <cell r="DX74">
            <v>0</v>
          </cell>
          <cell r="DY74">
            <v>1</v>
          </cell>
          <cell r="DZ74">
            <v>0</v>
          </cell>
        </row>
        <row r="75">
          <cell r="DX75">
            <v>0</v>
          </cell>
          <cell r="DY75">
            <v>1</v>
          </cell>
          <cell r="DZ75">
            <v>0</v>
          </cell>
        </row>
        <row r="76">
          <cell r="DX76">
            <v>0</v>
          </cell>
          <cell r="DY76">
            <v>1</v>
          </cell>
          <cell r="DZ76">
            <v>0</v>
          </cell>
        </row>
        <row r="77">
          <cell r="DX77">
            <v>0</v>
          </cell>
          <cell r="DY77">
            <v>1</v>
          </cell>
          <cell r="DZ77">
            <v>0</v>
          </cell>
        </row>
        <row r="78">
          <cell r="DX78">
            <v>0</v>
          </cell>
          <cell r="DY78">
            <v>1</v>
          </cell>
          <cell r="DZ78">
            <v>0</v>
          </cell>
        </row>
        <row r="80">
          <cell r="DX80">
            <v>0</v>
          </cell>
          <cell r="DY80">
            <v>0</v>
          </cell>
          <cell r="DZ80">
            <v>0</v>
          </cell>
        </row>
        <row r="81">
          <cell r="DX81">
            <v>0</v>
          </cell>
          <cell r="DY81">
            <v>0</v>
          </cell>
          <cell r="DZ81">
            <v>0</v>
          </cell>
        </row>
        <row r="82">
          <cell r="DX82">
            <v>0</v>
          </cell>
          <cell r="DY82">
            <v>0</v>
          </cell>
          <cell r="DZ82">
            <v>0</v>
          </cell>
        </row>
        <row r="83">
          <cell r="DX83">
            <v>0</v>
          </cell>
          <cell r="DY83">
            <v>0</v>
          </cell>
          <cell r="DZ83">
            <v>0</v>
          </cell>
        </row>
        <row r="84">
          <cell r="DX84">
            <v>0</v>
          </cell>
          <cell r="DY84">
            <v>0</v>
          </cell>
          <cell r="DZ84">
            <v>0</v>
          </cell>
        </row>
        <row r="85">
          <cell r="DX85">
            <v>0</v>
          </cell>
          <cell r="DY85">
            <v>0</v>
          </cell>
          <cell r="DZ85">
            <v>0</v>
          </cell>
        </row>
        <row r="86">
          <cell r="DX86">
            <v>0</v>
          </cell>
          <cell r="DY86">
            <v>0</v>
          </cell>
          <cell r="DZ86">
            <v>0</v>
          </cell>
        </row>
        <row r="87">
          <cell r="DX87">
            <v>0</v>
          </cell>
          <cell r="DY87">
            <v>1</v>
          </cell>
          <cell r="DZ87">
            <v>0</v>
          </cell>
        </row>
        <row r="89">
          <cell r="DX89">
            <v>0</v>
          </cell>
          <cell r="DY89">
            <v>1</v>
          </cell>
          <cell r="DZ89">
            <v>0</v>
          </cell>
        </row>
        <row r="90">
          <cell r="DX90">
            <v>0</v>
          </cell>
          <cell r="DY90">
            <v>1</v>
          </cell>
          <cell r="DZ90">
            <v>0</v>
          </cell>
        </row>
        <row r="91">
          <cell r="DX91">
            <v>0</v>
          </cell>
          <cell r="DY91">
            <v>1</v>
          </cell>
          <cell r="DZ91">
            <v>0</v>
          </cell>
        </row>
        <row r="92">
          <cell r="DX92">
            <v>0</v>
          </cell>
          <cell r="DY92">
            <v>1</v>
          </cell>
          <cell r="DZ92">
            <v>0</v>
          </cell>
        </row>
        <row r="93">
          <cell r="DX93">
            <v>0</v>
          </cell>
          <cell r="DY93">
            <v>1</v>
          </cell>
          <cell r="DZ93">
            <v>0</v>
          </cell>
        </row>
        <row r="94">
          <cell r="DX94">
            <v>0</v>
          </cell>
          <cell r="DY94">
            <v>1</v>
          </cell>
          <cell r="DZ94">
            <v>0</v>
          </cell>
        </row>
        <row r="95">
          <cell r="DX95">
            <v>0</v>
          </cell>
          <cell r="DY95">
            <v>1</v>
          </cell>
          <cell r="DZ95">
            <v>0</v>
          </cell>
        </row>
        <row r="96">
          <cell r="DX96">
            <v>0</v>
          </cell>
          <cell r="DY96">
            <v>1</v>
          </cell>
          <cell r="DZ96">
            <v>0</v>
          </cell>
        </row>
        <row r="97">
          <cell r="DX97">
            <v>0</v>
          </cell>
          <cell r="DY97">
            <v>1</v>
          </cell>
          <cell r="DZ97">
            <v>0</v>
          </cell>
        </row>
        <row r="98">
          <cell r="DX98">
            <v>0</v>
          </cell>
          <cell r="DY98">
            <v>1</v>
          </cell>
          <cell r="DZ98">
            <v>0</v>
          </cell>
        </row>
        <row r="99">
          <cell r="DX99">
            <v>0</v>
          </cell>
          <cell r="DY99">
            <v>1</v>
          </cell>
          <cell r="DZ99">
            <v>0</v>
          </cell>
        </row>
        <row r="103">
          <cell r="DX103">
            <v>0</v>
          </cell>
          <cell r="DY103">
            <v>1</v>
          </cell>
          <cell r="DZ103">
            <v>0</v>
          </cell>
        </row>
        <row r="104">
          <cell r="DX104">
            <v>0</v>
          </cell>
          <cell r="DY104">
            <v>1</v>
          </cell>
          <cell r="DZ104">
            <v>0</v>
          </cell>
        </row>
        <row r="105">
          <cell r="DX105">
            <v>0</v>
          </cell>
          <cell r="DY105">
            <v>1</v>
          </cell>
          <cell r="DZ105">
            <v>0</v>
          </cell>
        </row>
        <row r="106">
          <cell r="DX106">
            <v>0</v>
          </cell>
          <cell r="DY106">
            <v>0</v>
          </cell>
          <cell r="DZ106">
            <v>0</v>
          </cell>
        </row>
        <row r="109">
          <cell r="DX109">
            <v>0</v>
          </cell>
          <cell r="DY109">
            <v>1</v>
          </cell>
          <cell r="DZ109">
            <v>0</v>
          </cell>
        </row>
        <row r="111">
          <cell r="DX111">
            <v>0</v>
          </cell>
          <cell r="DY111">
            <v>1</v>
          </cell>
          <cell r="DZ111">
            <v>0</v>
          </cell>
        </row>
        <row r="112">
          <cell r="DX112">
            <v>0</v>
          </cell>
          <cell r="DY112">
            <v>1</v>
          </cell>
          <cell r="DZ112">
            <v>0</v>
          </cell>
        </row>
        <row r="113">
          <cell r="DX113">
            <v>0</v>
          </cell>
          <cell r="DY113">
            <v>1</v>
          </cell>
          <cell r="DZ113">
            <v>0</v>
          </cell>
        </row>
        <row r="114">
          <cell r="DX114">
            <v>0</v>
          </cell>
          <cell r="DY114">
            <v>1</v>
          </cell>
          <cell r="DZ114">
            <v>0</v>
          </cell>
        </row>
        <row r="115">
          <cell r="DX115">
            <v>0</v>
          </cell>
          <cell r="DY115">
            <v>1</v>
          </cell>
          <cell r="DZ115">
            <v>0</v>
          </cell>
        </row>
        <row r="116">
          <cell r="DX116">
            <v>0</v>
          </cell>
          <cell r="DY116">
            <v>1</v>
          </cell>
          <cell r="DZ116">
            <v>0</v>
          </cell>
        </row>
        <row r="117">
          <cell r="DX117">
            <v>0</v>
          </cell>
          <cell r="DY117">
            <v>1</v>
          </cell>
          <cell r="DZ117">
            <v>0</v>
          </cell>
        </row>
        <row r="119">
          <cell r="DX119">
            <v>0</v>
          </cell>
          <cell r="DY119">
            <v>1</v>
          </cell>
          <cell r="DZ119">
            <v>0</v>
          </cell>
        </row>
        <row r="120">
          <cell r="DX120">
            <v>0</v>
          </cell>
          <cell r="DY120">
            <v>1</v>
          </cell>
          <cell r="DZ120">
            <v>0</v>
          </cell>
        </row>
        <row r="121">
          <cell r="DX121">
            <v>0</v>
          </cell>
          <cell r="DY121">
            <v>1</v>
          </cell>
          <cell r="DZ121">
            <v>0</v>
          </cell>
        </row>
        <row r="122">
          <cell r="DX122">
            <v>0</v>
          </cell>
          <cell r="DY122">
            <v>1</v>
          </cell>
          <cell r="DZ122">
            <v>0</v>
          </cell>
        </row>
        <row r="123">
          <cell r="DX123">
            <v>0</v>
          </cell>
          <cell r="DY123">
            <v>1</v>
          </cell>
          <cell r="DZ123">
            <v>0</v>
          </cell>
        </row>
        <row r="124">
          <cell r="DX124">
            <v>0</v>
          </cell>
          <cell r="DY124">
            <v>1</v>
          </cell>
          <cell r="DZ124">
            <v>0</v>
          </cell>
        </row>
        <row r="125">
          <cell r="DX125">
            <v>0</v>
          </cell>
          <cell r="DY125">
            <v>1</v>
          </cell>
          <cell r="DZ125">
            <v>0</v>
          </cell>
        </row>
        <row r="126">
          <cell r="DX126">
            <v>0</v>
          </cell>
          <cell r="DY126">
            <v>1</v>
          </cell>
          <cell r="DZ126">
            <v>0</v>
          </cell>
        </row>
        <row r="127">
          <cell r="DX127">
            <v>0</v>
          </cell>
          <cell r="DY127">
            <v>0</v>
          </cell>
          <cell r="DZ127">
            <v>0</v>
          </cell>
        </row>
        <row r="130">
          <cell r="DX130">
            <v>0</v>
          </cell>
          <cell r="DY130">
            <v>1</v>
          </cell>
          <cell r="DZ130">
            <v>0</v>
          </cell>
        </row>
        <row r="131">
          <cell r="DX131">
            <v>0</v>
          </cell>
          <cell r="DY131">
            <v>1</v>
          </cell>
          <cell r="DZ131">
            <v>0</v>
          </cell>
        </row>
        <row r="132">
          <cell r="DX132">
            <v>0</v>
          </cell>
          <cell r="DY132">
            <v>1</v>
          </cell>
          <cell r="DZ132">
            <v>0</v>
          </cell>
        </row>
        <row r="136">
          <cell r="DX136">
            <v>0</v>
          </cell>
          <cell r="DY136">
            <v>1</v>
          </cell>
          <cell r="DZ136">
            <v>0</v>
          </cell>
        </row>
        <row r="137">
          <cell r="DX137">
            <v>0</v>
          </cell>
          <cell r="DY137">
            <v>1</v>
          </cell>
          <cell r="DZ137">
            <v>0</v>
          </cell>
        </row>
        <row r="138">
          <cell r="DX138">
            <v>0</v>
          </cell>
          <cell r="DY138">
            <v>0</v>
          </cell>
          <cell r="DZ138">
            <v>0</v>
          </cell>
        </row>
        <row r="139">
          <cell r="DX139">
            <v>0</v>
          </cell>
          <cell r="DY139">
            <v>0</v>
          </cell>
          <cell r="DZ139">
            <v>0</v>
          </cell>
        </row>
        <row r="140">
          <cell r="DX140">
            <v>0</v>
          </cell>
          <cell r="DY140">
            <v>0</v>
          </cell>
          <cell r="DZ140">
            <v>0</v>
          </cell>
        </row>
        <row r="141">
          <cell r="DX141">
            <v>0</v>
          </cell>
          <cell r="DY141">
            <v>0</v>
          </cell>
          <cell r="DZ141">
            <v>0</v>
          </cell>
        </row>
        <row r="143">
          <cell r="DX143">
            <v>0</v>
          </cell>
          <cell r="DY143">
            <v>0</v>
          </cell>
          <cell r="DZ143">
            <v>0</v>
          </cell>
        </row>
        <row r="145">
          <cell r="DX145">
            <v>0</v>
          </cell>
          <cell r="DY145">
            <v>1</v>
          </cell>
          <cell r="DZ145">
            <v>0</v>
          </cell>
        </row>
        <row r="147">
          <cell r="DX147">
            <v>0</v>
          </cell>
          <cell r="DY147">
            <v>1</v>
          </cell>
          <cell r="DZ147">
            <v>0</v>
          </cell>
        </row>
        <row r="148">
          <cell r="DX148">
            <v>0</v>
          </cell>
          <cell r="DY148">
            <v>1</v>
          </cell>
          <cell r="DZ148">
            <v>0</v>
          </cell>
        </row>
        <row r="150">
          <cell r="DX150">
            <v>0</v>
          </cell>
          <cell r="DY150">
            <v>1</v>
          </cell>
          <cell r="DZ150">
            <v>0</v>
          </cell>
        </row>
        <row r="151">
          <cell r="DX151">
            <v>0</v>
          </cell>
          <cell r="DY151">
            <v>1</v>
          </cell>
          <cell r="DZ151">
            <v>0</v>
          </cell>
        </row>
        <row r="153">
          <cell r="DX153">
            <v>0</v>
          </cell>
          <cell r="DY153">
            <v>1</v>
          </cell>
          <cell r="DZ153">
            <v>0</v>
          </cell>
        </row>
        <row r="155">
          <cell r="DX155">
            <v>0</v>
          </cell>
          <cell r="DY155">
            <v>0</v>
          </cell>
          <cell r="DZ155">
            <v>0</v>
          </cell>
        </row>
        <row r="156">
          <cell r="DX156">
            <v>0</v>
          </cell>
          <cell r="DY156">
            <v>0</v>
          </cell>
          <cell r="DZ156">
            <v>0</v>
          </cell>
        </row>
        <row r="157">
          <cell r="DX157">
            <v>0</v>
          </cell>
          <cell r="DY157">
            <v>0</v>
          </cell>
          <cell r="DZ157">
            <v>0</v>
          </cell>
        </row>
        <row r="158">
          <cell r="DX158">
            <v>0</v>
          </cell>
          <cell r="DY158">
            <v>0</v>
          </cell>
          <cell r="DZ158">
            <v>0</v>
          </cell>
        </row>
        <row r="159">
          <cell r="DX159">
            <v>0</v>
          </cell>
          <cell r="DY159">
            <v>0</v>
          </cell>
          <cell r="DZ159">
            <v>0</v>
          </cell>
        </row>
        <row r="160">
          <cell r="DX160">
            <v>0</v>
          </cell>
          <cell r="DY160">
            <v>0</v>
          </cell>
          <cell r="DZ160">
            <v>0</v>
          </cell>
        </row>
        <row r="161">
          <cell r="DX161">
            <v>0</v>
          </cell>
          <cell r="DY161">
            <v>1</v>
          </cell>
          <cell r="DZ161">
            <v>0</v>
          </cell>
        </row>
        <row r="165">
          <cell r="DX165">
            <v>0</v>
          </cell>
          <cell r="DY165">
            <v>1</v>
          </cell>
          <cell r="DZ165">
            <v>0</v>
          </cell>
        </row>
        <row r="166">
          <cell r="DX166">
            <v>0</v>
          </cell>
          <cell r="DY166">
            <v>1</v>
          </cell>
          <cell r="DZ166">
            <v>0</v>
          </cell>
        </row>
        <row r="167">
          <cell r="DX167">
            <v>0</v>
          </cell>
          <cell r="DY167">
            <v>1</v>
          </cell>
          <cell r="DZ167">
            <v>0</v>
          </cell>
        </row>
        <row r="168">
          <cell r="DX168">
            <v>0</v>
          </cell>
          <cell r="DY168">
            <v>1</v>
          </cell>
          <cell r="DZ168">
            <v>0</v>
          </cell>
        </row>
        <row r="169">
          <cell r="DX169">
            <v>0</v>
          </cell>
          <cell r="DY169">
            <v>1</v>
          </cell>
          <cell r="DZ169">
            <v>0</v>
          </cell>
        </row>
        <row r="170">
          <cell r="DX170">
            <v>0</v>
          </cell>
          <cell r="DY170">
            <v>1</v>
          </cell>
          <cell r="DZ170">
            <v>0</v>
          </cell>
        </row>
        <row r="171">
          <cell r="DX171">
            <v>0</v>
          </cell>
          <cell r="DY171">
            <v>1</v>
          </cell>
          <cell r="DZ171">
            <v>0</v>
          </cell>
        </row>
        <row r="172">
          <cell r="DX172">
            <v>0</v>
          </cell>
          <cell r="DY172">
            <v>1</v>
          </cell>
          <cell r="DZ172">
            <v>0</v>
          </cell>
        </row>
        <row r="173">
          <cell r="DX173">
            <v>0</v>
          </cell>
          <cell r="DY173">
            <v>1</v>
          </cell>
          <cell r="DZ173">
            <v>0</v>
          </cell>
        </row>
        <row r="174">
          <cell r="DX174">
            <v>0</v>
          </cell>
          <cell r="DY174">
            <v>1</v>
          </cell>
          <cell r="DZ174">
            <v>0</v>
          </cell>
        </row>
        <row r="178">
          <cell r="DX178">
            <v>0</v>
          </cell>
          <cell r="DY178">
            <v>1</v>
          </cell>
          <cell r="DZ178">
            <v>0</v>
          </cell>
        </row>
        <row r="179">
          <cell r="DX179">
            <v>0</v>
          </cell>
          <cell r="DY179">
            <v>1</v>
          </cell>
          <cell r="DZ179">
            <v>0</v>
          </cell>
        </row>
        <row r="180">
          <cell r="DX180">
            <v>0</v>
          </cell>
          <cell r="DY180">
            <v>1</v>
          </cell>
          <cell r="DZ180">
            <v>0</v>
          </cell>
        </row>
        <row r="181">
          <cell r="DX181">
            <v>0</v>
          </cell>
          <cell r="DY181">
            <v>1</v>
          </cell>
          <cell r="DZ181">
            <v>0</v>
          </cell>
        </row>
        <row r="183">
          <cell r="DX183">
            <v>0</v>
          </cell>
          <cell r="DY183">
            <v>1</v>
          </cell>
          <cell r="DZ183">
            <v>0</v>
          </cell>
        </row>
        <row r="184">
          <cell r="DX184">
            <v>0</v>
          </cell>
          <cell r="DY184">
            <v>1</v>
          </cell>
          <cell r="DZ184">
            <v>0</v>
          </cell>
        </row>
        <row r="185">
          <cell r="DX185">
            <v>0</v>
          </cell>
          <cell r="DY185">
            <v>1</v>
          </cell>
          <cell r="DZ185">
            <v>0</v>
          </cell>
        </row>
        <row r="186">
          <cell r="DX186">
            <v>0</v>
          </cell>
          <cell r="DY186">
            <v>1</v>
          </cell>
          <cell r="DZ186">
            <v>0</v>
          </cell>
        </row>
        <row r="187">
          <cell r="DX187">
            <v>0</v>
          </cell>
          <cell r="DY187">
            <v>1</v>
          </cell>
          <cell r="DZ187">
            <v>0</v>
          </cell>
        </row>
        <row r="188">
          <cell r="DX188">
            <v>0</v>
          </cell>
          <cell r="DY188">
            <v>1</v>
          </cell>
          <cell r="DZ188">
            <v>0</v>
          </cell>
        </row>
        <row r="189">
          <cell r="DX189">
            <v>0</v>
          </cell>
          <cell r="DY189">
            <v>1</v>
          </cell>
          <cell r="DZ189">
            <v>0</v>
          </cell>
        </row>
        <row r="190">
          <cell r="DX190">
            <v>0</v>
          </cell>
          <cell r="DY190">
            <v>1</v>
          </cell>
          <cell r="DZ190">
            <v>0</v>
          </cell>
        </row>
        <row r="191">
          <cell r="DX191">
            <v>0</v>
          </cell>
          <cell r="DY191">
            <v>1</v>
          </cell>
          <cell r="DZ191">
            <v>0</v>
          </cell>
        </row>
        <row r="192">
          <cell r="DX192">
            <v>0</v>
          </cell>
          <cell r="DY192">
            <v>1</v>
          </cell>
          <cell r="DZ192">
            <v>0</v>
          </cell>
        </row>
        <row r="193">
          <cell r="DX193">
            <v>0</v>
          </cell>
          <cell r="DY193">
            <v>1</v>
          </cell>
          <cell r="DZ193">
            <v>0</v>
          </cell>
        </row>
        <row r="194">
          <cell r="DX194">
            <v>0</v>
          </cell>
          <cell r="DY194">
            <v>1</v>
          </cell>
          <cell r="DZ194">
            <v>0</v>
          </cell>
        </row>
        <row r="195">
          <cell r="DX195">
            <v>0</v>
          </cell>
          <cell r="DY195">
            <v>1</v>
          </cell>
          <cell r="DZ195">
            <v>0</v>
          </cell>
        </row>
        <row r="196">
          <cell r="DX196">
            <v>0</v>
          </cell>
          <cell r="DY196">
            <v>1</v>
          </cell>
          <cell r="DZ196">
            <v>0</v>
          </cell>
        </row>
        <row r="197">
          <cell r="DX197">
            <v>0</v>
          </cell>
          <cell r="DY197">
            <v>1</v>
          </cell>
          <cell r="DZ197">
            <v>0</v>
          </cell>
        </row>
        <row r="201">
          <cell r="DX201">
            <v>0</v>
          </cell>
          <cell r="DY201">
            <v>1</v>
          </cell>
          <cell r="DZ201">
            <v>0</v>
          </cell>
        </row>
        <row r="202">
          <cell r="DX202">
            <v>0</v>
          </cell>
          <cell r="DY202">
            <v>1</v>
          </cell>
          <cell r="DZ202">
            <v>0</v>
          </cell>
        </row>
        <row r="203">
          <cell r="DX203">
            <v>0</v>
          </cell>
          <cell r="DY203">
            <v>1</v>
          </cell>
          <cell r="DZ203">
            <v>0</v>
          </cell>
        </row>
        <row r="204">
          <cell r="DX204">
            <v>0</v>
          </cell>
          <cell r="DY204">
            <v>1</v>
          </cell>
          <cell r="DZ204">
            <v>0</v>
          </cell>
        </row>
        <row r="205">
          <cell r="DX205">
            <v>0</v>
          </cell>
          <cell r="DY205">
            <v>1</v>
          </cell>
          <cell r="DZ205">
            <v>0</v>
          </cell>
        </row>
        <row r="206">
          <cell r="DX206">
            <v>0</v>
          </cell>
          <cell r="DY206">
            <v>1</v>
          </cell>
          <cell r="DZ206">
            <v>0</v>
          </cell>
        </row>
        <row r="207">
          <cell r="DX207">
            <v>0</v>
          </cell>
          <cell r="DY207">
            <v>1</v>
          </cell>
          <cell r="DZ207">
            <v>0</v>
          </cell>
        </row>
        <row r="208">
          <cell r="DX208">
            <v>0</v>
          </cell>
          <cell r="DY208">
            <v>1</v>
          </cell>
          <cell r="DZ208">
            <v>0</v>
          </cell>
        </row>
        <row r="212">
          <cell r="DX212">
            <v>0</v>
          </cell>
          <cell r="DY212">
            <v>1</v>
          </cell>
          <cell r="DZ212">
            <v>0</v>
          </cell>
        </row>
        <row r="213">
          <cell r="DX213">
            <v>0</v>
          </cell>
          <cell r="DY213">
            <v>1</v>
          </cell>
          <cell r="DZ213">
            <v>0</v>
          </cell>
        </row>
        <row r="214">
          <cell r="DX214">
            <v>0</v>
          </cell>
          <cell r="DY214">
            <v>1</v>
          </cell>
          <cell r="DZ214">
            <v>0</v>
          </cell>
        </row>
        <row r="215">
          <cell r="DX215">
            <v>0</v>
          </cell>
          <cell r="DY215">
            <v>1</v>
          </cell>
          <cell r="DZ215">
            <v>0</v>
          </cell>
        </row>
        <row r="217">
          <cell r="DX217">
            <v>0</v>
          </cell>
          <cell r="DY217">
            <v>1</v>
          </cell>
          <cell r="DZ217">
            <v>0</v>
          </cell>
        </row>
        <row r="218">
          <cell r="DX218">
            <v>0</v>
          </cell>
          <cell r="DY218">
            <v>1</v>
          </cell>
          <cell r="DZ218">
            <v>0</v>
          </cell>
        </row>
        <row r="219">
          <cell r="DX219">
            <v>0</v>
          </cell>
          <cell r="DY219">
            <v>1</v>
          </cell>
          <cell r="DZ219">
            <v>0</v>
          </cell>
        </row>
        <row r="220">
          <cell r="DX220">
            <v>0</v>
          </cell>
          <cell r="DY220">
            <v>1</v>
          </cell>
          <cell r="DZ220">
            <v>0</v>
          </cell>
        </row>
        <row r="221">
          <cell r="DX221">
            <v>0</v>
          </cell>
          <cell r="DY221">
            <v>1</v>
          </cell>
          <cell r="DZ221">
            <v>0</v>
          </cell>
        </row>
        <row r="222">
          <cell r="DX222">
            <v>0</v>
          </cell>
          <cell r="DY222">
            <v>1</v>
          </cell>
          <cell r="DZ222">
            <v>0</v>
          </cell>
        </row>
        <row r="223">
          <cell r="DX223">
            <v>0</v>
          </cell>
          <cell r="DY223">
            <v>1</v>
          </cell>
          <cell r="DZ223">
            <v>0</v>
          </cell>
        </row>
        <row r="224">
          <cell r="DX224">
            <v>0</v>
          </cell>
          <cell r="DY224">
            <v>1</v>
          </cell>
          <cell r="DZ224">
            <v>0</v>
          </cell>
        </row>
        <row r="228">
          <cell r="DX228">
            <v>0</v>
          </cell>
          <cell r="DY228">
            <v>1</v>
          </cell>
          <cell r="DZ228">
            <v>0</v>
          </cell>
        </row>
        <row r="229">
          <cell r="DX229">
            <v>0</v>
          </cell>
          <cell r="DY229">
            <v>0</v>
          </cell>
          <cell r="DZ229">
            <v>0</v>
          </cell>
        </row>
        <row r="230">
          <cell r="DX230">
            <v>0</v>
          </cell>
          <cell r="DY230">
            <v>0</v>
          </cell>
          <cell r="DZ230">
            <v>0</v>
          </cell>
        </row>
        <row r="231">
          <cell r="DX231">
            <v>0</v>
          </cell>
          <cell r="DY231">
            <v>0</v>
          </cell>
          <cell r="DZ231">
            <v>0</v>
          </cell>
        </row>
        <row r="232">
          <cell r="DX232">
            <v>0</v>
          </cell>
          <cell r="DY232">
            <v>0</v>
          </cell>
          <cell r="DZ232">
            <v>0</v>
          </cell>
        </row>
        <row r="242">
          <cell r="DX242">
            <v>0</v>
          </cell>
          <cell r="DY242">
            <v>0</v>
          </cell>
          <cell r="DZ242">
            <v>0</v>
          </cell>
        </row>
        <row r="243">
          <cell r="DX243">
            <v>0</v>
          </cell>
          <cell r="DY243">
            <v>0</v>
          </cell>
          <cell r="DZ243">
            <v>0</v>
          </cell>
        </row>
        <row r="244">
          <cell r="DX244">
            <v>0</v>
          </cell>
          <cell r="DY244">
            <v>0</v>
          </cell>
          <cell r="DZ244">
            <v>0</v>
          </cell>
        </row>
        <row r="245">
          <cell r="DX245">
            <v>0</v>
          </cell>
          <cell r="DY245">
            <v>0</v>
          </cell>
          <cell r="DZ245">
            <v>1</v>
          </cell>
        </row>
        <row r="247">
          <cell r="DX247">
            <v>0</v>
          </cell>
          <cell r="DY247">
            <v>0</v>
          </cell>
          <cell r="DZ247">
            <v>1</v>
          </cell>
        </row>
        <row r="248">
          <cell r="DX248">
            <v>0</v>
          </cell>
          <cell r="DY248">
            <v>0</v>
          </cell>
          <cell r="DZ248">
            <v>0</v>
          </cell>
        </row>
        <row r="249">
          <cell r="DX249">
            <v>0</v>
          </cell>
          <cell r="DY249">
            <v>0</v>
          </cell>
          <cell r="DZ249">
            <v>1</v>
          </cell>
        </row>
        <row r="250">
          <cell r="DX250">
            <v>0</v>
          </cell>
          <cell r="DY250">
            <v>0</v>
          </cell>
          <cell r="DZ250">
            <v>1</v>
          </cell>
        </row>
        <row r="251">
          <cell r="DX251">
            <v>0</v>
          </cell>
          <cell r="DY251">
            <v>0</v>
          </cell>
          <cell r="DZ251">
            <v>1</v>
          </cell>
        </row>
        <row r="252">
          <cell r="DX252">
            <v>0</v>
          </cell>
          <cell r="DY252">
            <v>0</v>
          </cell>
          <cell r="DZ252">
            <v>1</v>
          </cell>
        </row>
        <row r="253">
          <cell r="DX253">
            <v>0</v>
          </cell>
          <cell r="DY253">
            <v>0</v>
          </cell>
          <cell r="DZ253">
            <v>1</v>
          </cell>
        </row>
        <row r="254">
          <cell r="DX254">
            <v>0</v>
          </cell>
          <cell r="DY254">
            <v>0</v>
          </cell>
          <cell r="DZ254">
            <v>1</v>
          </cell>
        </row>
        <row r="255">
          <cell r="DX255">
            <v>0</v>
          </cell>
          <cell r="DY255">
            <v>0</v>
          </cell>
          <cell r="DZ255">
            <v>1</v>
          </cell>
        </row>
        <row r="256">
          <cell r="DX256">
            <v>0</v>
          </cell>
          <cell r="DY256">
            <v>0</v>
          </cell>
          <cell r="DZ256">
            <v>1</v>
          </cell>
        </row>
        <row r="257">
          <cell r="DX257">
            <v>0</v>
          </cell>
          <cell r="DY257">
            <v>0</v>
          </cell>
          <cell r="DZ257">
            <v>1</v>
          </cell>
        </row>
        <row r="258">
          <cell r="DX258">
            <v>0</v>
          </cell>
          <cell r="DY258">
            <v>0</v>
          </cell>
          <cell r="DZ258">
            <v>1</v>
          </cell>
        </row>
        <row r="259">
          <cell r="DX259">
            <v>0</v>
          </cell>
          <cell r="DY259">
            <v>0</v>
          </cell>
          <cell r="DZ259">
            <v>1</v>
          </cell>
        </row>
        <row r="260">
          <cell r="DX260">
            <v>0</v>
          </cell>
          <cell r="DY260">
            <v>0</v>
          </cell>
          <cell r="DZ260">
            <v>1</v>
          </cell>
        </row>
        <row r="262">
          <cell r="DX262">
            <v>0</v>
          </cell>
          <cell r="DY262">
            <v>0</v>
          </cell>
          <cell r="DZ262">
            <v>1</v>
          </cell>
        </row>
        <row r="263">
          <cell r="DX263">
            <v>0</v>
          </cell>
          <cell r="DY263">
            <v>0</v>
          </cell>
          <cell r="DZ263">
            <v>0</v>
          </cell>
        </row>
        <row r="264">
          <cell r="DX264">
            <v>0</v>
          </cell>
          <cell r="DY264">
            <v>0</v>
          </cell>
          <cell r="DZ264">
            <v>1</v>
          </cell>
        </row>
        <row r="265">
          <cell r="DX265">
            <v>0</v>
          </cell>
          <cell r="DY265">
            <v>0</v>
          </cell>
          <cell r="DZ265">
            <v>1</v>
          </cell>
        </row>
        <row r="266">
          <cell r="DX266">
            <v>0</v>
          </cell>
          <cell r="DY266">
            <v>0</v>
          </cell>
          <cell r="DZ266">
            <v>1</v>
          </cell>
        </row>
        <row r="267">
          <cell r="DX267">
            <v>0</v>
          </cell>
          <cell r="DY267">
            <v>0</v>
          </cell>
          <cell r="DZ267">
            <v>1</v>
          </cell>
        </row>
        <row r="268">
          <cell r="DX268">
            <v>0</v>
          </cell>
          <cell r="DY268">
            <v>0</v>
          </cell>
          <cell r="DZ268">
            <v>1</v>
          </cell>
        </row>
        <row r="269">
          <cell r="DX269">
            <v>0</v>
          </cell>
          <cell r="DY269">
            <v>0</v>
          </cell>
          <cell r="DZ269">
            <v>1</v>
          </cell>
        </row>
        <row r="270">
          <cell r="DX270">
            <v>0</v>
          </cell>
          <cell r="DY270">
            <v>0</v>
          </cell>
          <cell r="DZ270">
            <v>1</v>
          </cell>
        </row>
        <row r="271">
          <cell r="DX271">
            <v>0</v>
          </cell>
          <cell r="DY271">
            <v>0</v>
          </cell>
          <cell r="DZ271">
            <v>1</v>
          </cell>
        </row>
        <row r="272">
          <cell r="DX272">
            <v>0</v>
          </cell>
          <cell r="DY272">
            <v>0</v>
          </cell>
          <cell r="DZ272">
            <v>0</v>
          </cell>
        </row>
        <row r="273">
          <cell r="DX273">
            <v>0</v>
          </cell>
          <cell r="DY273">
            <v>0</v>
          </cell>
          <cell r="DZ273">
            <v>1</v>
          </cell>
        </row>
        <row r="274">
          <cell r="DX274">
            <v>0</v>
          </cell>
          <cell r="DY274">
            <v>0</v>
          </cell>
          <cell r="DZ274">
            <v>0</v>
          </cell>
        </row>
        <row r="275">
          <cell r="DX275">
            <v>0</v>
          </cell>
          <cell r="DY275">
            <v>0</v>
          </cell>
          <cell r="DZ275">
            <v>1</v>
          </cell>
        </row>
        <row r="276">
          <cell r="DX276">
            <v>0</v>
          </cell>
          <cell r="DY276">
            <v>0</v>
          </cell>
          <cell r="DZ276">
            <v>1</v>
          </cell>
        </row>
        <row r="277">
          <cell r="DX277">
            <v>0</v>
          </cell>
          <cell r="DY277">
            <v>0</v>
          </cell>
          <cell r="DZ277">
            <v>1</v>
          </cell>
        </row>
        <row r="278">
          <cell r="DX278">
            <v>0</v>
          </cell>
          <cell r="DY278">
            <v>0</v>
          </cell>
          <cell r="DZ278">
            <v>1</v>
          </cell>
        </row>
        <row r="279">
          <cell r="DX279">
            <v>0</v>
          </cell>
          <cell r="DY279">
            <v>0</v>
          </cell>
          <cell r="DZ279">
            <v>1</v>
          </cell>
        </row>
        <row r="280">
          <cell r="DX280">
            <v>0</v>
          </cell>
          <cell r="DY280">
            <v>0</v>
          </cell>
          <cell r="DZ280">
            <v>1</v>
          </cell>
        </row>
        <row r="281">
          <cell r="DX281">
            <v>0</v>
          </cell>
          <cell r="DY281">
            <v>0</v>
          </cell>
          <cell r="DZ281">
            <v>1</v>
          </cell>
        </row>
        <row r="282">
          <cell r="DX282">
            <v>0</v>
          </cell>
          <cell r="DY282">
            <v>0</v>
          </cell>
          <cell r="DZ282">
            <v>1</v>
          </cell>
        </row>
        <row r="283">
          <cell r="DX283">
            <v>0</v>
          </cell>
          <cell r="DY283">
            <v>0</v>
          </cell>
          <cell r="DZ283">
            <v>0</v>
          </cell>
        </row>
        <row r="284">
          <cell r="DX284">
            <v>0</v>
          </cell>
          <cell r="DY284">
            <v>0</v>
          </cell>
          <cell r="DZ284">
            <v>1</v>
          </cell>
        </row>
        <row r="285">
          <cell r="DX285">
            <v>0</v>
          </cell>
          <cell r="DY285">
            <v>0</v>
          </cell>
          <cell r="DZ285">
            <v>0</v>
          </cell>
        </row>
        <row r="286">
          <cell r="DX286">
            <v>0</v>
          </cell>
          <cell r="DY286">
            <v>0</v>
          </cell>
          <cell r="DZ286">
            <v>1</v>
          </cell>
        </row>
        <row r="287">
          <cell r="DX287">
            <v>0</v>
          </cell>
          <cell r="DY287">
            <v>0</v>
          </cell>
          <cell r="DZ287">
            <v>1</v>
          </cell>
        </row>
        <row r="288">
          <cell r="DX288">
            <v>0</v>
          </cell>
          <cell r="DY288">
            <v>0</v>
          </cell>
          <cell r="DZ288">
            <v>1</v>
          </cell>
        </row>
        <row r="289">
          <cell r="DX289">
            <v>0</v>
          </cell>
          <cell r="DY289">
            <v>0</v>
          </cell>
          <cell r="DZ289">
            <v>1</v>
          </cell>
        </row>
        <row r="290">
          <cell r="DX290">
            <v>0</v>
          </cell>
          <cell r="DY290">
            <v>0</v>
          </cell>
          <cell r="DZ290">
            <v>1</v>
          </cell>
        </row>
        <row r="291">
          <cell r="DX291">
            <v>0</v>
          </cell>
          <cell r="DY291">
            <v>0</v>
          </cell>
          <cell r="DZ291">
            <v>1</v>
          </cell>
        </row>
        <row r="292">
          <cell r="DX292">
            <v>0</v>
          </cell>
          <cell r="DY292">
            <v>0</v>
          </cell>
          <cell r="DZ292">
            <v>1</v>
          </cell>
        </row>
        <row r="293">
          <cell r="DX293">
            <v>0</v>
          </cell>
          <cell r="DY293">
            <v>0</v>
          </cell>
          <cell r="DZ293">
            <v>1</v>
          </cell>
        </row>
        <row r="294">
          <cell r="DX294">
            <v>0</v>
          </cell>
          <cell r="DY294">
            <v>0</v>
          </cell>
          <cell r="DZ294">
            <v>0</v>
          </cell>
        </row>
        <row r="295">
          <cell r="DX295">
            <v>0</v>
          </cell>
          <cell r="DY295">
            <v>0</v>
          </cell>
          <cell r="DZ295">
            <v>0</v>
          </cell>
        </row>
        <row r="296">
          <cell r="DX296">
            <v>0</v>
          </cell>
          <cell r="DY296">
            <v>0</v>
          </cell>
          <cell r="DZ296">
            <v>0</v>
          </cell>
        </row>
        <row r="297">
          <cell r="DX297">
            <v>0</v>
          </cell>
          <cell r="DY297">
            <v>0</v>
          </cell>
          <cell r="DZ297">
            <v>0</v>
          </cell>
        </row>
        <row r="298">
          <cell r="DX298">
            <v>0</v>
          </cell>
          <cell r="DY298">
            <v>0</v>
          </cell>
          <cell r="DZ298">
            <v>0</v>
          </cell>
        </row>
        <row r="299">
          <cell r="DX299">
            <v>0</v>
          </cell>
          <cell r="DY299">
            <v>0</v>
          </cell>
          <cell r="DZ299">
            <v>0</v>
          </cell>
        </row>
        <row r="311">
          <cell r="DX311">
            <v>0</v>
          </cell>
          <cell r="DY311">
            <v>0</v>
          </cell>
          <cell r="DZ311">
            <v>0</v>
          </cell>
        </row>
        <row r="312">
          <cell r="DX312">
            <v>0</v>
          </cell>
          <cell r="DY312">
            <v>0</v>
          </cell>
          <cell r="DZ312">
            <v>0</v>
          </cell>
        </row>
        <row r="320">
          <cell r="DX320">
            <v>0</v>
          </cell>
          <cell r="DY320">
            <v>0</v>
          </cell>
          <cell r="DZ320">
            <v>0</v>
          </cell>
        </row>
        <row r="321">
          <cell r="DX321">
            <v>0</v>
          </cell>
          <cell r="DY321">
            <v>0</v>
          </cell>
          <cell r="DZ321">
            <v>0</v>
          </cell>
        </row>
        <row r="322">
          <cell r="DX322">
            <v>0</v>
          </cell>
          <cell r="DY322">
            <v>0</v>
          </cell>
          <cell r="DZ322">
            <v>0</v>
          </cell>
        </row>
        <row r="323">
          <cell r="DX323">
            <v>0</v>
          </cell>
          <cell r="DY323">
            <v>0</v>
          </cell>
          <cell r="DZ323">
            <v>1</v>
          </cell>
        </row>
        <row r="324">
          <cell r="DX324">
            <v>0</v>
          </cell>
          <cell r="DY324">
            <v>0</v>
          </cell>
          <cell r="DZ324">
            <v>1</v>
          </cell>
        </row>
        <row r="325">
          <cell r="DX325">
            <v>0</v>
          </cell>
          <cell r="DY325">
            <v>0</v>
          </cell>
          <cell r="DZ325">
            <v>0</v>
          </cell>
        </row>
        <row r="326">
          <cell r="DX326">
            <v>0</v>
          </cell>
          <cell r="DY326">
            <v>0</v>
          </cell>
          <cell r="DZ326">
            <v>1</v>
          </cell>
        </row>
        <row r="328">
          <cell r="DX328">
            <v>0</v>
          </cell>
          <cell r="DY328">
            <v>0</v>
          </cell>
          <cell r="DZ328">
            <v>1</v>
          </cell>
        </row>
        <row r="330">
          <cell r="DX330">
            <v>0</v>
          </cell>
          <cell r="DY330">
            <v>0</v>
          </cell>
          <cell r="DZ330">
            <v>1</v>
          </cell>
        </row>
        <row r="332">
          <cell r="DX332">
            <v>0</v>
          </cell>
          <cell r="DY332">
            <v>0</v>
          </cell>
          <cell r="DZ332">
            <v>1</v>
          </cell>
        </row>
        <row r="333">
          <cell r="DX333">
            <v>0</v>
          </cell>
          <cell r="DY333">
            <v>0</v>
          </cell>
          <cell r="DZ333">
            <v>1</v>
          </cell>
        </row>
        <row r="334">
          <cell r="DX334">
            <v>0</v>
          </cell>
          <cell r="DY334">
            <v>0</v>
          </cell>
          <cell r="DZ334">
            <v>0</v>
          </cell>
        </row>
        <row r="335">
          <cell r="DX335">
            <v>0</v>
          </cell>
          <cell r="DY335">
            <v>0</v>
          </cell>
          <cell r="DZ335">
            <v>1</v>
          </cell>
        </row>
        <row r="336">
          <cell r="DX336">
            <v>0</v>
          </cell>
          <cell r="DY336">
            <v>0</v>
          </cell>
          <cell r="DZ336">
            <v>1</v>
          </cell>
        </row>
        <row r="337">
          <cell r="DX337">
            <v>0</v>
          </cell>
          <cell r="DY337">
            <v>0</v>
          </cell>
          <cell r="DZ337">
            <v>1</v>
          </cell>
        </row>
        <row r="338">
          <cell r="DX338">
            <v>0</v>
          </cell>
          <cell r="DY338">
            <v>0</v>
          </cell>
          <cell r="DZ338">
            <v>1</v>
          </cell>
        </row>
        <row r="339">
          <cell r="DX339">
            <v>0</v>
          </cell>
          <cell r="DY339">
            <v>0</v>
          </cell>
          <cell r="DZ339">
            <v>1</v>
          </cell>
        </row>
        <row r="340">
          <cell r="DX340">
            <v>0</v>
          </cell>
          <cell r="DY340">
            <v>0</v>
          </cell>
          <cell r="DZ340">
            <v>1</v>
          </cell>
        </row>
        <row r="341">
          <cell r="DX341">
            <v>0</v>
          </cell>
          <cell r="DY341">
            <v>0</v>
          </cell>
          <cell r="DZ341">
            <v>1</v>
          </cell>
        </row>
        <row r="342">
          <cell r="DX342">
            <v>0</v>
          </cell>
          <cell r="DY342">
            <v>0</v>
          </cell>
          <cell r="DZ342">
            <v>1</v>
          </cell>
        </row>
        <row r="343">
          <cell r="DX343">
            <v>0</v>
          </cell>
          <cell r="DY343">
            <v>0</v>
          </cell>
          <cell r="DZ343">
            <v>1</v>
          </cell>
        </row>
        <row r="344">
          <cell r="DX344">
            <v>0</v>
          </cell>
          <cell r="DY344">
            <v>0</v>
          </cell>
          <cell r="DZ344">
            <v>1</v>
          </cell>
        </row>
        <row r="345">
          <cell r="DX345">
            <v>0</v>
          </cell>
          <cell r="DY345">
            <v>0</v>
          </cell>
          <cell r="DZ345">
            <v>1</v>
          </cell>
        </row>
        <row r="346">
          <cell r="DX346">
            <v>0</v>
          </cell>
          <cell r="DY346">
            <v>0</v>
          </cell>
          <cell r="DZ346">
            <v>1</v>
          </cell>
        </row>
        <row r="347">
          <cell r="DX347">
            <v>0</v>
          </cell>
          <cell r="DY347">
            <v>0</v>
          </cell>
          <cell r="DZ347">
            <v>0</v>
          </cell>
        </row>
        <row r="348">
          <cell r="DX348">
            <v>0</v>
          </cell>
          <cell r="DY348">
            <v>0</v>
          </cell>
          <cell r="DZ348">
            <v>1</v>
          </cell>
        </row>
        <row r="350">
          <cell r="DX350">
            <v>0</v>
          </cell>
          <cell r="DY350">
            <v>0</v>
          </cell>
          <cell r="DZ350">
            <v>1</v>
          </cell>
        </row>
        <row r="351">
          <cell r="DX351">
            <v>0</v>
          </cell>
          <cell r="DY351">
            <v>0</v>
          </cell>
          <cell r="DZ351">
            <v>1</v>
          </cell>
        </row>
        <row r="352">
          <cell r="DX352">
            <v>0</v>
          </cell>
          <cell r="DY352">
            <v>0</v>
          </cell>
          <cell r="DZ352">
            <v>1</v>
          </cell>
        </row>
        <row r="353">
          <cell r="DX353">
            <v>0</v>
          </cell>
          <cell r="DY353">
            <v>0</v>
          </cell>
          <cell r="DZ353">
            <v>1</v>
          </cell>
        </row>
        <row r="354">
          <cell r="DX354">
            <v>0</v>
          </cell>
          <cell r="DY354">
            <v>0</v>
          </cell>
          <cell r="DZ354">
            <v>1</v>
          </cell>
        </row>
        <row r="355">
          <cell r="DX355">
            <v>0</v>
          </cell>
          <cell r="DY355">
            <v>0</v>
          </cell>
          <cell r="DZ355">
            <v>1</v>
          </cell>
        </row>
        <row r="356">
          <cell r="DX356">
            <v>0</v>
          </cell>
          <cell r="DY356">
            <v>0</v>
          </cell>
          <cell r="DZ356">
            <v>1</v>
          </cell>
        </row>
        <row r="357">
          <cell r="DX357">
            <v>0</v>
          </cell>
          <cell r="DY357">
            <v>0</v>
          </cell>
          <cell r="DZ357">
            <v>1</v>
          </cell>
        </row>
        <row r="358">
          <cell r="DX358">
            <v>0</v>
          </cell>
          <cell r="DY358">
            <v>0</v>
          </cell>
          <cell r="DZ358">
            <v>1</v>
          </cell>
        </row>
        <row r="359">
          <cell r="DX359">
            <v>0</v>
          </cell>
          <cell r="DY359">
            <v>0</v>
          </cell>
          <cell r="DZ359">
            <v>1</v>
          </cell>
        </row>
        <row r="360">
          <cell r="DX360">
            <v>0</v>
          </cell>
          <cell r="DY360">
            <v>0</v>
          </cell>
          <cell r="DZ360">
            <v>0</v>
          </cell>
        </row>
        <row r="361">
          <cell r="DX361">
            <v>0</v>
          </cell>
          <cell r="DY361">
            <v>0</v>
          </cell>
          <cell r="DZ361">
            <v>1</v>
          </cell>
        </row>
        <row r="362">
          <cell r="DX362">
            <v>0</v>
          </cell>
          <cell r="DY362">
            <v>0</v>
          </cell>
          <cell r="DZ362">
            <v>0</v>
          </cell>
        </row>
        <row r="363">
          <cell r="DX363">
            <v>0</v>
          </cell>
          <cell r="DY363">
            <v>0</v>
          </cell>
          <cell r="DZ363">
            <v>1</v>
          </cell>
        </row>
        <row r="364">
          <cell r="DX364">
            <v>0</v>
          </cell>
          <cell r="DY364">
            <v>0</v>
          </cell>
          <cell r="DZ364">
            <v>1</v>
          </cell>
        </row>
        <row r="365">
          <cell r="DX365">
            <v>0</v>
          </cell>
          <cell r="DY365">
            <v>0</v>
          </cell>
          <cell r="DZ365">
            <v>1</v>
          </cell>
        </row>
        <row r="366">
          <cell r="DX366">
            <v>0</v>
          </cell>
          <cell r="DY366">
            <v>0</v>
          </cell>
          <cell r="DZ366">
            <v>1</v>
          </cell>
        </row>
        <row r="367">
          <cell r="DX367">
            <v>0</v>
          </cell>
          <cell r="DY367">
            <v>0</v>
          </cell>
          <cell r="DZ367">
            <v>1</v>
          </cell>
        </row>
        <row r="368">
          <cell r="DX368">
            <v>0</v>
          </cell>
          <cell r="DY368">
            <v>0</v>
          </cell>
          <cell r="DZ368">
            <v>1</v>
          </cell>
        </row>
        <row r="369">
          <cell r="DX369">
            <v>0</v>
          </cell>
          <cell r="DY369">
            <v>0</v>
          </cell>
          <cell r="DZ369">
            <v>1</v>
          </cell>
        </row>
        <row r="370">
          <cell r="DX370">
            <v>0</v>
          </cell>
          <cell r="DY370">
            <v>0</v>
          </cell>
          <cell r="DZ370">
            <v>1</v>
          </cell>
        </row>
        <row r="371">
          <cell r="DX371">
            <v>0</v>
          </cell>
          <cell r="DY371">
            <v>0</v>
          </cell>
          <cell r="DZ371">
            <v>1</v>
          </cell>
        </row>
        <row r="372">
          <cell r="DX372">
            <v>0</v>
          </cell>
          <cell r="DY372">
            <v>0</v>
          </cell>
          <cell r="DZ372">
            <v>1</v>
          </cell>
        </row>
        <row r="373">
          <cell r="DX373">
            <v>0</v>
          </cell>
          <cell r="DY373">
            <v>0</v>
          </cell>
          <cell r="DZ373">
            <v>0</v>
          </cell>
        </row>
        <row r="374">
          <cell r="DX374">
            <v>0</v>
          </cell>
          <cell r="DY374">
            <v>0</v>
          </cell>
          <cell r="DZ374">
            <v>1</v>
          </cell>
        </row>
        <row r="375">
          <cell r="DX375">
            <v>0</v>
          </cell>
          <cell r="DY375">
            <v>0</v>
          </cell>
          <cell r="DZ375">
            <v>0</v>
          </cell>
        </row>
        <row r="376">
          <cell r="DX376">
            <v>0</v>
          </cell>
          <cell r="DY376">
            <v>0</v>
          </cell>
          <cell r="DZ376">
            <v>1</v>
          </cell>
        </row>
        <row r="377">
          <cell r="DX377">
            <v>0</v>
          </cell>
          <cell r="DY377">
            <v>0</v>
          </cell>
          <cell r="DZ377">
            <v>1</v>
          </cell>
        </row>
        <row r="378">
          <cell r="DX378">
            <v>0</v>
          </cell>
          <cell r="DY378">
            <v>0</v>
          </cell>
          <cell r="DZ378">
            <v>1</v>
          </cell>
        </row>
        <row r="379">
          <cell r="DX379">
            <v>0</v>
          </cell>
          <cell r="DY379">
            <v>0</v>
          </cell>
          <cell r="DZ379">
            <v>1</v>
          </cell>
        </row>
        <row r="380">
          <cell r="DX380">
            <v>0</v>
          </cell>
          <cell r="DY380">
            <v>0</v>
          </cell>
          <cell r="DZ380">
            <v>1</v>
          </cell>
        </row>
        <row r="381">
          <cell r="DX381">
            <v>0</v>
          </cell>
          <cell r="DY381">
            <v>0</v>
          </cell>
          <cell r="DZ381">
            <v>1</v>
          </cell>
        </row>
        <row r="382">
          <cell r="DX382">
            <v>0</v>
          </cell>
          <cell r="DY382">
            <v>0</v>
          </cell>
          <cell r="DZ382">
            <v>1</v>
          </cell>
        </row>
        <row r="383">
          <cell r="DX383">
            <v>0</v>
          </cell>
          <cell r="DY383">
            <v>0</v>
          </cell>
          <cell r="DZ383">
            <v>1</v>
          </cell>
        </row>
        <row r="384">
          <cell r="DX384">
            <v>0</v>
          </cell>
          <cell r="DY384">
            <v>0</v>
          </cell>
          <cell r="DZ384">
            <v>1</v>
          </cell>
        </row>
        <row r="385">
          <cell r="DX385">
            <v>0</v>
          </cell>
          <cell r="DY385">
            <v>0</v>
          </cell>
          <cell r="DZ385">
            <v>1</v>
          </cell>
        </row>
        <row r="386">
          <cell r="DX386">
            <v>0</v>
          </cell>
          <cell r="DY386">
            <v>0</v>
          </cell>
          <cell r="DZ386">
            <v>0</v>
          </cell>
        </row>
        <row r="387">
          <cell r="DX387">
            <v>0</v>
          </cell>
          <cell r="DY387">
            <v>0</v>
          </cell>
          <cell r="DZ387">
            <v>1</v>
          </cell>
        </row>
        <row r="388">
          <cell r="DX388">
            <v>0</v>
          </cell>
          <cell r="DY388">
            <v>0</v>
          </cell>
          <cell r="DZ388">
            <v>0</v>
          </cell>
        </row>
        <row r="389">
          <cell r="DX389">
            <v>0</v>
          </cell>
          <cell r="DY389">
            <v>0</v>
          </cell>
          <cell r="DZ389">
            <v>1</v>
          </cell>
        </row>
        <row r="390">
          <cell r="DX390">
            <v>0</v>
          </cell>
          <cell r="DY390">
            <v>0</v>
          </cell>
          <cell r="DZ390">
            <v>1</v>
          </cell>
        </row>
        <row r="391">
          <cell r="DX391">
            <v>0</v>
          </cell>
          <cell r="DY391">
            <v>0</v>
          </cell>
          <cell r="DZ391">
            <v>1</v>
          </cell>
        </row>
        <row r="392">
          <cell r="DX392">
            <v>0</v>
          </cell>
          <cell r="DY392">
            <v>0</v>
          </cell>
          <cell r="DZ392">
            <v>1</v>
          </cell>
        </row>
        <row r="393">
          <cell r="DX393">
            <v>0</v>
          </cell>
          <cell r="DY393">
            <v>0</v>
          </cell>
          <cell r="DZ393">
            <v>1</v>
          </cell>
        </row>
        <row r="394">
          <cell r="DX394">
            <v>0</v>
          </cell>
          <cell r="DY394">
            <v>0</v>
          </cell>
          <cell r="DZ394">
            <v>1</v>
          </cell>
        </row>
        <row r="395">
          <cell r="DX395">
            <v>0</v>
          </cell>
          <cell r="DY395">
            <v>0</v>
          </cell>
          <cell r="DZ395">
            <v>1</v>
          </cell>
        </row>
        <row r="396">
          <cell r="DX396">
            <v>0</v>
          </cell>
          <cell r="DY396">
            <v>0</v>
          </cell>
          <cell r="DZ396">
            <v>1</v>
          </cell>
        </row>
        <row r="397">
          <cell r="DX397">
            <v>0</v>
          </cell>
          <cell r="DY397">
            <v>0</v>
          </cell>
          <cell r="DZ397">
            <v>1</v>
          </cell>
        </row>
        <row r="398">
          <cell r="DX398">
            <v>0</v>
          </cell>
          <cell r="DY398">
            <v>0</v>
          </cell>
          <cell r="DZ398">
            <v>1</v>
          </cell>
        </row>
        <row r="400">
          <cell r="DX400">
            <v>0</v>
          </cell>
          <cell r="DY400">
            <v>0</v>
          </cell>
          <cell r="DZ400">
            <v>1</v>
          </cell>
        </row>
        <row r="401">
          <cell r="DX401">
            <v>0</v>
          </cell>
          <cell r="DY401">
            <v>0</v>
          </cell>
          <cell r="DZ401">
            <v>0</v>
          </cell>
        </row>
        <row r="402">
          <cell r="DX402">
            <v>0</v>
          </cell>
          <cell r="DY402">
            <v>0</v>
          </cell>
          <cell r="DZ402">
            <v>1</v>
          </cell>
        </row>
        <row r="403">
          <cell r="DX403">
            <v>0</v>
          </cell>
          <cell r="DY403">
            <v>0</v>
          </cell>
          <cell r="DZ403">
            <v>1</v>
          </cell>
        </row>
        <row r="404">
          <cell r="DX404">
            <v>0</v>
          </cell>
          <cell r="DY404">
            <v>0</v>
          </cell>
          <cell r="DZ404">
            <v>1</v>
          </cell>
        </row>
        <row r="405">
          <cell r="DX405">
            <v>0</v>
          </cell>
          <cell r="DY405">
            <v>0</v>
          </cell>
          <cell r="DZ405">
            <v>1</v>
          </cell>
        </row>
        <row r="406">
          <cell r="DX406">
            <v>0</v>
          </cell>
          <cell r="DY406">
            <v>0</v>
          </cell>
          <cell r="DZ406">
            <v>1</v>
          </cell>
        </row>
        <row r="407">
          <cell r="DX407">
            <v>0</v>
          </cell>
          <cell r="DY407">
            <v>0</v>
          </cell>
          <cell r="DZ407">
            <v>1</v>
          </cell>
        </row>
        <row r="408">
          <cell r="DX408">
            <v>0</v>
          </cell>
          <cell r="DY408">
            <v>0</v>
          </cell>
          <cell r="DZ408">
            <v>1</v>
          </cell>
        </row>
        <row r="409">
          <cell r="DX409">
            <v>0</v>
          </cell>
          <cell r="DY409">
            <v>0</v>
          </cell>
          <cell r="DZ409">
            <v>1</v>
          </cell>
        </row>
        <row r="410">
          <cell r="DX410">
            <v>0</v>
          </cell>
          <cell r="DY410">
            <v>0</v>
          </cell>
          <cell r="DZ410">
            <v>1</v>
          </cell>
        </row>
        <row r="411">
          <cell r="DX411">
            <v>0</v>
          </cell>
          <cell r="DY411">
            <v>0</v>
          </cell>
          <cell r="DZ411">
            <v>1</v>
          </cell>
        </row>
        <row r="412">
          <cell r="DX412">
            <v>0</v>
          </cell>
          <cell r="DY412">
            <v>0</v>
          </cell>
          <cell r="DZ412">
            <v>0</v>
          </cell>
        </row>
        <row r="413">
          <cell r="DX413">
            <v>0</v>
          </cell>
          <cell r="DY413">
            <v>0</v>
          </cell>
          <cell r="DZ413">
            <v>1</v>
          </cell>
        </row>
        <row r="414">
          <cell r="DX414">
            <v>0</v>
          </cell>
          <cell r="DY414">
            <v>0</v>
          </cell>
          <cell r="DZ414">
            <v>0</v>
          </cell>
        </row>
        <row r="415">
          <cell r="DX415">
            <v>0</v>
          </cell>
          <cell r="DY415">
            <v>0</v>
          </cell>
          <cell r="DZ415">
            <v>1</v>
          </cell>
        </row>
        <row r="416">
          <cell r="DX416">
            <v>0</v>
          </cell>
          <cell r="DY416">
            <v>0</v>
          </cell>
          <cell r="DZ416">
            <v>1</v>
          </cell>
        </row>
        <row r="417">
          <cell r="DX417">
            <v>0</v>
          </cell>
          <cell r="DY417">
            <v>0</v>
          </cell>
          <cell r="DZ417">
            <v>1</v>
          </cell>
        </row>
        <row r="418">
          <cell r="DX418">
            <v>0</v>
          </cell>
          <cell r="DY418">
            <v>0</v>
          </cell>
          <cell r="DZ418">
            <v>1</v>
          </cell>
        </row>
        <row r="419">
          <cell r="DX419">
            <v>0</v>
          </cell>
          <cell r="DY419">
            <v>0</v>
          </cell>
          <cell r="DZ419">
            <v>1</v>
          </cell>
        </row>
        <row r="420">
          <cell r="DX420">
            <v>0</v>
          </cell>
          <cell r="DY420">
            <v>0</v>
          </cell>
          <cell r="DZ420">
            <v>1</v>
          </cell>
        </row>
        <row r="421">
          <cell r="DX421">
            <v>0</v>
          </cell>
          <cell r="DY421">
            <v>0</v>
          </cell>
          <cell r="DZ421">
            <v>1</v>
          </cell>
        </row>
        <row r="422">
          <cell r="DX422">
            <v>0</v>
          </cell>
          <cell r="DY422">
            <v>0</v>
          </cell>
          <cell r="DZ422">
            <v>1</v>
          </cell>
        </row>
        <row r="423">
          <cell r="DX423">
            <v>0</v>
          </cell>
          <cell r="DY423">
            <v>0</v>
          </cell>
          <cell r="DZ423">
            <v>1</v>
          </cell>
        </row>
        <row r="424">
          <cell r="DX424">
            <v>0</v>
          </cell>
          <cell r="DY424">
            <v>0</v>
          </cell>
          <cell r="DZ424">
            <v>1</v>
          </cell>
        </row>
        <row r="425">
          <cell r="DX425">
            <v>0</v>
          </cell>
          <cell r="DY425">
            <v>0</v>
          </cell>
          <cell r="DZ425">
            <v>0</v>
          </cell>
        </row>
        <row r="426">
          <cell r="DX426">
            <v>0</v>
          </cell>
          <cell r="DY426">
            <v>0</v>
          </cell>
          <cell r="DZ426">
            <v>1</v>
          </cell>
        </row>
        <row r="427">
          <cell r="DX427">
            <v>0</v>
          </cell>
          <cell r="DY427">
            <v>0</v>
          </cell>
          <cell r="DZ427">
            <v>0</v>
          </cell>
        </row>
        <row r="428">
          <cell r="DX428">
            <v>0</v>
          </cell>
          <cell r="DY428">
            <v>0</v>
          </cell>
          <cell r="DZ428">
            <v>1</v>
          </cell>
        </row>
        <row r="429">
          <cell r="DX429">
            <v>0</v>
          </cell>
          <cell r="DY429">
            <v>0</v>
          </cell>
          <cell r="DZ429">
            <v>1</v>
          </cell>
        </row>
        <row r="430">
          <cell r="DX430">
            <v>0</v>
          </cell>
          <cell r="DY430">
            <v>0</v>
          </cell>
          <cell r="DZ430">
            <v>1</v>
          </cell>
        </row>
        <row r="431">
          <cell r="DX431">
            <v>0</v>
          </cell>
          <cell r="DY431">
            <v>0</v>
          </cell>
          <cell r="DZ431">
            <v>1</v>
          </cell>
        </row>
        <row r="432">
          <cell r="DX432">
            <v>0</v>
          </cell>
          <cell r="DY432">
            <v>0</v>
          </cell>
          <cell r="DZ432">
            <v>1</v>
          </cell>
        </row>
        <row r="433">
          <cell r="DX433">
            <v>0</v>
          </cell>
          <cell r="DY433">
            <v>0</v>
          </cell>
          <cell r="DZ433">
            <v>1</v>
          </cell>
        </row>
        <row r="434">
          <cell r="DX434">
            <v>0</v>
          </cell>
          <cell r="DY434">
            <v>0</v>
          </cell>
          <cell r="DZ434">
            <v>1</v>
          </cell>
        </row>
        <row r="435">
          <cell r="DX435">
            <v>0</v>
          </cell>
          <cell r="DY435">
            <v>0</v>
          </cell>
          <cell r="DZ435">
            <v>1</v>
          </cell>
        </row>
        <row r="436">
          <cell r="DX436">
            <v>0</v>
          </cell>
          <cell r="DY436">
            <v>0</v>
          </cell>
          <cell r="DZ436">
            <v>1</v>
          </cell>
        </row>
        <row r="437">
          <cell r="DX437">
            <v>0</v>
          </cell>
          <cell r="DY437">
            <v>0</v>
          </cell>
          <cell r="DZ437">
            <v>1</v>
          </cell>
        </row>
        <row r="439">
          <cell r="DX439">
            <v>0</v>
          </cell>
          <cell r="DY439">
            <v>0</v>
          </cell>
          <cell r="DZ439">
            <v>1</v>
          </cell>
        </row>
        <row r="440">
          <cell r="DX440">
            <v>0</v>
          </cell>
          <cell r="DY440">
            <v>0</v>
          </cell>
          <cell r="DZ440">
            <v>0</v>
          </cell>
        </row>
        <row r="441">
          <cell r="DX441">
            <v>0</v>
          </cell>
          <cell r="DY441">
            <v>0</v>
          </cell>
          <cell r="DZ441">
            <v>1</v>
          </cell>
        </row>
        <row r="442">
          <cell r="DX442">
            <v>0</v>
          </cell>
          <cell r="DY442">
            <v>0</v>
          </cell>
          <cell r="DZ442">
            <v>1</v>
          </cell>
        </row>
        <row r="443">
          <cell r="DX443">
            <v>0</v>
          </cell>
          <cell r="DY443">
            <v>0</v>
          </cell>
          <cell r="DZ443">
            <v>1</v>
          </cell>
        </row>
        <row r="444">
          <cell r="DX444">
            <v>0</v>
          </cell>
          <cell r="DY444">
            <v>0</v>
          </cell>
          <cell r="DZ444">
            <v>1</v>
          </cell>
        </row>
        <row r="445">
          <cell r="DX445">
            <v>0</v>
          </cell>
          <cell r="DY445">
            <v>0</v>
          </cell>
          <cell r="DZ445">
            <v>1</v>
          </cell>
        </row>
        <row r="446">
          <cell r="DX446">
            <v>0</v>
          </cell>
          <cell r="DY446">
            <v>0</v>
          </cell>
          <cell r="DZ446">
            <v>1</v>
          </cell>
        </row>
        <row r="447">
          <cell r="DX447">
            <v>0</v>
          </cell>
          <cell r="DY447">
            <v>0</v>
          </cell>
          <cell r="DZ447">
            <v>1</v>
          </cell>
        </row>
        <row r="448">
          <cell r="DX448">
            <v>0</v>
          </cell>
          <cell r="DY448">
            <v>0</v>
          </cell>
          <cell r="DZ448">
            <v>1</v>
          </cell>
        </row>
        <row r="449">
          <cell r="DX449">
            <v>0</v>
          </cell>
          <cell r="DY449">
            <v>0</v>
          </cell>
          <cell r="DZ449">
            <v>1</v>
          </cell>
        </row>
        <row r="450">
          <cell r="DX450">
            <v>0</v>
          </cell>
          <cell r="DY450">
            <v>0</v>
          </cell>
          <cell r="DZ450">
            <v>1</v>
          </cell>
        </row>
        <row r="451">
          <cell r="DX451">
            <v>0</v>
          </cell>
          <cell r="DY451">
            <v>0</v>
          </cell>
          <cell r="DZ451">
            <v>0</v>
          </cell>
        </row>
        <row r="452">
          <cell r="DX452">
            <v>0</v>
          </cell>
          <cell r="DY452">
            <v>0</v>
          </cell>
          <cell r="DZ452">
            <v>1</v>
          </cell>
        </row>
        <row r="453">
          <cell r="DX453">
            <v>0</v>
          </cell>
          <cell r="DY453">
            <v>0</v>
          </cell>
          <cell r="DZ453">
            <v>0</v>
          </cell>
        </row>
        <row r="454">
          <cell r="DX454">
            <v>0</v>
          </cell>
          <cell r="DY454">
            <v>0</v>
          </cell>
          <cell r="DZ454">
            <v>1</v>
          </cell>
        </row>
        <row r="455">
          <cell r="DX455">
            <v>0</v>
          </cell>
          <cell r="DY455">
            <v>0</v>
          </cell>
          <cell r="DZ455">
            <v>1</v>
          </cell>
        </row>
        <row r="456">
          <cell r="DX456">
            <v>0</v>
          </cell>
          <cell r="DY456">
            <v>0</v>
          </cell>
          <cell r="DZ456">
            <v>1</v>
          </cell>
        </row>
        <row r="457">
          <cell r="DX457">
            <v>0</v>
          </cell>
          <cell r="DY457">
            <v>0</v>
          </cell>
          <cell r="DZ457">
            <v>1</v>
          </cell>
        </row>
        <row r="458">
          <cell r="DX458">
            <v>0</v>
          </cell>
          <cell r="DY458">
            <v>0</v>
          </cell>
          <cell r="DZ458">
            <v>1</v>
          </cell>
        </row>
        <row r="459">
          <cell r="DX459">
            <v>0</v>
          </cell>
          <cell r="DY459">
            <v>0</v>
          </cell>
          <cell r="DZ459">
            <v>1</v>
          </cell>
        </row>
        <row r="460">
          <cell r="DX460">
            <v>0</v>
          </cell>
          <cell r="DY460">
            <v>0</v>
          </cell>
          <cell r="DZ460">
            <v>1</v>
          </cell>
        </row>
        <row r="461">
          <cell r="DX461">
            <v>0</v>
          </cell>
          <cell r="DY461">
            <v>0</v>
          </cell>
          <cell r="DZ461">
            <v>1</v>
          </cell>
        </row>
        <row r="462">
          <cell r="DX462">
            <v>0</v>
          </cell>
          <cell r="DY462">
            <v>0</v>
          </cell>
          <cell r="DZ462">
            <v>1</v>
          </cell>
        </row>
        <row r="463">
          <cell r="DX463">
            <v>0</v>
          </cell>
          <cell r="DY463">
            <v>0</v>
          </cell>
          <cell r="DZ463">
            <v>1</v>
          </cell>
        </row>
        <row r="465">
          <cell r="DX465">
            <v>0</v>
          </cell>
          <cell r="DY465">
            <v>0</v>
          </cell>
          <cell r="DZ465">
            <v>1</v>
          </cell>
        </row>
        <row r="466">
          <cell r="DX466">
            <v>0</v>
          </cell>
          <cell r="DY466">
            <v>0</v>
          </cell>
          <cell r="DZ466">
            <v>0</v>
          </cell>
        </row>
        <row r="467">
          <cell r="DX467">
            <v>0</v>
          </cell>
          <cell r="DY467">
            <v>0</v>
          </cell>
          <cell r="DZ467">
            <v>1</v>
          </cell>
        </row>
        <row r="468">
          <cell r="DX468">
            <v>0</v>
          </cell>
          <cell r="DY468">
            <v>0</v>
          </cell>
          <cell r="DZ468">
            <v>1</v>
          </cell>
        </row>
        <row r="469">
          <cell r="DX469">
            <v>0</v>
          </cell>
          <cell r="DY469">
            <v>0</v>
          </cell>
          <cell r="DZ469">
            <v>1</v>
          </cell>
        </row>
        <row r="470">
          <cell r="DX470">
            <v>0</v>
          </cell>
          <cell r="DY470">
            <v>0</v>
          </cell>
          <cell r="DZ470">
            <v>1</v>
          </cell>
        </row>
        <row r="471">
          <cell r="DX471">
            <v>0</v>
          </cell>
          <cell r="DY471">
            <v>0</v>
          </cell>
          <cell r="DZ471">
            <v>1</v>
          </cell>
        </row>
        <row r="472">
          <cell r="DX472">
            <v>0</v>
          </cell>
          <cell r="DY472">
            <v>0</v>
          </cell>
          <cell r="DZ472">
            <v>1</v>
          </cell>
        </row>
        <row r="473">
          <cell r="DX473">
            <v>0</v>
          </cell>
          <cell r="DY473">
            <v>0</v>
          </cell>
          <cell r="DZ473">
            <v>1</v>
          </cell>
        </row>
        <row r="474">
          <cell r="DX474">
            <v>0</v>
          </cell>
          <cell r="DY474">
            <v>0</v>
          </cell>
          <cell r="DZ474">
            <v>1</v>
          </cell>
        </row>
        <row r="475">
          <cell r="DX475">
            <v>0</v>
          </cell>
          <cell r="DY475">
            <v>0</v>
          </cell>
          <cell r="DZ475">
            <v>1</v>
          </cell>
        </row>
        <row r="476">
          <cell r="DX476">
            <v>0</v>
          </cell>
          <cell r="DY476">
            <v>0</v>
          </cell>
          <cell r="DZ476">
            <v>1</v>
          </cell>
        </row>
        <row r="478">
          <cell r="DX478">
            <v>0</v>
          </cell>
          <cell r="DY478">
            <v>0</v>
          </cell>
          <cell r="DZ478">
            <v>1</v>
          </cell>
        </row>
        <row r="479">
          <cell r="DX479">
            <v>0</v>
          </cell>
          <cell r="DY479">
            <v>0</v>
          </cell>
          <cell r="DZ479">
            <v>0</v>
          </cell>
        </row>
        <row r="480">
          <cell r="DX480">
            <v>0</v>
          </cell>
          <cell r="DY480">
            <v>0</v>
          </cell>
          <cell r="DZ480">
            <v>1</v>
          </cell>
        </row>
        <row r="481">
          <cell r="DX481">
            <v>0</v>
          </cell>
          <cell r="DY481">
            <v>0</v>
          </cell>
          <cell r="DZ481">
            <v>1</v>
          </cell>
        </row>
        <row r="482">
          <cell r="DX482">
            <v>0</v>
          </cell>
          <cell r="DY482">
            <v>0</v>
          </cell>
          <cell r="DZ482">
            <v>1</v>
          </cell>
        </row>
        <row r="483">
          <cell r="DX483">
            <v>0</v>
          </cell>
          <cell r="DY483">
            <v>0</v>
          </cell>
          <cell r="DZ483">
            <v>1</v>
          </cell>
        </row>
        <row r="484">
          <cell r="DX484">
            <v>0</v>
          </cell>
          <cell r="DY484">
            <v>0</v>
          </cell>
          <cell r="DZ484">
            <v>1</v>
          </cell>
        </row>
        <row r="485">
          <cell r="DX485">
            <v>0</v>
          </cell>
          <cell r="DY485">
            <v>0</v>
          </cell>
          <cell r="DZ485">
            <v>1</v>
          </cell>
        </row>
        <row r="486">
          <cell r="DX486">
            <v>0</v>
          </cell>
          <cell r="DY486">
            <v>0</v>
          </cell>
          <cell r="DZ486">
            <v>1</v>
          </cell>
        </row>
        <row r="487">
          <cell r="DX487">
            <v>0</v>
          </cell>
          <cell r="DY487">
            <v>0</v>
          </cell>
          <cell r="DZ487">
            <v>1</v>
          </cell>
        </row>
        <row r="488">
          <cell r="DX488">
            <v>0</v>
          </cell>
          <cell r="DY488">
            <v>0</v>
          </cell>
          <cell r="DZ488">
            <v>1</v>
          </cell>
        </row>
        <row r="489">
          <cell r="DX489">
            <v>0</v>
          </cell>
          <cell r="DY489">
            <v>0</v>
          </cell>
          <cell r="DZ489">
            <v>1</v>
          </cell>
        </row>
        <row r="491">
          <cell r="DX491">
            <v>0</v>
          </cell>
          <cell r="DY491">
            <v>0</v>
          </cell>
          <cell r="DZ491">
            <v>1</v>
          </cell>
        </row>
        <row r="492">
          <cell r="DX492">
            <v>0</v>
          </cell>
          <cell r="DY492">
            <v>0</v>
          </cell>
          <cell r="DZ492">
            <v>0</v>
          </cell>
        </row>
        <row r="493">
          <cell r="DX493">
            <v>0</v>
          </cell>
          <cell r="DY493">
            <v>0</v>
          </cell>
          <cell r="DZ493">
            <v>1</v>
          </cell>
        </row>
        <row r="494">
          <cell r="DX494">
            <v>0</v>
          </cell>
          <cell r="DY494">
            <v>0</v>
          </cell>
          <cell r="DZ494">
            <v>1</v>
          </cell>
        </row>
        <row r="495">
          <cell r="DX495">
            <v>0</v>
          </cell>
          <cell r="DY495">
            <v>0</v>
          </cell>
          <cell r="DZ495">
            <v>1</v>
          </cell>
        </row>
        <row r="496">
          <cell r="DX496">
            <v>0</v>
          </cell>
          <cell r="DY496">
            <v>0</v>
          </cell>
          <cell r="DZ496">
            <v>1</v>
          </cell>
        </row>
        <row r="497">
          <cell r="DX497">
            <v>0</v>
          </cell>
          <cell r="DY497">
            <v>0</v>
          </cell>
          <cell r="DZ497">
            <v>1</v>
          </cell>
        </row>
        <row r="498">
          <cell r="DX498">
            <v>0</v>
          </cell>
          <cell r="DY498">
            <v>0</v>
          </cell>
          <cell r="DZ498">
            <v>1</v>
          </cell>
        </row>
        <row r="499">
          <cell r="DX499">
            <v>0</v>
          </cell>
          <cell r="DY499">
            <v>0</v>
          </cell>
          <cell r="DZ499">
            <v>1</v>
          </cell>
        </row>
        <row r="500">
          <cell r="DX500">
            <v>0</v>
          </cell>
          <cell r="DY500">
            <v>0</v>
          </cell>
          <cell r="DZ500">
            <v>1</v>
          </cell>
        </row>
        <row r="501">
          <cell r="DX501">
            <v>0</v>
          </cell>
          <cell r="DY501">
            <v>0</v>
          </cell>
          <cell r="DZ501">
            <v>1</v>
          </cell>
        </row>
        <row r="502">
          <cell r="DX502">
            <v>0</v>
          </cell>
          <cell r="DY502">
            <v>0</v>
          </cell>
          <cell r="DZ502">
            <v>1</v>
          </cell>
        </row>
        <row r="504">
          <cell r="DX504">
            <v>0</v>
          </cell>
          <cell r="DY504">
            <v>0</v>
          </cell>
          <cell r="DZ504">
            <v>1</v>
          </cell>
        </row>
        <row r="505">
          <cell r="DX505">
            <v>0</v>
          </cell>
          <cell r="DY505">
            <v>0</v>
          </cell>
          <cell r="DZ505">
            <v>0</v>
          </cell>
        </row>
        <row r="506">
          <cell r="DX506">
            <v>0</v>
          </cell>
          <cell r="DY506">
            <v>0</v>
          </cell>
          <cell r="DZ506">
            <v>1</v>
          </cell>
        </row>
        <row r="507">
          <cell r="DX507">
            <v>0</v>
          </cell>
          <cell r="DY507">
            <v>0</v>
          </cell>
          <cell r="DZ507">
            <v>1</v>
          </cell>
        </row>
        <row r="508">
          <cell r="DX508">
            <v>0</v>
          </cell>
          <cell r="DY508">
            <v>0</v>
          </cell>
          <cell r="DZ508">
            <v>1</v>
          </cell>
        </row>
        <row r="509">
          <cell r="DX509">
            <v>0</v>
          </cell>
          <cell r="DY509">
            <v>0</v>
          </cell>
          <cell r="DZ509">
            <v>1</v>
          </cell>
        </row>
        <row r="510">
          <cell r="DX510">
            <v>0</v>
          </cell>
          <cell r="DY510">
            <v>0</v>
          </cell>
          <cell r="DZ510">
            <v>1</v>
          </cell>
        </row>
        <row r="511">
          <cell r="DX511">
            <v>0</v>
          </cell>
          <cell r="DY511">
            <v>0</v>
          </cell>
          <cell r="DZ511">
            <v>1</v>
          </cell>
        </row>
        <row r="512">
          <cell r="DX512">
            <v>0</v>
          </cell>
          <cell r="DY512">
            <v>0</v>
          </cell>
          <cell r="DZ512">
            <v>1</v>
          </cell>
        </row>
        <row r="513">
          <cell r="DX513">
            <v>0</v>
          </cell>
          <cell r="DY513">
            <v>0</v>
          </cell>
          <cell r="DZ513">
            <v>1</v>
          </cell>
        </row>
        <row r="514">
          <cell r="DX514">
            <v>0</v>
          </cell>
          <cell r="DY514">
            <v>0</v>
          </cell>
          <cell r="DZ514">
            <v>1</v>
          </cell>
        </row>
        <row r="515">
          <cell r="DX515">
            <v>0</v>
          </cell>
          <cell r="DY515">
            <v>0</v>
          </cell>
          <cell r="DZ515">
            <v>1</v>
          </cell>
        </row>
        <row r="517">
          <cell r="DX517">
            <v>0</v>
          </cell>
          <cell r="DY517">
            <v>0</v>
          </cell>
          <cell r="DZ517">
            <v>1</v>
          </cell>
        </row>
        <row r="518">
          <cell r="DX518">
            <v>0</v>
          </cell>
          <cell r="DY518">
            <v>0</v>
          </cell>
          <cell r="DZ518">
            <v>0</v>
          </cell>
        </row>
        <row r="519">
          <cell r="DX519">
            <v>0</v>
          </cell>
          <cell r="DY519">
            <v>0</v>
          </cell>
          <cell r="DZ519">
            <v>1</v>
          </cell>
        </row>
        <row r="520">
          <cell r="DX520">
            <v>0</v>
          </cell>
          <cell r="DY520">
            <v>0</v>
          </cell>
          <cell r="DZ520">
            <v>1</v>
          </cell>
        </row>
        <row r="521">
          <cell r="DX521">
            <v>0</v>
          </cell>
          <cell r="DY521">
            <v>0</v>
          </cell>
          <cell r="DZ521">
            <v>1</v>
          </cell>
        </row>
        <row r="522">
          <cell r="DX522">
            <v>0</v>
          </cell>
          <cell r="DY522">
            <v>0</v>
          </cell>
          <cell r="DZ522">
            <v>1</v>
          </cell>
        </row>
        <row r="523">
          <cell r="DX523">
            <v>0</v>
          </cell>
          <cell r="DY523">
            <v>0</v>
          </cell>
          <cell r="DZ523">
            <v>1</v>
          </cell>
        </row>
        <row r="524">
          <cell r="DX524">
            <v>0</v>
          </cell>
          <cell r="DY524">
            <v>0</v>
          </cell>
          <cell r="DZ524">
            <v>1</v>
          </cell>
        </row>
        <row r="525">
          <cell r="DX525">
            <v>0</v>
          </cell>
          <cell r="DY525">
            <v>0</v>
          </cell>
          <cell r="DZ525">
            <v>1</v>
          </cell>
        </row>
        <row r="526">
          <cell r="DX526">
            <v>0</v>
          </cell>
          <cell r="DY526">
            <v>0</v>
          </cell>
          <cell r="DZ526">
            <v>1</v>
          </cell>
        </row>
        <row r="527">
          <cell r="DX527">
            <v>0</v>
          </cell>
          <cell r="DY527">
            <v>0</v>
          </cell>
          <cell r="DZ527">
            <v>1</v>
          </cell>
        </row>
        <row r="528">
          <cell r="DX528">
            <v>0</v>
          </cell>
          <cell r="DY528">
            <v>0</v>
          </cell>
          <cell r="DZ528">
            <v>1</v>
          </cell>
        </row>
        <row r="530">
          <cell r="DX530">
            <v>0</v>
          </cell>
          <cell r="DY530">
            <v>0</v>
          </cell>
          <cell r="DZ530">
            <v>1</v>
          </cell>
        </row>
        <row r="531">
          <cell r="DX531">
            <v>0</v>
          </cell>
          <cell r="DY531">
            <v>0</v>
          </cell>
          <cell r="DZ531">
            <v>0</v>
          </cell>
        </row>
        <row r="532">
          <cell r="DX532">
            <v>0</v>
          </cell>
          <cell r="DY532">
            <v>0</v>
          </cell>
          <cell r="DZ532">
            <v>1</v>
          </cell>
        </row>
        <row r="533">
          <cell r="DX533">
            <v>0</v>
          </cell>
          <cell r="DY533">
            <v>0</v>
          </cell>
          <cell r="DZ533">
            <v>1</v>
          </cell>
        </row>
        <row r="534">
          <cell r="DX534">
            <v>0</v>
          </cell>
          <cell r="DY534">
            <v>0</v>
          </cell>
          <cell r="DZ534">
            <v>1</v>
          </cell>
        </row>
        <row r="535">
          <cell r="DX535">
            <v>0</v>
          </cell>
          <cell r="DY535">
            <v>0</v>
          </cell>
          <cell r="DZ535">
            <v>1</v>
          </cell>
        </row>
        <row r="536">
          <cell r="DX536">
            <v>0</v>
          </cell>
          <cell r="DY536">
            <v>0</v>
          </cell>
          <cell r="DZ536">
            <v>1</v>
          </cell>
        </row>
        <row r="537">
          <cell r="DX537">
            <v>0</v>
          </cell>
          <cell r="DY537">
            <v>0</v>
          </cell>
          <cell r="DZ537">
            <v>1</v>
          </cell>
        </row>
        <row r="538">
          <cell r="DX538">
            <v>0</v>
          </cell>
          <cell r="DY538">
            <v>0</v>
          </cell>
          <cell r="DZ538">
            <v>1</v>
          </cell>
        </row>
        <row r="539">
          <cell r="DX539">
            <v>0</v>
          </cell>
          <cell r="DY539">
            <v>0</v>
          </cell>
          <cell r="DZ539">
            <v>1</v>
          </cell>
        </row>
        <row r="540">
          <cell r="DX540">
            <v>0</v>
          </cell>
          <cell r="DY540">
            <v>0</v>
          </cell>
          <cell r="DZ540">
            <v>1</v>
          </cell>
        </row>
        <row r="541">
          <cell r="DX541">
            <v>0</v>
          </cell>
          <cell r="DY541">
            <v>0</v>
          </cell>
          <cell r="DZ541">
            <v>1</v>
          </cell>
        </row>
        <row r="543">
          <cell r="DX543">
            <v>0</v>
          </cell>
          <cell r="DY543">
            <v>0</v>
          </cell>
          <cell r="DZ543">
            <v>1</v>
          </cell>
        </row>
        <row r="544">
          <cell r="DX544">
            <v>0</v>
          </cell>
          <cell r="DY544">
            <v>0</v>
          </cell>
          <cell r="DZ544">
            <v>0</v>
          </cell>
        </row>
        <row r="545">
          <cell r="DX545">
            <v>0</v>
          </cell>
          <cell r="DY545">
            <v>0</v>
          </cell>
          <cell r="DZ545">
            <v>1</v>
          </cell>
        </row>
        <row r="546">
          <cell r="DX546">
            <v>0</v>
          </cell>
          <cell r="DY546">
            <v>0</v>
          </cell>
          <cell r="DZ546">
            <v>1</v>
          </cell>
        </row>
        <row r="547">
          <cell r="DX547">
            <v>0</v>
          </cell>
          <cell r="DY547">
            <v>0</v>
          </cell>
          <cell r="DZ547">
            <v>1</v>
          </cell>
        </row>
        <row r="548">
          <cell r="DX548">
            <v>0</v>
          </cell>
          <cell r="DY548">
            <v>0</v>
          </cell>
          <cell r="DZ548">
            <v>1</v>
          </cell>
        </row>
        <row r="549">
          <cell r="DX549">
            <v>0</v>
          </cell>
          <cell r="DY549">
            <v>0</v>
          </cell>
          <cell r="DZ549">
            <v>1</v>
          </cell>
        </row>
        <row r="550">
          <cell r="DX550">
            <v>0</v>
          </cell>
          <cell r="DY550">
            <v>0</v>
          </cell>
          <cell r="DZ550">
            <v>1</v>
          </cell>
        </row>
        <row r="551">
          <cell r="DX551">
            <v>0</v>
          </cell>
          <cell r="DY551">
            <v>0</v>
          </cell>
          <cell r="DZ551">
            <v>1</v>
          </cell>
        </row>
        <row r="552">
          <cell r="DX552">
            <v>0</v>
          </cell>
          <cell r="DY552">
            <v>0</v>
          </cell>
          <cell r="DZ552">
            <v>1</v>
          </cell>
        </row>
        <row r="553">
          <cell r="DX553">
            <v>0</v>
          </cell>
          <cell r="DY553">
            <v>0</v>
          </cell>
          <cell r="DZ553">
            <v>1</v>
          </cell>
        </row>
        <row r="554">
          <cell r="DX554">
            <v>0</v>
          </cell>
          <cell r="DY554">
            <v>0</v>
          </cell>
          <cell r="DZ554">
            <v>1</v>
          </cell>
        </row>
        <row r="556">
          <cell r="DX556">
            <v>0</v>
          </cell>
          <cell r="DY556">
            <v>0</v>
          </cell>
          <cell r="DZ556">
            <v>1</v>
          </cell>
        </row>
        <row r="557">
          <cell r="DX557">
            <v>0</v>
          </cell>
          <cell r="DY557">
            <v>0</v>
          </cell>
          <cell r="DZ557">
            <v>0</v>
          </cell>
        </row>
        <row r="558">
          <cell r="DX558">
            <v>0</v>
          </cell>
          <cell r="DY558">
            <v>0</v>
          </cell>
          <cell r="DZ558">
            <v>1</v>
          </cell>
        </row>
        <row r="559">
          <cell r="DX559">
            <v>0</v>
          </cell>
          <cell r="DY559">
            <v>0</v>
          </cell>
          <cell r="DZ559">
            <v>1</v>
          </cell>
        </row>
        <row r="560">
          <cell r="DX560">
            <v>0</v>
          </cell>
          <cell r="DY560">
            <v>0</v>
          </cell>
          <cell r="DZ560">
            <v>1</v>
          </cell>
        </row>
        <row r="561">
          <cell r="DX561">
            <v>0</v>
          </cell>
          <cell r="DY561">
            <v>0</v>
          </cell>
          <cell r="DZ561">
            <v>1</v>
          </cell>
        </row>
        <row r="562">
          <cell r="DX562">
            <v>0</v>
          </cell>
          <cell r="DY562">
            <v>0</v>
          </cell>
          <cell r="DZ562">
            <v>1</v>
          </cell>
        </row>
        <row r="563">
          <cell r="DX563">
            <v>0</v>
          </cell>
          <cell r="DY563">
            <v>0</v>
          </cell>
          <cell r="DZ563">
            <v>1</v>
          </cell>
        </row>
        <row r="564">
          <cell r="DX564">
            <v>0</v>
          </cell>
          <cell r="DY564">
            <v>0</v>
          </cell>
          <cell r="DZ564">
            <v>1</v>
          </cell>
        </row>
        <row r="565">
          <cell r="DX565">
            <v>0</v>
          </cell>
          <cell r="DY565">
            <v>0</v>
          </cell>
          <cell r="DZ565">
            <v>1</v>
          </cell>
        </row>
        <row r="566">
          <cell r="DX566">
            <v>0</v>
          </cell>
          <cell r="DY566">
            <v>0</v>
          </cell>
          <cell r="DZ566">
            <v>1</v>
          </cell>
        </row>
        <row r="567">
          <cell r="DX567">
            <v>0</v>
          </cell>
          <cell r="DY567">
            <v>0</v>
          </cell>
          <cell r="DZ567">
            <v>1</v>
          </cell>
        </row>
        <row r="569">
          <cell r="DX569">
            <v>0</v>
          </cell>
          <cell r="DY569">
            <v>0</v>
          </cell>
          <cell r="DZ569">
            <v>1</v>
          </cell>
        </row>
        <row r="570">
          <cell r="DX570">
            <v>0</v>
          </cell>
          <cell r="DY570">
            <v>0</v>
          </cell>
          <cell r="DZ570">
            <v>0</v>
          </cell>
        </row>
        <row r="571">
          <cell r="DX571">
            <v>0</v>
          </cell>
          <cell r="DY571">
            <v>0</v>
          </cell>
          <cell r="DZ571">
            <v>1</v>
          </cell>
        </row>
        <row r="572">
          <cell r="DX572">
            <v>0</v>
          </cell>
          <cell r="DY572">
            <v>0</v>
          </cell>
          <cell r="DZ572">
            <v>1</v>
          </cell>
        </row>
        <row r="573">
          <cell r="DX573">
            <v>0</v>
          </cell>
          <cell r="DY573">
            <v>0</v>
          </cell>
          <cell r="DZ573">
            <v>1</v>
          </cell>
        </row>
        <row r="574">
          <cell r="DX574">
            <v>0</v>
          </cell>
          <cell r="DY574">
            <v>0</v>
          </cell>
          <cell r="DZ574">
            <v>1</v>
          </cell>
        </row>
        <row r="575">
          <cell r="DX575">
            <v>0</v>
          </cell>
          <cell r="DY575">
            <v>0</v>
          </cell>
          <cell r="DZ575">
            <v>1</v>
          </cell>
        </row>
        <row r="576">
          <cell r="DX576">
            <v>0</v>
          </cell>
          <cell r="DY576">
            <v>0</v>
          </cell>
          <cell r="DZ576">
            <v>1</v>
          </cell>
        </row>
        <row r="577">
          <cell r="DX577">
            <v>0</v>
          </cell>
          <cell r="DY577">
            <v>0</v>
          </cell>
          <cell r="DZ577">
            <v>1</v>
          </cell>
        </row>
        <row r="578">
          <cell r="DX578">
            <v>0</v>
          </cell>
          <cell r="DY578">
            <v>0</v>
          </cell>
          <cell r="DZ578">
            <v>1</v>
          </cell>
        </row>
        <row r="579">
          <cell r="DX579">
            <v>0</v>
          </cell>
          <cell r="DY579">
            <v>0</v>
          </cell>
          <cell r="DZ579">
            <v>1</v>
          </cell>
        </row>
        <row r="580">
          <cell r="DX580">
            <v>0</v>
          </cell>
          <cell r="DY580">
            <v>0</v>
          </cell>
          <cell r="DZ580">
            <v>1</v>
          </cell>
        </row>
        <row r="582">
          <cell r="DX582">
            <v>0</v>
          </cell>
          <cell r="DY582">
            <v>0</v>
          </cell>
          <cell r="DZ582">
            <v>1</v>
          </cell>
        </row>
        <row r="583">
          <cell r="DX583">
            <v>0</v>
          </cell>
          <cell r="DY583">
            <v>0</v>
          </cell>
          <cell r="DZ583">
            <v>0</v>
          </cell>
        </row>
        <row r="584">
          <cell r="DX584">
            <v>0</v>
          </cell>
          <cell r="DY584">
            <v>0</v>
          </cell>
          <cell r="DZ584">
            <v>1</v>
          </cell>
        </row>
        <row r="585">
          <cell r="DX585">
            <v>0</v>
          </cell>
          <cell r="DY585">
            <v>0</v>
          </cell>
          <cell r="DZ585">
            <v>1</v>
          </cell>
        </row>
        <row r="586">
          <cell r="DX586">
            <v>0</v>
          </cell>
          <cell r="DY586">
            <v>0</v>
          </cell>
          <cell r="DZ586">
            <v>1</v>
          </cell>
        </row>
        <row r="587">
          <cell r="DX587">
            <v>0</v>
          </cell>
          <cell r="DY587">
            <v>0</v>
          </cell>
          <cell r="DZ587">
            <v>1</v>
          </cell>
        </row>
        <row r="588">
          <cell r="DX588">
            <v>0</v>
          </cell>
          <cell r="DY588">
            <v>0</v>
          </cell>
          <cell r="DZ588">
            <v>1</v>
          </cell>
        </row>
        <row r="589">
          <cell r="DX589">
            <v>0</v>
          </cell>
          <cell r="DY589">
            <v>0</v>
          </cell>
          <cell r="DZ589">
            <v>1</v>
          </cell>
        </row>
        <row r="590">
          <cell r="DX590">
            <v>0</v>
          </cell>
          <cell r="DY590">
            <v>0</v>
          </cell>
          <cell r="DZ590">
            <v>1</v>
          </cell>
        </row>
        <row r="591">
          <cell r="DX591">
            <v>0</v>
          </cell>
          <cell r="DY591">
            <v>0</v>
          </cell>
          <cell r="DZ591">
            <v>1</v>
          </cell>
        </row>
        <row r="592">
          <cell r="DX592">
            <v>0</v>
          </cell>
          <cell r="DY592">
            <v>0</v>
          </cell>
          <cell r="DZ592">
            <v>1</v>
          </cell>
        </row>
        <row r="593">
          <cell r="DX593">
            <v>0</v>
          </cell>
          <cell r="DY593">
            <v>0</v>
          </cell>
          <cell r="DZ593">
            <v>1</v>
          </cell>
        </row>
        <row r="595">
          <cell r="DX595">
            <v>0</v>
          </cell>
          <cell r="DY595">
            <v>0</v>
          </cell>
          <cell r="DZ595">
            <v>0</v>
          </cell>
        </row>
        <row r="596">
          <cell r="DX596">
            <v>0</v>
          </cell>
          <cell r="DY596">
            <v>0</v>
          </cell>
          <cell r="DZ596">
            <v>0</v>
          </cell>
        </row>
        <row r="597">
          <cell r="DX597">
            <v>0</v>
          </cell>
          <cell r="DY597">
            <v>0</v>
          </cell>
          <cell r="DZ597">
            <v>0</v>
          </cell>
        </row>
        <row r="598">
          <cell r="DX598">
            <v>0</v>
          </cell>
          <cell r="DY598">
            <v>0</v>
          </cell>
          <cell r="DZ598">
            <v>0</v>
          </cell>
        </row>
        <row r="599">
          <cell r="DX599">
            <v>0</v>
          </cell>
          <cell r="DY599">
            <v>0</v>
          </cell>
          <cell r="DZ599">
            <v>0</v>
          </cell>
        </row>
        <row r="600">
          <cell r="DX600">
            <v>0</v>
          </cell>
          <cell r="DY600">
            <v>0</v>
          </cell>
          <cell r="DZ600">
            <v>0</v>
          </cell>
        </row>
        <row r="615">
          <cell r="DX615">
            <v>0</v>
          </cell>
          <cell r="DY615">
            <v>0</v>
          </cell>
          <cell r="DZ615">
            <v>0</v>
          </cell>
        </row>
        <row r="616">
          <cell r="DX616">
            <v>0</v>
          </cell>
          <cell r="DY616">
            <v>0</v>
          </cell>
          <cell r="DZ616">
            <v>0</v>
          </cell>
        </row>
        <row r="625">
          <cell r="DX625">
            <v>0</v>
          </cell>
          <cell r="DY625">
            <v>0</v>
          </cell>
          <cell r="DZ625">
            <v>0</v>
          </cell>
        </row>
        <row r="626">
          <cell r="DX626">
            <v>0</v>
          </cell>
          <cell r="DY626">
            <v>0</v>
          </cell>
          <cell r="DZ626">
            <v>0</v>
          </cell>
        </row>
        <row r="627">
          <cell r="DX627">
            <v>0</v>
          </cell>
          <cell r="DY627">
            <v>0</v>
          </cell>
          <cell r="DZ627">
            <v>0</v>
          </cell>
        </row>
        <row r="628">
          <cell r="DX628">
            <v>0</v>
          </cell>
          <cell r="DY628">
            <v>0</v>
          </cell>
          <cell r="DZ628">
            <v>0</v>
          </cell>
        </row>
        <row r="629">
          <cell r="DX629">
            <v>0</v>
          </cell>
          <cell r="DY629">
            <v>0</v>
          </cell>
          <cell r="DZ629">
            <v>0</v>
          </cell>
        </row>
        <row r="630">
          <cell r="DX630">
            <v>0</v>
          </cell>
          <cell r="DY630">
            <v>0</v>
          </cell>
          <cell r="DZ630">
            <v>0</v>
          </cell>
        </row>
        <row r="631">
          <cell r="DX631">
            <v>0</v>
          </cell>
          <cell r="DY631">
            <v>0</v>
          </cell>
          <cell r="DZ631">
            <v>0</v>
          </cell>
        </row>
        <row r="632">
          <cell r="DX632">
            <v>0</v>
          </cell>
          <cell r="DY632">
            <v>0</v>
          </cell>
          <cell r="DZ632">
            <v>0</v>
          </cell>
        </row>
        <row r="633">
          <cell r="DX633">
            <v>0</v>
          </cell>
          <cell r="DY633">
            <v>0</v>
          </cell>
          <cell r="DZ633">
            <v>0</v>
          </cell>
        </row>
        <row r="634">
          <cell r="DX634">
            <v>0</v>
          </cell>
          <cell r="DY634">
            <v>0</v>
          </cell>
          <cell r="DZ634">
            <v>0</v>
          </cell>
        </row>
        <row r="635">
          <cell r="DX635">
            <v>0</v>
          </cell>
          <cell r="DY635">
            <v>0</v>
          </cell>
          <cell r="DZ635">
            <v>0</v>
          </cell>
        </row>
        <row r="636">
          <cell r="DX636">
            <v>0</v>
          </cell>
          <cell r="DY636">
            <v>0</v>
          </cell>
          <cell r="DZ636">
            <v>0</v>
          </cell>
        </row>
        <row r="637">
          <cell r="DX637">
            <v>0</v>
          </cell>
          <cell r="DY637">
            <v>0</v>
          </cell>
          <cell r="DZ637">
            <v>0</v>
          </cell>
        </row>
        <row r="638">
          <cell r="DX638">
            <v>0</v>
          </cell>
          <cell r="DY638">
            <v>1</v>
          </cell>
          <cell r="DZ638">
            <v>0</v>
          </cell>
        </row>
        <row r="639">
          <cell r="DX639">
            <v>0</v>
          </cell>
          <cell r="DY639">
            <v>0</v>
          </cell>
          <cell r="DZ639">
            <v>0</v>
          </cell>
        </row>
        <row r="640">
          <cell r="DX640">
            <v>0</v>
          </cell>
          <cell r="DY640">
            <v>1</v>
          </cell>
          <cell r="DZ640">
            <v>0</v>
          </cell>
        </row>
        <row r="641">
          <cell r="DX641">
            <v>0</v>
          </cell>
          <cell r="DY641">
            <v>1</v>
          </cell>
          <cell r="DZ641">
            <v>0</v>
          </cell>
        </row>
        <row r="642">
          <cell r="DX642">
            <v>0</v>
          </cell>
          <cell r="DY642">
            <v>1</v>
          </cell>
          <cell r="DZ642">
            <v>0</v>
          </cell>
        </row>
        <row r="643">
          <cell r="DX643">
            <v>0</v>
          </cell>
          <cell r="DY643">
            <v>1</v>
          </cell>
          <cell r="DZ643">
            <v>0</v>
          </cell>
        </row>
        <row r="644">
          <cell r="DX644">
            <v>0</v>
          </cell>
          <cell r="DY644">
            <v>1</v>
          </cell>
          <cell r="DZ644">
            <v>0</v>
          </cell>
        </row>
        <row r="645">
          <cell r="DX645">
            <v>0</v>
          </cell>
          <cell r="DY645">
            <v>1</v>
          </cell>
          <cell r="DZ645">
            <v>0</v>
          </cell>
        </row>
        <row r="646">
          <cell r="DX646">
            <v>0</v>
          </cell>
          <cell r="DY646">
            <v>0</v>
          </cell>
          <cell r="DZ646">
            <v>0</v>
          </cell>
        </row>
        <row r="647">
          <cell r="DX647">
            <v>0</v>
          </cell>
          <cell r="DY647">
            <v>0</v>
          </cell>
          <cell r="DZ647">
            <v>0</v>
          </cell>
        </row>
        <row r="648">
          <cell r="DX648">
            <v>0</v>
          </cell>
          <cell r="DY648">
            <v>0</v>
          </cell>
          <cell r="DZ648">
            <v>0</v>
          </cell>
        </row>
        <row r="649">
          <cell r="DX649">
            <v>0</v>
          </cell>
          <cell r="DY649">
            <v>0</v>
          </cell>
          <cell r="DZ649">
            <v>0</v>
          </cell>
        </row>
        <row r="650">
          <cell r="DX650">
            <v>0</v>
          </cell>
          <cell r="DY650">
            <v>0</v>
          </cell>
          <cell r="DZ650">
            <v>0</v>
          </cell>
        </row>
        <row r="651">
          <cell r="DX651">
            <v>0</v>
          </cell>
          <cell r="DY651">
            <v>0</v>
          </cell>
          <cell r="DZ651">
            <v>0</v>
          </cell>
        </row>
        <row r="652">
          <cell r="DX652">
            <v>0</v>
          </cell>
          <cell r="DY652">
            <v>0</v>
          </cell>
          <cell r="DZ652">
            <v>0</v>
          </cell>
        </row>
        <row r="653">
          <cell r="DX653">
            <v>0</v>
          </cell>
          <cell r="DY653">
            <v>1</v>
          </cell>
          <cell r="DZ653">
            <v>0</v>
          </cell>
        </row>
        <row r="654">
          <cell r="DX654">
            <v>0</v>
          </cell>
          <cell r="DY654">
            <v>0</v>
          </cell>
          <cell r="DZ654">
            <v>0</v>
          </cell>
        </row>
        <row r="655">
          <cell r="DX655">
            <v>0</v>
          </cell>
          <cell r="DY655">
            <v>0</v>
          </cell>
          <cell r="DZ655">
            <v>0</v>
          </cell>
        </row>
        <row r="656">
          <cell r="DX656">
            <v>0</v>
          </cell>
          <cell r="DY656">
            <v>0</v>
          </cell>
          <cell r="DZ656">
            <v>0</v>
          </cell>
        </row>
        <row r="657">
          <cell r="DX657">
            <v>0</v>
          </cell>
          <cell r="DY657">
            <v>0</v>
          </cell>
          <cell r="DZ657">
            <v>0</v>
          </cell>
        </row>
        <row r="658">
          <cell r="DX658">
            <v>0</v>
          </cell>
          <cell r="DY658">
            <v>0</v>
          </cell>
          <cell r="DZ658">
            <v>0</v>
          </cell>
        </row>
      </sheetData>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tes"/>
      <sheetName val="BeginWaarde"/>
      <sheetName val="PROPERTY"/>
      <sheetName val="OTHER"/>
      <sheetName val="Euronext-AMX"/>
      <sheetName val="Euronext-AEX"/>
      <sheetName val="Convertibles"/>
      <sheetName val="FRONT OFFICE"/>
      <sheetName val="SQL VAL SHEET"/>
      <sheetName val="SQL PERF SHEET"/>
      <sheetName val="RATING-TRIGGER"/>
      <sheetName val="DATA"/>
      <sheetName val="Rating History"/>
      <sheetName val="Lookup"/>
      <sheetName val="Ahold"/>
      <sheetName val="FACTBASEVARIABELEN"/>
      <sheetName val="McrData"/>
      <sheetName val="Unit and Pricing Model"/>
      <sheetName val="Aging Sch 11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2">
          <cell r="D2" t="str">
            <v>Aex Index</v>
          </cell>
        </row>
        <row r="3">
          <cell r="D3" t="str">
            <v>MSCI Small Cap Index</v>
          </cell>
        </row>
        <row r="4">
          <cell r="D4" t="str">
            <v>Euronext Top 100 Index</v>
          </cell>
        </row>
      </sheetData>
      <sheetData sheetId="14"/>
      <sheetData sheetId="15"/>
      <sheetData sheetId="16"/>
      <sheetData sheetId="17" refreshError="1"/>
      <sheetData sheetId="1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hart"/>
    </sheetNames>
    <sheetDataSet>
      <sheetData sheetId="0" refreshError="1"/>
      <sheetData sheetId="1">
        <row r="7">
          <cell r="A7" t="str">
            <v>Q2 '19E</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Control"/>
      <sheetName val="Output"/>
      <sheetName val="Global Summary"/>
      <sheetName val="Global OpEx"/>
      <sheetName val="Regions--&gt;"/>
      <sheetName val="USA"/>
      <sheetName val="UK"/>
      <sheetName val="France"/>
      <sheetName val="Brazil"/>
      <sheetName val="Mexico"/>
      <sheetName val="India"/>
      <sheetName val="SEA"/>
      <sheetName val="MENA"/>
      <sheetName val="Pool Penetration"/>
      <sheetName val="Data--&gt;"/>
      <sheetName val="Car Parc"/>
      <sheetName val="MSER Miles By Region"/>
      <sheetName val="Population"/>
      <sheetName val="Taxi Data"/>
      <sheetName val="Data Sheet"/>
    </sheetNames>
    <sheetDataSet>
      <sheetData sheetId="0"/>
      <sheetData sheetId="1">
        <row r="9">
          <cell r="E9">
            <v>1</v>
          </cell>
        </row>
      </sheetData>
      <sheetData sheetId="2"/>
      <sheetData sheetId="3">
        <row r="13">
          <cell r="F13">
            <v>0.30091902618388244</v>
          </cell>
        </row>
      </sheetData>
      <sheetData sheetId="4"/>
      <sheetData sheetId="5"/>
      <sheetData sheetId="6"/>
      <sheetData sheetId="7"/>
      <sheetData sheetId="8"/>
      <sheetData sheetId="9"/>
      <sheetData sheetId="10"/>
      <sheetData sheetId="11"/>
      <sheetData sheetId="12"/>
      <sheetData sheetId="13"/>
      <sheetData sheetId="14">
        <row r="5">
          <cell r="G5">
            <v>0.05</v>
          </cell>
        </row>
      </sheetData>
      <sheetData sheetId="15"/>
      <sheetData sheetId="16">
        <row r="16">
          <cell r="M16">
            <v>647404.3554</v>
          </cell>
        </row>
      </sheetData>
      <sheetData sheetId="17">
        <row r="14">
          <cell r="F14">
            <v>4.3499999999999997E-2</v>
          </cell>
        </row>
      </sheetData>
      <sheetData sheetId="18">
        <row r="63">
          <cell r="C63">
            <v>143680.20000000001</v>
          </cell>
        </row>
      </sheetData>
      <sheetData sheetId="19"/>
      <sheetData sheetId="20"/>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no"/>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Model Structure"/>
      <sheetName val="BOD (YTY)"/>
      <sheetName val="BOD (QTQ)"/>
      <sheetName val="BOD (Q4-05)"/>
      <sheetName val="BOD (FY06 - QTR)"/>
      <sheetName val="BOD (Graph)"/>
      <sheetName val="BOD (ME HC)"/>
      <sheetName val="BS"/>
      <sheetName val="R! Monthly Financials"/>
      <sheetName val="R! Qtly Financials"/>
      <sheetName val="R! Yrly Financials"/>
      <sheetName val="P&amp;L by COA"/>
      <sheetName val="RE Monthly Financials"/>
      <sheetName val="RE Qtly Financials"/>
      <sheetName val="RE Yrly Financials"/>
      <sheetName val="Auto Monthly Financials"/>
      <sheetName val="Auto Qtly Financials"/>
      <sheetName val="Auto Yrly Financials"/>
      <sheetName val="BD Monthly Financials"/>
      <sheetName val="BD Qtly Financials"/>
      <sheetName val="BD Yrly Financials"/>
      <sheetName val="Opex Template $"/>
      <sheetName val="Total Salary Roster"/>
      <sheetName val="Cost of Revenue"/>
      <sheetName val="CN Revenue &amp;COR"/>
      <sheetName val="Alloc. Calculation"/>
      <sheetName val="HC Summary"/>
      <sheetName val="HC Detail"/>
      <sheetName val="Bonus"/>
      <sheetName val="Capex &amp; Depr."/>
      <sheetName val="Corp Wide Opex Drivers"/>
      <sheetName val="RE Dept Opex Drivers"/>
      <sheetName val="Auto Dept Opex Drivers"/>
      <sheetName val="MRG Dept Opex Drivers"/>
      <sheetName val="BD Dept Opex Drivers"/>
      <sheetName val="MKT Dept Opex Drivers"/>
      <sheetName val="Tech Dept Opex Drivers"/>
      <sheetName val="G&amp;A Opex Drivers"/>
      <sheetName val="Alloc. Drivers"/>
      <sheetName val="AC 2.0 Leads Demand"/>
      <sheetName val="AC 2.0 Revenue Metrics"/>
      <sheetName val="Leads Supply (Internal)"/>
      <sheetName val="RN Leads Demand"/>
      <sheetName val="RN Revenue Metrics Summary"/>
      <sheetName val="Other Rev (Ent. AC1.0&amp;iCastle)"/>
      <sheetName val="(NA) Real Estate Metrics"/>
      <sheetName val="Real Estate Business Unit"/>
      <sheetName val="Automotive Business Unit"/>
      <sheetName val="Marketing Drivers"/>
      <sheetName val="Dealer Network (Lead Demand)"/>
      <sheetName val="Auto MKT (Lead Supply)"/>
      <sheetName val="Auto Dashboard"/>
      <sheetName val="Opex Roll-up"/>
      <sheetName val="RE Roll-up"/>
      <sheetName val="RE AC Roll-up"/>
      <sheetName val="1100 AC Sales"/>
      <sheetName val="1110 AC Client Serv"/>
      <sheetName val="1120 RE Sales Ops"/>
      <sheetName val="RE RN Roll-up"/>
      <sheetName val="1200 RN Sales"/>
      <sheetName val="1210 RN Client Serv."/>
      <sheetName val="RE CN Roll-up"/>
      <sheetName val="1300 CN Sales"/>
      <sheetName val="1310 CN Client Serv."/>
      <sheetName val="1320 CN Ops."/>
      <sheetName val="6150 MKT Comm. CN"/>
      <sheetName val="1400 RE Enterp."/>
      <sheetName val="1500 RE MKT"/>
      <sheetName val="1900 RE MGMT"/>
      <sheetName val="Auto Roll-up"/>
      <sheetName val="iMotors Roll-Up"/>
      <sheetName val="2100 iMotors Sales"/>
      <sheetName val="2110 iMotors Client Serv."/>
      <sheetName val="2120 Auto Ops"/>
      <sheetName val="2200 Auto Enterp."/>
      <sheetName val="2900 Auto MGT"/>
      <sheetName val="BD Roll-up"/>
      <sheetName val="MRG Roll-Up"/>
      <sheetName val="3100 MRG Sales"/>
      <sheetName val="3110 MRG Client Serv."/>
      <sheetName val="3900 MRG MGMT"/>
      <sheetName val="Corp. Dev. Roll-Up"/>
      <sheetName val="4100 Emerging MKT"/>
      <sheetName val="4900 Corp Dev."/>
      <sheetName val="5200 Lead Validation"/>
      <sheetName val="MKT Roll-Up"/>
      <sheetName val="6000 MKT MGMT"/>
      <sheetName val="6100 MKT Comm. Staff"/>
      <sheetName val="6110 MKT Comm. RE"/>
      <sheetName val="6120 MKT Comm. Auto"/>
      <sheetName val="6130 MKT Comm. Biz Dev."/>
      <sheetName val="6140 MKT Comm. Corp"/>
      <sheetName val="Tech &amp; Prod Roll-Up"/>
      <sheetName val="7000 Tech. MGMT"/>
      <sheetName val="7100 Tech. CN"/>
      <sheetName val="7200 Tech."/>
      <sheetName val="6200 Prod. Corp."/>
      <sheetName val="6210 Prod. RE"/>
      <sheetName val="6220 Prod. Auto"/>
      <sheetName val="6230 Prod. Biz Dev"/>
      <sheetName val="G&amp;A Roll-Up"/>
      <sheetName val="8000 Executive"/>
      <sheetName val="8100 Acctg-Fin"/>
      <sheetName val="8200 HR"/>
      <sheetName val="8300 Legal"/>
      <sheetName val="9200 Corp. General"/>
      <sheetName val="9000 Corp. Alloc."/>
      <sheetName val="Facility Roll-Up"/>
      <sheetName val="9100 Facility-CA"/>
      <sheetName val="9110 Facility-AZ"/>
      <sheetName val="9120 Facility-MI"/>
      <sheetName val="9130 Facility-Remote"/>
      <sheetName val="9999 Non Opex (R!)"/>
      <sheetName val="Opex Roll-up (R! only)"/>
      <sheetName val="CN Roll-up (All)"/>
      <sheetName val="RE(R! Only) Roll-up"/>
      <sheetName val="MKT Roll-Up (R! Only)"/>
      <sheetName val="Tech Roll-Up (R! On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row r="1">
          <cell r="A1" t="str">
            <v>Back to Index</v>
          </cell>
        </row>
      </sheetData>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row r="1">
          <cell r="A1" t="str">
            <v>Back to Index</v>
          </cell>
        </row>
      </sheetData>
      <sheetData sheetId="66" refreshError="1"/>
      <sheetData sheetId="67" refreshError="1"/>
      <sheetData sheetId="68" refreshError="1"/>
      <sheetData sheetId="69" refreshError="1">
        <row r="1">
          <cell r="A1" t="str">
            <v>Back to Index</v>
          </cell>
        </row>
      </sheetData>
      <sheetData sheetId="70" refreshError="1">
        <row r="1">
          <cell r="A1" t="str">
            <v>Back to Index</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or opinie"/>
      <sheetName val="sheet1"/>
      <sheetName val="JCFSheet1"/>
      <sheetName val="Unit and Pricing Model"/>
      <sheetName val="COS_Retrieve"/>
    </sheetNames>
    <sheetDataSet>
      <sheetData sheetId="0"/>
      <sheetData sheetId="1" refreshError="1">
        <row r="5">
          <cell r="D5" t="str">
            <v>Average Price 1991</v>
          </cell>
          <cell r="E5" t="str">
            <v>Average Price 1992</v>
          </cell>
        </row>
      </sheetData>
      <sheetData sheetId="2"/>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topLeftCell="A4" workbookViewId="0"/>
  </sheetViews>
  <sheetFormatPr defaultRowHeight="14.25"/>
  <sheetData>
    <row r="1" spans="1:2">
      <c r="B1" t="s">
        <v>125</v>
      </c>
    </row>
    <row r="2" spans="1:2"/>
    <row r="3" spans="1:2"/>
    <row r="4" spans="1:2"/>
    <row r="5" spans="1:2"/>
    <row r="6" spans="1:2"/>
    <row r="7" spans="1:2"/>
    <row r="8" spans="1:2"/>
    <row r="9" spans="1:2"/>
    <row r="10" spans="1:2"/>
    <row r="11" spans="1:2"/>
    <row r="12" spans="1:2"/>
    <row r="13" spans="1:2"/>
    <row r="14" spans="1:2"/>
    <row r="15" spans="1:2"/>
    <row r="16" spans="1:2"/>
    <row r="17" spans="1:1"/>
    <row r="18" spans="1:1"/>
    <row r="19" spans="1:1"/>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B284"/>
  <sheetViews>
    <sheetView showGridLines="0" tabSelected="1" zoomScale="115" zoomScaleNormal="115" workbookViewId="0">
      <pane xSplit="2" ySplit="3" topLeftCell="AV151" activePane="bottomRight" state="frozen"/>
      <selection activeCell="C14" sqref="C14"/>
      <selection pane="topRight" activeCell="C14" sqref="C14"/>
      <selection pane="bottomLeft" activeCell="C14" sqref="C14"/>
      <selection pane="bottomRight" activeCell="AX169" sqref="AX169"/>
    </sheetView>
  </sheetViews>
  <sheetFormatPr defaultColWidth="9.46484375" defaultRowHeight="10.5" outlineLevelRow="1" outlineLevelCol="1"/>
  <cols>
    <col min="1" max="1" width="4.46484375" style="45" customWidth="1"/>
    <col min="2" max="2" width="42" style="45" customWidth="1"/>
    <col min="3" max="3" width="4.53125" style="45" customWidth="1" outlineLevel="1"/>
    <col min="4" max="4" width="5.46484375" style="45" customWidth="1" outlineLevel="1"/>
    <col min="5" max="5" width="5.53125" style="45" customWidth="1" outlineLevel="1"/>
    <col min="6" max="9" width="5.46484375" style="45" customWidth="1" outlineLevel="1"/>
    <col min="10" max="10" width="5.53125" style="45" customWidth="1" outlineLevel="1"/>
    <col min="11" max="12" width="5.46484375" style="45" customWidth="1" outlineLevel="1"/>
    <col min="13" max="13" width="6.53125" style="45" customWidth="1" outlineLevel="1"/>
    <col min="14" max="14" width="6.19921875" style="45" customWidth="1" outlineLevel="1"/>
    <col min="15" max="15" width="6.53125" style="45" customWidth="1" outlineLevel="1"/>
    <col min="16" max="16" width="5.796875" style="45" customWidth="1" outlineLevel="1"/>
    <col min="17" max="17" width="6.796875" style="45" customWidth="1" outlineLevel="1"/>
    <col min="18" max="18" width="5.53125" style="45" customWidth="1" outlineLevel="1"/>
    <col min="19" max="19" width="6.19921875" style="45" customWidth="1" outlineLevel="1"/>
    <col min="20" max="20" width="5.796875" style="45" customWidth="1" outlineLevel="1"/>
    <col min="21" max="22" width="6.53125" style="45" customWidth="1" outlineLevel="1"/>
    <col min="23" max="23" width="6.19921875" style="45" customWidth="1" outlineLevel="1"/>
    <col min="24" max="25" width="6" style="45" customWidth="1" outlineLevel="1"/>
    <col min="26" max="27" width="6.796875" style="45" customWidth="1" outlineLevel="1"/>
    <col min="28" max="28" width="6.46484375" style="45" customWidth="1" outlineLevel="1" collapsed="1"/>
    <col min="29" max="29" width="6.796875" style="45" customWidth="1" outlineLevel="1"/>
    <col min="30" max="30" width="6.53125" style="45" customWidth="1" outlineLevel="1"/>
    <col min="31" max="31" width="7.796875" style="45" customWidth="1" outlineLevel="1"/>
    <col min="32" max="32" width="8.46484375" style="45" customWidth="1" outlineLevel="1"/>
    <col min="33" max="37" width="7.796875" style="45" customWidth="1" outlineLevel="1"/>
    <col min="38" max="38" width="7.46484375" style="45" customWidth="1" outlineLevel="1"/>
    <col min="39" max="39" width="7.19921875" style="45" customWidth="1" outlineLevel="1"/>
    <col min="40" max="40" width="6.53125" style="45" customWidth="1" outlineLevel="1"/>
    <col min="41" max="42" width="7.46484375" style="45" customWidth="1" outlineLevel="1"/>
    <col min="43" max="44" width="7.19921875" style="45" bestFit="1" customWidth="1"/>
    <col min="45" max="45" width="7.73046875" style="45" bestFit="1" customWidth="1"/>
    <col min="46" max="46" width="7.46484375" style="45" customWidth="1"/>
    <col min="47" max="47" width="7" style="45" bestFit="1" customWidth="1"/>
    <col min="48" max="50" width="7.73046875" style="45" bestFit="1" customWidth="1"/>
    <col min="51" max="51" width="7" style="45" bestFit="1" customWidth="1"/>
    <col min="52" max="52" width="8.53125" style="45" bestFit="1" customWidth="1"/>
    <col min="53" max="53" width="5.796875" style="45" bestFit="1" customWidth="1"/>
    <col min="54" max="56" width="7" style="45" bestFit="1" customWidth="1"/>
    <col min="57" max="57" width="8.53125" style="45" bestFit="1" customWidth="1"/>
    <col min="58" max="62" width="6.53125" style="45" bestFit="1" customWidth="1"/>
    <col min="63" max="63" width="5.53125" style="45" customWidth="1"/>
    <col min="64" max="64" width="8.53125" style="45" bestFit="1" customWidth="1"/>
    <col min="65" max="67" width="7.53125" style="45" customWidth="1"/>
    <col min="68" max="68" width="17.46484375" style="45" bestFit="1" customWidth="1"/>
    <col min="69" max="69" width="7.53125" style="45" customWidth="1"/>
    <col min="70" max="70" width="9.46484375" style="47"/>
    <col min="71" max="71" width="9.46484375" style="45"/>
    <col min="72" max="78" width="5.53125" style="45" customWidth="1"/>
    <col min="79" max="16384" width="9.46484375" style="45"/>
  </cols>
  <sheetData>
    <row r="1" spans="2:65" ht="36" customHeight="1">
      <c r="H1" s="61"/>
      <c r="I1" s="61"/>
      <c r="J1" s="61"/>
      <c r="K1" s="61"/>
      <c r="M1" s="61"/>
      <c r="N1" s="61"/>
      <c r="O1" s="61"/>
      <c r="P1" s="61"/>
      <c r="R1" s="61"/>
      <c r="S1" s="61"/>
      <c r="T1" s="61"/>
      <c r="U1" s="61"/>
      <c r="W1" s="61"/>
      <c r="X1" s="61"/>
      <c r="Y1" s="61"/>
      <c r="Z1" s="61"/>
      <c r="AA1" s="61"/>
      <c r="AB1" s="179"/>
      <c r="AC1" s="179"/>
      <c r="AD1" s="179"/>
      <c r="AE1" s="179"/>
      <c r="AF1" s="56"/>
      <c r="AG1" s="160"/>
      <c r="AH1" s="160"/>
      <c r="AI1" s="160"/>
      <c r="AJ1" s="160"/>
      <c r="AK1" s="160"/>
      <c r="AL1" s="160"/>
      <c r="AM1" s="160"/>
      <c r="AN1" s="160"/>
      <c r="AO1" s="160"/>
      <c r="AP1" s="274"/>
      <c r="AQ1" s="305"/>
      <c r="AR1" s="305"/>
      <c r="AS1" s="305"/>
      <c r="AT1" s="305"/>
      <c r="AU1" s="160"/>
      <c r="AV1" s="305"/>
      <c r="AW1" s="305"/>
      <c r="AX1" s="305"/>
      <c r="AY1" s="305"/>
      <c r="AZ1" s="305"/>
      <c r="BA1" s="305"/>
      <c r="BB1" s="305"/>
      <c r="BC1" s="305"/>
      <c r="BD1" s="305"/>
      <c r="BE1" s="305"/>
      <c r="BF1" s="53"/>
      <c r="BG1" s="61"/>
      <c r="BH1" s="61"/>
      <c r="BI1" s="61"/>
      <c r="BJ1" s="61"/>
      <c r="BK1" s="61"/>
    </row>
    <row r="2" spans="2:65">
      <c r="C2" s="46" t="s">
        <v>27</v>
      </c>
      <c r="D2" s="46" t="s">
        <v>28</v>
      </c>
      <c r="E2" s="46" t="s">
        <v>29</v>
      </c>
      <c r="F2" s="46" t="s">
        <v>30</v>
      </c>
      <c r="G2" s="47"/>
      <c r="H2" s="46" t="s">
        <v>27</v>
      </c>
      <c r="I2" s="46" t="s">
        <v>28</v>
      </c>
      <c r="J2" s="46" t="s">
        <v>29</v>
      </c>
      <c r="K2" s="46" t="s">
        <v>30</v>
      </c>
      <c r="L2" s="47"/>
      <c r="M2" s="46" t="s">
        <v>27</v>
      </c>
      <c r="N2" s="46" t="s">
        <v>28</v>
      </c>
      <c r="O2" s="46" t="s">
        <v>29</v>
      </c>
      <c r="P2" s="46" t="s">
        <v>30</v>
      </c>
      <c r="Q2" s="48"/>
      <c r="R2" s="46" t="s">
        <v>27</v>
      </c>
      <c r="S2" s="46" t="s">
        <v>28</v>
      </c>
      <c r="T2" s="46" t="s">
        <v>29</v>
      </c>
      <c r="U2" s="46" t="s">
        <v>30</v>
      </c>
      <c r="V2" s="48"/>
      <c r="W2" s="46" t="s">
        <v>27</v>
      </c>
      <c r="X2" s="46" t="s">
        <v>28</v>
      </c>
      <c r="Y2" s="46" t="s">
        <v>29</v>
      </c>
      <c r="Z2" s="46" t="s">
        <v>30</v>
      </c>
      <c r="AA2" s="47"/>
      <c r="AB2" s="46" t="s">
        <v>27</v>
      </c>
      <c r="AC2" s="46" t="s">
        <v>28</v>
      </c>
      <c r="AD2" s="46" t="s">
        <v>29</v>
      </c>
      <c r="AE2" s="46" t="s">
        <v>30</v>
      </c>
      <c r="AF2" s="144"/>
      <c r="AG2" s="46" t="s">
        <v>27</v>
      </c>
      <c r="AH2" s="46" t="s">
        <v>28</v>
      </c>
      <c r="AI2" s="46" t="s">
        <v>29</v>
      </c>
      <c r="AJ2" s="46" t="s">
        <v>30</v>
      </c>
      <c r="AK2" s="47"/>
      <c r="AL2" s="46" t="s">
        <v>27</v>
      </c>
      <c r="AM2" s="46" t="s">
        <v>28</v>
      </c>
      <c r="AN2" s="46" t="s">
        <v>29</v>
      </c>
      <c r="AO2" s="46" t="s">
        <v>30</v>
      </c>
      <c r="AP2" s="47"/>
      <c r="AQ2" s="46" t="s">
        <v>27</v>
      </c>
      <c r="AR2" s="46" t="s">
        <v>28</v>
      </c>
      <c r="AS2" s="46" t="s">
        <v>29</v>
      </c>
      <c r="AT2" s="46" t="s">
        <v>30</v>
      </c>
      <c r="AU2" s="283"/>
      <c r="AV2" s="46" t="s">
        <v>27</v>
      </c>
      <c r="AW2" s="46" t="s">
        <v>28</v>
      </c>
      <c r="AX2" s="46" t="s">
        <v>29</v>
      </c>
      <c r="AY2" s="46" t="s">
        <v>30</v>
      </c>
      <c r="AZ2" s="305"/>
      <c r="BA2" s="46" t="s">
        <v>27</v>
      </c>
      <c r="BB2" s="46" t="s">
        <v>28</v>
      </c>
      <c r="BC2" s="46" t="s">
        <v>29</v>
      </c>
      <c r="BD2" s="46" t="s">
        <v>30</v>
      </c>
      <c r="BE2" s="305"/>
      <c r="BF2" s="47"/>
      <c r="BG2" s="47"/>
      <c r="BH2" s="47"/>
      <c r="BI2" s="47"/>
      <c r="BJ2" s="47"/>
    </row>
    <row r="3" spans="2:65">
      <c r="B3" s="19" t="s">
        <v>71</v>
      </c>
      <c r="C3" s="49" t="s">
        <v>0</v>
      </c>
      <c r="D3" s="49" t="s">
        <v>1</v>
      </c>
      <c r="E3" s="49" t="s">
        <v>2</v>
      </c>
      <c r="F3" s="49" t="s">
        <v>3</v>
      </c>
      <c r="G3" s="50">
        <v>2016</v>
      </c>
      <c r="H3" s="49" t="s">
        <v>4</v>
      </c>
      <c r="I3" s="49" t="s">
        <v>5</v>
      </c>
      <c r="J3" s="49" t="s">
        <v>6</v>
      </c>
      <c r="K3" s="49" t="s">
        <v>7</v>
      </c>
      <c r="L3" s="50">
        <v>2017</v>
      </c>
      <c r="M3" s="49" t="s">
        <v>8</v>
      </c>
      <c r="N3" s="49" t="s">
        <v>9</v>
      </c>
      <c r="O3" s="49" t="s">
        <v>67</v>
      </c>
      <c r="P3" s="49" t="s">
        <v>68</v>
      </c>
      <c r="Q3" s="50">
        <v>2018</v>
      </c>
      <c r="R3" s="49" t="s">
        <v>73</v>
      </c>
      <c r="S3" s="49" t="s">
        <v>77</v>
      </c>
      <c r="T3" s="49" t="s">
        <v>95</v>
      </c>
      <c r="U3" s="49" t="s">
        <v>135</v>
      </c>
      <c r="V3" s="50">
        <v>2019</v>
      </c>
      <c r="W3" s="49" t="s">
        <v>149</v>
      </c>
      <c r="X3" s="49" t="s">
        <v>152</v>
      </c>
      <c r="Y3" s="49" t="s">
        <v>153</v>
      </c>
      <c r="Z3" s="49" t="s">
        <v>163</v>
      </c>
      <c r="AA3" s="50">
        <v>2020</v>
      </c>
      <c r="AB3" s="49" t="s">
        <v>177</v>
      </c>
      <c r="AC3" s="49" t="s">
        <v>183</v>
      </c>
      <c r="AD3" s="49" t="s">
        <v>186</v>
      </c>
      <c r="AE3" s="49" t="s">
        <v>198</v>
      </c>
      <c r="AF3" s="50">
        <v>2021</v>
      </c>
      <c r="AG3" s="49" t="s">
        <v>226</v>
      </c>
      <c r="AH3" s="49" t="s">
        <v>266</v>
      </c>
      <c r="AI3" s="49" t="s">
        <v>227</v>
      </c>
      <c r="AJ3" s="49" t="s">
        <v>267</v>
      </c>
      <c r="AK3" s="50">
        <v>2022</v>
      </c>
      <c r="AL3" s="49" t="s">
        <v>229</v>
      </c>
      <c r="AM3" s="49" t="s">
        <v>285</v>
      </c>
      <c r="AN3" s="49" t="s">
        <v>230</v>
      </c>
      <c r="AO3" s="49" t="s">
        <v>294</v>
      </c>
      <c r="AP3" s="50">
        <v>2023</v>
      </c>
      <c r="AQ3" s="49" t="s">
        <v>296</v>
      </c>
      <c r="AR3" s="49" t="s">
        <v>298</v>
      </c>
      <c r="AS3" s="49" t="s">
        <v>299</v>
      </c>
      <c r="AT3" s="49" t="s">
        <v>311</v>
      </c>
      <c r="AU3" s="50">
        <v>2024</v>
      </c>
      <c r="AV3" s="49" t="s">
        <v>316</v>
      </c>
      <c r="AW3" s="49" t="s">
        <v>317</v>
      </c>
      <c r="AX3" s="49" t="s">
        <v>318</v>
      </c>
      <c r="AY3" s="49" t="s">
        <v>319</v>
      </c>
      <c r="AZ3" s="50">
        <v>2025</v>
      </c>
      <c r="BA3" s="49" t="s">
        <v>323</v>
      </c>
      <c r="BB3" s="49" t="s">
        <v>324</v>
      </c>
      <c r="BC3" s="49" t="s">
        <v>325</v>
      </c>
      <c r="BD3" s="49" t="s">
        <v>326</v>
      </c>
      <c r="BE3" s="50" t="s">
        <v>122</v>
      </c>
      <c r="BF3" s="50" t="s">
        <v>123</v>
      </c>
      <c r="BG3" s="50" t="s">
        <v>124</v>
      </c>
      <c r="BH3" s="50" t="s">
        <v>164</v>
      </c>
      <c r="BI3" s="50" t="s">
        <v>165</v>
      </c>
      <c r="BJ3" s="50" t="s">
        <v>166</v>
      </c>
      <c r="BL3" s="46"/>
      <c r="BM3" s="46"/>
    </row>
    <row r="4" spans="2:65" ht="12" customHeight="1">
      <c r="B4" s="51" t="s">
        <v>203</v>
      </c>
      <c r="C4" s="179">
        <f>+C5+C13</f>
        <v>75.698000000000008</v>
      </c>
      <c r="D4" s="179">
        <f>+D5+D13</f>
        <v>81.453000000000003</v>
      </c>
      <c r="E4" s="179">
        <f>+E5+E13</f>
        <v>87.269000000000005</v>
      </c>
      <c r="F4" s="179">
        <f>+F5+F13</f>
        <v>97.656000000000006</v>
      </c>
      <c r="G4" s="180">
        <f>SUM(G5:G13)</f>
        <v>342.07600000000002</v>
      </c>
      <c r="H4" s="179">
        <f>+H5+H13</f>
        <v>114.548</v>
      </c>
      <c r="I4" s="179">
        <f>+I5+I13</f>
        <v>117.119</v>
      </c>
      <c r="J4" s="179">
        <f>+J5+J13</f>
        <v>120.11799999999999</v>
      </c>
      <c r="K4" s="179">
        <f>+K5+K13</f>
        <v>132.19800000000001</v>
      </c>
      <c r="L4" s="180">
        <f>SUM(L5:L13)</f>
        <v>483.98300000000006</v>
      </c>
      <c r="M4" s="179">
        <f>M136+M157</f>
        <v>159.655</v>
      </c>
      <c r="N4" s="179">
        <f>N136+N157</f>
        <v>159.89500000000001</v>
      </c>
      <c r="O4" s="179">
        <f>O136+O157</f>
        <v>162.77699999999999</v>
      </c>
      <c r="P4" s="179">
        <f>P136+P157</f>
        <v>176.05799999999999</v>
      </c>
      <c r="Q4" s="180">
        <f>SUM(Q5:Q13)</f>
        <v>658.38499999999999</v>
      </c>
      <c r="R4" s="179">
        <f>R136+R157</f>
        <v>200.37899999999999</v>
      </c>
      <c r="S4" s="179">
        <f>S136+S157</f>
        <v>199.56299999999999</v>
      </c>
      <c r="T4" s="179">
        <f>T136+T157</f>
        <v>205.86</v>
      </c>
      <c r="U4" s="179">
        <f>U136+U157</f>
        <v>226.68299999999999</v>
      </c>
      <c r="V4" s="180">
        <f>SUM(V5:V13)</f>
        <v>832.4849999999999</v>
      </c>
      <c r="W4" s="179">
        <f>W136+W157</f>
        <v>248.858</v>
      </c>
      <c r="X4" s="179">
        <f>X136+X157</f>
        <v>265.851</v>
      </c>
      <c r="Y4" s="179">
        <f>Y136+Y157</f>
        <v>280.94099999999997</v>
      </c>
      <c r="Z4" s="179">
        <f>Z136+Z157</f>
        <v>306.38099999999997</v>
      </c>
      <c r="AA4" s="180">
        <f>SUM(AA5:AA13)</f>
        <v>1102.0309999999999</v>
      </c>
      <c r="AB4" s="179">
        <f>AB136+AB157</f>
        <v>351.10900000000004</v>
      </c>
      <c r="AC4" s="179">
        <f>AC136+AC157</f>
        <v>342.86099999999999</v>
      </c>
      <c r="AD4" s="179">
        <f>AD136+AD157</f>
        <v>373.29700000000003</v>
      </c>
      <c r="AE4" s="179">
        <f>AE136+AE157</f>
        <v>351.55600000000004</v>
      </c>
      <c r="AF4" s="180">
        <f>SUM(AF5:AF13)</f>
        <v>1418.8229999999999</v>
      </c>
      <c r="AG4" s="179">
        <f>AG136+AG157</f>
        <v>393.24799999999999</v>
      </c>
      <c r="AH4" s="179">
        <f>AH136+AH157</f>
        <v>354.59399999999999</v>
      </c>
      <c r="AI4" s="179">
        <f>AI136+AI157</f>
        <v>352.464</v>
      </c>
      <c r="AJ4" s="179">
        <f>AJ136+AJ157</f>
        <v>371.81299999999999</v>
      </c>
      <c r="AK4" s="180">
        <f>SUM(AK5:AK13)</f>
        <v>1472.1189999999999</v>
      </c>
      <c r="AL4" s="179">
        <f t="shared" ref="AL4:BJ4" si="0">AL136+AL157</f>
        <v>414.90499999999997</v>
      </c>
      <c r="AM4" s="179">
        <f t="shared" si="0"/>
        <v>398.49599999999998</v>
      </c>
      <c r="AN4" s="179">
        <f t="shared" si="0"/>
        <v>389.09499999999997</v>
      </c>
      <c r="AO4" s="179">
        <f t="shared" si="0"/>
        <v>395.00399999999996</v>
      </c>
      <c r="AP4" s="180">
        <f t="shared" si="0"/>
        <v>1597.5</v>
      </c>
      <c r="AQ4" s="179">
        <f t="shared" si="0"/>
        <v>457.28100000000001</v>
      </c>
      <c r="AR4" s="179">
        <f t="shared" si="0"/>
        <v>458.399</v>
      </c>
      <c r="AS4" s="179">
        <f t="shared" si="0"/>
        <v>452.48599999999999</v>
      </c>
      <c r="AT4" s="179">
        <f t="shared" si="0"/>
        <v>464.6</v>
      </c>
      <c r="AU4" s="180">
        <f t="shared" si="0"/>
        <v>1832.7660000000001</v>
      </c>
      <c r="AV4" s="179">
        <f t="shared" si="0"/>
        <v>510.90499999999997</v>
      </c>
      <c r="AW4" s="179">
        <f t="shared" si="0"/>
        <v>509.92399999999998</v>
      </c>
      <c r="AX4" s="179">
        <f t="shared" si="0"/>
        <v>514.54300000000001</v>
      </c>
      <c r="AY4" s="179">
        <f t="shared" si="0"/>
        <v>529.09699999999998</v>
      </c>
      <c r="AZ4" s="180">
        <f t="shared" si="0"/>
        <v>2064.4690000000001</v>
      </c>
      <c r="BA4" s="179">
        <f t="shared" ref="BA4:BE4" si="1">BA136+BA157</f>
        <v>576.79462472297303</v>
      </c>
      <c r="BB4" s="179">
        <f t="shared" si="1"/>
        <v>584.69784284932427</v>
      </c>
      <c r="BC4" s="179">
        <f t="shared" si="1"/>
        <v>597.71404867500007</v>
      </c>
      <c r="BD4" s="179">
        <f t="shared" si="1"/>
        <v>612.69679687500002</v>
      </c>
      <c r="BE4" s="180">
        <f t="shared" si="1"/>
        <v>2371.9033131222973</v>
      </c>
      <c r="BF4" s="180">
        <f t="shared" si="0"/>
        <v>2645.887025193595</v>
      </c>
      <c r="BG4" s="180">
        <f t="shared" si="0"/>
        <v>2893.875180306467</v>
      </c>
      <c r="BH4" s="180">
        <f t="shared" si="0"/>
        <v>3114.373036130718</v>
      </c>
      <c r="BI4" s="180">
        <f t="shared" si="0"/>
        <v>3307.7374847192973</v>
      </c>
      <c r="BJ4" s="180">
        <f t="shared" si="0"/>
        <v>3477.4954576341252</v>
      </c>
      <c r="BL4" s="295"/>
      <c r="BM4" s="98"/>
    </row>
    <row r="5" spans="2:65" ht="12" customHeight="1">
      <c r="B5" s="45" t="s">
        <v>80</v>
      </c>
      <c r="C5" s="98">
        <v>14.108000000000001</v>
      </c>
      <c r="D5" s="98">
        <v>12.723000000000001</v>
      </c>
      <c r="E5" s="98">
        <v>11.659000000000001</v>
      </c>
      <c r="F5" s="98">
        <v>13.476000000000001</v>
      </c>
      <c r="G5" s="178">
        <f>SUM(C5:F5)</f>
        <v>51.966000000000001</v>
      </c>
      <c r="H5" s="98">
        <v>22.007999999999999</v>
      </c>
      <c r="I5" s="98">
        <v>13.599</v>
      </c>
      <c r="J5" s="98">
        <v>9.0879999999999992</v>
      </c>
      <c r="K5" s="98">
        <v>13.657999999999999</v>
      </c>
      <c r="L5" s="178">
        <f>SUM(H5:K5)</f>
        <v>58.353000000000002</v>
      </c>
      <c r="M5" s="112">
        <f>M4-M13</f>
        <v>21.879999999999995</v>
      </c>
      <c r="N5" s="112">
        <f>N4-N13</f>
        <v>13.763000000000005</v>
      </c>
      <c r="O5" s="112">
        <f>O4-O13</f>
        <v>7.1769999999999641</v>
      </c>
      <c r="P5" s="112">
        <f>P4-P13</f>
        <v>11.86099999999999</v>
      </c>
      <c r="Q5" s="178">
        <f>SUM(M5:P5)</f>
        <v>54.680999999999955</v>
      </c>
      <c r="R5" s="112">
        <f>R4-R13</f>
        <v>26.088999999999999</v>
      </c>
      <c r="S5" s="112">
        <f>S4-S13</f>
        <v>14.143999999999977</v>
      </c>
      <c r="T5" s="112">
        <f>T4-T13</f>
        <v>9.0690000000000168</v>
      </c>
      <c r="U5" s="112">
        <f>U4-U13</f>
        <v>22.094999999999999</v>
      </c>
      <c r="V5" s="178">
        <f>SUM(R5:U5)</f>
        <v>71.396999999999991</v>
      </c>
      <c r="W5" s="112">
        <f>W4-W13</f>
        <v>32.871000000000009</v>
      </c>
      <c r="X5" s="112">
        <f>X4-X13</f>
        <v>29.791999999999973</v>
      </c>
      <c r="Y5" s="112">
        <f>Y4-Y13</f>
        <v>26.760999999999967</v>
      </c>
      <c r="Z5" s="112">
        <f>Z4-Z13</f>
        <v>23.84699999999998</v>
      </c>
      <c r="AA5" s="178">
        <f>SUM(W5:Z5)</f>
        <v>113.27099999999993</v>
      </c>
      <c r="AB5" s="112">
        <f>AB4-AB13</f>
        <v>46.997000000000014</v>
      </c>
      <c r="AC5" s="112">
        <f>AC4-AC13</f>
        <v>26.454999999999984</v>
      </c>
      <c r="AD5" s="112">
        <f>AD4-AD13</f>
        <v>52.5</v>
      </c>
      <c r="AE5" s="112">
        <f>AE4-AE13</f>
        <v>23.214000000000055</v>
      </c>
      <c r="AF5" s="178">
        <f>SUM(AB5:AE5)</f>
        <v>149.16600000000005</v>
      </c>
      <c r="AG5" s="112">
        <f>AG4-AG13</f>
        <v>51.65100000000001</v>
      </c>
      <c r="AH5" s="112">
        <f>AH4-AH13</f>
        <v>9.3699999999999477</v>
      </c>
      <c r="AI5" s="112">
        <f>AI4-AI13</f>
        <v>6.6590000000000487</v>
      </c>
      <c r="AJ5" s="112">
        <f>AJ4-AJ13</f>
        <v>16.773000000000025</v>
      </c>
      <c r="AK5" s="178">
        <f>SUM(AG5:AJ5)</f>
        <v>84.453000000000031</v>
      </c>
      <c r="AL5" s="112">
        <f t="shared" ref="AL5:AU5" si="2">AL4-AL13</f>
        <v>40.828999999999951</v>
      </c>
      <c r="AM5" s="112">
        <f t="shared" si="2"/>
        <v>8.5190000000000055</v>
      </c>
      <c r="AN5" s="112">
        <f t="shared" si="2"/>
        <v>-4.7460000000000377</v>
      </c>
      <c r="AO5" s="112">
        <f t="shared" si="2"/>
        <v>-8.7670000000000528</v>
      </c>
      <c r="AP5" s="178">
        <f t="shared" si="2"/>
        <v>35.835000000000036</v>
      </c>
      <c r="AQ5" s="112">
        <f>AQ4-AQ13</f>
        <v>37.504999999999995</v>
      </c>
      <c r="AR5" s="112">
        <f>AR4-AR13</f>
        <v>22.65300000000002</v>
      </c>
      <c r="AS5" s="112">
        <f t="shared" si="2"/>
        <v>7.8129999999999882</v>
      </c>
      <c r="AT5" s="112">
        <f t="shared" si="2"/>
        <v>4.1449999999999818</v>
      </c>
      <c r="AU5" s="178">
        <f t="shared" si="2"/>
        <v>72.115999999999985</v>
      </c>
      <c r="AV5" s="112">
        <f t="shared" ref="AV5:AY5" si="3">AV4-AV13</f>
        <v>37.254000000000019</v>
      </c>
      <c r="AW5" s="112">
        <f t="shared" si="3"/>
        <v>19.993999999999971</v>
      </c>
      <c r="AX5" s="112">
        <f t="shared" si="3"/>
        <v>9.3490000000000464</v>
      </c>
      <c r="AY5" s="112">
        <f t="shared" si="3"/>
        <v>4.8279999999999745</v>
      </c>
      <c r="AZ5" s="178">
        <f t="shared" ref="AZ5:BJ5" si="4">AZ4-AZ13</f>
        <v>71.424999999999955</v>
      </c>
      <c r="BA5" s="112">
        <f t="shared" si="4"/>
        <v>34.972300000000018</v>
      </c>
      <c r="BB5" s="112">
        <f t="shared" si="4"/>
        <v>21.356499999999983</v>
      </c>
      <c r="BC5" s="112">
        <f t="shared" si="4"/>
        <v>11.19360000000006</v>
      </c>
      <c r="BD5" s="112">
        <f t="shared" si="4"/>
        <v>0</v>
      </c>
      <c r="BE5" s="178">
        <f t="shared" ref="BE5" si="5">BE4-BE13</f>
        <v>67.522399999999834</v>
      </c>
      <c r="BF5" s="178">
        <f t="shared" si="4"/>
        <v>70.89852000000019</v>
      </c>
      <c r="BG5" s="178">
        <f t="shared" si="4"/>
        <v>74.443446000000222</v>
      </c>
      <c r="BH5" s="178">
        <f t="shared" si="4"/>
        <v>78.165618300000006</v>
      </c>
      <c r="BI5" s="178">
        <f t="shared" si="4"/>
        <v>82.073899214999983</v>
      </c>
      <c r="BJ5" s="178">
        <f t="shared" si="4"/>
        <v>86.177594175749618</v>
      </c>
      <c r="BL5" s="295"/>
      <c r="BM5" s="296"/>
    </row>
    <row r="6" spans="2:65" ht="12" hidden="1" customHeight="1" outlineLevel="1">
      <c r="C6" s="98"/>
      <c r="D6" s="98"/>
      <c r="E6" s="98"/>
      <c r="F6" s="98"/>
      <c r="G6" s="178"/>
      <c r="H6" s="98"/>
      <c r="I6" s="98"/>
      <c r="J6" s="98"/>
      <c r="K6" s="98"/>
      <c r="L6" s="178"/>
      <c r="M6" s="112"/>
      <c r="N6" s="112"/>
      <c r="O6" s="112"/>
      <c r="P6" s="112"/>
      <c r="Q6" s="178"/>
      <c r="R6" s="112"/>
      <c r="S6" s="112"/>
      <c r="T6" s="112"/>
      <c r="U6" s="112"/>
      <c r="V6" s="178"/>
      <c r="W6" s="112"/>
      <c r="X6" s="112"/>
      <c r="Y6" s="112"/>
      <c r="Z6" s="112"/>
      <c r="AA6" s="178"/>
      <c r="AB6" s="112"/>
      <c r="AC6" s="112"/>
      <c r="AD6" s="112"/>
      <c r="AE6" s="112"/>
      <c r="AF6" s="178"/>
      <c r="AG6" s="112"/>
      <c r="AH6" s="112"/>
      <c r="AI6" s="112"/>
      <c r="AJ6" s="112"/>
      <c r="AK6" s="178"/>
      <c r="AL6" s="112"/>
      <c r="AM6" s="112"/>
      <c r="AN6" s="112"/>
      <c r="AO6" s="112"/>
      <c r="AP6" s="178"/>
      <c r="AQ6" s="112"/>
      <c r="AR6" s="112"/>
      <c r="AS6" s="112"/>
      <c r="AT6" s="112"/>
      <c r="AU6" s="178"/>
      <c r="AV6" s="112"/>
      <c r="AW6" s="112"/>
      <c r="AX6" s="112"/>
      <c r="AY6" s="112"/>
      <c r="AZ6" s="178"/>
      <c r="BA6" s="112"/>
      <c r="BB6" s="112"/>
      <c r="BC6" s="112"/>
      <c r="BD6" s="112"/>
      <c r="BE6" s="178"/>
      <c r="BF6" s="178"/>
      <c r="BG6" s="178"/>
      <c r="BH6" s="178"/>
      <c r="BI6" s="178"/>
      <c r="BJ6" s="178"/>
      <c r="BL6" s="295"/>
      <c r="BM6" s="296"/>
    </row>
    <row r="7" spans="2:65" ht="12" hidden="1" customHeight="1" outlineLevel="1">
      <c r="B7" s="166" t="s">
        <v>182</v>
      </c>
      <c r="C7" s="98"/>
      <c r="D7" s="98"/>
      <c r="E7" s="98"/>
      <c r="F7" s="98"/>
      <c r="G7" s="178"/>
      <c r="H7" s="98"/>
      <c r="I7" s="98"/>
      <c r="J7" s="98"/>
      <c r="K7" s="98"/>
      <c r="L7" s="178"/>
      <c r="M7" s="112"/>
      <c r="N7" s="112"/>
      <c r="O7" s="112"/>
      <c r="P7" s="112"/>
      <c r="Q7" s="178"/>
      <c r="R7" s="112"/>
      <c r="S7" s="112"/>
      <c r="T7" s="112"/>
      <c r="U7" s="112"/>
      <c r="V7" s="178"/>
      <c r="W7" s="112"/>
      <c r="X7" s="112"/>
      <c r="Y7" s="112"/>
      <c r="Z7" s="112"/>
      <c r="AA7" s="178"/>
      <c r="AB7" s="112"/>
      <c r="AC7" s="112"/>
      <c r="AD7" s="112"/>
      <c r="AE7" s="112"/>
      <c r="AF7" s="178"/>
      <c r="AG7" s="112"/>
      <c r="AH7" s="112"/>
      <c r="AI7" s="112"/>
      <c r="AJ7" s="112"/>
      <c r="AK7" s="178"/>
      <c r="AL7" s="112"/>
      <c r="AM7" s="112"/>
      <c r="AN7" s="112"/>
      <c r="AO7" s="112"/>
      <c r="AP7" s="178"/>
      <c r="AQ7" s="112"/>
      <c r="AR7" s="255"/>
      <c r="AS7" s="112"/>
      <c r="AT7" s="255"/>
      <c r="AU7" s="178"/>
      <c r="AV7" s="112"/>
      <c r="AW7" s="112"/>
      <c r="AX7" s="112"/>
      <c r="AY7" s="112"/>
      <c r="AZ7" s="178"/>
      <c r="BA7" s="112"/>
      <c r="BB7" s="112"/>
      <c r="BC7" s="112"/>
      <c r="BD7" s="112"/>
      <c r="BE7" s="178"/>
      <c r="BF7" s="178"/>
      <c r="BG7" s="178"/>
      <c r="BH7" s="178"/>
      <c r="BI7" s="178"/>
      <c r="BJ7" s="178"/>
      <c r="BL7" s="295"/>
      <c r="BM7" s="296"/>
    </row>
    <row r="8" spans="2:65" ht="12" hidden="1" customHeight="1" outlineLevel="1">
      <c r="B8" s="45" t="s">
        <v>214</v>
      </c>
      <c r="C8" s="98"/>
      <c r="D8" s="98"/>
      <c r="E8" s="98"/>
      <c r="F8" s="98"/>
      <c r="G8" s="178"/>
      <c r="H8" s="98"/>
      <c r="I8" s="98"/>
      <c r="J8" s="98"/>
      <c r="K8" s="98"/>
      <c r="L8" s="178"/>
      <c r="M8" s="112"/>
      <c r="N8" s="112"/>
      <c r="O8" s="112"/>
      <c r="P8" s="112"/>
      <c r="Q8" s="178"/>
      <c r="R8" s="112"/>
      <c r="S8" s="112"/>
      <c r="T8" s="112"/>
      <c r="U8" s="112"/>
      <c r="V8" s="178"/>
      <c r="W8" s="112"/>
      <c r="X8" s="112"/>
      <c r="Y8" s="112"/>
      <c r="Z8" s="112"/>
      <c r="AA8" s="178"/>
      <c r="AB8" s="112"/>
      <c r="AC8" s="112"/>
      <c r="AD8" s="112"/>
      <c r="AE8" s="112"/>
      <c r="AF8" s="178"/>
      <c r="AG8" s="112"/>
      <c r="AH8" s="112"/>
      <c r="AI8" s="112"/>
      <c r="AJ8" s="112"/>
      <c r="AK8" s="178"/>
      <c r="AL8" s="112"/>
      <c r="AM8" s="112"/>
      <c r="AN8" s="112"/>
      <c r="AO8" s="112"/>
      <c r="AP8" s="178"/>
      <c r="AQ8" s="112"/>
      <c r="AR8" s="112"/>
      <c r="AS8" s="108"/>
      <c r="AT8" s="112"/>
      <c r="AU8" s="186">
        <v>1832</v>
      </c>
      <c r="AV8" s="98"/>
      <c r="AW8" s="108"/>
      <c r="AX8" s="108"/>
      <c r="AY8" s="108"/>
      <c r="AZ8" s="186">
        <v>2078</v>
      </c>
      <c r="BA8" s="108"/>
      <c r="BB8" s="108"/>
      <c r="BC8" s="108"/>
      <c r="BD8" s="108"/>
      <c r="BE8" s="186"/>
      <c r="BF8" s="178"/>
      <c r="BG8" s="178"/>
      <c r="BH8" s="178"/>
      <c r="BI8" s="178"/>
      <c r="BJ8" s="178"/>
      <c r="BL8" s="295"/>
      <c r="BM8" s="296"/>
    </row>
    <row r="9" spans="2:65" ht="12" hidden="1" customHeight="1" outlineLevel="1">
      <c r="B9" s="45" t="s">
        <v>215</v>
      </c>
      <c r="C9" s="98"/>
      <c r="D9" s="98"/>
      <c r="E9" s="98"/>
      <c r="F9" s="98"/>
      <c r="G9" s="178"/>
      <c r="H9" s="98"/>
      <c r="I9" s="98"/>
      <c r="J9" s="98"/>
      <c r="K9" s="98"/>
      <c r="L9" s="178"/>
      <c r="M9" s="112"/>
      <c r="N9" s="112"/>
      <c r="O9" s="112"/>
      <c r="P9" s="112"/>
      <c r="Q9" s="178"/>
      <c r="R9" s="112"/>
      <c r="S9" s="112"/>
      <c r="T9" s="112"/>
      <c r="U9" s="112"/>
      <c r="V9" s="178"/>
      <c r="W9" s="112"/>
      <c r="X9" s="112"/>
      <c r="Y9" s="112"/>
      <c r="Z9" s="112"/>
      <c r="AA9" s="178"/>
      <c r="AB9" s="112"/>
      <c r="AC9" s="112"/>
      <c r="AD9" s="112"/>
      <c r="AE9" s="112"/>
      <c r="AF9" s="178"/>
      <c r="AG9" s="112"/>
      <c r="AH9" s="112"/>
      <c r="AI9" s="112"/>
      <c r="AJ9" s="112"/>
      <c r="AK9" s="178"/>
      <c r="AL9" s="112"/>
      <c r="AM9" s="112"/>
      <c r="AN9" s="112"/>
      <c r="AO9" s="112"/>
      <c r="AP9" s="178"/>
      <c r="AQ9" s="112"/>
      <c r="AR9" s="112"/>
      <c r="AS9" s="108"/>
      <c r="AT9" s="112"/>
      <c r="AU9" s="99">
        <f>+AVERAGE(AU8,AU10)</f>
        <v>1827</v>
      </c>
      <c r="AV9" s="56"/>
      <c r="AW9" s="108"/>
      <c r="AX9" s="108"/>
      <c r="AY9" s="108"/>
      <c r="AZ9" s="99">
        <f>+AVERAGE(AZ8,AZ10)</f>
        <v>2069</v>
      </c>
      <c r="BA9" s="108"/>
      <c r="BB9" s="108"/>
      <c r="BC9" s="108"/>
      <c r="BD9" s="108"/>
      <c r="BE9" s="99"/>
      <c r="BF9" s="178"/>
      <c r="BG9" s="178"/>
      <c r="BH9" s="178"/>
      <c r="BI9" s="178"/>
      <c r="BJ9" s="178"/>
      <c r="BL9" s="295"/>
      <c r="BM9" s="296"/>
    </row>
    <row r="10" spans="2:65" ht="12" hidden="1" customHeight="1" outlineLevel="1">
      <c r="B10" s="45" t="s">
        <v>216</v>
      </c>
      <c r="C10" s="98"/>
      <c r="D10" s="98"/>
      <c r="E10" s="98"/>
      <c r="F10" s="98"/>
      <c r="G10" s="178"/>
      <c r="H10" s="98"/>
      <c r="I10" s="98"/>
      <c r="J10" s="98"/>
      <c r="K10" s="98"/>
      <c r="L10" s="178"/>
      <c r="M10" s="112"/>
      <c r="N10" s="112"/>
      <c r="O10" s="112"/>
      <c r="P10" s="112"/>
      <c r="Q10" s="178"/>
      <c r="R10" s="112"/>
      <c r="S10" s="112"/>
      <c r="T10" s="112"/>
      <c r="U10" s="112"/>
      <c r="V10" s="178"/>
      <c r="W10" s="112"/>
      <c r="X10" s="112"/>
      <c r="Y10" s="112"/>
      <c r="Z10" s="112"/>
      <c r="AA10" s="178"/>
      <c r="AB10" s="112"/>
      <c r="AC10" s="112"/>
      <c r="AD10" s="112"/>
      <c r="AE10" s="112"/>
      <c r="AF10" s="178"/>
      <c r="AG10" s="112"/>
      <c r="AH10" s="112"/>
      <c r="AI10" s="112"/>
      <c r="AJ10" s="112"/>
      <c r="AK10" s="178"/>
      <c r="AL10" s="112"/>
      <c r="AM10" s="112"/>
      <c r="AN10" s="112"/>
      <c r="AO10" s="112"/>
      <c r="AP10" s="178"/>
      <c r="AQ10" s="112"/>
      <c r="AR10" s="112"/>
      <c r="AS10" s="112"/>
      <c r="AT10" s="112"/>
      <c r="AU10" s="186">
        <v>1822</v>
      </c>
      <c r="AV10" s="98"/>
      <c r="AW10" s="112"/>
      <c r="AX10" s="112"/>
      <c r="AY10" s="112"/>
      <c r="AZ10" s="186">
        <v>2060</v>
      </c>
      <c r="BA10" s="112"/>
      <c r="BB10" s="112"/>
      <c r="BC10" s="112"/>
      <c r="BD10" s="112"/>
      <c r="BE10" s="186"/>
      <c r="BF10" s="178"/>
      <c r="BG10" s="178"/>
      <c r="BH10" s="178"/>
      <c r="BI10" s="178"/>
      <c r="BJ10" s="178"/>
      <c r="BL10" s="295"/>
      <c r="BM10" s="296"/>
    </row>
    <row r="11" spans="2:65" ht="12" hidden="1" customHeight="1" outlineLevel="1">
      <c r="B11" s="45" t="s">
        <v>217</v>
      </c>
      <c r="C11" s="179"/>
      <c r="D11" s="179"/>
      <c r="E11" s="179"/>
      <c r="F11" s="179"/>
      <c r="G11" s="180"/>
      <c r="H11" s="179"/>
      <c r="I11" s="179"/>
      <c r="J11" s="179"/>
      <c r="K11" s="179"/>
      <c r="L11" s="180"/>
      <c r="M11" s="179"/>
      <c r="N11" s="179"/>
      <c r="O11" s="179"/>
      <c r="P11" s="179"/>
      <c r="Q11" s="180"/>
      <c r="R11" s="179"/>
      <c r="S11" s="179"/>
      <c r="T11" s="179"/>
      <c r="U11" s="179"/>
      <c r="V11" s="180"/>
      <c r="W11" s="179"/>
      <c r="X11" s="179"/>
      <c r="Y11" s="179"/>
      <c r="Z11" s="179"/>
      <c r="AA11" s="180"/>
      <c r="AB11" s="179"/>
      <c r="AC11" s="179"/>
      <c r="AD11" s="179"/>
      <c r="AE11" s="179"/>
      <c r="AF11" s="180"/>
      <c r="AG11" s="179"/>
      <c r="AH11" s="179"/>
      <c r="AI11" s="179"/>
      <c r="AJ11" s="179"/>
      <c r="AK11" s="180"/>
      <c r="AL11" s="179"/>
      <c r="AM11" s="179"/>
      <c r="AN11" s="179"/>
      <c r="AO11" s="179"/>
      <c r="AP11" s="226"/>
      <c r="AQ11" s="179"/>
      <c r="AR11" s="179"/>
      <c r="AS11" s="294"/>
      <c r="AT11" s="294"/>
      <c r="AU11" s="74">
        <f>+AU4/AU9-1</f>
        <v>3.1559934318554639E-3</v>
      </c>
      <c r="AV11" s="304"/>
      <c r="AW11" s="179"/>
      <c r="AX11" s="179"/>
      <c r="AY11" s="179"/>
      <c r="AZ11" s="74">
        <f>+AZ4/AZ9-1</f>
        <v>-2.1899468342193584E-3</v>
      </c>
      <c r="BA11" s="179"/>
      <c r="BB11" s="179"/>
      <c r="BC11" s="179"/>
      <c r="BD11" s="179"/>
      <c r="BE11" s="74"/>
      <c r="BF11" s="180"/>
      <c r="BG11" s="180"/>
      <c r="BH11" s="180"/>
      <c r="BI11" s="180"/>
      <c r="BJ11" s="180"/>
      <c r="BL11" s="295"/>
      <c r="BM11" s="56"/>
    </row>
    <row r="12" spans="2:65" ht="12" customHeight="1" collapsed="1">
      <c r="C12" s="179"/>
      <c r="D12" s="179"/>
      <c r="E12" s="179"/>
      <c r="F12" s="179"/>
      <c r="G12" s="180"/>
      <c r="H12" s="179"/>
      <c r="I12" s="179"/>
      <c r="J12" s="179"/>
      <c r="K12" s="179"/>
      <c r="L12" s="180"/>
      <c r="M12" s="179"/>
      <c r="N12" s="179"/>
      <c r="O12" s="179"/>
      <c r="P12" s="179"/>
      <c r="Q12" s="180"/>
      <c r="R12" s="179"/>
      <c r="S12" s="179"/>
      <c r="T12" s="179"/>
      <c r="U12" s="179"/>
      <c r="V12" s="180"/>
      <c r="W12" s="179"/>
      <c r="X12" s="179"/>
      <c r="Y12" s="179"/>
      <c r="Z12" s="179"/>
      <c r="AA12" s="180"/>
      <c r="AB12" s="179"/>
      <c r="AC12" s="179"/>
      <c r="AD12" s="179"/>
      <c r="AE12" s="179"/>
      <c r="AF12" s="180"/>
      <c r="AG12" s="179"/>
      <c r="AH12" s="179"/>
      <c r="AI12" s="179"/>
      <c r="AJ12" s="179"/>
      <c r="AK12" s="180"/>
      <c r="AL12" s="179"/>
      <c r="AM12" s="179"/>
      <c r="AN12" s="179"/>
      <c r="AO12" s="179"/>
      <c r="AP12" s="226"/>
      <c r="AQ12" s="179"/>
      <c r="AR12" s="179"/>
      <c r="AS12" s="293"/>
      <c r="AT12" s="179"/>
      <c r="AU12" s="226"/>
      <c r="AV12" s="179"/>
      <c r="AW12" s="179"/>
      <c r="AX12" s="179"/>
      <c r="AY12" s="179"/>
      <c r="AZ12" s="180"/>
      <c r="BA12" s="179"/>
      <c r="BB12" s="179"/>
      <c r="BC12" s="179"/>
      <c r="BD12" s="179"/>
      <c r="BE12" s="180"/>
      <c r="BF12" s="180"/>
      <c r="BG12" s="180"/>
      <c r="BH12" s="180"/>
      <c r="BI12" s="180"/>
      <c r="BJ12" s="180"/>
      <c r="BL12" s="295"/>
      <c r="BM12" s="56"/>
    </row>
    <row r="13" spans="2:65">
      <c r="B13" s="51" t="s">
        <v>65</v>
      </c>
      <c r="C13" s="179">
        <f t="shared" ref="C13:AF13" si="6">SUM(C14:C15)</f>
        <v>61.59</v>
      </c>
      <c r="D13" s="179">
        <f t="shared" si="6"/>
        <v>68.73</v>
      </c>
      <c r="E13" s="179">
        <f t="shared" si="6"/>
        <v>75.61</v>
      </c>
      <c r="F13" s="179">
        <f t="shared" si="6"/>
        <v>84.18</v>
      </c>
      <c r="G13" s="180">
        <f t="shared" si="6"/>
        <v>290.11</v>
      </c>
      <c r="H13" s="179">
        <f t="shared" si="6"/>
        <v>92.54</v>
      </c>
      <c r="I13" s="179">
        <f t="shared" si="6"/>
        <v>103.52</v>
      </c>
      <c r="J13" s="179">
        <f t="shared" si="6"/>
        <v>111.03</v>
      </c>
      <c r="K13" s="179">
        <f t="shared" si="6"/>
        <v>118.54</v>
      </c>
      <c r="L13" s="180">
        <f t="shared" si="6"/>
        <v>425.63000000000005</v>
      </c>
      <c r="M13" s="179">
        <f t="shared" si="6"/>
        <v>137.77500000000001</v>
      </c>
      <c r="N13" s="179">
        <f t="shared" si="6"/>
        <v>146.13200000000001</v>
      </c>
      <c r="O13" s="179">
        <f t="shared" si="6"/>
        <v>155.60000000000002</v>
      </c>
      <c r="P13" s="179">
        <f t="shared" si="6"/>
        <v>164.197</v>
      </c>
      <c r="Q13" s="180">
        <f t="shared" si="6"/>
        <v>603.70400000000006</v>
      </c>
      <c r="R13" s="204">
        <f t="shared" si="6"/>
        <v>174.29</v>
      </c>
      <c r="S13" s="179">
        <f t="shared" si="6"/>
        <v>185.41900000000001</v>
      </c>
      <c r="T13" s="179">
        <f t="shared" si="6"/>
        <v>196.791</v>
      </c>
      <c r="U13" s="179">
        <f t="shared" si="6"/>
        <v>204.58799999999999</v>
      </c>
      <c r="V13" s="180">
        <f t="shared" si="6"/>
        <v>761.08799999999997</v>
      </c>
      <c r="W13" s="179">
        <f t="shared" si="6"/>
        <v>215.98699999999999</v>
      </c>
      <c r="X13" s="179">
        <f t="shared" si="6"/>
        <v>236.05900000000003</v>
      </c>
      <c r="Y13" s="204">
        <f t="shared" si="6"/>
        <v>254.18</v>
      </c>
      <c r="Z13" s="179">
        <f t="shared" si="6"/>
        <v>282.53399999999999</v>
      </c>
      <c r="AA13" s="180">
        <f t="shared" si="6"/>
        <v>988.76</v>
      </c>
      <c r="AB13" s="179">
        <f t="shared" si="6"/>
        <v>304.11200000000002</v>
      </c>
      <c r="AC13" s="179">
        <f t="shared" si="6"/>
        <v>316.40600000000001</v>
      </c>
      <c r="AD13" s="179">
        <f t="shared" si="6"/>
        <v>320.79700000000003</v>
      </c>
      <c r="AE13" s="179">
        <f>SUM(AE14:AE15)</f>
        <v>328.34199999999998</v>
      </c>
      <c r="AF13" s="180">
        <f t="shared" si="6"/>
        <v>1269.6569999999999</v>
      </c>
      <c r="AG13" s="179">
        <f t="shared" ref="AG13:AS13" si="7">SUM(AG14:AG15)</f>
        <v>341.59699999999998</v>
      </c>
      <c r="AH13" s="179">
        <f t="shared" si="7"/>
        <v>345.22400000000005</v>
      </c>
      <c r="AI13" s="179">
        <f t="shared" ref="AI13" si="8">SUM(AI14:AI15)</f>
        <v>345.80499999999995</v>
      </c>
      <c r="AJ13" s="179">
        <f>SUM(AJ14:AJ15)</f>
        <v>355.03999999999996</v>
      </c>
      <c r="AK13" s="180">
        <f>SUM(AK14:AK15)</f>
        <v>1387.6659999999999</v>
      </c>
      <c r="AL13" s="179">
        <f t="shared" ref="AL13:AO13" si="9">SUM(AL14:AL15)</f>
        <v>374.07600000000002</v>
      </c>
      <c r="AM13" s="179">
        <f t="shared" si="9"/>
        <v>389.97699999999998</v>
      </c>
      <c r="AN13" s="179">
        <f t="shared" si="9"/>
        <v>393.84100000000001</v>
      </c>
      <c r="AO13" s="179">
        <f t="shared" si="9"/>
        <v>403.77100000000002</v>
      </c>
      <c r="AP13" s="180">
        <f t="shared" si="7"/>
        <v>1561.665</v>
      </c>
      <c r="AQ13" s="179">
        <f t="shared" ref="AQ13" si="10">SUM(AQ14:AQ15)</f>
        <v>419.77600000000001</v>
      </c>
      <c r="AR13" s="179">
        <f>SUM(AR14:AR15)</f>
        <v>435.74599999999998</v>
      </c>
      <c r="AS13" s="179">
        <f t="shared" si="7"/>
        <v>444.673</v>
      </c>
      <c r="AT13" s="179">
        <f>SUM(AT14:AT15)</f>
        <v>460.45500000000004</v>
      </c>
      <c r="AU13" s="180">
        <f t="shared" ref="AU13:AW13" si="11">SUM(AU14:AU15)</f>
        <v>1760.65</v>
      </c>
      <c r="AV13" s="179">
        <f>SUM(AV14:AV15)</f>
        <v>473.65099999999995</v>
      </c>
      <c r="AW13" s="179">
        <f t="shared" si="11"/>
        <v>489.93</v>
      </c>
      <c r="AX13" s="179">
        <f t="shared" ref="AX13:AY13" si="12">SUM(AX14:AX15)</f>
        <v>505.19399999999996</v>
      </c>
      <c r="AY13" s="179">
        <f t="shared" si="12"/>
        <v>524.26900000000001</v>
      </c>
      <c r="AZ13" s="180">
        <f t="shared" ref="AZ13" si="13">SUM(AZ14:AZ15)</f>
        <v>1993.0440000000001</v>
      </c>
      <c r="BA13" s="179">
        <f>SUM(BA14:BA15)</f>
        <v>541.82232472297301</v>
      </c>
      <c r="BB13" s="179">
        <f>SUM(BB14:BB15)</f>
        <v>563.34134284932429</v>
      </c>
      <c r="BC13" s="179">
        <f>SUM(BC14:BC15)</f>
        <v>586.52044867500001</v>
      </c>
      <c r="BD13" s="179">
        <f>SUM(BD14:BD15)</f>
        <v>612.69679687500002</v>
      </c>
      <c r="BE13" s="180">
        <f t="shared" ref="BE13" si="14">SUM(BE14:BE15)</f>
        <v>2304.3809131222974</v>
      </c>
      <c r="BF13" s="180">
        <f t="shared" ref="BF13:BJ13" si="15">SUM(BF14:BF15)</f>
        <v>2574.9885051935948</v>
      </c>
      <c r="BG13" s="180">
        <f t="shared" si="15"/>
        <v>2819.4317343064668</v>
      </c>
      <c r="BH13" s="180">
        <f t="shared" si="15"/>
        <v>3036.207417830718</v>
      </c>
      <c r="BI13" s="180">
        <f t="shared" si="15"/>
        <v>3225.6635855042973</v>
      </c>
      <c r="BJ13" s="180">
        <f t="shared" si="15"/>
        <v>3391.3178634583755</v>
      </c>
      <c r="BL13" s="295"/>
      <c r="BM13" s="56"/>
    </row>
    <row r="14" spans="2:65">
      <c r="B14" s="45" t="s">
        <v>136</v>
      </c>
      <c r="C14" s="98">
        <v>61.59</v>
      </c>
      <c r="D14" s="98">
        <v>68.73</v>
      </c>
      <c r="E14" s="98">
        <v>75.61</v>
      </c>
      <c r="F14" s="98">
        <v>84.18</v>
      </c>
      <c r="G14" s="178">
        <f>SUM(C14:F14)</f>
        <v>290.11</v>
      </c>
      <c r="H14" s="98">
        <v>92.54</v>
      </c>
      <c r="I14" s="98">
        <v>103.52</v>
      </c>
      <c r="J14" s="98">
        <v>111.03</v>
      </c>
      <c r="K14" s="98">
        <v>118.54</v>
      </c>
      <c r="L14" s="178">
        <f>SUM(H14:K14)</f>
        <v>425.63000000000005</v>
      </c>
      <c r="M14" s="98">
        <v>120.434</v>
      </c>
      <c r="N14" s="98">
        <v>126.71599999999999</v>
      </c>
      <c r="O14" s="98">
        <v>134.57900000000001</v>
      </c>
      <c r="P14" s="98">
        <v>143.62100000000001</v>
      </c>
      <c r="Q14" s="178">
        <f>SUM(M14:P14)</f>
        <v>525.35</v>
      </c>
      <c r="R14" s="98">
        <v>151.364</v>
      </c>
      <c r="S14" s="98">
        <v>157.012</v>
      </c>
      <c r="T14" s="98">
        <v>164.761</v>
      </c>
      <c r="U14" s="98">
        <v>171.35499999999999</v>
      </c>
      <c r="V14" s="178">
        <f>SUM(R14:U14)</f>
        <v>644.49199999999996</v>
      </c>
      <c r="W14" s="98">
        <v>176.54599999999999</v>
      </c>
      <c r="X14" s="98">
        <v>190.16900000000001</v>
      </c>
      <c r="Y14" s="98">
        <v>202.99600000000001</v>
      </c>
      <c r="Z14" s="98">
        <v>213.745</v>
      </c>
      <c r="AA14" s="178">
        <f>SUM(W14:Z14)</f>
        <v>783.45600000000002</v>
      </c>
      <c r="AB14" s="98">
        <v>226.43600000000001</v>
      </c>
      <c r="AC14" s="98">
        <v>235.89099999999999</v>
      </c>
      <c r="AD14" s="98">
        <v>241.303</v>
      </c>
      <c r="AE14" s="98">
        <v>246.66900000000001</v>
      </c>
      <c r="AF14" s="178">
        <f>SUM(AB14:AE14)</f>
        <v>950.29899999999998</v>
      </c>
      <c r="AG14" s="98">
        <v>254.96799999999999</v>
      </c>
      <c r="AH14" s="98">
        <v>258.17700000000002</v>
      </c>
      <c r="AI14" s="98">
        <v>261.06599999999997</v>
      </c>
      <c r="AJ14" s="98">
        <v>265.26799999999997</v>
      </c>
      <c r="AK14" s="178">
        <f>SUM(AG14:AJ14)</f>
        <v>1039.479</v>
      </c>
      <c r="AL14" s="98">
        <v>278.13</v>
      </c>
      <c r="AM14" s="98">
        <v>287.089</v>
      </c>
      <c r="AN14" s="98">
        <v>290.63400000000001</v>
      </c>
      <c r="AO14" s="98">
        <v>296.154</v>
      </c>
      <c r="AP14" s="178">
        <f t="shared" ref="AP14:AU14" si="16">AP143</f>
        <v>1152.0070000000001</v>
      </c>
      <c r="AQ14" s="98">
        <v>304.29300000000001</v>
      </c>
      <c r="AR14" s="98">
        <v>312.125</v>
      </c>
      <c r="AS14" s="98">
        <v>318.82499999999999</v>
      </c>
      <c r="AT14" s="98">
        <v>329.73200000000003</v>
      </c>
      <c r="AU14" s="178">
        <f t="shared" si="16"/>
        <v>1264.9749999999999</v>
      </c>
      <c r="AV14" s="98">
        <v>337.67599999999999</v>
      </c>
      <c r="AW14" s="98">
        <v>345.45600000000002</v>
      </c>
      <c r="AX14" s="98">
        <v>356.17399999999998</v>
      </c>
      <c r="AY14" s="98">
        <v>370.42099999999999</v>
      </c>
      <c r="AZ14" s="178">
        <f t="shared" ref="AZ14:BE14" si="17">AZ143</f>
        <v>1409.7270000000001</v>
      </c>
      <c r="BA14" s="112">
        <f t="shared" si="17"/>
        <v>385.06825175000006</v>
      </c>
      <c r="BB14" s="112">
        <f t="shared" si="17"/>
        <v>398.07196852499999</v>
      </c>
      <c r="BC14" s="112">
        <f t="shared" si="17"/>
        <v>415.89019867499997</v>
      </c>
      <c r="BD14" s="112">
        <f t="shared" si="17"/>
        <v>438.72869687500003</v>
      </c>
      <c r="BE14" s="178">
        <f t="shared" si="17"/>
        <v>1637.759115825</v>
      </c>
      <c r="BF14" s="178">
        <f t="shared" ref="BF14:BJ14" si="18">BF143</f>
        <v>1834.2902097240003</v>
      </c>
      <c r="BG14" s="178">
        <f t="shared" si="18"/>
        <v>2010.3820698575043</v>
      </c>
      <c r="BH14" s="178">
        <f t="shared" si="18"/>
        <v>2164.7794128225605</v>
      </c>
      <c r="BI14" s="178">
        <f t="shared" si="18"/>
        <v>2297.7834599463781</v>
      </c>
      <c r="BJ14" s="178">
        <f t="shared" si="18"/>
        <v>2412.6726329436974</v>
      </c>
      <c r="BL14" s="295"/>
      <c r="BM14" s="56"/>
    </row>
    <row r="15" spans="2:65">
      <c r="B15" s="45" t="s">
        <v>137</v>
      </c>
      <c r="C15" s="98"/>
      <c r="D15" s="98"/>
      <c r="E15" s="98"/>
      <c r="F15" s="98"/>
      <c r="G15" s="178"/>
      <c r="H15" s="98"/>
      <c r="I15" s="98"/>
      <c r="J15" s="98"/>
      <c r="K15" s="98"/>
      <c r="L15" s="178"/>
      <c r="M15" s="98">
        <v>17.341000000000001</v>
      </c>
      <c r="N15" s="98">
        <v>19.416</v>
      </c>
      <c r="O15" s="98">
        <v>21.021000000000001</v>
      </c>
      <c r="P15" s="98">
        <v>20.576000000000001</v>
      </c>
      <c r="Q15" s="178">
        <f>SUM(M15:P15)</f>
        <v>78.354000000000013</v>
      </c>
      <c r="R15" s="98">
        <v>22.925999999999998</v>
      </c>
      <c r="S15" s="98">
        <v>28.407</v>
      </c>
      <c r="T15" s="98">
        <v>32.03</v>
      </c>
      <c r="U15" s="98">
        <v>33.232999999999997</v>
      </c>
      <c r="V15" s="178">
        <f>SUM(R15:U15)</f>
        <v>116.596</v>
      </c>
      <c r="W15" s="98">
        <v>39.441000000000003</v>
      </c>
      <c r="X15" s="98">
        <v>45.89</v>
      </c>
      <c r="Y15" s="98">
        <v>51.183999999999997</v>
      </c>
      <c r="Z15" s="98">
        <v>68.789000000000001</v>
      </c>
      <c r="AA15" s="178">
        <f>SUM(W15:Z15)</f>
        <v>205.30399999999997</v>
      </c>
      <c r="AB15" s="98">
        <v>77.676000000000002</v>
      </c>
      <c r="AC15" s="98">
        <v>80.515000000000001</v>
      </c>
      <c r="AD15" s="98">
        <v>79.494</v>
      </c>
      <c r="AE15" s="98">
        <v>81.673000000000002</v>
      </c>
      <c r="AF15" s="178">
        <f>SUM(AB15:AE15)</f>
        <v>319.358</v>
      </c>
      <c r="AG15" s="98">
        <v>86.629000000000005</v>
      </c>
      <c r="AH15" s="98">
        <v>87.046999999999997</v>
      </c>
      <c r="AI15" s="98">
        <v>84.739000000000004</v>
      </c>
      <c r="AJ15" s="98">
        <v>89.772000000000006</v>
      </c>
      <c r="AK15" s="178">
        <f>SUM(AG15:AJ15)</f>
        <v>348.18699999999995</v>
      </c>
      <c r="AL15" s="98">
        <v>95.945999999999998</v>
      </c>
      <c r="AM15" s="98">
        <v>102.88800000000001</v>
      </c>
      <c r="AN15" s="98">
        <v>103.20699999999999</v>
      </c>
      <c r="AO15" s="98">
        <v>107.617</v>
      </c>
      <c r="AP15" s="178">
        <f t="shared" ref="AP15:AU15" si="19">AP164</f>
        <v>409.65800000000002</v>
      </c>
      <c r="AQ15" s="98">
        <v>115.483</v>
      </c>
      <c r="AR15" s="98">
        <v>123.621</v>
      </c>
      <c r="AS15" s="98">
        <v>125.848</v>
      </c>
      <c r="AT15" s="98">
        <v>130.72300000000001</v>
      </c>
      <c r="AU15" s="178">
        <f t="shared" si="19"/>
        <v>495.67500000000007</v>
      </c>
      <c r="AV15" s="98">
        <v>135.97499999999999</v>
      </c>
      <c r="AW15" s="98">
        <v>144.47399999999999</v>
      </c>
      <c r="AX15" s="98">
        <v>149.02000000000001</v>
      </c>
      <c r="AY15" s="98">
        <v>153.84800000000001</v>
      </c>
      <c r="AZ15" s="178">
        <f t="shared" ref="AZ15:BE15" si="20">AZ164</f>
        <v>583.31700000000001</v>
      </c>
      <c r="BA15" s="112">
        <f t="shared" si="20"/>
        <v>156.75407297297295</v>
      </c>
      <c r="BB15" s="112">
        <f t="shared" si="20"/>
        <v>165.2693743243243</v>
      </c>
      <c r="BC15" s="112">
        <f t="shared" si="20"/>
        <v>170.63025000000002</v>
      </c>
      <c r="BD15" s="112">
        <f t="shared" si="20"/>
        <v>173.96810000000002</v>
      </c>
      <c r="BE15" s="178">
        <f t="shared" si="20"/>
        <v>666.62179729729735</v>
      </c>
      <c r="BF15" s="178">
        <f t="shared" ref="BF15:BJ15" si="21">BF164</f>
        <v>740.69829546959465</v>
      </c>
      <c r="BG15" s="178">
        <f t="shared" si="21"/>
        <v>809.0496644489624</v>
      </c>
      <c r="BH15" s="178">
        <f t="shared" si="21"/>
        <v>871.42800500815758</v>
      </c>
      <c r="BI15" s="178">
        <f t="shared" si="21"/>
        <v>927.8801255579192</v>
      </c>
      <c r="BJ15" s="178">
        <f t="shared" si="21"/>
        <v>978.64523051467791</v>
      </c>
      <c r="BL15" s="295"/>
      <c r="BM15" s="56"/>
    </row>
    <row r="16" spans="2:65">
      <c r="C16" s="56"/>
      <c r="D16" s="56"/>
      <c r="E16" s="56"/>
      <c r="F16" s="56"/>
      <c r="G16" s="99"/>
      <c r="H16" s="56"/>
      <c r="I16" s="56"/>
      <c r="J16" s="56"/>
      <c r="K16" s="56"/>
      <c r="L16" s="99"/>
      <c r="M16" s="56"/>
      <c r="N16" s="56"/>
      <c r="O16" s="56"/>
      <c r="P16" s="56"/>
      <c r="Q16" s="99"/>
      <c r="R16" s="56"/>
      <c r="S16" s="56"/>
      <c r="T16" s="56"/>
      <c r="U16" s="56"/>
      <c r="V16" s="99"/>
      <c r="W16" s="56"/>
      <c r="X16" s="56"/>
      <c r="Y16" s="56"/>
      <c r="Z16" s="56"/>
      <c r="AA16" s="99"/>
      <c r="AB16" s="56"/>
      <c r="AC16" s="56"/>
      <c r="AD16" s="56"/>
      <c r="AE16" s="56"/>
      <c r="AF16" s="99"/>
      <c r="AG16" s="56"/>
      <c r="AH16" s="56"/>
      <c r="AI16" s="56"/>
      <c r="AJ16" s="56"/>
      <c r="AK16" s="99"/>
      <c r="AL16" s="56"/>
      <c r="AN16" s="56"/>
      <c r="AO16" s="56"/>
      <c r="AP16" s="118"/>
      <c r="AS16" s="56"/>
      <c r="AT16" s="56"/>
      <c r="AU16" s="118"/>
      <c r="AV16" s="56"/>
      <c r="AW16" s="56"/>
      <c r="AX16" s="56"/>
      <c r="AY16" s="56"/>
      <c r="AZ16" s="118"/>
      <c r="BA16" s="56"/>
      <c r="BB16" s="56"/>
      <c r="BC16" s="56"/>
      <c r="BD16" s="56"/>
      <c r="BE16" s="118"/>
      <c r="BF16" s="99"/>
      <c r="BG16" s="99"/>
      <c r="BH16" s="99"/>
      <c r="BI16" s="99"/>
      <c r="BJ16" s="99"/>
    </row>
    <row r="17" spans="2:70" hidden="1" outlineLevel="1">
      <c r="B17" s="166" t="s">
        <v>182</v>
      </c>
      <c r="C17" s="56"/>
      <c r="D17" s="56"/>
      <c r="E17" s="56"/>
      <c r="F17" s="56"/>
      <c r="G17" s="99"/>
      <c r="H17" s="56"/>
      <c r="I17" s="56"/>
      <c r="J17" s="56"/>
      <c r="K17" s="56"/>
      <c r="L17" s="99"/>
      <c r="M17" s="56"/>
      <c r="N17" s="56"/>
      <c r="O17" s="56"/>
      <c r="P17" s="56"/>
      <c r="Q17" s="99"/>
      <c r="R17" s="56"/>
      <c r="S17" s="56"/>
      <c r="T17" s="56"/>
      <c r="U17" s="56"/>
      <c r="V17" s="99"/>
      <c r="W17" s="56"/>
      <c r="X17" s="56"/>
      <c r="Y17" s="56"/>
      <c r="Z17" s="56"/>
      <c r="AA17" s="99"/>
      <c r="AB17" s="56"/>
      <c r="AC17" s="56"/>
      <c r="AD17" s="242"/>
      <c r="AE17" s="56"/>
      <c r="AF17" s="99"/>
      <c r="AG17" s="56"/>
      <c r="AH17" s="56"/>
      <c r="AI17" s="242"/>
      <c r="AJ17" s="56"/>
      <c r="AK17" s="99"/>
      <c r="AL17" s="56"/>
      <c r="AM17" s="56"/>
      <c r="AN17" s="56"/>
      <c r="AO17" s="56"/>
      <c r="AP17" s="118"/>
      <c r="AQ17" s="56"/>
      <c r="AR17" s="56"/>
      <c r="AS17" s="56"/>
      <c r="AT17" s="56"/>
      <c r="AU17" s="118"/>
      <c r="AV17" s="160">
        <f>AV13/AQ13-1</f>
        <v>0.12834225872846461</v>
      </c>
      <c r="AW17" s="160">
        <f>AW18/AR13-1</f>
        <v>0.12221339954927868</v>
      </c>
      <c r="AX17" s="160">
        <f>AX18/AS13-1</f>
        <v>0.13341714023563389</v>
      </c>
      <c r="AY17" s="56"/>
      <c r="AZ17" s="229"/>
      <c r="BA17" s="56"/>
      <c r="BB17" s="56"/>
      <c r="BC17" s="56"/>
      <c r="BD17" s="56"/>
      <c r="BE17" s="229"/>
      <c r="BF17" s="99"/>
      <c r="BG17" s="99"/>
      <c r="BH17" s="99"/>
      <c r="BI17" s="99"/>
      <c r="BJ17" s="99"/>
      <c r="BL17" s="297"/>
      <c r="BM17" s="51"/>
      <c r="BN17" s="51"/>
      <c r="BO17" s="51"/>
    </row>
    <row r="18" spans="2:70" hidden="1" outlineLevel="1">
      <c r="B18" s="45" t="s">
        <v>214</v>
      </c>
      <c r="C18" s="56"/>
      <c r="D18" s="56"/>
      <c r="E18" s="56"/>
      <c r="F18" s="56"/>
      <c r="G18" s="99"/>
      <c r="H18" s="56"/>
      <c r="I18" s="56"/>
      <c r="J18" s="56"/>
      <c r="K18" s="56"/>
      <c r="L18" s="99"/>
      <c r="M18" s="56"/>
      <c r="N18" s="56"/>
      <c r="O18" s="56"/>
      <c r="P18" s="56"/>
      <c r="Q18" s="99"/>
      <c r="R18" s="56"/>
      <c r="S18" s="56"/>
      <c r="T18" s="56"/>
      <c r="U18" s="56"/>
      <c r="V18" s="99"/>
      <c r="W18" s="56"/>
      <c r="X18" s="56"/>
      <c r="Y18" s="56"/>
      <c r="Z18" s="56"/>
      <c r="AA18" s="99"/>
      <c r="AB18" s="56"/>
      <c r="AC18" s="56"/>
      <c r="AD18" s="56"/>
      <c r="AE18" s="56"/>
      <c r="AF18" s="99"/>
      <c r="AG18" s="98">
        <v>343</v>
      </c>
      <c r="AH18" s="98">
        <v>346</v>
      </c>
      <c r="AI18" s="98">
        <v>345</v>
      </c>
      <c r="AJ18" s="98">
        <v>354</v>
      </c>
      <c r="AK18" s="186"/>
      <c r="AL18" s="98">
        <v>371</v>
      </c>
      <c r="AM18" s="98">
        <v>385</v>
      </c>
      <c r="AN18" s="98">
        <v>391</v>
      </c>
      <c r="AO18" s="98">
        <v>405</v>
      </c>
      <c r="AP18" s="186">
        <v>1558</v>
      </c>
      <c r="AQ18" s="98">
        <v>419</v>
      </c>
      <c r="AR18" s="98">
        <v>435</v>
      </c>
      <c r="AS18" s="98">
        <v>445</v>
      </c>
      <c r="AT18" s="98">
        <v>464</v>
      </c>
      <c r="AU18" s="186">
        <v>1764</v>
      </c>
      <c r="AV18" s="98">
        <v>473</v>
      </c>
      <c r="AW18" s="98">
        <v>489</v>
      </c>
      <c r="AX18" s="98">
        <v>504</v>
      </c>
      <c r="AY18" s="98">
        <v>531</v>
      </c>
      <c r="AZ18" s="186">
        <v>2000</v>
      </c>
      <c r="BA18" s="98"/>
      <c r="BB18" s="98"/>
      <c r="BC18" s="98"/>
      <c r="BD18" s="98"/>
      <c r="BE18" s="186"/>
      <c r="BF18" s="99"/>
      <c r="BG18" s="99"/>
      <c r="BH18" s="99"/>
      <c r="BI18" s="99"/>
      <c r="BJ18" s="99"/>
      <c r="BL18" s="295"/>
      <c r="BM18" s="60"/>
      <c r="BN18" s="60"/>
      <c r="BO18" s="60"/>
      <c r="BQ18" s="47"/>
      <c r="BR18" s="45"/>
    </row>
    <row r="19" spans="2:70" hidden="1" outlineLevel="1">
      <c r="B19" s="45" t="s">
        <v>215</v>
      </c>
      <c r="C19" s="56"/>
      <c r="D19" s="56"/>
      <c r="E19" s="56"/>
      <c r="F19" s="56"/>
      <c r="G19" s="99"/>
      <c r="H19" s="56"/>
      <c r="I19" s="56"/>
      <c r="J19" s="56"/>
      <c r="K19" s="56"/>
      <c r="L19" s="99"/>
      <c r="M19" s="56"/>
      <c r="N19" s="56"/>
      <c r="O19" s="56"/>
      <c r="P19" s="56"/>
      <c r="Q19" s="99"/>
      <c r="R19" s="56"/>
      <c r="S19" s="56"/>
      <c r="T19" s="56"/>
      <c r="U19" s="56"/>
      <c r="V19" s="99"/>
      <c r="W19" s="56"/>
      <c r="X19" s="56"/>
      <c r="Y19" s="56"/>
      <c r="Z19" s="56"/>
      <c r="AA19" s="99"/>
      <c r="AB19" s="56"/>
      <c r="AC19" s="56"/>
      <c r="AD19" s="56"/>
      <c r="AE19" s="56"/>
      <c r="AF19" s="99"/>
      <c r="AG19" s="56">
        <f>AVERAGE(AG18,AG20)</f>
        <v>340.5</v>
      </c>
      <c r="AH19" s="56">
        <f>AVERAGE(AH18,AH20)</f>
        <v>344</v>
      </c>
      <c r="AI19" s="56">
        <f>AVERAGE(AI18,AI20)</f>
        <v>343</v>
      </c>
      <c r="AJ19" s="56">
        <f>AVERAGE(AJ18,AJ20)</f>
        <v>351.5</v>
      </c>
      <c r="AK19" s="99"/>
      <c r="AL19" s="56">
        <f>AVERAGE(AL18,AL20)</f>
        <v>369</v>
      </c>
      <c r="AM19" s="56">
        <f>AVERAGE(AM18,AM20)</f>
        <v>382.5</v>
      </c>
      <c r="AN19" s="56">
        <f>AVERAGE(AN18,AN20)</f>
        <v>388.5</v>
      </c>
      <c r="AO19" s="56">
        <f>AVERAGE(AO18,AO20)</f>
        <v>402.5</v>
      </c>
      <c r="AP19" s="99">
        <f>+AVERAGE(AP18,AP20)</f>
        <v>1560.5</v>
      </c>
      <c r="AQ19" s="56">
        <f>AVERAGE(AQ18,AQ20)</f>
        <v>417</v>
      </c>
      <c r="AR19" s="56">
        <f>AVERAGE(AR18,AR20)</f>
        <v>433</v>
      </c>
      <c r="AS19" s="56">
        <f>AVERAGE(AS18,AS20)</f>
        <v>442.5</v>
      </c>
      <c r="AT19" s="56">
        <f>AVERAGE(AT18,AT20)</f>
        <v>460.5</v>
      </c>
      <c r="AU19" s="99">
        <f t="shared" ref="AU19:AZ19" si="22">+AVERAGE(AU18,AU20)</f>
        <v>1760.5</v>
      </c>
      <c r="AV19" s="56">
        <f t="shared" si="22"/>
        <v>471</v>
      </c>
      <c r="AW19" s="56">
        <f t="shared" si="22"/>
        <v>487</v>
      </c>
      <c r="AX19" s="56">
        <f t="shared" si="22"/>
        <v>501</v>
      </c>
      <c r="AY19" s="56">
        <f t="shared" si="22"/>
        <v>526</v>
      </c>
      <c r="AZ19" s="99">
        <f t="shared" si="22"/>
        <v>1995</v>
      </c>
      <c r="BA19" s="321" t="s">
        <v>329</v>
      </c>
      <c r="BB19" s="56"/>
      <c r="BC19" s="56"/>
      <c r="BD19" s="56"/>
      <c r="BE19" s="99" t="s">
        <v>329</v>
      </c>
      <c r="BF19" s="99"/>
      <c r="BG19" s="99"/>
      <c r="BH19" s="99"/>
      <c r="BI19" s="99"/>
      <c r="BJ19" s="99"/>
      <c r="BL19" s="295"/>
      <c r="BM19" s="60"/>
      <c r="BN19" s="60"/>
      <c r="BO19" s="60"/>
      <c r="BQ19" s="47"/>
      <c r="BR19" s="45"/>
    </row>
    <row r="20" spans="2:70" hidden="1" outlineLevel="1">
      <c r="B20" s="45" t="s">
        <v>216</v>
      </c>
      <c r="C20" s="56"/>
      <c r="D20" s="56"/>
      <c r="E20" s="56"/>
      <c r="F20" s="56"/>
      <c r="G20" s="99"/>
      <c r="H20" s="56"/>
      <c r="I20" s="56"/>
      <c r="J20" s="56"/>
      <c r="K20" s="56"/>
      <c r="L20" s="99"/>
      <c r="M20" s="56"/>
      <c r="N20" s="56"/>
      <c r="O20" s="56"/>
      <c r="P20" s="56"/>
      <c r="Q20" s="99"/>
      <c r="R20" s="56"/>
      <c r="S20" s="56"/>
      <c r="T20" s="56"/>
      <c r="U20" s="56"/>
      <c r="V20" s="99"/>
      <c r="W20" s="56"/>
      <c r="X20" s="56"/>
      <c r="Y20" s="56"/>
      <c r="Z20" s="56"/>
      <c r="AA20" s="99"/>
      <c r="AB20" s="56"/>
      <c r="AC20" s="56"/>
      <c r="AD20" s="56"/>
      <c r="AE20" s="56"/>
      <c r="AF20" s="99"/>
      <c r="AG20" s="98">
        <v>338</v>
      </c>
      <c r="AH20" s="98">
        <v>342</v>
      </c>
      <c r="AI20" s="98">
        <v>341</v>
      </c>
      <c r="AJ20" s="98">
        <v>349</v>
      </c>
      <c r="AK20" s="186"/>
      <c r="AL20" s="98">
        <v>367</v>
      </c>
      <c r="AM20" s="98">
        <v>380</v>
      </c>
      <c r="AN20" s="98">
        <v>386</v>
      </c>
      <c r="AO20" s="98">
        <v>400</v>
      </c>
      <c r="AP20" s="186">
        <v>1563</v>
      </c>
      <c r="AQ20" s="98">
        <v>415</v>
      </c>
      <c r="AR20" s="98">
        <v>431</v>
      </c>
      <c r="AS20" s="98">
        <v>440</v>
      </c>
      <c r="AT20" s="98">
        <v>457</v>
      </c>
      <c r="AU20" s="186">
        <v>1757</v>
      </c>
      <c r="AV20" s="98">
        <v>469</v>
      </c>
      <c r="AW20" s="98">
        <v>485</v>
      </c>
      <c r="AX20" s="98">
        <v>498</v>
      </c>
      <c r="AY20" s="98">
        <v>521</v>
      </c>
      <c r="AZ20" s="186">
        <v>1990</v>
      </c>
      <c r="BA20" s="319">
        <f>BA13/AV13-1</f>
        <v>0.14392733198699692</v>
      </c>
      <c r="BB20" s="98"/>
      <c r="BC20" s="98"/>
      <c r="BD20" s="98"/>
      <c r="BE20" s="167">
        <f>BE13/AZ13-1</f>
        <v>0.15621176106613666</v>
      </c>
      <c r="BF20" s="99"/>
      <c r="BG20" s="99"/>
      <c r="BH20" s="99"/>
      <c r="BI20" s="99"/>
      <c r="BJ20" s="99"/>
      <c r="BL20" s="295"/>
      <c r="BM20" s="60"/>
      <c r="BN20" s="60"/>
      <c r="BO20" s="60"/>
      <c r="BQ20" s="47"/>
      <c r="BR20" s="45"/>
    </row>
    <row r="21" spans="2:70" hidden="1" outlineLevel="1">
      <c r="B21" s="45" t="s">
        <v>217</v>
      </c>
      <c r="C21" s="56"/>
      <c r="D21" s="56"/>
      <c r="E21" s="56"/>
      <c r="F21" s="56"/>
      <c r="G21" s="99"/>
      <c r="H21" s="56"/>
      <c r="I21" s="56"/>
      <c r="J21" s="56"/>
      <c r="K21" s="56"/>
      <c r="L21" s="99"/>
      <c r="M21" s="56"/>
      <c r="N21" s="56"/>
      <c r="O21" s="56"/>
      <c r="P21" s="56"/>
      <c r="Q21" s="99"/>
      <c r="R21" s="56"/>
      <c r="S21" s="56"/>
      <c r="T21" s="56"/>
      <c r="U21" s="56"/>
      <c r="V21" s="99"/>
      <c r="W21" s="56"/>
      <c r="X21" s="56"/>
      <c r="Y21" s="56"/>
      <c r="Z21" s="56"/>
      <c r="AA21" s="99"/>
      <c r="AB21" s="56"/>
      <c r="AC21" s="56"/>
      <c r="AD21" s="56"/>
      <c r="AE21" s="56"/>
      <c r="AF21" s="99"/>
      <c r="AG21" s="53">
        <f>AG13/AG19-1</f>
        <v>3.221732745961825E-3</v>
      </c>
      <c r="AH21" s="53">
        <f>AH13/AH19-1</f>
        <v>3.5581395348838196E-3</v>
      </c>
      <c r="AI21" s="53">
        <f>AI13/AI19-1</f>
        <v>8.177842565597615E-3</v>
      </c>
      <c r="AJ21" s="53">
        <f>AJ13/AJ19-1</f>
        <v>1.0071123755334144E-2</v>
      </c>
      <c r="AK21" s="74"/>
      <c r="AL21" s="53">
        <f>AL13/AL19-1</f>
        <v>1.3756097560975622E-2</v>
      </c>
      <c r="AM21" s="53">
        <f>AM13/AM19-1</f>
        <v>1.9547712418300556E-2</v>
      </c>
      <c r="AN21" s="53">
        <f>AN13/AN19-1</f>
        <v>1.3747747747747674E-2</v>
      </c>
      <c r="AO21" s="53">
        <f>AO13/AO19-1</f>
        <v>3.1577639751552145E-3</v>
      </c>
      <c r="AP21" s="229">
        <f>+AP13/AP19-1</f>
        <v>7.4655559115655024E-4</v>
      </c>
      <c r="AQ21" s="53">
        <f>AQ13/AQ19-1</f>
        <v>6.6570743405276467E-3</v>
      </c>
      <c r="AR21" s="53">
        <f>AR13/AR19-1</f>
        <v>6.3418013856813005E-3</v>
      </c>
      <c r="AS21" s="53">
        <f>AS13/AS19-1</f>
        <v>4.9107344632768335E-3</v>
      </c>
      <c r="AT21" s="53">
        <f>AT13/AT19-1</f>
        <v>-9.7719869706747176E-5</v>
      </c>
      <c r="AU21" s="229">
        <f t="shared" ref="AU21:AZ21" si="23">+AU13/AU19-1</f>
        <v>8.5203067310413161E-5</v>
      </c>
      <c r="AV21" s="160">
        <f t="shared" si="23"/>
        <v>5.6284501061569792E-3</v>
      </c>
      <c r="AW21" s="160">
        <f t="shared" si="23"/>
        <v>6.0164271047227214E-3</v>
      </c>
      <c r="AX21" s="160">
        <f t="shared" si="23"/>
        <v>8.3712574850298704E-3</v>
      </c>
      <c r="AY21" s="160">
        <f t="shared" si="23"/>
        <v>-3.2908745247147708E-3</v>
      </c>
      <c r="AZ21" s="229">
        <f t="shared" si="23"/>
        <v>-9.8045112781952604E-4</v>
      </c>
      <c r="BA21" s="160"/>
      <c r="BB21" s="160"/>
      <c r="BC21" s="160"/>
      <c r="BD21" s="160"/>
      <c r="BE21" s="229"/>
      <c r="BF21" s="99"/>
      <c r="BG21" s="99"/>
      <c r="BH21" s="99"/>
      <c r="BI21" s="99"/>
      <c r="BJ21" s="99"/>
      <c r="BQ21" s="47"/>
      <c r="BR21" s="45"/>
    </row>
    <row r="22" spans="2:70" hidden="1" outlineLevel="1">
      <c r="C22" s="56"/>
      <c r="D22" s="56"/>
      <c r="E22" s="56"/>
      <c r="F22" s="56"/>
      <c r="G22" s="99"/>
      <c r="H22" s="56"/>
      <c r="I22" s="56"/>
      <c r="J22" s="56"/>
      <c r="K22" s="56"/>
      <c r="L22" s="99"/>
      <c r="M22" s="56"/>
      <c r="N22" s="56"/>
      <c r="O22" s="56"/>
      <c r="P22" s="56"/>
      <c r="Q22" s="99"/>
      <c r="R22" s="56"/>
      <c r="S22" s="56"/>
      <c r="T22" s="56"/>
      <c r="U22" s="56"/>
      <c r="V22" s="99"/>
      <c r="W22" s="56"/>
      <c r="X22" s="56"/>
      <c r="Y22" s="56"/>
      <c r="Z22" s="56"/>
      <c r="AA22" s="99"/>
      <c r="AB22" s="56"/>
      <c r="AC22" s="56"/>
      <c r="AD22" s="56"/>
      <c r="AE22" s="189"/>
      <c r="AF22" s="99"/>
      <c r="AG22" s="56"/>
      <c r="AH22" s="56"/>
      <c r="AI22" s="56"/>
      <c r="AJ22" s="56"/>
      <c r="AK22" s="99"/>
      <c r="AL22" s="56"/>
      <c r="AM22" s="56"/>
      <c r="AN22" s="56"/>
      <c r="AO22" s="56"/>
      <c r="AP22" s="99"/>
      <c r="AQ22" s="56"/>
      <c r="AR22" s="56"/>
      <c r="AS22" s="56"/>
      <c r="AT22" s="56"/>
      <c r="AU22" s="99"/>
      <c r="AV22" s="56"/>
      <c r="AW22" s="56"/>
      <c r="AX22" s="56"/>
      <c r="AY22" s="56"/>
      <c r="AZ22" s="99"/>
      <c r="BA22" s="56"/>
      <c r="BB22" s="56"/>
      <c r="BC22" s="56"/>
      <c r="BD22" s="56"/>
      <c r="BE22" s="99"/>
      <c r="BF22" s="99"/>
      <c r="BG22" s="99"/>
      <c r="BH22" s="99"/>
      <c r="BI22" s="99"/>
      <c r="BJ22" s="99"/>
      <c r="BL22" s="51"/>
      <c r="BM22" s="51"/>
    </row>
    <row r="23" spans="2:70" collapsed="1">
      <c r="B23" s="45" t="s">
        <v>211</v>
      </c>
      <c r="C23" s="181">
        <f>10.51-0.428</f>
        <v>10.081999999999999</v>
      </c>
      <c r="D23" s="181">
        <f>11.02-0.475</f>
        <v>10.545</v>
      </c>
      <c r="E23" s="181">
        <f>11.02-0.466</f>
        <v>10.554</v>
      </c>
      <c r="F23" s="181">
        <f>12.74-0.429</f>
        <v>12.311</v>
      </c>
      <c r="G23" s="182">
        <f t="shared" ref="G23:G28" si="24">SUM(C23:F23)</f>
        <v>43.491999999999997</v>
      </c>
      <c r="H23" s="181">
        <v>14.329000000000001</v>
      </c>
      <c r="I23" s="181">
        <v>16.29</v>
      </c>
      <c r="J23" s="181">
        <v>17.286999999999999</v>
      </c>
      <c r="K23" s="181">
        <v>18.021999999999998</v>
      </c>
      <c r="L23" s="182">
        <f t="shared" ref="L23:L28" si="25">SUM(H23:K23)</f>
        <v>65.927999999999997</v>
      </c>
      <c r="M23" s="181">
        <f>29.044-1.079</f>
        <v>27.965</v>
      </c>
      <c r="N23" s="181">
        <f>30.437-1.087</f>
        <v>29.35</v>
      </c>
      <c r="O23" s="181">
        <f>32.977-1.102</f>
        <v>31.874999999999996</v>
      </c>
      <c r="P23" s="181">
        <f>34.489-1.15</f>
        <v>33.338999999999999</v>
      </c>
      <c r="Q23" s="182">
        <f t="shared" ref="Q23:Q28" si="26">SUM(M23:P23)</f>
        <v>122.529</v>
      </c>
      <c r="R23" s="181">
        <f>39.715-1.311</f>
        <v>38.404000000000003</v>
      </c>
      <c r="S23" s="181">
        <f>46.662-1.436</f>
        <v>45.225999999999999</v>
      </c>
      <c r="T23" s="181">
        <f>53.295-1.525</f>
        <v>51.77</v>
      </c>
      <c r="U23" s="181">
        <f>57.235-1.582</f>
        <v>55.652999999999999</v>
      </c>
      <c r="V23" s="182">
        <f t="shared" ref="V23:V28" si="27">SUM(R23:U23)</f>
        <v>191.053</v>
      </c>
      <c r="W23" s="181">
        <f>62.07-1.631</f>
        <v>60.439</v>
      </c>
      <c r="X23" s="181">
        <f>70.482-1.869</f>
        <v>68.613</v>
      </c>
      <c r="Y23" s="181">
        <f>79.84-2.455</f>
        <v>77.385000000000005</v>
      </c>
      <c r="Z23" s="181">
        <f>103.307-3.172</f>
        <v>100.13500000000001</v>
      </c>
      <c r="AA23" s="182">
        <f t="shared" ref="AA23:AA28" si="28">SUM(W23:Z23)</f>
        <v>306.572</v>
      </c>
      <c r="AB23" s="181">
        <f>115.832-3.501</f>
        <v>112.33099999999999</v>
      </c>
      <c r="AC23" s="181">
        <f>121.419-3.809</f>
        <v>117.61</v>
      </c>
      <c r="AD23" s="181">
        <f>122.529-4.057</f>
        <v>118.47199999999999</v>
      </c>
      <c r="AE23" s="181">
        <f>128.799-4.095</f>
        <v>124.70400000000001</v>
      </c>
      <c r="AF23" s="182">
        <f>SUM(AB23:AE23)</f>
        <v>473.11699999999996</v>
      </c>
      <c r="AG23" s="258">
        <f>AG13-AG24</f>
        <v>129.67599999999999</v>
      </c>
      <c r="AH23" s="258">
        <f>AH13-AH24</f>
        <v>129.48400000000004</v>
      </c>
      <c r="AI23" s="258">
        <f>AI13-AI24</f>
        <v>122.67999999999995</v>
      </c>
      <c r="AJ23" s="258">
        <f>AJ13-AJ24</f>
        <v>123.46799999999996</v>
      </c>
      <c r="AK23" s="182">
        <f>SUM(AG23:AJ23)</f>
        <v>505.30799999999994</v>
      </c>
      <c r="AL23" s="258">
        <f>AL13-AL24</f>
        <v>124.54900000000004</v>
      </c>
      <c r="AM23" s="258">
        <f>AM13-AM24</f>
        <v>123.565</v>
      </c>
      <c r="AN23" s="258">
        <f>AN13-AN24</f>
        <v>124.73700000000002</v>
      </c>
      <c r="AO23" s="258">
        <f>AO13-AO24</f>
        <v>121.76600000000002</v>
      </c>
      <c r="AP23" s="182">
        <f>SUM(AL23:AO23)</f>
        <v>494.61700000000008</v>
      </c>
      <c r="AQ23" s="258">
        <f>AQ13-AQ24</f>
        <v>133.04000000000002</v>
      </c>
      <c r="AR23" s="258">
        <f>AR13-AR24</f>
        <v>137.49</v>
      </c>
      <c r="AS23" s="258">
        <f>AS13-AS24</f>
        <v>137.78699999999998</v>
      </c>
      <c r="AT23" s="258">
        <f>AT13-AT24</f>
        <v>139.50300000000004</v>
      </c>
      <c r="AU23" s="182">
        <f>SUM(AQ23:AT23)</f>
        <v>547.82000000000005</v>
      </c>
      <c r="AV23" s="258">
        <f>AV13-AV24</f>
        <v>147.80499999999995</v>
      </c>
      <c r="AW23" s="258">
        <f>AW13-AW24</f>
        <v>149.03700000000003</v>
      </c>
      <c r="AX23" s="258">
        <f>AX13-AX24</f>
        <v>155.45399999999995</v>
      </c>
      <c r="AY23" s="258">
        <f>AY13-AY24</f>
        <v>165.517</v>
      </c>
      <c r="AZ23" s="182">
        <f>SUM(AV23:AY23)</f>
        <v>617.81299999999987</v>
      </c>
      <c r="BA23" s="183">
        <f>BA152+BA182</f>
        <v>179.70690290125884</v>
      </c>
      <c r="BB23" s="183">
        <f>BB152+BB182</f>
        <v>183.15035589480439</v>
      </c>
      <c r="BC23" s="183">
        <f>BC152+BC182</f>
        <v>185.95403730865849</v>
      </c>
      <c r="BD23" s="183">
        <f>BD152+BD182</f>
        <v>191.73185135447159</v>
      </c>
      <c r="BE23" s="182">
        <f>SUM(BA23:BD23)</f>
        <v>740.54314745919328</v>
      </c>
      <c r="BF23" s="182">
        <f t="shared" ref="BF23:BJ23" si="29">BF152+BF182</f>
        <v>815.57666470556421</v>
      </c>
      <c r="BG23" s="182">
        <f t="shared" si="29"/>
        <v>881.18876872294265</v>
      </c>
      <c r="BH23" s="182">
        <f t="shared" si="29"/>
        <v>937.32940707757825</v>
      </c>
      <c r="BI23" s="182">
        <f t="shared" si="29"/>
        <v>984.42170711024494</v>
      </c>
      <c r="BJ23" s="182">
        <f t="shared" si="29"/>
        <v>1023.4782354052043</v>
      </c>
      <c r="BL23" s="51"/>
      <c r="BM23" s="51"/>
      <c r="BP23" s="160"/>
    </row>
    <row r="24" spans="2:70">
      <c r="B24" s="45" t="s">
        <v>187</v>
      </c>
      <c r="C24" s="112">
        <f t="shared" ref="C24:BJ24" si="30">+C13-C23</f>
        <v>51.508000000000003</v>
      </c>
      <c r="D24" s="112">
        <f t="shared" si="30"/>
        <v>58.185000000000002</v>
      </c>
      <c r="E24" s="112">
        <f t="shared" si="30"/>
        <v>65.055999999999997</v>
      </c>
      <c r="F24" s="112">
        <f t="shared" si="30"/>
        <v>71.869</v>
      </c>
      <c r="G24" s="178">
        <f t="shared" si="30"/>
        <v>246.61800000000002</v>
      </c>
      <c r="H24" s="112">
        <f t="shared" si="30"/>
        <v>78.211000000000013</v>
      </c>
      <c r="I24" s="112">
        <f t="shared" si="30"/>
        <v>87.22999999999999</v>
      </c>
      <c r="J24" s="112">
        <f t="shared" si="30"/>
        <v>93.742999999999995</v>
      </c>
      <c r="K24" s="112">
        <f t="shared" si="30"/>
        <v>100.518</v>
      </c>
      <c r="L24" s="178">
        <f t="shared" si="30"/>
        <v>359.70200000000006</v>
      </c>
      <c r="M24" s="112">
        <f t="shared" si="30"/>
        <v>109.81</v>
      </c>
      <c r="N24" s="112">
        <f t="shared" si="30"/>
        <v>116.78200000000001</v>
      </c>
      <c r="O24" s="112">
        <f t="shared" si="30"/>
        <v>123.72500000000002</v>
      </c>
      <c r="P24" s="112">
        <f t="shared" si="30"/>
        <v>130.858</v>
      </c>
      <c r="Q24" s="178">
        <f t="shared" si="30"/>
        <v>481.17500000000007</v>
      </c>
      <c r="R24" s="112">
        <f t="shared" si="30"/>
        <v>135.886</v>
      </c>
      <c r="S24" s="112">
        <f t="shared" si="30"/>
        <v>140.19300000000001</v>
      </c>
      <c r="T24" s="112">
        <f t="shared" si="30"/>
        <v>145.02099999999999</v>
      </c>
      <c r="U24" s="112">
        <f t="shared" si="30"/>
        <v>148.935</v>
      </c>
      <c r="V24" s="178">
        <f t="shared" si="30"/>
        <v>570.03499999999997</v>
      </c>
      <c r="W24" s="112">
        <f t="shared" si="30"/>
        <v>155.548</v>
      </c>
      <c r="X24" s="112">
        <f t="shared" si="30"/>
        <v>167.44600000000003</v>
      </c>
      <c r="Y24" s="112">
        <f t="shared" si="30"/>
        <v>176.79500000000002</v>
      </c>
      <c r="Z24" s="112">
        <f t="shared" si="30"/>
        <v>182.399</v>
      </c>
      <c r="AA24" s="178">
        <f t="shared" si="30"/>
        <v>682.18799999999999</v>
      </c>
      <c r="AB24" s="112">
        <f t="shared" si="30"/>
        <v>191.78100000000003</v>
      </c>
      <c r="AC24" s="112">
        <f t="shared" si="30"/>
        <v>198.79599999999999</v>
      </c>
      <c r="AD24" s="112">
        <f t="shared" si="30"/>
        <v>202.32500000000005</v>
      </c>
      <c r="AE24" s="112">
        <f t="shared" si="30"/>
        <v>203.63799999999998</v>
      </c>
      <c r="AF24" s="178">
        <f t="shared" si="30"/>
        <v>796.54</v>
      </c>
      <c r="AG24" s="98">
        <v>211.92099999999999</v>
      </c>
      <c r="AH24" s="98">
        <v>215.74</v>
      </c>
      <c r="AI24" s="98">
        <v>223.125</v>
      </c>
      <c r="AJ24" s="98">
        <v>231.572</v>
      </c>
      <c r="AK24" s="178">
        <f t="shared" si="30"/>
        <v>882.35799999999995</v>
      </c>
      <c r="AL24" s="98">
        <v>249.52699999999999</v>
      </c>
      <c r="AM24" s="98">
        <v>266.41199999999998</v>
      </c>
      <c r="AN24" s="98">
        <v>269.10399999999998</v>
      </c>
      <c r="AO24" s="98">
        <v>282.005</v>
      </c>
      <c r="AP24" s="178">
        <f>+AP13-AP23</f>
        <v>1067.0479999999998</v>
      </c>
      <c r="AQ24" s="98">
        <v>286.73599999999999</v>
      </c>
      <c r="AR24" s="98">
        <v>298.25599999999997</v>
      </c>
      <c r="AS24" s="98">
        <v>306.88600000000002</v>
      </c>
      <c r="AT24" s="98">
        <v>320.952</v>
      </c>
      <c r="AU24" s="178">
        <f>+AU13-AU23</f>
        <v>1212.83</v>
      </c>
      <c r="AV24" s="98">
        <v>325.846</v>
      </c>
      <c r="AW24" s="98">
        <v>340.89299999999997</v>
      </c>
      <c r="AX24" s="98">
        <v>349.74</v>
      </c>
      <c r="AY24" s="98">
        <v>358.75200000000001</v>
      </c>
      <c r="AZ24" s="178">
        <f>+AZ13-AZ23</f>
        <v>1375.2310000000002</v>
      </c>
      <c r="BA24" s="112">
        <f t="shared" ref="BA24:BD24" si="31">+BA13-BA23</f>
        <v>362.11542182171416</v>
      </c>
      <c r="BB24" s="112">
        <f t="shared" si="31"/>
        <v>380.19098695451987</v>
      </c>
      <c r="BC24" s="112">
        <f t="shared" si="31"/>
        <v>400.56641136634153</v>
      </c>
      <c r="BD24" s="112">
        <f t="shared" si="31"/>
        <v>420.96494552052843</v>
      </c>
      <c r="BE24" s="178">
        <f>+BE13-BE23</f>
        <v>1563.8377656631042</v>
      </c>
      <c r="BF24" s="178">
        <f t="shared" si="30"/>
        <v>1759.4118404880305</v>
      </c>
      <c r="BG24" s="178">
        <f t="shared" si="30"/>
        <v>1938.242965583524</v>
      </c>
      <c r="BH24" s="178">
        <f t="shared" si="30"/>
        <v>2098.8780107531397</v>
      </c>
      <c r="BI24" s="178">
        <f t="shared" si="30"/>
        <v>2241.2418783940525</v>
      </c>
      <c r="BJ24" s="178">
        <f t="shared" si="30"/>
        <v>2367.8396280531715</v>
      </c>
      <c r="BL24" s="179"/>
      <c r="BM24" s="51"/>
    </row>
    <row r="25" spans="2:70">
      <c r="C25" s="98"/>
      <c r="D25" s="98"/>
      <c r="E25" s="98"/>
      <c r="F25" s="98"/>
      <c r="G25" s="178"/>
      <c r="H25" s="98"/>
      <c r="I25" s="98"/>
      <c r="J25" s="98"/>
      <c r="K25" s="98"/>
      <c r="L25" s="178"/>
      <c r="M25" s="98"/>
      <c r="N25" s="98"/>
      <c r="O25" s="98"/>
      <c r="P25" s="98"/>
      <c r="Q25" s="178"/>
      <c r="R25" s="98"/>
      <c r="S25" s="98"/>
      <c r="T25" s="98"/>
      <c r="U25" s="112"/>
      <c r="V25" s="178"/>
      <c r="W25" s="102"/>
      <c r="X25" s="102"/>
      <c r="Y25" s="102"/>
      <c r="Z25" s="102"/>
      <c r="AA25" s="184"/>
      <c r="AB25" s="102"/>
      <c r="AC25" s="102"/>
      <c r="AD25" s="102"/>
      <c r="AE25" s="102"/>
      <c r="AF25" s="184"/>
      <c r="AG25" s="102"/>
      <c r="AH25" s="103"/>
      <c r="AI25" s="103"/>
      <c r="AJ25" s="102"/>
      <c r="AK25" s="111"/>
      <c r="AL25" s="102"/>
      <c r="AM25" s="102"/>
      <c r="AN25" s="102"/>
      <c r="AO25" s="268"/>
      <c r="AP25" s="111"/>
      <c r="AQ25" s="102"/>
      <c r="AR25" s="102"/>
      <c r="AS25" s="102"/>
      <c r="AT25" s="102"/>
      <c r="AU25" s="111"/>
      <c r="AV25" s="102"/>
      <c r="AW25" s="102"/>
      <c r="AX25" s="102"/>
      <c r="AY25" s="102"/>
      <c r="AZ25" s="184"/>
      <c r="BA25" s="102"/>
      <c r="BB25" s="102"/>
      <c r="BC25" s="102"/>
      <c r="BD25" s="102"/>
      <c r="BE25" s="184"/>
      <c r="BF25" s="184"/>
      <c r="BG25" s="184"/>
      <c r="BH25" s="184"/>
      <c r="BI25" s="184"/>
      <c r="BJ25" s="184"/>
      <c r="BL25" s="179"/>
      <c r="BM25" s="51"/>
      <c r="BQ25" s="51"/>
    </row>
    <row r="26" spans="2:70">
      <c r="B26" s="45" t="s">
        <v>188</v>
      </c>
      <c r="C26" s="98">
        <f>40.45-0.981-0.05</f>
        <v>39.419000000000004</v>
      </c>
      <c r="D26" s="98">
        <f>36.03-1.122-0.136</f>
        <v>34.771999999999998</v>
      </c>
      <c r="E26" s="98">
        <f>40.01-1.237-0.138</f>
        <v>38.634999999999998</v>
      </c>
      <c r="F26" s="98">
        <f>40.02-1.213-0.136</f>
        <v>38.670999999999999</v>
      </c>
      <c r="G26" s="178">
        <f t="shared" si="24"/>
        <v>151.49699999999999</v>
      </c>
      <c r="H26" s="98">
        <v>52.249000000000002</v>
      </c>
      <c r="I26" s="98">
        <v>46.176000000000002</v>
      </c>
      <c r="J26" s="98">
        <v>49.302999999999997</v>
      </c>
      <c r="K26" s="98">
        <v>47.313000000000002</v>
      </c>
      <c r="L26" s="178">
        <f t="shared" si="25"/>
        <v>195.041</v>
      </c>
      <c r="M26" s="98">
        <f>67.011-2.042</f>
        <v>64.968999999999994</v>
      </c>
      <c r="N26" s="98">
        <f>58.855-2.352</f>
        <v>56.503</v>
      </c>
      <c r="O26" s="98">
        <f>49.36-2.597</f>
        <v>46.762999999999998</v>
      </c>
      <c r="P26" s="98">
        <f>61.065-2.779</f>
        <v>58.286000000000001</v>
      </c>
      <c r="Q26" s="178">
        <f t="shared" si="26"/>
        <v>226.52099999999999</v>
      </c>
      <c r="R26" s="98">
        <f>85.718-4.748</f>
        <v>80.97</v>
      </c>
      <c r="S26" s="98">
        <f>71.329-4.506</f>
        <v>66.822999999999993</v>
      </c>
      <c r="T26" s="98">
        <f>75.862-4.59</f>
        <v>71.271999999999991</v>
      </c>
      <c r="U26" s="98">
        <f>74.809-4.614</f>
        <v>70.194999999999993</v>
      </c>
      <c r="V26" s="178">
        <f t="shared" si="27"/>
        <v>289.26</v>
      </c>
      <c r="W26" s="98">
        <f>96.156-4.568</f>
        <v>91.588000000000008</v>
      </c>
      <c r="X26" s="98">
        <f>119.333-5.395</f>
        <v>113.938</v>
      </c>
      <c r="Y26" s="98">
        <f>113.092-6.108</f>
        <v>106.98399999999999</v>
      </c>
      <c r="Z26" s="98">
        <f>109.629-6.774</f>
        <v>102.855</v>
      </c>
      <c r="AA26" s="178">
        <f t="shared" si="28"/>
        <v>415.36500000000001</v>
      </c>
      <c r="AB26" s="98">
        <f>144.455-7.442</f>
        <v>137.01300000000001</v>
      </c>
      <c r="AC26" s="98">
        <f>123.021-24.49</f>
        <v>98.531000000000006</v>
      </c>
      <c r="AD26" s="98">
        <f>119.991-8.715</f>
        <v>111.276</v>
      </c>
      <c r="AE26" s="98">
        <f>124.56-28.028</f>
        <v>96.532000000000011</v>
      </c>
      <c r="AF26" s="178">
        <f>SUM(AB26:AE26)</f>
        <v>443.35199999999998</v>
      </c>
      <c r="AG26" s="98">
        <v>146.02699999999999</v>
      </c>
      <c r="AH26" s="98">
        <v>109.94</v>
      </c>
      <c r="AI26" s="98">
        <v>107.367</v>
      </c>
      <c r="AJ26" s="98">
        <v>87.563999999999993</v>
      </c>
      <c r="AK26" s="178">
        <f>SUM(AG26:AJ26)</f>
        <v>450.89800000000002</v>
      </c>
      <c r="AL26" s="98">
        <v>88.754999999999995</v>
      </c>
      <c r="AM26" s="98">
        <v>85.563999999999993</v>
      </c>
      <c r="AN26" s="98">
        <v>89.11</v>
      </c>
      <c r="AO26" s="98">
        <v>91.588999999999999</v>
      </c>
      <c r="AP26" s="178">
        <f>SUM(AL26:AO26)</f>
        <v>355.01799999999997</v>
      </c>
      <c r="AQ26" s="98">
        <v>95.936000000000007</v>
      </c>
      <c r="AR26" s="98">
        <v>92.495999999999995</v>
      </c>
      <c r="AS26" s="98">
        <v>98.861999999999995</v>
      </c>
      <c r="AT26" s="98">
        <v>95.837999999999994</v>
      </c>
      <c r="AU26" s="178">
        <f>SUM(AQ26:AT26)</f>
        <v>383.13199999999995</v>
      </c>
      <c r="AV26" s="98">
        <v>101.58199999999999</v>
      </c>
      <c r="AW26" s="98">
        <v>103.51900000000001</v>
      </c>
      <c r="AX26" s="98">
        <v>127.22799999999999</v>
      </c>
      <c r="AY26" s="98">
        <v>142.11199999999999</v>
      </c>
      <c r="AZ26" s="178">
        <f>SUM(AV26:AY26)</f>
        <v>474.44100000000003</v>
      </c>
      <c r="BA26" s="98">
        <f>AV26+80</f>
        <v>181.58199999999999</v>
      </c>
      <c r="BB26" s="98">
        <f>AW26+80</f>
        <v>183.51900000000001</v>
      </c>
      <c r="BC26" s="98">
        <f>AX26+50</f>
        <v>177.22800000000001</v>
      </c>
      <c r="BD26" s="98">
        <f>AY26+30</f>
        <v>172.11199999999999</v>
      </c>
      <c r="BE26" s="178">
        <f>SUM(BA26:BD26)</f>
        <v>714.44099999999992</v>
      </c>
      <c r="BF26" s="178">
        <f>BF13*BF99</f>
        <v>678.58822703248757</v>
      </c>
      <c r="BG26" s="178">
        <f t="shared" ref="BG26:BJ26" si="32">BG13*BG99</f>
        <v>687.28100712528851</v>
      </c>
      <c r="BH26" s="178">
        <f t="shared" si="32"/>
        <v>684.61424037463803</v>
      </c>
      <c r="BI26" s="178">
        <f t="shared" si="32"/>
        <v>672.78344404301311</v>
      </c>
      <c r="BJ26" s="178">
        <f t="shared" si="32"/>
        <v>654.28423258543444</v>
      </c>
      <c r="BL26" s="316">
        <f>+AZ98</f>
        <v>0.4988003275391813</v>
      </c>
      <c r="BM26" s="51"/>
      <c r="BO26" s="298"/>
    </row>
    <row r="27" spans="2:70">
      <c r="B27" s="45" t="s">
        <v>189</v>
      </c>
      <c r="C27" s="98">
        <f>24.472-3.111-1.183-0.137</f>
        <v>20.041</v>
      </c>
      <c r="D27" s="98">
        <f>25.48-3.558-0.397-0.05</f>
        <v>21.475000000000001</v>
      </c>
      <c r="E27" s="98">
        <f>26.54-3.718-0.514-0.05</f>
        <v>22.257999999999999</v>
      </c>
      <c r="F27" s="98">
        <f>28.88-4.156-0.614-0.05</f>
        <v>24.06</v>
      </c>
      <c r="G27" s="178">
        <f t="shared" si="24"/>
        <v>87.834000000000003</v>
      </c>
      <c r="H27" s="98">
        <v>26.094000000000001</v>
      </c>
      <c r="I27" s="98">
        <v>29.164999999999999</v>
      </c>
      <c r="J27" s="98">
        <v>32.036999999999999</v>
      </c>
      <c r="K27" s="98">
        <v>33.997</v>
      </c>
      <c r="L27" s="178">
        <f t="shared" si="25"/>
        <v>121.29299999999999</v>
      </c>
      <c r="M27" s="98">
        <f>46.502-8.485</f>
        <v>38.017000000000003</v>
      </c>
      <c r="N27" s="98">
        <f>48.492-9.47</f>
        <v>39.021999999999998</v>
      </c>
      <c r="O27" s="98">
        <f>62.247-10.372</f>
        <v>51.875</v>
      </c>
      <c r="P27" s="98">
        <f>54.558-11.09</f>
        <v>43.468000000000004</v>
      </c>
      <c r="Q27" s="178">
        <f t="shared" si="26"/>
        <v>172.38200000000001</v>
      </c>
      <c r="R27" s="98">
        <f>58.183-12.256</f>
        <v>45.927</v>
      </c>
      <c r="S27" s="98">
        <f>61.486-14.119</f>
        <v>47.366999999999997</v>
      </c>
      <c r="T27" s="98">
        <f>64.488-14.886</f>
        <v>49.602000000000004</v>
      </c>
      <c r="U27" s="98">
        <f>66.634-14.9</f>
        <v>51.734000000000002</v>
      </c>
      <c r="V27" s="178">
        <f t="shared" si="27"/>
        <v>194.63000000000002</v>
      </c>
      <c r="W27" s="98">
        <f>70.716-16.185</f>
        <v>54.530999999999992</v>
      </c>
      <c r="X27" s="98">
        <f>75.464-18.216</f>
        <v>57.247999999999998</v>
      </c>
      <c r="Y27" s="98">
        <f>84.473-20.312</f>
        <v>64.161000000000001</v>
      </c>
      <c r="Z27" s="98">
        <f>89.625-22.17</f>
        <v>67.454999999999998</v>
      </c>
      <c r="AA27" s="178">
        <f t="shared" si="28"/>
        <v>243.39499999999998</v>
      </c>
      <c r="AB27" s="98">
        <f>95.086-23.288</f>
        <v>71.798000000000002</v>
      </c>
      <c r="AC27" s="98">
        <f>104.199-8.213</f>
        <v>95.986000000000004</v>
      </c>
      <c r="AD27" s="98">
        <f>109.323-26.25</f>
        <v>83.072999999999993</v>
      </c>
      <c r="AE27" s="98">
        <f>116.329-9.483</f>
        <v>106.84599999999999</v>
      </c>
      <c r="AF27" s="178">
        <f>SUM(AB27:AE27)</f>
        <v>357.70299999999997</v>
      </c>
      <c r="AG27" s="98">
        <v>89.53</v>
      </c>
      <c r="AH27" s="98">
        <v>90.606999999999999</v>
      </c>
      <c r="AI27" s="98">
        <v>90.192999999999998</v>
      </c>
      <c r="AJ27" s="98">
        <v>87.003</v>
      </c>
      <c r="AK27" s="178">
        <f>SUM(AG27:AJ27)</f>
        <v>357.33299999999997</v>
      </c>
      <c r="AL27" s="98">
        <v>86.477000000000004</v>
      </c>
      <c r="AM27" s="98">
        <v>86.656000000000006</v>
      </c>
      <c r="AN27" s="98">
        <v>94.683999999999997</v>
      </c>
      <c r="AO27" s="98">
        <v>93.757000000000005</v>
      </c>
      <c r="AP27" s="178">
        <f>SUM(AL27:AO27)</f>
        <v>361.57400000000001</v>
      </c>
      <c r="AQ27" s="98">
        <v>93.138000000000005</v>
      </c>
      <c r="AR27" s="98">
        <v>88.474000000000004</v>
      </c>
      <c r="AS27" s="98">
        <v>92.334999999999994</v>
      </c>
      <c r="AT27" s="98">
        <v>94.866</v>
      </c>
      <c r="AU27" s="178">
        <f>SUM(AQ27:AT27)</f>
        <v>368.81299999999999</v>
      </c>
      <c r="AV27" s="98">
        <v>96.006</v>
      </c>
      <c r="AW27" s="98">
        <v>98.388999999999996</v>
      </c>
      <c r="AX27" s="98">
        <v>104.863</v>
      </c>
      <c r="AY27" s="98">
        <v>104.98099999999999</v>
      </c>
      <c r="AZ27" s="178">
        <f>SUM(AV27:AY27)</f>
        <v>404.23899999999998</v>
      </c>
      <c r="BA27" s="98">
        <f>+AY27+5</f>
        <v>109.98099999999999</v>
      </c>
      <c r="BB27" s="98">
        <f>+BA27</f>
        <v>109.98099999999999</v>
      </c>
      <c r="BC27" s="98">
        <f>+BB27</f>
        <v>109.98099999999999</v>
      </c>
      <c r="BD27" s="98">
        <f>+BC27</f>
        <v>109.98099999999999</v>
      </c>
      <c r="BE27" s="178">
        <f>SUM(BA27:BD27)</f>
        <v>439.92399999999998</v>
      </c>
      <c r="BF27" s="186">
        <f t="shared" ref="BF27:BJ27" si="33">+BE27*1.05</f>
        <v>461.92020000000002</v>
      </c>
      <c r="BG27" s="186">
        <f t="shared" si="33"/>
        <v>485.01621000000006</v>
      </c>
      <c r="BH27" s="186">
        <f t="shared" si="33"/>
        <v>509.26702050000006</v>
      </c>
      <c r="BI27" s="186">
        <f t="shared" si="33"/>
        <v>534.73037152500012</v>
      </c>
      <c r="BJ27" s="186">
        <f t="shared" si="33"/>
        <v>561.4668901012501</v>
      </c>
      <c r="BL27" s="179"/>
      <c r="BM27" s="51"/>
      <c r="BO27" s="298"/>
      <c r="BP27" s="157"/>
    </row>
    <row r="28" spans="2:70">
      <c r="B28" s="45" t="s">
        <v>190</v>
      </c>
      <c r="C28" s="98">
        <f>5.92-1.617</f>
        <v>4.3029999999999999</v>
      </c>
      <c r="D28" s="98">
        <f>6.69-1.772</f>
        <v>4.9180000000000001</v>
      </c>
      <c r="E28" s="98">
        <f>7.07-1.743</f>
        <v>5.327</v>
      </c>
      <c r="F28" s="98">
        <f>7.28-2.022</f>
        <v>5.2580000000000009</v>
      </c>
      <c r="G28" s="178">
        <f t="shared" si="24"/>
        <v>19.806000000000001</v>
      </c>
      <c r="H28" s="98">
        <f>11.15-2.331-1.413</f>
        <v>7.4060000000000006</v>
      </c>
      <c r="I28" s="98">
        <f>11.3-2.92</f>
        <v>8.3800000000000008</v>
      </c>
      <c r="J28" s="98">
        <f>12.22-3.236</f>
        <v>8.984</v>
      </c>
      <c r="K28" s="98">
        <f>13.52-3.471-0.54</f>
        <v>9.5090000000000003</v>
      </c>
      <c r="L28" s="178">
        <f t="shared" si="25"/>
        <v>34.279000000000003</v>
      </c>
      <c r="M28" s="98">
        <f>13.67-4.068</f>
        <v>9.6020000000000003</v>
      </c>
      <c r="N28" s="98">
        <f>14.855-4.86</f>
        <v>9.995000000000001</v>
      </c>
      <c r="O28" s="98">
        <f>14.514-4.689</f>
        <v>9.8249999999999993</v>
      </c>
      <c r="P28" s="98">
        <f>16.258-5.108</f>
        <v>11.149999999999999</v>
      </c>
      <c r="Q28" s="178">
        <f t="shared" si="26"/>
        <v>40.572000000000003</v>
      </c>
      <c r="R28" s="98">
        <f>18.466-6.592</f>
        <v>11.874000000000002</v>
      </c>
      <c r="S28" s="98">
        <f>20.103-7.504</f>
        <v>12.599000000000002</v>
      </c>
      <c r="T28" s="98">
        <f>23.751-7.391</f>
        <v>16.36</v>
      </c>
      <c r="U28" s="98">
        <f>23.602-7.377</f>
        <v>16.225000000000001</v>
      </c>
      <c r="V28" s="178">
        <f t="shared" si="27"/>
        <v>57.058000000000007</v>
      </c>
      <c r="W28" s="98">
        <f>25.436-8.334</f>
        <v>17.102</v>
      </c>
      <c r="X28" s="98">
        <f>24.531-9.487</f>
        <v>15.043999999999999</v>
      </c>
      <c r="Y28" s="98">
        <f>26.515-10.047</f>
        <v>16.468</v>
      </c>
      <c r="Z28" s="98">
        <f>35.433-10.59</f>
        <v>24.843</v>
      </c>
      <c r="AA28" s="178">
        <f t="shared" si="28"/>
        <v>73.457000000000008</v>
      </c>
      <c r="AB28" s="98">
        <f>34.394-12.4</f>
        <v>21.994</v>
      </c>
      <c r="AC28" s="98">
        <f>39.411-13.884</f>
        <v>25.527000000000001</v>
      </c>
      <c r="AD28" s="98">
        <f>38.917-14.048</f>
        <v>24.869</v>
      </c>
      <c r="AE28" s="98">
        <f>56.926-29.688</f>
        <v>27.238000000000003</v>
      </c>
      <c r="AF28" s="178">
        <f>SUM(AB28:AE28)</f>
        <v>99.628</v>
      </c>
      <c r="AG28" s="98">
        <v>27.352</v>
      </c>
      <c r="AH28" s="98">
        <v>28.12</v>
      </c>
      <c r="AI28" s="98">
        <v>28.731000000000002</v>
      </c>
      <c r="AJ28" s="98">
        <v>26.305</v>
      </c>
      <c r="AK28" s="178">
        <f>SUM(AG28:AJ28)</f>
        <v>110.50800000000001</v>
      </c>
      <c r="AL28" s="98">
        <v>25.777000000000001</v>
      </c>
      <c r="AM28" s="98">
        <v>25.335999999999999</v>
      </c>
      <c r="AN28" s="98">
        <v>27.352</v>
      </c>
      <c r="AO28" s="98">
        <v>31.957000000000001</v>
      </c>
      <c r="AP28" s="178">
        <f>SUM(AL28:AO28)</f>
        <v>110.422</v>
      </c>
      <c r="AQ28" s="98">
        <v>28.241</v>
      </c>
      <c r="AR28" s="98">
        <v>27.091999999999999</v>
      </c>
      <c r="AS28" s="98">
        <v>27.265000000000001</v>
      </c>
      <c r="AT28" s="98">
        <v>29.712</v>
      </c>
      <c r="AU28" s="178">
        <f>SUM(AQ28:AT28)</f>
        <v>112.31</v>
      </c>
      <c r="AV28" s="98">
        <v>28.420999999999999</v>
      </c>
      <c r="AW28" s="98">
        <v>28.832000000000001</v>
      </c>
      <c r="AX28" s="98">
        <v>27.722999999999999</v>
      </c>
      <c r="AY28" s="98">
        <v>30.475000000000001</v>
      </c>
      <c r="AZ28" s="178">
        <f>SUM(AV28:AY28)</f>
        <v>115.45099999999999</v>
      </c>
      <c r="BA28" s="98">
        <f>+AY28</f>
        <v>30.475000000000001</v>
      </c>
      <c r="BB28" s="98">
        <f>+BA28</f>
        <v>30.475000000000001</v>
      </c>
      <c r="BC28" s="98">
        <f t="shared" ref="BC28:BD28" si="34">+BB28</f>
        <v>30.475000000000001</v>
      </c>
      <c r="BD28" s="98">
        <f t="shared" si="34"/>
        <v>30.475000000000001</v>
      </c>
      <c r="BE28" s="178">
        <f>SUM(BA28:BD28)</f>
        <v>121.9</v>
      </c>
      <c r="BF28" s="186">
        <f t="shared" ref="BF28:BJ28" si="35">+BE28*1.02</f>
        <v>124.33800000000001</v>
      </c>
      <c r="BG28" s="186">
        <f t="shared" si="35"/>
        <v>126.82476000000001</v>
      </c>
      <c r="BH28" s="186">
        <f t="shared" si="35"/>
        <v>129.36125520000002</v>
      </c>
      <c r="BI28" s="186">
        <f t="shared" si="35"/>
        <v>131.94848030400001</v>
      </c>
      <c r="BJ28" s="186">
        <f t="shared" si="35"/>
        <v>134.58744991008001</v>
      </c>
      <c r="BL28" s="179"/>
      <c r="BM28" s="51"/>
      <c r="BO28" s="298"/>
      <c r="BP28" s="160"/>
    </row>
    <row r="29" spans="2:70">
      <c r="B29" s="45" t="s">
        <v>234</v>
      </c>
      <c r="C29" s="181"/>
      <c r="D29" s="181"/>
      <c r="E29" s="181"/>
      <c r="F29" s="181"/>
      <c r="G29" s="182"/>
      <c r="H29" s="181"/>
      <c r="I29" s="181"/>
      <c r="J29" s="181"/>
      <c r="K29" s="181"/>
      <c r="L29" s="182"/>
      <c r="M29" s="181">
        <f>-0.588-1.428</f>
        <v>-2.016</v>
      </c>
      <c r="N29" s="181">
        <f>-0.731-0.946</f>
        <v>-1.677</v>
      </c>
      <c r="O29" s="181">
        <f>-0.733-0.261</f>
        <v>-0.99399999999999999</v>
      </c>
      <c r="P29" s="181">
        <f>-0.732-0.125</f>
        <v>-0.85699999999999998</v>
      </c>
      <c r="Q29" s="182"/>
      <c r="R29" s="181">
        <v>-0.73199999999999998</v>
      </c>
      <c r="S29" s="181">
        <f>-0.738-0.053</f>
        <v>-0.79100000000000004</v>
      </c>
      <c r="T29" s="181">
        <f>-0.733-3.174-0.564</f>
        <v>-4.4710000000000001</v>
      </c>
      <c r="U29" s="181">
        <f>-2.385-2.135-1.868</f>
        <v>-6.3879999999999999</v>
      </c>
      <c r="V29" s="182">
        <f>SUM(R29:U29)</f>
        <v>-12.382</v>
      </c>
      <c r="W29" s="181">
        <f>-0.566-1.974-0.939</f>
        <v>-3.4790000000000001</v>
      </c>
      <c r="X29" s="181">
        <f>-0.566+0.485-1.697</f>
        <v>-1.778</v>
      </c>
      <c r="Y29" s="181">
        <f>-0.826-1.489</f>
        <v>-2.3149999999999999</v>
      </c>
      <c r="Z29" s="181">
        <f>-0.619-2.81-1.686</f>
        <v>-5.1150000000000002</v>
      </c>
      <c r="AA29" s="182">
        <f>SUM(W29:Z29)</f>
        <v>-12.686999999999999</v>
      </c>
      <c r="AB29" s="181">
        <f>-0.599-0.452-1.705</f>
        <v>-2.7560000000000002</v>
      </c>
      <c r="AC29" s="181">
        <f>-0.846-0.579-2.351</f>
        <v>-3.7759999999999998</v>
      </c>
      <c r="AD29" s="181">
        <f>-3.045-0.341-2.579</f>
        <v>-5.9649999999999999</v>
      </c>
      <c r="AE29" s="181">
        <f>-0.462-0.32-2.045</f>
        <v>-2.827</v>
      </c>
      <c r="AF29" s="182">
        <f>SUM(AB29:AE29)</f>
        <v>-15.324</v>
      </c>
      <c r="AG29" s="181">
        <v>0</v>
      </c>
      <c r="AH29" s="181">
        <f>AG29</f>
        <v>0</v>
      </c>
      <c r="AI29" s="181">
        <v>0</v>
      </c>
      <c r="AJ29" s="181">
        <f t="shared" ref="AJ29" si="36">AI29</f>
        <v>0</v>
      </c>
      <c r="AK29" s="182">
        <f>SUM(AG29:AJ29)</f>
        <v>0</v>
      </c>
      <c r="AL29" s="181">
        <f>AJ29</f>
        <v>0</v>
      </c>
      <c r="AM29" s="181">
        <v>0</v>
      </c>
      <c r="AN29" s="181">
        <v>0</v>
      </c>
      <c r="AO29" s="181">
        <v>0</v>
      </c>
      <c r="AP29" s="182">
        <f>SUM(AL29:AO29)</f>
        <v>0</v>
      </c>
      <c r="AQ29" s="181">
        <v>0</v>
      </c>
      <c r="AR29" s="181">
        <f>AQ29</f>
        <v>0</v>
      </c>
      <c r="AS29" s="181">
        <f t="shared" ref="AS29" si="37">AR29</f>
        <v>0</v>
      </c>
      <c r="AT29" s="181">
        <f t="shared" ref="AT29" si="38">AS29</f>
        <v>0</v>
      </c>
      <c r="AU29" s="182">
        <f>SUM(AQ29:AT29)</f>
        <v>0</v>
      </c>
      <c r="AV29" s="181">
        <v>0</v>
      </c>
      <c r="AW29" s="181">
        <f t="shared" ref="AW29:BD29" si="39">AV29</f>
        <v>0</v>
      </c>
      <c r="AX29" s="181">
        <f t="shared" si="39"/>
        <v>0</v>
      </c>
      <c r="AY29" s="181">
        <f t="shared" si="39"/>
        <v>0</v>
      </c>
      <c r="AZ29" s="182">
        <f>SUM(AV29:AY29)</f>
        <v>0</v>
      </c>
      <c r="BA29" s="181">
        <f>AY29</f>
        <v>0</v>
      </c>
      <c r="BB29" s="181">
        <f t="shared" si="39"/>
        <v>0</v>
      </c>
      <c r="BC29" s="181">
        <f t="shared" si="39"/>
        <v>0</v>
      </c>
      <c r="BD29" s="181">
        <f t="shared" si="39"/>
        <v>0</v>
      </c>
      <c r="BE29" s="182">
        <f>SUM(BA29:BD29)</f>
        <v>0</v>
      </c>
      <c r="BF29" s="182">
        <f t="shared" ref="BF29:BJ29" si="40">BE29</f>
        <v>0</v>
      </c>
      <c r="BG29" s="182">
        <f t="shared" si="40"/>
        <v>0</v>
      </c>
      <c r="BH29" s="182">
        <f t="shared" si="40"/>
        <v>0</v>
      </c>
      <c r="BI29" s="182">
        <f t="shared" si="40"/>
        <v>0</v>
      </c>
      <c r="BJ29" s="182">
        <f t="shared" si="40"/>
        <v>0</v>
      </c>
      <c r="BL29" s="179">
        <f>+SUM(AX27:AY27)*2*1.05</f>
        <v>440.67239999999998</v>
      </c>
      <c r="BM29" s="51"/>
      <c r="BO29" s="298"/>
    </row>
    <row r="30" spans="2:70">
      <c r="B30" s="45" t="s">
        <v>238</v>
      </c>
      <c r="C30" s="56">
        <f>SUM(C26:C29)</f>
        <v>63.763000000000005</v>
      </c>
      <c r="D30" s="56">
        <f t="shared" ref="D30:F30" si="41">SUM(D26:D29)</f>
        <v>61.164999999999999</v>
      </c>
      <c r="E30" s="56">
        <f t="shared" si="41"/>
        <v>66.22</v>
      </c>
      <c r="F30" s="56">
        <f t="shared" si="41"/>
        <v>67.98899999999999</v>
      </c>
      <c r="G30" s="99">
        <f>SUM(G26:G29)</f>
        <v>259.137</v>
      </c>
      <c r="H30" s="56">
        <f>SUM(H26:H29)</f>
        <v>85.749000000000009</v>
      </c>
      <c r="I30" s="56">
        <f t="shared" ref="I30:K30" si="42">SUM(I26:I29)</f>
        <v>83.721000000000004</v>
      </c>
      <c r="J30" s="56">
        <f t="shared" si="42"/>
        <v>90.323999999999998</v>
      </c>
      <c r="K30" s="56">
        <f t="shared" si="42"/>
        <v>90.819000000000003</v>
      </c>
      <c r="L30" s="99">
        <f>SUM(L26:L29)</f>
        <v>350.613</v>
      </c>
      <c r="M30" s="56">
        <f>SUM(M26:M29)</f>
        <v>110.57199999999999</v>
      </c>
      <c r="N30" s="56">
        <f t="shared" ref="N30:P30" si="43">SUM(N26:N29)</f>
        <v>103.843</v>
      </c>
      <c r="O30" s="56">
        <f t="shared" si="43"/>
        <v>107.46900000000001</v>
      </c>
      <c r="P30" s="56">
        <f t="shared" si="43"/>
        <v>112.047</v>
      </c>
      <c r="Q30" s="99">
        <f>SUM(Q26:Q29)</f>
        <v>439.47500000000002</v>
      </c>
      <c r="R30" s="56">
        <f>SUM(R26:R29)</f>
        <v>138.03899999999999</v>
      </c>
      <c r="S30" s="56">
        <f t="shared" ref="S30:U30" si="44">SUM(S26:S29)</f>
        <v>125.998</v>
      </c>
      <c r="T30" s="56">
        <f t="shared" si="44"/>
        <v>132.76299999999998</v>
      </c>
      <c r="U30" s="56">
        <f t="shared" si="44"/>
        <v>131.76599999999999</v>
      </c>
      <c r="V30" s="99">
        <f>SUM(V26:V29)</f>
        <v>528.56600000000003</v>
      </c>
      <c r="W30" s="56">
        <f>SUM(W26:W29)</f>
        <v>159.74199999999999</v>
      </c>
      <c r="X30" s="56">
        <f t="shared" ref="X30" si="45">SUM(X26:X29)</f>
        <v>184.45200000000003</v>
      </c>
      <c r="Y30" s="56">
        <f t="shared" ref="Y30" si="46">SUM(Y26:Y29)</f>
        <v>185.29799999999997</v>
      </c>
      <c r="Z30" s="56">
        <f t="shared" ref="Z30" si="47">SUM(Z26:Z29)</f>
        <v>190.03799999999998</v>
      </c>
      <c r="AA30" s="99">
        <f>SUM(AA26:AA29)</f>
        <v>719.53</v>
      </c>
      <c r="AB30" s="56">
        <f>SUM(AB26:AB29)</f>
        <v>228.04900000000001</v>
      </c>
      <c r="AC30" s="56">
        <f t="shared" ref="AC30:AE30" si="48">SUM(AC26:AC29)</f>
        <v>216.26799999999997</v>
      </c>
      <c r="AD30" s="56">
        <f t="shared" si="48"/>
        <v>213.25299999999999</v>
      </c>
      <c r="AE30" s="56">
        <f t="shared" si="48"/>
        <v>227.78899999999999</v>
      </c>
      <c r="AF30" s="99">
        <f>SUM(AF26:AF29)</f>
        <v>885.35900000000004</v>
      </c>
      <c r="AG30" s="56">
        <f>SUM(AG26:AG29)</f>
        <v>262.90899999999999</v>
      </c>
      <c r="AH30" s="56">
        <f>SUM(AH26:AH29)</f>
        <v>228.667</v>
      </c>
      <c r="AI30" s="56">
        <f>SUM(AI26:AI29)</f>
        <v>226.291</v>
      </c>
      <c r="AJ30" s="56">
        <f t="shared" ref="AJ30" si="49">SUM(AJ26:AJ29)</f>
        <v>200.87200000000001</v>
      </c>
      <c r="AK30" s="99">
        <f>SUM(AK26:AK29)</f>
        <v>918.73900000000003</v>
      </c>
      <c r="AL30" s="56">
        <f>SUM(AL26:AL29)</f>
        <v>201.00900000000001</v>
      </c>
      <c r="AM30" s="56">
        <f t="shared" ref="AM30" si="50">SUM(AM26:AM29)</f>
        <v>197.55599999999998</v>
      </c>
      <c r="AN30" s="56">
        <f t="shared" ref="AN30" si="51">SUM(AN26:AN29)</f>
        <v>211.14599999999999</v>
      </c>
      <c r="AO30" s="56">
        <f t="shared" ref="AO30:BJ30" si="52">SUM(AO26:AO29)</f>
        <v>217.303</v>
      </c>
      <c r="AP30" s="99">
        <f>SUM(AP26:AP29)</f>
        <v>827.01400000000001</v>
      </c>
      <c r="AQ30" s="56">
        <f t="shared" ref="AQ30" si="53">SUM(AQ26:AQ29)</f>
        <v>217.315</v>
      </c>
      <c r="AR30" s="56">
        <f t="shared" ref="AR30:AS30" si="54">SUM(AR26:AR29)</f>
        <v>208.06200000000001</v>
      </c>
      <c r="AS30" s="56">
        <f t="shared" si="54"/>
        <v>218.46199999999999</v>
      </c>
      <c r="AT30" s="56">
        <f>SUM(AT26:AT29)</f>
        <v>220.416</v>
      </c>
      <c r="AU30" s="99">
        <f>SUM(AU26:AU29)</f>
        <v>864.25499999999988</v>
      </c>
      <c r="AV30" s="56">
        <f>SUM(AV26:AV29)</f>
        <v>226.00899999999999</v>
      </c>
      <c r="AW30" s="56">
        <f t="shared" ref="AW30:AY30" si="55">SUM(AW26:AW29)</f>
        <v>230.74</v>
      </c>
      <c r="AX30" s="56">
        <f t="shared" si="55"/>
        <v>259.81400000000002</v>
      </c>
      <c r="AY30" s="56">
        <f t="shared" si="55"/>
        <v>277.56799999999998</v>
      </c>
      <c r="AZ30" s="99">
        <f>SUM(AZ26:AZ29)</f>
        <v>994.13100000000009</v>
      </c>
      <c r="BA30" s="56">
        <f t="shared" ref="BA30:BD30" si="56">SUM(BA26:BA29)</f>
        <v>322.03800000000001</v>
      </c>
      <c r="BB30" s="56">
        <f t="shared" si="56"/>
        <v>323.97500000000002</v>
      </c>
      <c r="BC30" s="56">
        <f t="shared" si="56"/>
        <v>317.68400000000003</v>
      </c>
      <c r="BD30" s="56">
        <f t="shared" si="56"/>
        <v>312.56799999999998</v>
      </c>
      <c r="BE30" s="99">
        <f>SUM(BE26:BE29)</f>
        <v>1276.2649999999999</v>
      </c>
      <c r="BF30" s="99">
        <f t="shared" si="52"/>
        <v>1264.8464270324876</v>
      </c>
      <c r="BG30" s="99">
        <f t="shared" si="52"/>
        <v>1299.1219771252886</v>
      </c>
      <c r="BH30" s="99">
        <f t="shared" si="52"/>
        <v>1323.2425160746379</v>
      </c>
      <c r="BI30" s="99">
        <f t="shared" si="52"/>
        <v>1339.4622958720133</v>
      </c>
      <c r="BJ30" s="99">
        <f t="shared" si="52"/>
        <v>1350.3385725967646</v>
      </c>
      <c r="BL30" s="179"/>
      <c r="BM30" s="51"/>
      <c r="BO30" s="298"/>
    </row>
    <row r="31" spans="2:70">
      <c r="C31" s="56"/>
      <c r="D31" s="56"/>
      <c r="E31" s="56"/>
      <c r="F31" s="56"/>
      <c r="G31" s="99"/>
      <c r="H31" s="56"/>
      <c r="I31" s="56"/>
      <c r="J31" s="56"/>
      <c r="K31" s="56"/>
      <c r="L31" s="99"/>
      <c r="M31" s="56"/>
      <c r="N31" s="56"/>
      <c r="O31" s="56"/>
      <c r="P31" s="56"/>
      <c r="Q31" s="99"/>
      <c r="R31" s="56"/>
      <c r="S31" s="56"/>
      <c r="T31" s="56"/>
      <c r="U31" s="56"/>
      <c r="V31" s="99"/>
      <c r="W31" s="56"/>
      <c r="X31" s="56"/>
      <c r="Y31" s="56"/>
      <c r="Z31" s="56"/>
      <c r="AA31" s="99"/>
      <c r="AB31" s="56"/>
      <c r="AC31" s="56"/>
      <c r="AD31" s="56"/>
      <c r="AE31" s="56"/>
      <c r="AF31" s="99"/>
      <c r="AG31" s="56"/>
      <c r="AH31" s="222"/>
      <c r="AI31" s="56"/>
      <c r="AJ31" s="56"/>
      <c r="AK31" s="99"/>
      <c r="AL31" s="222"/>
      <c r="AM31" s="222"/>
      <c r="AN31" s="222"/>
      <c r="AO31" s="222"/>
      <c r="AP31" s="118">
        <f>+AP30/AP13</f>
        <v>0.5295719632571646</v>
      </c>
      <c r="AQ31" s="222"/>
      <c r="AR31" s="222"/>
      <c r="AS31" s="222"/>
      <c r="AT31" s="222"/>
      <c r="AU31" s="118"/>
      <c r="AV31" s="222"/>
      <c r="AW31" s="222"/>
      <c r="AX31" s="222"/>
      <c r="AY31" s="222"/>
      <c r="AZ31" s="118"/>
      <c r="BA31" s="222"/>
      <c r="BB31" s="222"/>
      <c r="BC31" s="222"/>
      <c r="BD31" s="222"/>
      <c r="BE31" s="118"/>
      <c r="BF31" s="118"/>
      <c r="BG31" s="118"/>
      <c r="BH31" s="118"/>
      <c r="BI31" s="118"/>
      <c r="BJ31" s="118"/>
      <c r="BL31" s="51"/>
      <c r="BM31" s="51"/>
      <c r="BO31" s="298"/>
    </row>
    <row r="32" spans="2:70" s="51" customFormat="1">
      <c r="B32" s="45" t="s">
        <v>83</v>
      </c>
      <c r="C32" s="56">
        <f t="shared" ref="C32:BJ32" si="57">C24-C30</f>
        <v>-12.255000000000003</v>
      </c>
      <c r="D32" s="56">
        <f t="shared" si="57"/>
        <v>-2.9799999999999969</v>
      </c>
      <c r="E32" s="56">
        <f t="shared" si="57"/>
        <v>-1.1640000000000015</v>
      </c>
      <c r="F32" s="56">
        <f t="shared" si="57"/>
        <v>3.8800000000000097</v>
      </c>
      <c r="G32" s="99">
        <f t="shared" si="57"/>
        <v>-12.518999999999977</v>
      </c>
      <c r="H32" s="56">
        <f t="shared" si="57"/>
        <v>-7.5379999999999967</v>
      </c>
      <c r="I32" s="56">
        <f t="shared" si="57"/>
        <v>3.5089999999999861</v>
      </c>
      <c r="J32" s="56">
        <f t="shared" si="57"/>
        <v>3.4189999999999969</v>
      </c>
      <c r="K32" s="56">
        <f t="shared" si="57"/>
        <v>9.6989999999999981</v>
      </c>
      <c r="L32" s="99">
        <f t="shared" si="57"/>
        <v>9.0890000000000555</v>
      </c>
      <c r="M32" s="56">
        <f t="shared" si="57"/>
        <v>-0.76199999999998624</v>
      </c>
      <c r="N32" s="56">
        <f>N24-N30</f>
        <v>12.939000000000007</v>
      </c>
      <c r="O32" s="56">
        <f t="shared" si="57"/>
        <v>16.256000000000014</v>
      </c>
      <c r="P32" s="56">
        <f>P24-P30</f>
        <v>18.811000000000007</v>
      </c>
      <c r="Q32" s="99">
        <f t="shared" si="57"/>
        <v>41.700000000000045</v>
      </c>
      <c r="R32" s="56">
        <f t="shared" si="57"/>
        <v>-2.1529999999999916</v>
      </c>
      <c r="S32" s="56">
        <f t="shared" si="57"/>
        <v>14.195000000000007</v>
      </c>
      <c r="T32" s="56">
        <f t="shared" si="57"/>
        <v>12.25800000000001</v>
      </c>
      <c r="U32" s="56">
        <f>U24-U30</f>
        <v>17.169000000000011</v>
      </c>
      <c r="V32" s="99">
        <f t="shared" si="57"/>
        <v>41.468999999999937</v>
      </c>
      <c r="W32" s="112">
        <f t="shared" si="57"/>
        <v>-4.1939999999999884</v>
      </c>
      <c r="X32" s="56">
        <f t="shared" si="57"/>
        <v>-17.006</v>
      </c>
      <c r="Y32" s="56">
        <f t="shared" si="57"/>
        <v>-8.5029999999999575</v>
      </c>
      <c r="Z32" s="56">
        <f>Z24-Z30</f>
        <v>-7.6389999999999816</v>
      </c>
      <c r="AA32" s="99">
        <f t="shared" si="57"/>
        <v>-37.341999999999985</v>
      </c>
      <c r="AB32" s="56">
        <f t="shared" si="57"/>
        <v>-36.267999999999972</v>
      </c>
      <c r="AC32" s="56">
        <f t="shared" si="57"/>
        <v>-17.47199999999998</v>
      </c>
      <c r="AD32" s="56">
        <f t="shared" si="57"/>
        <v>-10.92799999999994</v>
      </c>
      <c r="AE32" s="56">
        <f t="shared" si="57"/>
        <v>-24.15100000000001</v>
      </c>
      <c r="AF32" s="99">
        <f t="shared" si="57"/>
        <v>-88.819000000000074</v>
      </c>
      <c r="AG32" s="56">
        <f>AG24-AG30</f>
        <v>-50.988</v>
      </c>
      <c r="AH32" s="56">
        <f>AH24-AH30</f>
        <v>-12.926999999999992</v>
      </c>
      <c r="AI32" s="56">
        <f>AI24-AI30</f>
        <v>-3.1659999999999968</v>
      </c>
      <c r="AJ32" s="61">
        <f t="shared" si="57"/>
        <v>30.699999999999989</v>
      </c>
      <c r="AK32" s="99">
        <f t="shared" si="57"/>
        <v>-36.381000000000085</v>
      </c>
      <c r="AL32" s="57">
        <f t="shared" si="57"/>
        <v>48.517999999999972</v>
      </c>
      <c r="AM32" s="189">
        <f>AM24-AM30</f>
        <v>68.855999999999995</v>
      </c>
      <c r="AN32" s="189">
        <f t="shared" si="57"/>
        <v>57.957999999999998</v>
      </c>
      <c r="AO32" s="57">
        <f t="shared" si="57"/>
        <v>64.701999999999998</v>
      </c>
      <c r="AP32" s="99">
        <f t="shared" si="57"/>
        <v>240.03399999999976</v>
      </c>
      <c r="AQ32" s="56">
        <f>AQ24-AQ30</f>
        <v>69.420999999999992</v>
      </c>
      <c r="AR32" s="56">
        <f t="shared" ref="AR32:AU32" si="58">AR24-AR30</f>
        <v>90.19399999999996</v>
      </c>
      <c r="AS32" s="56">
        <f t="shared" si="58"/>
        <v>88.424000000000035</v>
      </c>
      <c r="AT32" s="57">
        <f t="shared" si="58"/>
        <v>100.536</v>
      </c>
      <c r="AU32" s="99">
        <f t="shared" si="58"/>
        <v>348.57500000000005</v>
      </c>
      <c r="AV32" s="56">
        <f t="shared" ref="AV32:AZ32" si="59">AV24-AV30</f>
        <v>99.837000000000018</v>
      </c>
      <c r="AW32" s="56">
        <f t="shared" si="59"/>
        <v>110.15299999999996</v>
      </c>
      <c r="AX32" s="56">
        <f t="shared" si="59"/>
        <v>89.925999999999988</v>
      </c>
      <c r="AY32" s="56">
        <f t="shared" si="59"/>
        <v>81.184000000000026</v>
      </c>
      <c r="AZ32" s="99">
        <f t="shared" si="59"/>
        <v>381.10000000000014</v>
      </c>
      <c r="BA32" s="56">
        <f t="shared" ref="BA32:BE32" si="60">BA24-BA30</f>
        <v>40.077421821714154</v>
      </c>
      <c r="BB32" s="56">
        <f t="shared" si="60"/>
        <v>56.215986954519849</v>
      </c>
      <c r="BC32" s="56">
        <f t="shared" si="60"/>
        <v>82.882411366341501</v>
      </c>
      <c r="BD32" s="56">
        <f t="shared" si="60"/>
        <v>108.39694552052845</v>
      </c>
      <c r="BE32" s="99">
        <f t="shared" si="60"/>
        <v>287.57276566310429</v>
      </c>
      <c r="BF32" s="99">
        <f t="shared" si="57"/>
        <v>494.56541345554297</v>
      </c>
      <c r="BG32" s="99">
        <f t="shared" si="57"/>
        <v>639.12098845823539</v>
      </c>
      <c r="BH32" s="99">
        <f t="shared" si="57"/>
        <v>775.6354946785018</v>
      </c>
      <c r="BI32" s="99">
        <f t="shared" si="57"/>
        <v>901.77958252203916</v>
      </c>
      <c r="BJ32" s="99">
        <f t="shared" si="57"/>
        <v>1017.5010554564069</v>
      </c>
      <c r="BK32" s="45"/>
      <c r="BL32" s="179"/>
      <c r="BN32" s="45"/>
      <c r="BO32" s="45"/>
      <c r="BP32" s="45"/>
      <c r="BQ32" s="45"/>
      <c r="BR32" s="46"/>
    </row>
    <row r="33" spans="2:70" s="51" customFormat="1">
      <c r="B33" s="45" t="s">
        <v>235</v>
      </c>
      <c r="C33" s="56"/>
      <c r="D33" s="56"/>
      <c r="E33" s="56"/>
      <c r="F33" s="56"/>
      <c r="G33" s="99"/>
      <c r="H33" s="56"/>
      <c r="I33" s="56"/>
      <c r="J33" s="56"/>
      <c r="K33" s="56"/>
      <c r="L33" s="99"/>
      <c r="M33" s="56"/>
      <c r="N33" s="56"/>
      <c r="O33" s="56"/>
      <c r="P33" s="56"/>
      <c r="Q33" s="99"/>
      <c r="R33" s="56"/>
      <c r="S33" s="56"/>
      <c r="T33" s="56"/>
      <c r="U33" s="56"/>
      <c r="V33" s="99"/>
      <c r="W33" s="56">
        <f t="shared" ref="W33:AH33" si="61">+W45</f>
        <v>30.718</v>
      </c>
      <c r="X33" s="56">
        <f t="shared" si="61"/>
        <v>34.966999999999999</v>
      </c>
      <c r="Y33" s="56">
        <f t="shared" si="61"/>
        <v>38.921999999999997</v>
      </c>
      <c r="Z33" s="56">
        <f t="shared" si="61"/>
        <v>42.706000000000003</v>
      </c>
      <c r="AA33" s="99">
        <f t="shared" si="61"/>
        <v>147.31299999999999</v>
      </c>
      <c r="AB33" s="56">
        <f t="shared" si="61"/>
        <v>46.631</v>
      </c>
      <c r="AC33" s="56">
        <f t="shared" si="61"/>
        <v>50.396000000000001</v>
      </c>
      <c r="AD33" s="56">
        <f t="shared" si="61"/>
        <v>53.07</v>
      </c>
      <c r="AE33" s="56">
        <f t="shared" si="61"/>
        <v>71.293999999999997</v>
      </c>
      <c r="AF33" s="99">
        <f t="shared" si="61"/>
        <v>221.39100000000002</v>
      </c>
      <c r="AG33" s="56">
        <f t="shared" si="61"/>
        <v>60.984000000000002</v>
      </c>
      <c r="AH33" s="56">
        <f t="shared" si="61"/>
        <v>59.139000000000003</v>
      </c>
      <c r="AI33" s="56">
        <f t="shared" ref="AI33:BJ33" si="62">+AI45</f>
        <v>56.795999999999999</v>
      </c>
      <c r="AJ33" s="56">
        <f t="shared" si="62"/>
        <v>59.917000000000002</v>
      </c>
      <c r="AK33" s="99">
        <f t="shared" si="62"/>
        <v>236.83600000000001</v>
      </c>
      <c r="AL33" s="56">
        <f t="shared" si="62"/>
        <v>54.521000000000001</v>
      </c>
      <c r="AM33" s="56">
        <f t="shared" si="62"/>
        <v>53.66</v>
      </c>
      <c r="AN33" s="56">
        <f t="shared" si="62"/>
        <v>58.249000000000002</v>
      </c>
      <c r="AO33" s="56">
        <f t="shared" si="62"/>
        <v>58.195</v>
      </c>
      <c r="AP33" s="99">
        <f t="shared" si="62"/>
        <v>224.625</v>
      </c>
      <c r="AQ33" s="57">
        <f>+AQ45</f>
        <v>58.142000000000003</v>
      </c>
      <c r="AR33" s="56">
        <f t="shared" si="62"/>
        <v>59.886000000000003</v>
      </c>
      <c r="AS33" s="56">
        <f t="shared" si="62"/>
        <v>60.892000000000003</v>
      </c>
      <c r="AT33" s="56">
        <f t="shared" si="62"/>
        <v>61.801000000000002</v>
      </c>
      <c r="AU33" s="99">
        <f>+AU45</f>
        <v>240.721</v>
      </c>
      <c r="AV33" s="56">
        <f>+AV45</f>
        <v>60.261000000000003</v>
      </c>
      <c r="AW33" s="56">
        <f t="shared" ref="AW33:AY33" si="63">+AW45</f>
        <v>59.439</v>
      </c>
      <c r="AX33" s="56">
        <f t="shared" si="63"/>
        <v>59.564999999999998</v>
      </c>
      <c r="AY33" s="56">
        <f t="shared" si="63"/>
        <v>58.110999999999997</v>
      </c>
      <c r="AZ33" s="99">
        <f>+AZ45</f>
        <v>237.37599999999998</v>
      </c>
      <c r="BA33" s="56">
        <f t="shared" ref="BA33:BD33" si="64">+BA45</f>
        <v>60.863610000000001</v>
      </c>
      <c r="BB33" s="56">
        <f t="shared" si="64"/>
        <v>60.033389999999997</v>
      </c>
      <c r="BC33" s="56">
        <f t="shared" si="64"/>
        <v>60.160649999999997</v>
      </c>
      <c r="BD33" s="56">
        <f t="shared" si="64"/>
        <v>58.69211</v>
      </c>
      <c r="BE33" s="99">
        <f>+BE45</f>
        <v>239.74975999999998</v>
      </c>
      <c r="BF33" s="99">
        <f t="shared" si="62"/>
        <v>242.14725759999999</v>
      </c>
      <c r="BG33" s="99">
        <f t="shared" si="62"/>
        <v>244.568730176</v>
      </c>
      <c r="BH33" s="99">
        <f t="shared" si="62"/>
        <v>247.01441747775999</v>
      </c>
      <c r="BI33" s="99">
        <f t="shared" si="62"/>
        <v>249.48456165253759</v>
      </c>
      <c r="BJ33" s="99">
        <f t="shared" si="62"/>
        <v>251.97940726906296</v>
      </c>
      <c r="BK33" s="45"/>
      <c r="BL33" s="179"/>
      <c r="BN33" s="45"/>
      <c r="BO33" s="45"/>
      <c r="BP33" s="45"/>
      <c r="BQ33" s="45"/>
      <c r="BR33" s="46"/>
    </row>
    <row r="34" spans="2:70" s="51" customFormat="1">
      <c r="B34" s="45" t="s">
        <v>287</v>
      </c>
      <c r="C34" s="56"/>
      <c r="D34" s="56"/>
      <c r="E34" s="56"/>
      <c r="F34" s="56"/>
      <c r="G34" s="99"/>
      <c r="H34" s="56"/>
      <c r="I34" s="56"/>
      <c r="J34" s="56"/>
      <c r="K34" s="56"/>
      <c r="L34" s="99"/>
      <c r="M34" s="56"/>
      <c r="N34" s="56"/>
      <c r="O34" s="56"/>
      <c r="P34" s="56"/>
      <c r="Q34" s="99"/>
      <c r="R34" s="56"/>
      <c r="S34" s="56"/>
      <c r="T34" s="56"/>
      <c r="U34" s="56"/>
      <c r="V34" s="99"/>
      <c r="W34" s="112"/>
      <c r="X34" s="56"/>
      <c r="Y34" s="56"/>
      <c r="Z34" s="56"/>
      <c r="AA34" s="99"/>
      <c r="AB34" s="98"/>
      <c r="AC34" s="98"/>
      <c r="AD34" s="98"/>
      <c r="AE34" s="98"/>
      <c r="AF34" s="99"/>
      <c r="AG34" s="98">
        <v>1.5740000000000001</v>
      </c>
      <c r="AH34" s="98">
        <v>1.58</v>
      </c>
      <c r="AI34" s="98">
        <v>1.581</v>
      </c>
      <c r="AJ34" s="98">
        <v>1.5109999999999999</v>
      </c>
      <c r="AK34" s="99">
        <f>+SUM(AG34:AJ34)</f>
        <v>6.2459999999999996</v>
      </c>
      <c r="AL34" s="98">
        <v>1.488</v>
      </c>
      <c r="AM34" s="98">
        <v>1.4890000000000001</v>
      </c>
      <c r="AN34" s="98">
        <v>1.4890000000000001</v>
      </c>
      <c r="AO34" s="98">
        <v>1.4890000000000001</v>
      </c>
      <c r="AP34" s="99">
        <f>+SUM(AL34:AO34)</f>
        <v>5.9550000000000001</v>
      </c>
      <c r="AQ34" s="98">
        <v>1.4830000000000001</v>
      </c>
      <c r="AR34" s="98">
        <v>1.4650000000000001</v>
      </c>
      <c r="AS34" s="98">
        <v>1.4610000000000001</v>
      </c>
      <c r="AT34" s="98">
        <v>1.8340000000000001</v>
      </c>
      <c r="AU34" s="99">
        <f>+SUM(AQ34:AT34)</f>
        <v>6.2430000000000003</v>
      </c>
      <c r="AV34" s="98">
        <v>1.472</v>
      </c>
      <c r="AW34" s="98">
        <v>1.2589999999999999</v>
      </c>
      <c r="AX34" s="98">
        <v>1.355</v>
      </c>
      <c r="AY34" s="98">
        <v>2.923</v>
      </c>
      <c r="AZ34" s="99">
        <f>+SUM(AV34:AY34)</f>
        <v>7.0090000000000003</v>
      </c>
      <c r="BA34" s="98">
        <f>+AY34</f>
        <v>2.923</v>
      </c>
      <c r="BB34" s="98">
        <f t="shared" ref="BB34:BD34" si="65">+BA34</f>
        <v>2.923</v>
      </c>
      <c r="BC34" s="98">
        <f t="shared" si="65"/>
        <v>2.923</v>
      </c>
      <c r="BD34" s="98">
        <f t="shared" si="65"/>
        <v>2.923</v>
      </c>
      <c r="BE34" s="99">
        <f>+SUM(BA34:BD34)</f>
        <v>11.692</v>
      </c>
      <c r="BF34" s="186">
        <f t="shared" ref="BF34:BJ34" si="66">+BE34</f>
        <v>11.692</v>
      </c>
      <c r="BG34" s="186">
        <f t="shared" si="66"/>
        <v>11.692</v>
      </c>
      <c r="BH34" s="186">
        <f t="shared" si="66"/>
        <v>11.692</v>
      </c>
      <c r="BI34" s="186">
        <f t="shared" si="66"/>
        <v>11.692</v>
      </c>
      <c r="BJ34" s="186">
        <f t="shared" si="66"/>
        <v>11.692</v>
      </c>
      <c r="BK34" s="45"/>
      <c r="BL34" s="179"/>
      <c r="BN34" s="45"/>
      <c r="BO34" s="45"/>
      <c r="BP34" s="45"/>
      <c r="BQ34" s="45"/>
      <c r="BR34" s="46"/>
    </row>
    <row r="35" spans="2:70" s="51" customFormat="1">
      <c r="B35" s="45" t="s">
        <v>288</v>
      </c>
      <c r="C35" s="56"/>
      <c r="D35" s="56"/>
      <c r="E35" s="56"/>
      <c r="F35" s="56"/>
      <c r="G35" s="99"/>
      <c r="H35" s="56"/>
      <c r="I35" s="56"/>
      <c r="J35" s="56"/>
      <c r="K35" s="56"/>
      <c r="L35" s="99"/>
      <c r="M35" s="56"/>
      <c r="N35" s="56"/>
      <c r="O35" s="56"/>
      <c r="P35" s="56"/>
      <c r="Q35" s="99"/>
      <c r="R35" s="56"/>
      <c r="S35" s="56"/>
      <c r="T35" s="56"/>
      <c r="U35" s="56"/>
      <c r="V35" s="99"/>
      <c r="W35" s="112"/>
      <c r="X35" s="56"/>
      <c r="Y35" s="56"/>
      <c r="Z35" s="56"/>
      <c r="AA35" s="99"/>
      <c r="AB35" s="98"/>
      <c r="AC35" s="98"/>
      <c r="AD35" s="98"/>
      <c r="AE35" s="98"/>
      <c r="AF35" s="99"/>
      <c r="AG35" s="98">
        <f>1.699+0.172</f>
        <v>1.871</v>
      </c>
      <c r="AH35" s="98">
        <f>1.187+0.189</f>
        <v>1.3760000000000001</v>
      </c>
      <c r="AI35" s="98">
        <f>0.585+0.183</f>
        <v>0.76800000000000002</v>
      </c>
      <c r="AJ35" s="98">
        <f>1.656+0.219</f>
        <v>1.875</v>
      </c>
      <c r="AK35" s="99">
        <f>+SUM(AG35:AJ35)</f>
        <v>5.89</v>
      </c>
      <c r="AL35" s="98">
        <f>0.196+0.308+25.338</f>
        <v>25.842000000000002</v>
      </c>
      <c r="AM35" s="98">
        <f>0.244+0.157+0.33</f>
        <v>0.73100000000000009</v>
      </c>
      <c r="AN35" s="98">
        <f>0.023+0.146+3.843</f>
        <v>4.0119999999999996</v>
      </c>
      <c r="AO35" s="98">
        <f>0.009+0.137+3.103</f>
        <v>3.2490000000000001</v>
      </c>
      <c r="AP35" s="99">
        <f>+SUM(AL35:AO35)</f>
        <v>33.834000000000003</v>
      </c>
      <c r="AQ35" s="98">
        <f>0.005+0.121</f>
        <v>0.126</v>
      </c>
      <c r="AR35" s="98">
        <v>0</v>
      </c>
      <c r="AS35" s="98">
        <v>0</v>
      </c>
      <c r="AT35" s="98">
        <v>0.88100000000000001</v>
      </c>
      <c r="AU35" s="99">
        <f>+SUM(AQ35:AT35)</f>
        <v>1.0070000000000001</v>
      </c>
      <c r="AV35" s="98">
        <v>0.69899999999999995</v>
      </c>
      <c r="AW35" s="98">
        <f>6.087-0.938</f>
        <v>5.149</v>
      </c>
      <c r="AX35" s="98">
        <f>0.945+35.432</f>
        <v>36.377000000000002</v>
      </c>
      <c r="AY35" s="98">
        <f>90.044+2.694</f>
        <v>92.738</v>
      </c>
      <c r="AZ35" s="99">
        <v>0</v>
      </c>
      <c r="BA35" s="98">
        <v>0</v>
      </c>
      <c r="BB35" s="98">
        <v>0</v>
      </c>
      <c r="BC35" s="98">
        <v>0</v>
      </c>
      <c r="BD35" s="98">
        <v>0</v>
      </c>
      <c r="BE35" s="99">
        <v>0</v>
      </c>
      <c r="BF35" s="186">
        <f t="shared" ref="BF35:BJ35" si="67">+BE35</f>
        <v>0</v>
      </c>
      <c r="BG35" s="186">
        <f t="shared" si="67"/>
        <v>0</v>
      </c>
      <c r="BH35" s="186">
        <f t="shared" si="67"/>
        <v>0</v>
      </c>
      <c r="BI35" s="186">
        <f t="shared" si="67"/>
        <v>0</v>
      </c>
      <c r="BJ35" s="186">
        <f t="shared" si="67"/>
        <v>0</v>
      </c>
      <c r="BK35" s="45"/>
      <c r="BL35" s="179"/>
      <c r="BN35" s="45"/>
      <c r="BO35" s="45"/>
      <c r="BP35" s="45"/>
      <c r="BQ35" s="45"/>
      <c r="BR35" s="46"/>
    </row>
    <row r="36" spans="2:70" s="51" customFormat="1">
      <c r="B36" s="45" t="s">
        <v>286</v>
      </c>
      <c r="C36" s="56"/>
      <c r="D36" s="56"/>
      <c r="E36" s="56"/>
      <c r="F36" s="56"/>
      <c r="G36" s="99"/>
      <c r="H36" s="56"/>
      <c r="I36" s="56"/>
      <c r="J36" s="56"/>
      <c r="K36" s="56"/>
      <c r="L36" s="99"/>
      <c r="M36" s="56"/>
      <c r="N36" s="56"/>
      <c r="O36" s="56"/>
      <c r="P36" s="56"/>
      <c r="Q36" s="99"/>
      <c r="R36" s="56"/>
      <c r="S36" s="56"/>
      <c r="T36" s="56"/>
      <c r="U36" s="56"/>
      <c r="V36" s="99"/>
      <c r="W36" s="112"/>
      <c r="X36" s="56"/>
      <c r="Y36" s="56"/>
      <c r="Z36" s="56"/>
      <c r="AA36" s="99"/>
      <c r="AB36" s="56"/>
      <c r="AC36" s="56"/>
      <c r="AD36" s="56"/>
      <c r="AE36" s="56"/>
      <c r="AF36" s="99"/>
      <c r="AG36" s="137">
        <f t="shared" ref="AG36:AR36" si="68">+AG32-AG33-AG34-AG35</f>
        <v>-115.417</v>
      </c>
      <c r="AH36" s="137">
        <f t="shared" si="68"/>
        <v>-75.022000000000006</v>
      </c>
      <c r="AI36" s="137">
        <f t="shared" si="68"/>
        <v>-62.311</v>
      </c>
      <c r="AJ36" s="137">
        <f t="shared" si="68"/>
        <v>-32.603000000000009</v>
      </c>
      <c r="AK36" s="269">
        <f t="shared" si="68"/>
        <v>-285.35300000000007</v>
      </c>
      <c r="AL36" s="137">
        <f t="shared" si="68"/>
        <v>-33.333000000000027</v>
      </c>
      <c r="AM36" s="137">
        <f t="shared" si="68"/>
        <v>12.975999999999997</v>
      </c>
      <c r="AN36" s="137">
        <f t="shared" si="68"/>
        <v>-5.7920000000000034</v>
      </c>
      <c r="AO36" s="162">
        <f t="shared" si="68"/>
        <v>1.7689999999999979</v>
      </c>
      <c r="AP36" s="99">
        <f t="shared" si="68"/>
        <v>-24.380000000000237</v>
      </c>
      <c r="AQ36" s="162">
        <f t="shared" si="68"/>
        <v>9.6699999999999893</v>
      </c>
      <c r="AR36" s="137">
        <f t="shared" si="68"/>
        <v>28.842999999999957</v>
      </c>
      <c r="AS36" s="137">
        <f t="shared" ref="AS36:AT36" si="69">+AS32-AS33-AS34-AS35</f>
        <v>26.071000000000033</v>
      </c>
      <c r="AT36" s="137">
        <f t="shared" si="69"/>
        <v>36.019999999999996</v>
      </c>
      <c r="AU36" s="99">
        <f>+AU32-AU33-AU34-AU35</f>
        <v>100.60400000000004</v>
      </c>
      <c r="AV36" s="137">
        <f t="shared" ref="AV36:AY36" si="70">+AV32-AV33-AV34-AV35</f>
        <v>37.405000000000015</v>
      </c>
      <c r="AW36" s="137">
        <f t="shared" si="70"/>
        <v>44.305999999999962</v>
      </c>
      <c r="AX36" s="56">
        <f t="shared" si="70"/>
        <v>-7.3710000000000129</v>
      </c>
      <c r="AY36" s="137">
        <f t="shared" si="70"/>
        <v>-72.587999999999965</v>
      </c>
      <c r="AZ36" s="99">
        <f>+AZ32-AZ33-AZ34-AZ35</f>
        <v>136.71500000000015</v>
      </c>
      <c r="BA36" s="137">
        <f t="shared" ref="BA36:BD36" si="71">+BA32-BA33-BA34-BA35</f>
        <v>-23.709188178285849</v>
      </c>
      <c r="BB36" s="137">
        <f t="shared" si="71"/>
        <v>-6.7404030454801482</v>
      </c>
      <c r="BC36" s="137">
        <f t="shared" si="71"/>
        <v>19.798761366341502</v>
      </c>
      <c r="BD36" s="137">
        <f t="shared" si="71"/>
        <v>46.781835520528446</v>
      </c>
      <c r="BE36" s="99">
        <f>+BE32-BE33-BE34-BE35</f>
        <v>36.131005663104311</v>
      </c>
      <c r="BF36" s="99">
        <f t="shared" ref="BF36:BJ36" si="72">+BF32-BF33-BF34-BF35</f>
        <v>240.72615585554297</v>
      </c>
      <c r="BG36" s="99">
        <f t="shared" si="72"/>
        <v>382.86025828223535</v>
      </c>
      <c r="BH36" s="99">
        <f t="shared" si="72"/>
        <v>516.92907720074186</v>
      </c>
      <c r="BI36" s="99">
        <f t="shared" si="72"/>
        <v>640.60302086950151</v>
      </c>
      <c r="BJ36" s="99">
        <f t="shared" si="72"/>
        <v>753.82964818734399</v>
      </c>
      <c r="BK36" s="45"/>
      <c r="BL36" s="179"/>
      <c r="BN36" s="45"/>
      <c r="BO36" s="45"/>
      <c r="BP36" s="45"/>
      <c r="BQ36" s="45"/>
      <c r="BR36" s="46"/>
    </row>
    <row r="37" spans="2:70" s="51" customFormat="1">
      <c r="B37" s="45"/>
      <c r="C37" s="56"/>
      <c r="D37" s="56"/>
      <c r="E37" s="56"/>
      <c r="F37" s="56"/>
      <c r="G37" s="99"/>
      <c r="H37" s="56"/>
      <c r="I37" s="56"/>
      <c r="J37" s="56"/>
      <c r="K37" s="56"/>
      <c r="L37" s="99"/>
      <c r="M37" s="56"/>
      <c r="N37" s="56"/>
      <c r="O37" s="56"/>
      <c r="P37" s="56"/>
      <c r="Q37" s="99"/>
      <c r="R37" s="189"/>
      <c r="S37" s="189"/>
      <c r="T37" s="56"/>
      <c r="U37" s="56"/>
      <c r="V37" s="99"/>
      <c r="W37" s="112"/>
      <c r="X37" s="56"/>
      <c r="Y37" s="56"/>
      <c r="Z37" s="56"/>
      <c r="AA37" s="99"/>
      <c r="AB37" s="56"/>
      <c r="AC37" s="56"/>
      <c r="AD37" s="56"/>
      <c r="AE37" s="56"/>
      <c r="AF37" s="99"/>
      <c r="AG37" s="56"/>
      <c r="AH37" s="189"/>
      <c r="AI37" s="56"/>
      <c r="AJ37" s="56"/>
      <c r="AK37" s="99"/>
      <c r="AL37" s="56"/>
      <c r="AM37" s="56"/>
      <c r="AN37" s="56"/>
      <c r="AO37" s="56"/>
      <c r="AP37" s="64"/>
      <c r="AQ37" s="56"/>
      <c r="AR37" s="56"/>
      <c r="AS37" s="56"/>
      <c r="AT37" s="56"/>
      <c r="AU37" s="64"/>
      <c r="AV37" s="56"/>
      <c r="AW37" s="56"/>
      <c r="AX37" s="56"/>
      <c r="AY37" s="56"/>
      <c r="AZ37" s="64"/>
      <c r="BA37" s="56"/>
      <c r="BB37" s="56"/>
      <c r="BC37" s="56"/>
      <c r="BD37" s="56"/>
      <c r="BE37" s="64"/>
      <c r="BF37" s="99"/>
      <c r="BG37" s="99"/>
      <c r="BH37" s="99"/>
      <c r="BI37" s="99"/>
      <c r="BJ37" s="99"/>
      <c r="BK37" s="45"/>
      <c r="BN37" s="45"/>
      <c r="BO37" s="45"/>
      <c r="BP37" s="45"/>
      <c r="BQ37" s="45"/>
      <c r="BR37" s="46"/>
    </row>
    <row r="38" spans="2:70" s="51" customFormat="1">
      <c r="B38" s="45" t="s">
        <v>241</v>
      </c>
      <c r="C38" s="190"/>
      <c r="D38" s="190"/>
      <c r="E38" s="190"/>
      <c r="F38" s="190"/>
      <c r="G38" s="185"/>
      <c r="H38" s="190"/>
      <c r="I38" s="190"/>
      <c r="J38" s="190"/>
      <c r="K38" s="190"/>
      <c r="L38" s="185"/>
      <c r="M38" s="181">
        <f>M45+0.588+1.428-0.566</f>
        <v>17.124000000000002</v>
      </c>
      <c r="N38" s="181">
        <f>N45+0.731+0.946</f>
        <v>19.446000000000002</v>
      </c>
      <c r="O38" s="181">
        <f>O45+0.733+0.261+4.965</f>
        <v>24.719000000000001</v>
      </c>
      <c r="P38" s="181">
        <f>P45+0.732+0.125+5.039+0.5</f>
        <v>26.522999999999996</v>
      </c>
      <c r="Q38" s="185">
        <f>SUM(M38:P38)</f>
        <v>87.812000000000012</v>
      </c>
      <c r="R38" s="181">
        <f>R45+0.732+5.117+1.452</f>
        <v>32.207999999999998</v>
      </c>
      <c r="S38" s="181">
        <f>S45+0.738+0.053+5.194+0.14</f>
        <v>33.690000000000005</v>
      </c>
      <c r="T38" s="181">
        <f>T45+0.733+0.564+5.274+3.174+0.056</f>
        <v>38.192999999999998</v>
      </c>
      <c r="U38" s="181">
        <f>U45+2.385+1.868+5.353+2.135+1.257</f>
        <v>41.470999999999997</v>
      </c>
      <c r="V38" s="185">
        <f>SUM(R38:U38)</f>
        <v>145.56199999999998</v>
      </c>
      <c r="W38" s="181">
        <f>W45+0.566+0.939+5.433+1.974-0.873</f>
        <v>38.756999999999998</v>
      </c>
      <c r="X38" s="181">
        <f>X45+0.566+1.697+5.516-0.485+1.305</f>
        <v>43.566000000000003</v>
      </c>
      <c r="Y38" s="181">
        <f>Y45+0.826+1.489+7.594-0.005</f>
        <v>48.825999999999993</v>
      </c>
      <c r="Z38" s="181">
        <f>Z45+0.619+1.686+11.411+2.81-66.709+1.925+15.343</f>
        <v>9.7910000000000039</v>
      </c>
      <c r="AA38" s="185">
        <f>SUM(W38:Z38)</f>
        <v>140.94</v>
      </c>
      <c r="AB38" s="181">
        <f>AB45+0.599+1.705+62.345+0.452-29.513+2.59+6.788</f>
        <v>91.596999999999994</v>
      </c>
      <c r="AC38" s="181">
        <f>AC45+0.846+2.351+1.296+0.579-142.348+0.363+32.74</f>
        <v>-53.777000000000022</v>
      </c>
      <c r="AD38" s="181">
        <f>AD45+3.045+2.579+1.297+0.341-112.165+1.745+21.48</f>
        <v>-28.608000000000008</v>
      </c>
      <c r="AE38" s="254">
        <f>AE45+0.462+2.045+1.298+0.32+16.195+2.013-3.725</f>
        <v>89.902000000000015</v>
      </c>
      <c r="AF38" s="185">
        <f>SUM(AB38:AE38)</f>
        <v>99.113999999999976</v>
      </c>
      <c r="AG38" s="181">
        <f>AG45+1.574+1.699+1.301+0.172+151.645+4.132-35.612</f>
        <v>185.89500000000001</v>
      </c>
      <c r="AH38" s="181">
        <f>AH45+1.58+1.187+1.302+0.189+54.92-2.274-12.632</f>
        <v>103.411</v>
      </c>
      <c r="AI38" s="181">
        <f>AI45+1.581+0.585+1.305+0.183-1.675+2.342-10.182</f>
        <v>50.935000000000002</v>
      </c>
      <c r="AJ38" s="266">
        <f>AJ45+1.511+1.656+1.305+0.219+3.955+6.22-0.176</f>
        <v>74.606999999999999</v>
      </c>
      <c r="AK38" s="185">
        <f>SUM(AG38:AJ38)</f>
        <v>414.84800000000007</v>
      </c>
      <c r="AL38" s="266">
        <f>+AL45+1.488+0.196+0.308+25.338</f>
        <v>81.850999999999999</v>
      </c>
      <c r="AM38" s="266">
        <f>AM45+1.489+0.244+1.31+0.33+0.157-8.814-1.843-2.022</f>
        <v>44.510999999999989</v>
      </c>
      <c r="AN38" s="181">
        <f>AN45+1.489+0.023+0.787+3.843+0.146-8.283-0.552+2.4</f>
        <v>58.102000000000004</v>
      </c>
      <c r="AO38" s="190">
        <f>AO45</f>
        <v>58.195</v>
      </c>
      <c r="AP38" s="185">
        <f>SUM(AL38:AO38)</f>
        <v>242.65899999999999</v>
      </c>
      <c r="AQ38" s="190">
        <f>AQ45</f>
        <v>58.142000000000003</v>
      </c>
      <c r="AR38" s="190">
        <f>AR45+AR48</f>
        <v>58.183</v>
      </c>
      <c r="AS38" s="190">
        <f>AS45+AS48</f>
        <v>59.206000000000003</v>
      </c>
      <c r="AT38" s="190">
        <f t="shared" ref="AT38" si="73">AT45</f>
        <v>61.801000000000002</v>
      </c>
      <c r="AU38" s="185">
        <f>SUM(AQ38:AT38)</f>
        <v>237.33199999999999</v>
      </c>
      <c r="AV38" s="190">
        <f t="shared" ref="AV38:AY38" si="74">AV45</f>
        <v>60.261000000000003</v>
      </c>
      <c r="AW38" s="190">
        <f t="shared" si="74"/>
        <v>59.439</v>
      </c>
      <c r="AX38" s="190">
        <f t="shared" si="74"/>
        <v>59.564999999999998</v>
      </c>
      <c r="AY38" s="190">
        <f t="shared" si="74"/>
        <v>58.110999999999997</v>
      </c>
      <c r="AZ38" s="185">
        <f>SUM(AV38:AY38)</f>
        <v>237.37599999999998</v>
      </c>
      <c r="BA38" s="190">
        <f t="shared" ref="BA38:BD38" si="75">BA45</f>
        <v>60.863610000000001</v>
      </c>
      <c r="BB38" s="190">
        <f t="shared" si="75"/>
        <v>60.033389999999997</v>
      </c>
      <c r="BC38" s="190">
        <f t="shared" si="75"/>
        <v>60.160649999999997</v>
      </c>
      <c r="BD38" s="190">
        <f t="shared" si="75"/>
        <v>58.69211</v>
      </c>
      <c r="BE38" s="185">
        <f>SUM(BA38:BD38)</f>
        <v>239.74975999999998</v>
      </c>
      <c r="BF38" s="185">
        <f t="shared" ref="BF38:BJ38" si="76">BF45</f>
        <v>242.14725759999999</v>
      </c>
      <c r="BG38" s="185">
        <f t="shared" si="76"/>
        <v>244.568730176</v>
      </c>
      <c r="BH38" s="185">
        <f t="shared" si="76"/>
        <v>247.01441747775999</v>
      </c>
      <c r="BI38" s="185">
        <f t="shared" si="76"/>
        <v>249.48456165253759</v>
      </c>
      <c r="BJ38" s="185">
        <f t="shared" si="76"/>
        <v>251.97940726906296</v>
      </c>
      <c r="BK38" s="45"/>
      <c r="BN38" s="45"/>
      <c r="BO38" s="45"/>
      <c r="BP38" s="45"/>
      <c r="BQ38" s="45"/>
      <c r="BR38" s="46"/>
    </row>
    <row r="39" spans="2:70" s="51" customFormat="1">
      <c r="B39" s="45" t="s">
        <v>239</v>
      </c>
      <c r="C39" s="56"/>
      <c r="D39" s="56"/>
      <c r="E39" s="56"/>
      <c r="F39" s="56"/>
      <c r="G39" s="99"/>
      <c r="H39" s="56"/>
      <c r="I39" s="56"/>
      <c r="J39" s="56"/>
      <c r="K39" s="56"/>
      <c r="L39" s="99"/>
      <c r="M39" s="112">
        <f>M52+M38</f>
        <v>-2.6889999999999823</v>
      </c>
      <c r="N39" s="112">
        <f>N52+N38</f>
        <v>13.806000000000012</v>
      </c>
      <c r="O39" s="112">
        <f>O52+O38</f>
        <v>18.803000000000015</v>
      </c>
      <c r="P39" s="112">
        <f>P52+P38</f>
        <v>20.770000000000003</v>
      </c>
      <c r="Q39" s="99">
        <f>SUM(M39:P39)</f>
        <v>50.690000000000047</v>
      </c>
      <c r="R39" s="112">
        <f>R52+R38</f>
        <v>1.4680000000000071</v>
      </c>
      <c r="S39" s="112">
        <f>S52+S38</f>
        <v>16.958000000000009</v>
      </c>
      <c r="T39" s="112">
        <f>T52+T38</f>
        <v>20.826000000000011</v>
      </c>
      <c r="U39" s="112">
        <f>U52+U38</f>
        <v>19.89800000000001</v>
      </c>
      <c r="V39" s="99">
        <f>SUM(R39:U39)</f>
        <v>59.150000000000034</v>
      </c>
      <c r="W39" s="112">
        <f t="shared" ref="W39:AQ39" si="77">W52+W38</f>
        <v>-0.39599999999999369</v>
      </c>
      <c r="X39" s="112">
        <f t="shared" si="77"/>
        <v>-14.169999999999995</v>
      </c>
      <c r="Y39" s="112">
        <f t="shared" si="77"/>
        <v>-8.0159999999999627</v>
      </c>
      <c r="Z39" s="112">
        <f t="shared" si="77"/>
        <v>-1.6319999999999801</v>
      </c>
      <c r="AA39" s="99">
        <f t="shared" si="77"/>
        <v>-24.213999999999913</v>
      </c>
      <c r="AB39" s="112">
        <f t="shared" si="77"/>
        <v>-30.154999999999987</v>
      </c>
      <c r="AC39" s="112">
        <f t="shared" si="77"/>
        <v>-15.820000000000007</v>
      </c>
      <c r="AD39" s="112">
        <f t="shared" si="77"/>
        <v>-11.940999999999939</v>
      </c>
      <c r="AE39" s="173">
        <f t="shared" si="77"/>
        <v>-21.116999999999976</v>
      </c>
      <c r="AF39" s="99">
        <f t="shared" si="77"/>
        <v>-79.032999999999902</v>
      </c>
      <c r="AG39" s="112">
        <f>AG52+AG38</f>
        <v>-41.394000000000034</v>
      </c>
      <c r="AH39" s="112">
        <f>AH52+AH38</f>
        <v>-7.8269999999999982</v>
      </c>
      <c r="AI39" s="112">
        <f>AI52+AI38</f>
        <v>3.5720000000000098</v>
      </c>
      <c r="AJ39" s="112">
        <f t="shared" si="77"/>
        <v>35.631999999999977</v>
      </c>
      <c r="AK39" s="99">
        <f t="shared" si="77"/>
        <v>-10.016999999999996</v>
      </c>
      <c r="AL39" s="112">
        <f t="shared" si="77"/>
        <v>71.481999999999971</v>
      </c>
      <c r="AM39" s="112">
        <f>AM52+AM38</f>
        <v>78.087999999999994</v>
      </c>
      <c r="AN39" s="112">
        <f t="shared" si="77"/>
        <v>65.076999999999998</v>
      </c>
      <c r="AO39" s="112">
        <f>AO52+AO38</f>
        <v>61.149000000000001</v>
      </c>
      <c r="AP39" s="99">
        <f t="shared" si="77"/>
        <v>275.79599999999994</v>
      </c>
      <c r="AQ39" s="173">
        <f t="shared" si="77"/>
        <v>82.143999999999991</v>
      </c>
      <c r="AR39" s="112">
        <f t="shared" ref="AR39:AU39" si="78">AR52+AR38</f>
        <v>97.700999999999951</v>
      </c>
      <c r="AS39" s="112">
        <f t="shared" si="78"/>
        <v>85.984000000000037</v>
      </c>
      <c r="AT39" s="112">
        <f t="shared" si="78"/>
        <v>109.82500000000002</v>
      </c>
      <c r="AU39" s="99">
        <f t="shared" si="78"/>
        <v>375.654</v>
      </c>
      <c r="AV39" s="112">
        <f t="shared" ref="AV39:AY39" si="79">AV52+AV38</f>
        <v>94.027000000000015</v>
      </c>
      <c r="AW39" s="112">
        <f t="shared" si="79"/>
        <v>117.14199999999997</v>
      </c>
      <c r="AX39" s="112">
        <f t="shared" si="79"/>
        <v>58.975999999999992</v>
      </c>
      <c r="AY39" s="112">
        <f t="shared" si="79"/>
        <v>17.877000000000024</v>
      </c>
      <c r="AZ39" s="99">
        <f>AZ52+AZ38</f>
        <v>288.02199999999999</v>
      </c>
      <c r="BA39" s="112">
        <f t="shared" ref="BA39:BD39" si="80">BA52+BA38</f>
        <v>53.165711435947088</v>
      </c>
      <c r="BB39" s="112">
        <f t="shared" si="80"/>
        <v>67.798397929647464</v>
      </c>
      <c r="BC39" s="112">
        <f t="shared" si="80"/>
        <v>89.177047552061566</v>
      </c>
      <c r="BD39" s="112">
        <f t="shared" si="80"/>
        <v>109.49576974824291</v>
      </c>
      <c r="BE39" s="99">
        <f>BE52+BE38</f>
        <v>319.63692666589901</v>
      </c>
      <c r="BF39" s="99">
        <f t="shared" ref="BF39:BJ39" si="81">BF52+BF38</f>
        <v>485.52971221325765</v>
      </c>
      <c r="BG39" s="99">
        <f t="shared" si="81"/>
        <v>617.55100019353381</v>
      </c>
      <c r="BH39" s="99">
        <f t="shared" si="81"/>
        <v>756.95123382906718</v>
      </c>
      <c r="BI39" s="99">
        <f t="shared" si="81"/>
        <v>890.42057541827262</v>
      </c>
      <c r="BJ39" s="99">
        <f t="shared" si="81"/>
        <v>1017.8594635228274</v>
      </c>
      <c r="BK39" s="45"/>
      <c r="BN39" s="45"/>
      <c r="BO39" s="45"/>
      <c r="BP39" s="45"/>
      <c r="BQ39" s="45"/>
      <c r="BR39" s="46"/>
    </row>
    <row r="40" spans="2:70" s="51" customFormat="1">
      <c r="B40" s="45"/>
      <c r="C40" s="56"/>
      <c r="D40" s="56"/>
      <c r="E40" s="56"/>
      <c r="F40" s="56"/>
      <c r="G40" s="99"/>
      <c r="H40" s="56"/>
      <c r="I40" s="56"/>
      <c r="J40" s="56"/>
      <c r="K40" s="56"/>
      <c r="L40" s="99"/>
      <c r="M40" s="56"/>
      <c r="N40" s="56"/>
      <c r="O40" s="56"/>
      <c r="P40" s="56"/>
      <c r="Q40" s="99"/>
      <c r="R40" s="56"/>
      <c r="S40" s="189"/>
      <c r="T40" s="189"/>
      <c r="U40" s="189"/>
      <c r="V40" s="99"/>
      <c r="W40" s="173"/>
      <c r="X40" s="189"/>
      <c r="Y40" s="189"/>
      <c r="Z40" s="189"/>
      <c r="AA40" s="99"/>
      <c r="AB40" s="189"/>
      <c r="AC40" s="189"/>
      <c r="AD40" s="189"/>
      <c r="AE40" s="203"/>
      <c r="AF40" s="99"/>
      <c r="AG40" s="56"/>
      <c r="AH40" s="56"/>
      <c r="AI40" s="56"/>
      <c r="AJ40" s="56"/>
      <c r="AK40" s="99"/>
      <c r="AL40" s="56"/>
      <c r="AM40" s="56"/>
      <c r="AN40" s="56"/>
      <c r="AO40" s="56"/>
      <c r="AP40" s="99"/>
      <c r="AQ40" s="56"/>
      <c r="AR40" s="56"/>
      <c r="AS40" s="56"/>
      <c r="AT40" s="56"/>
      <c r="AU40" s="99"/>
      <c r="AV40" s="56"/>
      <c r="AW40" s="56"/>
      <c r="AX40" s="56"/>
      <c r="AY40" s="56"/>
      <c r="AZ40" s="99"/>
      <c r="BA40" s="56"/>
      <c r="BB40" s="56"/>
      <c r="BC40" s="56"/>
      <c r="BD40" s="56"/>
      <c r="BE40" s="99"/>
      <c r="BF40" s="99"/>
      <c r="BG40" s="99"/>
      <c r="BH40" s="99"/>
      <c r="BI40" s="99"/>
      <c r="BJ40" s="99"/>
      <c r="BK40" s="45"/>
      <c r="BL40" s="45"/>
      <c r="BM40" s="45"/>
      <c r="BN40" s="45"/>
      <c r="BO40" s="45"/>
      <c r="BP40" s="45"/>
      <c r="BQ40" s="45"/>
      <c r="BR40" s="46"/>
    </row>
    <row r="41" spans="2:70">
      <c r="B41" s="45" t="s">
        <v>191</v>
      </c>
      <c r="C41" s="98">
        <v>1.2</v>
      </c>
      <c r="D41" s="98">
        <v>1.2</v>
      </c>
      <c r="E41" s="98">
        <v>1.2</v>
      </c>
      <c r="F41" s="98">
        <v>0.9</v>
      </c>
      <c r="G41" s="99">
        <f>+SUM(C41:F41)</f>
        <v>4.5</v>
      </c>
      <c r="H41" s="98">
        <v>1.3</v>
      </c>
      <c r="I41" s="98">
        <v>1.3</v>
      </c>
      <c r="J41" s="98">
        <v>1.5</v>
      </c>
      <c r="K41" s="98">
        <v>1.6</v>
      </c>
      <c r="L41" s="99">
        <f>+SUM(H41:K41)</f>
        <v>5.6999999999999993</v>
      </c>
      <c r="M41" s="98">
        <v>1.897</v>
      </c>
      <c r="N41" s="98">
        <v>2.1960000000000002</v>
      </c>
      <c r="O41" s="98">
        <v>2.2130000000000001</v>
      </c>
      <c r="P41" s="98">
        <v>2.4180000000000001</v>
      </c>
      <c r="Q41" s="99">
        <f>+SUM(M41:P41)</f>
        <v>8.7240000000000002</v>
      </c>
      <c r="R41" s="98">
        <v>2.6579999999999999</v>
      </c>
      <c r="S41" s="98">
        <v>2.927</v>
      </c>
      <c r="T41" s="98">
        <v>3.194</v>
      </c>
      <c r="U41" s="98">
        <v>3.347</v>
      </c>
      <c r="V41" s="99">
        <f>+SUM(R41:U41)</f>
        <v>12.125999999999999</v>
      </c>
      <c r="W41" s="98">
        <v>3.5720000000000001</v>
      </c>
      <c r="X41" s="98">
        <v>3.5369999999999999</v>
      </c>
      <c r="Y41" s="98">
        <v>3.7120000000000002</v>
      </c>
      <c r="Z41" s="98">
        <v>3.7890000000000001</v>
      </c>
      <c r="AA41" s="99">
        <f>+SUM(W41:Z41)</f>
        <v>14.61</v>
      </c>
      <c r="AB41" s="98">
        <v>3.4319999999999999</v>
      </c>
      <c r="AC41" s="98">
        <v>3.3780000000000001</v>
      </c>
      <c r="AD41" s="98">
        <f>3.595</f>
        <v>3.5950000000000002</v>
      </c>
      <c r="AE41" s="98">
        <v>3.524</v>
      </c>
      <c r="AF41" s="99">
        <f>+SUM(AB41:AE41)</f>
        <v>13.929000000000002</v>
      </c>
      <c r="AG41" s="98">
        <v>3.5350000000000001</v>
      </c>
      <c r="AH41" s="98">
        <v>4.0220000000000002</v>
      </c>
      <c r="AI41" s="98">
        <v>3.8450000000000002</v>
      </c>
      <c r="AJ41" s="98">
        <v>5.2089999999999996</v>
      </c>
      <c r="AK41" s="99">
        <f>+SUM(AG41:AJ41)</f>
        <v>16.611000000000001</v>
      </c>
      <c r="AL41" s="98">
        <v>4.9219999999999997</v>
      </c>
      <c r="AM41" s="98">
        <f>AL41</f>
        <v>4.9219999999999997</v>
      </c>
      <c r="AN41" s="98">
        <f>AM41</f>
        <v>4.9219999999999997</v>
      </c>
      <c r="AO41" s="98">
        <f>18-SUM(AL41:AN41)</f>
        <v>3.2340000000000018</v>
      </c>
      <c r="AP41" s="99">
        <f>+SUM(AL41:AO41)</f>
        <v>18</v>
      </c>
      <c r="AQ41" s="98">
        <v>6.4420000000000002</v>
      </c>
      <c r="AR41" s="98">
        <v>4.5</v>
      </c>
      <c r="AS41" s="98">
        <v>4.5</v>
      </c>
      <c r="AT41" s="98">
        <v>6.2779999999999996</v>
      </c>
      <c r="AU41" s="99">
        <f>+SUM(AQ41:AT41)</f>
        <v>21.72</v>
      </c>
      <c r="AV41" s="98">
        <v>6.1370000000000005</v>
      </c>
      <c r="AW41" s="98">
        <v>6.0990000000000002</v>
      </c>
      <c r="AX41" s="98">
        <v>6.1899999999999977</v>
      </c>
      <c r="AY41" s="98">
        <v>6.0650000000000004</v>
      </c>
      <c r="AZ41" s="99">
        <f>+SUM(AV41:AY41)</f>
        <v>24.491</v>
      </c>
      <c r="BA41" s="98">
        <f>AY41</f>
        <v>6.0650000000000004</v>
      </c>
      <c r="BB41" s="98">
        <f t="shared" ref="BB41:BD41" si="82">BA41</f>
        <v>6.0650000000000004</v>
      </c>
      <c r="BC41" s="98">
        <f t="shared" si="82"/>
        <v>6.0650000000000004</v>
      </c>
      <c r="BD41" s="98">
        <f t="shared" si="82"/>
        <v>6.0650000000000004</v>
      </c>
      <c r="BE41" s="99">
        <f>+SUM(BA41:BD41)</f>
        <v>24.26</v>
      </c>
      <c r="BF41" s="186">
        <f t="shared" ref="BF41:BJ41" si="83">+BE41</f>
        <v>24.26</v>
      </c>
      <c r="BG41" s="186">
        <f t="shared" si="83"/>
        <v>24.26</v>
      </c>
      <c r="BH41" s="186">
        <f t="shared" si="83"/>
        <v>24.26</v>
      </c>
      <c r="BI41" s="186">
        <f t="shared" si="83"/>
        <v>24.26</v>
      </c>
      <c r="BJ41" s="186">
        <f t="shared" si="83"/>
        <v>24.26</v>
      </c>
      <c r="BL41" s="179"/>
    </row>
    <row r="42" spans="2:70">
      <c r="B42" s="45" t="s">
        <v>79</v>
      </c>
      <c r="C42" s="181">
        <f>2.664-C32-C41</f>
        <v>13.719000000000003</v>
      </c>
      <c r="D42" s="181">
        <f>10.682-D32-D41</f>
        <v>12.461999999999998</v>
      </c>
      <c r="E42" s="181">
        <f>11.365-E32-E41</f>
        <v>11.329000000000002</v>
      </c>
      <c r="F42" s="181">
        <f>17.877-F32-F41</f>
        <v>13.096999999999989</v>
      </c>
      <c r="G42" s="185">
        <f>+SUM(C42:F42)</f>
        <v>50.606999999999992</v>
      </c>
      <c r="H42" s="181">
        <f>15-H32-H41</f>
        <v>21.237999999999996</v>
      </c>
      <c r="I42" s="181">
        <f>17.3-I32-I41</f>
        <v>12.491000000000014</v>
      </c>
      <c r="J42" s="181">
        <f>12.9-J32-J41</f>
        <v>7.9810000000000034</v>
      </c>
      <c r="K42" s="181">
        <f>23.9-K32-K41</f>
        <v>12.601000000000001</v>
      </c>
      <c r="L42" s="185">
        <f>+SUM(H42:K42)</f>
        <v>54.311000000000014</v>
      </c>
      <c r="M42" s="183">
        <f>+M5</f>
        <v>21.879999999999995</v>
      </c>
      <c r="N42" s="183">
        <f>+N5</f>
        <v>13.763000000000005</v>
      </c>
      <c r="O42" s="183">
        <f>+O5</f>
        <v>7.1769999999999641</v>
      </c>
      <c r="P42" s="183">
        <f>+P5</f>
        <v>11.86099999999999</v>
      </c>
      <c r="Q42" s="185">
        <f>+SUM(M42:P42)</f>
        <v>54.680999999999955</v>
      </c>
      <c r="R42" s="183">
        <f>+R5</f>
        <v>26.088999999999999</v>
      </c>
      <c r="S42" s="183">
        <f>+S5</f>
        <v>14.143999999999977</v>
      </c>
      <c r="T42" s="183">
        <f>+T5</f>
        <v>9.0690000000000168</v>
      </c>
      <c r="U42" s="183">
        <f>+U5</f>
        <v>22.094999999999999</v>
      </c>
      <c r="V42" s="185">
        <f>+SUM(R42:U42)</f>
        <v>71.396999999999991</v>
      </c>
      <c r="W42" s="183">
        <f>+W5</f>
        <v>32.871000000000009</v>
      </c>
      <c r="X42" s="183">
        <f>+X5</f>
        <v>29.791999999999973</v>
      </c>
      <c r="Y42" s="183">
        <f>+Y5</f>
        <v>26.760999999999967</v>
      </c>
      <c r="Z42" s="183">
        <f>+Z5</f>
        <v>23.84699999999998</v>
      </c>
      <c r="AA42" s="185">
        <f>+SUM(W42:Z42)</f>
        <v>113.27099999999993</v>
      </c>
      <c r="AB42" s="183">
        <f>+AB5</f>
        <v>46.997000000000014</v>
      </c>
      <c r="AC42" s="183">
        <f>+AC5</f>
        <v>26.454999999999984</v>
      </c>
      <c r="AD42" s="183">
        <f>+AD5</f>
        <v>52.5</v>
      </c>
      <c r="AE42" s="183">
        <f>+AE5</f>
        <v>23.214000000000055</v>
      </c>
      <c r="AF42" s="185">
        <f>+SUM(AB42:AE42)</f>
        <v>149.16600000000005</v>
      </c>
      <c r="AG42" s="183">
        <f>+AG5</f>
        <v>51.65100000000001</v>
      </c>
      <c r="AH42" s="183">
        <f>+AH5</f>
        <v>9.3699999999999477</v>
      </c>
      <c r="AI42" s="183">
        <f>+AI5</f>
        <v>6.6590000000000487</v>
      </c>
      <c r="AJ42" s="183">
        <f>+AJ5</f>
        <v>16.773000000000025</v>
      </c>
      <c r="AK42" s="185">
        <f>+SUM(AG42:AJ42)</f>
        <v>84.453000000000031</v>
      </c>
      <c r="AL42" s="183">
        <f>+AL5</f>
        <v>40.828999999999951</v>
      </c>
      <c r="AM42" s="183">
        <f>+AM5</f>
        <v>8.5190000000000055</v>
      </c>
      <c r="AN42" s="183">
        <f>+AN5</f>
        <v>-4.7460000000000377</v>
      </c>
      <c r="AO42" s="183">
        <f>+AO5</f>
        <v>-8.7670000000000528</v>
      </c>
      <c r="AP42" s="185">
        <f>+SUM(AL42:AO42)</f>
        <v>35.834999999999866</v>
      </c>
      <c r="AQ42" s="183">
        <f>+AQ5</f>
        <v>37.504999999999995</v>
      </c>
      <c r="AR42" s="183">
        <f>+AR5</f>
        <v>22.65300000000002</v>
      </c>
      <c r="AS42" s="183">
        <f>+AS5</f>
        <v>7.8129999999999882</v>
      </c>
      <c r="AT42" s="183">
        <f>+AT5</f>
        <v>4.1449999999999818</v>
      </c>
      <c r="AU42" s="185">
        <f>+SUM(AQ42:AT42)</f>
        <v>72.115999999999985</v>
      </c>
      <c r="AV42" s="183">
        <f>+AV5</f>
        <v>37.254000000000019</v>
      </c>
      <c r="AW42" s="183">
        <f>+AW5</f>
        <v>19.993999999999971</v>
      </c>
      <c r="AX42" s="183">
        <f>+AX5</f>
        <v>9.3490000000000464</v>
      </c>
      <c r="AY42" s="183">
        <f>+AY5</f>
        <v>4.8279999999999745</v>
      </c>
      <c r="AZ42" s="185">
        <f>+SUM(AV42:AY42)</f>
        <v>71.425000000000011</v>
      </c>
      <c r="BA42" s="183">
        <f>+BA5</f>
        <v>34.972300000000018</v>
      </c>
      <c r="BB42" s="183">
        <f>+BB5</f>
        <v>21.356499999999983</v>
      </c>
      <c r="BC42" s="183">
        <f>+BC5</f>
        <v>11.19360000000006</v>
      </c>
      <c r="BD42" s="183">
        <f>+BD5</f>
        <v>0</v>
      </c>
      <c r="BE42" s="185">
        <f>+SUM(BA42:BD42)</f>
        <v>67.522400000000061</v>
      </c>
      <c r="BF42" s="185">
        <f t="shared" ref="BF42:BJ42" si="84">+BF5</f>
        <v>70.89852000000019</v>
      </c>
      <c r="BG42" s="185">
        <f t="shared" si="84"/>
        <v>74.443446000000222</v>
      </c>
      <c r="BH42" s="185">
        <f t="shared" si="84"/>
        <v>78.165618300000006</v>
      </c>
      <c r="BI42" s="185">
        <f t="shared" si="84"/>
        <v>82.073899214999983</v>
      </c>
      <c r="BJ42" s="185">
        <f t="shared" si="84"/>
        <v>86.177594175749618</v>
      </c>
      <c r="BK42" s="61"/>
      <c r="BL42" s="179"/>
    </row>
    <row r="43" spans="2:70">
      <c r="B43" s="45" t="s">
        <v>25</v>
      </c>
      <c r="C43" s="56">
        <f t="shared" ref="C43:BJ43" si="85">C32+SUM(C41:C42)</f>
        <v>2.6639999999999997</v>
      </c>
      <c r="D43" s="56">
        <f t="shared" si="85"/>
        <v>10.682</v>
      </c>
      <c r="E43" s="56">
        <f t="shared" si="85"/>
        <v>11.365</v>
      </c>
      <c r="F43" s="56">
        <f t="shared" si="85"/>
        <v>17.876999999999999</v>
      </c>
      <c r="G43" s="99">
        <f t="shared" si="85"/>
        <v>42.588000000000015</v>
      </c>
      <c r="H43" s="56">
        <f t="shared" si="85"/>
        <v>15</v>
      </c>
      <c r="I43" s="56">
        <f t="shared" si="85"/>
        <v>17.3</v>
      </c>
      <c r="J43" s="56">
        <f t="shared" si="85"/>
        <v>12.9</v>
      </c>
      <c r="K43" s="56">
        <f t="shared" si="85"/>
        <v>23.9</v>
      </c>
      <c r="L43" s="99">
        <f t="shared" si="85"/>
        <v>69.100000000000065</v>
      </c>
      <c r="M43" s="56">
        <f t="shared" si="85"/>
        <v>23.015000000000008</v>
      </c>
      <c r="N43" s="56">
        <f t="shared" si="85"/>
        <v>28.89800000000001</v>
      </c>
      <c r="O43" s="56">
        <f t="shared" si="85"/>
        <v>25.645999999999979</v>
      </c>
      <c r="P43" s="56">
        <f t="shared" si="85"/>
        <v>33.089999999999996</v>
      </c>
      <c r="Q43" s="99">
        <f t="shared" si="85"/>
        <v>105.105</v>
      </c>
      <c r="R43" s="56">
        <f t="shared" si="85"/>
        <v>26.594000000000008</v>
      </c>
      <c r="S43" s="56">
        <f t="shared" si="85"/>
        <v>31.265999999999984</v>
      </c>
      <c r="T43" s="56">
        <f t="shared" si="85"/>
        <v>24.521000000000026</v>
      </c>
      <c r="U43" s="56">
        <f t="shared" si="85"/>
        <v>42.611000000000011</v>
      </c>
      <c r="V43" s="99">
        <f t="shared" si="85"/>
        <v>124.99199999999993</v>
      </c>
      <c r="W43" s="56">
        <f t="shared" si="85"/>
        <v>32.249000000000024</v>
      </c>
      <c r="X43" s="56">
        <f t="shared" si="85"/>
        <v>16.322999999999972</v>
      </c>
      <c r="Y43" s="56">
        <f t="shared" si="85"/>
        <v>21.97000000000001</v>
      </c>
      <c r="Z43" s="56">
        <f t="shared" si="85"/>
        <v>19.997</v>
      </c>
      <c r="AA43" s="99">
        <f t="shared" si="85"/>
        <v>90.538999999999945</v>
      </c>
      <c r="AB43" s="56">
        <f t="shared" si="85"/>
        <v>14.161000000000044</v>
      </c>
      <c r="AC43" s="56">
        <f t="shared" si="85"/>
        <v>12.361000000000004</v>
      </c>
      <c r="AD43" s="56">
        <f t="shared" si="85"/>
        <v>45.167000000000058</v>
      </c>
      <c r="AE43" s="56">
        <f>AE32+SUM(AE41:AE42)</f>
        <v>2.5870000000000459</v>
      </c>
      <c r="AF43" s="99">
        <f t="shared" si="85"/>
        <v>74.275999999999982</v>
      </c>
      <c r="AG43" s="56">
        <f>AG32+SUM(AG41:AG42)</f>
        <v>4.1980000000000075</v>
      </c>
      <c r="AH43" s="56">
        <f t="shared" si="85"/>
        <v>0.46499999999995545</v>
      </c>
      <c r="AI43" s="56">
        <f t="shared" ref="AI43" si="86">AI32+SUM(AI41:AI42)</f>
        <v>7.3380000000000525</v>
      </c>
      <c r="AJ43" s="56">
        <f t="shared" si="85"/>
        <v>52.682000000000016</v>
      </c>
      <c r="AK43" s="99">
        <f t="shared" si="85"/>
        <v>64.68299999999995</v>
      </c>
      <c r="AL43" s="56">
        <f>AL32+SUM(AL41:AL42)</f>
        <v>94.26899999999992</v>
      </c>
      <c r="AM43" s="57">
        <f>AM32+SUM(AM41:AM42)</f>
        <v>82.296999999999997</v>
      </c>
      <c r="AN43" s="56">
        <f t="shared" si="85"/>
        <v>58.133999999999958</v>
      </c>
      <c r="AO43" s="56">
        <f t="shared" si="85"/>
        <v>59.168999999999947</v>
      </c>
      <c r="AP43" s="99">
        <f t="shared" si="85"/>
        <v>293.86899999999963</v>
      </c>
      <c r="AQ43" s="56">
        <f>AQ32+SUM(AQ41:AQ42)</f>
        <v>113.36799999999999</v>
      </c>
      <c r="AR43" s="56">
        <f>AR32+SUM(AR41:AR42)</f>
        <v>117.34699999999998</v>
      </c>
      <c r="AS43" s="56">
        <f t="shared" ref="AS43:AU43" si="87">AS32+SUM(AS41:AS42)</f>
        <v>100.73700000000002</v>
      </c>
      <c r="AT43" s="56">
        <f t="shared" si="87"/>
        <v>110.95899999999997</v>
      </c>
      <c r="AU43" s="99">
        <f t="shared" si="87"/>
        <v>442.41100000000006</v>
      </c>
      <c r="AV43" s="56">
        <f t="shared" ref="AV43:AZ43" si="88">AV32+SUM(AV41:AV42)</f>
        <v>143.22800000000004</v>
      </c>
      <c r="AW43" s="56">
        <f>AW32+SUM(AW41:AW42)</f>
        <v>136.24599999999992</v>
      </c>
      <c r="AX43" s="56">
        <f t="shared" si="88"/>
        <v>105.46500000000003</v>
      </c>
      <c r="AY43" s="56">
        <f t="shared" si="88"/>
        <v>92.076999999999998</v>
      </c>
      <c r="AZ43" s="99">
        <f t="shared" si="88"/>
        <v>477.01600000000013</v>
      </c>
      <c r="BA43" s="56">
        <f t="shared" ref="BA43:BE43" si="89">BA32+SUM(BA41:BA42)</f>
        <v>81.11472182171417</v>
      </c>
      <c r="BB43" s="56">
        <f t="shared" si="89"/>
        <v>83.637486954519829</v>
      </c>
      <c r="BC43" s="56">
        <f t="shared" si="89"/>
        <v>100.14101136634156</v>
      </c>
      <c r="BD43" s="56">
        <f t="shared" si="89"/>
        <v>114.46194552052845</v>
      </c>
      <c r="BE43" s="99">
        <f t="shared" si="89"/>
        <v>379.35516566310434</v>
      </c>
      <c r="BF43" s="99">
        <f t="shared" si="85"/>
        <v>589.72393345554315</v>
      </c>
      <c r="BG43" s="99">
        <f t="shared" si="85"/>
        <v>737.8244344582356</v>
      </c>
      <c r="BH43" s="99">
        <f t="shared" si="85"/>
        <v>878.0611129785018</v>
      </c>
      <c r="BI43" s="99">
        <f t="shared" si="85"/>
        <v>1008.1134817370391</v>
      </c>
      <c r="BJ43" s="99">
        <f t="shared" si="85"/>
        <v>1127.9386496321565</v>
      </c>
      <c r="BK43" s="51"/>
      <c r="BL43" s="179"/>
      <c r="BM43" s="299"/>
    </row>
    <row r="44" spans="2:70" s="51" customFormat="1">
      <c r="B44" s="45"/>
      <c r="C44" s="56"/>
      <c r="D44" s="56"/>
      <c r="E44" s="56"/>
      <c r="F44" s="56"/>
      <c r="G44" s="99"/>
      <c r="H44" s="56"/>
      <c r="I44" s="56"/>
      <c r="J44" s="56"/>
      <c r="K44" s="56"/>
      <c r="L44" s="99"/>
      <c r="M44" s="56"/>
      <c r="N44" s="56"/>
      <c r="O44" s="56"/>
      <c r="P44" s="56"/>
      <c r="Q44" s="99"/>
      <c r="R44" s="56"/>
      <c r="S44" s="56"/>
      <c r="T44" s="56"/>
      <c r="U44" s="56"/>
      <c r="V44" s="99"/>
      <c r="W44" s="112"/>
      <c r="X44" s="56"/>
      <c r="Y44" s="56"/>
      <c r="Z44" s="56"/>
      <c r="AA44" s="99"/>
      <c r="AB44" s="56"/>
      <c r="AC44" s="56"/>
      <c r="AD44" s="56"/>
      <c r="AE44" s="98"/>
      <c r="AF44" s="99"/>
      <c r="AG44" s="56"/>
      <c r="AH44" s="56"/>
      <c r="AI44" s="56"/>
      <c r="AJ44" s="56"/>
      <c r="AK44" s="99"/>
      <c r="AL44" s="56"/>
      <c r="AM44" s="56"/>
      <c r="AN44" s="56"/>
      <c r="AO44" s="56"/>
      <c r="AP44" s="64"/>
      <c r="AQ44" s="56"/>
      <c r="AR44" s="56"/>
      <c r="AS44" s="56"/>
      <c r="AT44" s="56"/>
      <c r="AU44" s="64"/>
      <c r="AV44" s="56"/>
      <c r="AW44" s="56"/>
      <c r="AX44" s="56"/>
      <c r="AY44" s="56"/>
      <c r="AZ44" s="64"/>
      <c r="BA44" s="56"/>
      <c r="BB44" s="56"/>
      <c r="BC44" s="56"/>
      <c r="BD44" s="56"/>
      <c r="BE44" s="64"/>
      <c r="BF44" s="64"/>
      <c r="BG44" s="64"/>
      <c r="BH44" s="64"/>
      <c r="BI44" s="64"/>
      <c r="BJ44" s="64"/>
      <c r="BL44" s="295"/>
      <c r="BM44" s="299"/>
      <c r="BN44" s="45"/>
      <c r="BO44" s="45"/>
      <c r="BP44" s="45"/>
      <c r="BQ44" s="45"/>
      <c r="BR44" s="46"/>
    </row>
    <row r="45" spans="2:70" s="51" customFormat="1">
      <c r="B45" s="45" t="s">
        <v>235</v>
      </c>
      <c r="C45" s="56"/>
      <c r="D45" s="56"/>
      <c r="E45" s="56"/>
      <c r="F45" s="56"/>
      <c r="G45" s="99"/>
      <c r="H45" s="56"/>
      <c r="I45" s="56"/>
      <c r="J45" s="56"/>
      <c r="K45" s="56"/>
      <c r="L45" s="99"/>
      <c r="M45" s="98">
        <v>15.673999999999999</v>
      </c>
      <c r="N45" s="98">
        <v>17.768999999999998</v>
      </c>
      <c r="O45" s="98">
        <v>18.760000000000002</v>
      </c>
      <c r="P45" s="98">
        <v>20.126999999999999</v>
      </c>
      <c r="Q45" s="178">
        <f>SUM(M45:P45)</f>
        <v>72.33</v>
      </c>
      <c r="R45" s="98">
        <v>24.907</v>
      </c>
      <c r="S45" s="98">
        <v>27.565000000000001</v>
      </c>
      <c r="T45" s="98">
        <v>28.391999999999999</v>
      </c>
      <c r="U45" s="98">
        <v>28.472999999999999</v>
      </c>
      <c r="V45" s="178">
        <f>SUM(R45:U45)</f>
        <v>109.337</v>
      </c>
      <c r="W45" s="98">
        <v>30.718</v>
      </c>
      <c r="X45" s="98">
        <v>34.966999999999999</v>
      </c>
      <c r="Y45" s="98">
        <v>38.921999999999997</v>
      </c>
      <c r="Z45" s="98">
        <v>42.706000000000003</v>
      </c>
      <c r="AA45" s="178">
        <f>SUM(W45:Z45)</f>
        <v>147.31299999999999</v>
      </c>
      <c r="AB45" s="98">
        <v>46.631</v>
      </c>
      <c r="AC45" s="98">
        <v>50.396000000000001</v>
      </c>
      <c r="AD45" s="98">
        <f>53.07</f>
        <v>53.07</v>
      </c>
      <c r="AE45" s="98">
        <v>71.293999999999997</v>
      </c>
      <c r="AF45" s="178">
        <f>SUM(AB45:AE45)</f>
        <v>221.39100000000002</v>
      </c>
      <c r="AG45" s="98">
        <v>60.984000000000002</v>
      </c>
      <c r="AH45" s="98">
        <v>59.139000000000003</v>
      </c>
      <c r="AI45" s="98">
        <v>56.795999999999999</v>
      </c>
      <c r="AJ45" s="98">
        <v>59.917000000000002</v>
      </c>
      <c r="AK45" s="178">
        <f>SUM(AG45:AJ45)</f>
        <v>236.83600000000001</v>
      </c>
      <c r="AL45" s="98">
        <v>54.521000000000001</v>
      </c>
      <c r="AM45" s="98">
        <v>53.66</v>
      </c>
      <c r="AN45" s="98">
        <v>58.249000000000002</v>
      </c>
      <c r="AO45" s="98">
        <v>58.195</v>
      </c>
      <c r="AP45" s="178">
        <f>SUM(AL45:AO45)</f>
        <v>224.625</v>
      </c>
      <c r="AQ45" s="98">
        <v>58.142000000000003</v>
      </c>
      <c r="AR45" s="98">
        <v>59.886000000000003</v>
      </c>
      <c r="AS45" s="98">
        <v>60.892000000000003</v>
      </c>
      <c r="AT45" s="98">
        <v>61.801000000000002</v>
      </c>
      <c r="AU45" s="178">
        <f>SUM(AQ45:AT45)</f>
        <v>240.721</v>
      </c>
      <c r="AV45" s="98">
        <v>60.261000000000003</v>
      </c>
      <c r="AW45" s="98">
        <v>59.439</v>
      </c>
      <c r="AX45" s="98">
        <v>59.564999999999998</v>
      </c>
      <c r="AY45" s="98">
        <v>58.110999999999997</v>
      </c>
      <c r="AZ45" s="178">
        <f>SUM(AV45:AY45)</f>
        <v>237.37599999999998</v>
      </c>
      <c r="BA45" s="272">
        <f>'Cash Flow'!BA8</f>
        <v>60.863610000000001</v>
      </c>
      <c r="BB45" s="272">
        <f>'Cash Flow'!BB8</f>
        <v>60.033389999999997</v>
      </c>
      <c r="BC45" s="272">
        <f>'Cash Flow'!BC8</f>
        <v>60.160649999999997</v>
      </c>
      <c r="BD45" s="272">
        <f>'Cash Flow'!BD8</f>
        <v>58.69211</v>
      </c>
      <c r="BE45" s="178">
        <f>SUM(BA45:BD45)</f>
        <v>239.74975999999998</v>
      </c>
      <c r="BF45" s="273">
        <f>'Cash Flow'!BF8</f>
        <v>242.14725759999999</v>
      </c>
      <c r="BG45" s="273">
        <f>'Cash Flow'!BG8</f>
        <v>244.568730176</v>
      </c>
      <c r="BH45" s="273">
        <f>'Cash Flow'!BH8</f>
        <v>247.01441747775999</v>
      </c>
      <c r="BI45" s="273">
        <f>'Cash Flow'!BI8</f>
        <v>249.48456165253759</v>
      </c>
      <c r="BJ45" s="273">
        <f>'Cash Flow'!BJ8</f>
        <v>251.97940726906296</v>
      </c>
      <c r="BK45" s="45"/>
      <c r="BL45" s="45"/>
      <c r="BM45" s="45"/>
      <c r="BN45" s="45"/>
      <c r="BO45" s="45"/>
      <c r="BP45" s="45"/>
      <c r="BQ45" s="45"/>
      <c r="BR45" s="46"/>
    </row>
    <row r="46" spans="2:70">
      <c r="B46" s="45" t="s">
        <v>236</v>
      </c>
      <c r="C46" s="98">
        <v>0.51</v>
      </c>
      <c r="D46" s="98">
        <v>-0.11</v>
      </c>
      <c r="E46" s="98">
        <v>0.3</v>
      </c>
      <c r="F46" s="98">
        <v>-0.45</v>
      </c>
      <c r="G46" s="178">
        <f>SUM(C46:F46)</f>
        <v>0.24999999999999994</v>
      </c>
      <c r="H46" s="98">
        <v>0.15</v>
      </c>
      <c r="I46" s="98">
        <v>-2.04</v>
      </c>
      <c r="J46" s="98">
        <v>-1.98</v>
      </c>
      <c r="K46" s="98">
        <v>-1.1399999999999999</v>
      </c>
      <c r="L46" s="178">
        <f>SUM(H46:K46)</f>
        <v>-5.01</v>
      </c>
      <c r="M46" s="98">
        <v>-0.13</v>
      </c>
      <c r="N46" s="98">
        <v>1.532</v>
      </c>
      <c r="O46" s="98">
        <v>-2.5089999999999999</v>
      </c>
      <c r="P46" s="98">
        <v>-1.6879999999999999</v>
      </c>
      <c r="Q46" s="178">
        <f>SUM(M46:P46)</f>
        <v>-2.7949999999999999</v>
      </c>
      <c r="R46" s="98">
        <v>-1.73</v>
      </c>
      <c r="S46" s="98">
        <v>-0.57999999999999996</v>
      </c>
      <c r="T46" s="98">
        <f>1.242</f>
        <v>1.242</v>
      </c>
      <c r="U46" s="98">
        <v>-2.5529999999999999</v>
      </c>
      <c r="V46" s="178">
        <f>SUM(R46:U46)</f>
        <v>-3.621</v>
      </c>
      <c r="W46" s="98">
        <v>1.145</v>
      </c>
      <c r="X46" s="98">
        <v>-3.339</v>
      </c>
      <c r="Y46" s="98">
        <f>-7.298</f>
        <v>-7.298</v>
      </c>
      <c r="Z46" s="98">
        <v>56.551000000000002</v>
      </c>
      <c r="AA46" s="178">
        <f>SUM(W46:Z46)</f>
        <v>47.058999999999997</v>
      </c>
      <c r="AB46" s="98">
        <f>-28.013</f>
        <v>-28.013000000000002</v>
      </c>
      <c r="AC46" s="98">
        <v>143.96899999999999</v>
      </c>
      <c r="AD46" s="98">
        <f>111.917</f>
        <v>111.917</v>
      </c>
      <c r="AE46" s="98">
        <f>-16.868</f>
        <v>-16.867999999999999</v>
      </c>
      <c r="AF46" s="178">
        <f>SUM(AB46:AE46)</f>
        <v>211.005</v>
      </c>
      <c r="AG46" s="98">
        <v>-144.47300000000001</v>
      </c>
      <c r="AH46" s="98">
        <v>-54.92</v>
      </c>
      <c r="AI46" s="98">
        <v>21.141999999999999</v>
      </c>
      <c r="AJ46" s="98">
        <v>-13.256</v>
      </c>
      <c r="AK46" s="178">
        <f>SUM(AG46:AJ46)</f>
        <v>-191.50700000000003</v>
      </c>
      <c r="AL46" s="98">
        <v>21.376999999999999</v>
      </c>
      <c r="AM46" s="98">
        <v>20.053000000000001</v>
      </c>
      <c r="AN46" s="98">
        <v>14.583</v>
      </c>
      <c r="AO46" s="98">
        <v>6.4610000000000003</v>
      </c>
      <c r="AP46" s="178">
        <f>SUM(AL46:AO46)</f>
        <v>62.473999999999997</v>
      </c>
      <c r="AQ46" s="98">
        <v>18.884</v>
      </c>
      <c r="AR46" s="98">
        <v>12.382999999999999</v>
      </c>
      <c r="AS46" s="98">
        <v>4.1980000000000004</v>
      </c>
      <c r="AT46" s="98">
        <v>16.355</v>
      </c>
      <c r="AU46" s="178">
        <f>SUM(AQ46:AT46)</f>
        <v>51.820000000000007</v>
      </c>
      <c r="AV46" s="98">
        <v>5.8319999999999999</v>
      </c>
      <c r="AW46" s="98">
        <v>-38.377000000000002</v>
      </c>
      <c r="AX46" s="98">
        <v>14.926</v>
      </c>
      <c r="AY46" s="98">
        <v>12.603999999999999</v>
      </c>
      <c r="AZ46" s="178">
        <f>SUM(AV46:AY46)</f>
        <v>-5.0150000000000006</v>
      </c>
      <c r="BA46" s="272">
        <f>+'Balance Sheet'!BA55</f>
        <v>13.088289614232931</v>
      </c>
      <c r="BB46" s="272">
        <f>+'Balance Sheet'!BB55</f>
        <v>12.691697822220116</v>
      </c>
      <c r="BC46" s="272">
        <f>+'Balance Sheet'!BC55</f>
        <v>10.43983583601457</v>
      </c>
      <c r="BD46" s="272">
        <f>+'Balance Sheet'!BD55</f>
        <v>8.3564899060348701</v>
      </c>
      <c r="BE46" s="178">
        <f>SUM(BA46:BD46)</f>
        <v>44.576313178502488</v>
      </c>
      <c r="BF46" s="273">
        <f>+'Balance Sheet'!BE55</f>
        <v>25.733220845322908</v>
      </c>
      <c r="BG46" s="273">
        <f>+'Balance Sheet'!BF55</f>
        <v>31.713193166374694</v>
      </c>
      <c r="BH46" s="273">
        <f>+'Balance Sheet'!BG55</f>
        <v>54.163855772180696</v>
      </c>
      <c r="BI46" s="273">
        <f>+'Balance Sheet'!BH55</f>
        <v>80.203280577052709</v>
      </c>
      <c r="BJ46" s="273">
        <f>+'Balance Sheet'!BI55</f>
        <v>109.76984467410088</v>
      </c>
      <c r="BL46" s="51"/>
      <c r="BM46" s="62"/>
      <c r="BN46" s="61"/>
    </row>
    <row r="47" spans="2:70">
      <c r="B47" s="45" t="s">
        <v>237</v>
      </c>
      <c r="C47" s="98">
        <v>0</v>
      </c>
      <c r="D47" s="98">
        <v>0</v>
      </c>
      <c r="E47" s="98">
        <v>0</v>
      </c>
      <c r="F47" s="98">
        <v>-0.01</v>
      </c>
      <c r="G47" s="178">
        <f>SUM(C47:F47)</f>
        <v>-0.01</v>
      </c>
      <c r="H47" s="98">
        <v>0</v>
      </c>
      <c r="I47" s="98">
        <v>0</v>
      </c>
      <c r="J47" s="98">
        <v>0</v>
      </c>
      <c r="K47" s="98">
        <v>0.08</v>
      </c>
      <c r="L47" s="178">
        <f>SUM(H47:K47)</f>
        <v>0.08</v>
      </c>
      <c r="M47" s="98">
        <v>0.02</v>
      </c>
      <c r="N47" s="98">
        <v>6.3E-2</v>
      </c>
      <c r="O47" s="98">
        <v>1.7000000000000001E-2</v>
      </c>
      <c r="P47" s="98">
        <v>-0.59</v>
      </c>
      <c r="Q47" s="178">
        <f>SUM(M47:P47)</f>
        <v>-0.49</v>
      </c>
      <c r="R47" s="98">
        <v>2.4E-2</v>
      </c>
      <c r="S47" s="98">
        <v>0.01</v>
      </c>
      <c r="T47" s="98">
        <v>0.11700000000000001</v>
      </c>
      <c r="U47" s="98">
        <v>-9.4E-2</v>
      </c>
      <c r="V47" s="178">
        <f>SUM(R47:U47)</f>
        <v>5.7000000000000023E-2</v>
      </c>
      <c r="W47" s="98">
        <v>3.1E-2</v>
      </c>
      <c r="X47" s="98">
        <v>2.8000000000000001E-2</v>
      </c>
      <c r="Y47" s="98">
        <v>2.5000000000000001E-2</v>
      </c>
      <c r="Z47" s="98">
        <v>3.4000000000000002E-2</v>
      </c>
      <c r="AA47" s="178">
        <f>SUM(W47:Z47)</f>
        <v>0.11799999999999999</v>
      </c>
      <c r="AB47" s="98">
        <v>6.5000000000000002E-2</v>
      </c>
      <c r="AC47" s="98">
        <v>4.1000000000000002E-2</v>
      </c>
      <c r="AD47" s="98">
        <v>8.6999999999999994E-2</v>
      </c>
      <c r="AE47" s="98">
        <v>0.39100000000000001</v>
      </c>
      <c r="AF47" s="178">
        <f>SUM(AB47:AE47)</f>
        <v>0.58400000000000007</v>
      </c>
      <c r="AG47" s="98">
        <v>4.5999999999999999E-2</v>
      </c>
      <c r="AH47" s="98">
        <v>0</v>
      </c>
      <c r="AI47" s="98">
        <v>0</v>
      </c>
      <c r="AJ47" s="98">
        <v>0.78800000000000003</v>
      </c>
      <c r="AK47" s="178">
        <f>SUM(AG47:AJ47)</f>
        <v>0.83400000000000007</v>
      </c>
      <c r="AL47" s="98">
        <v>5.7000000000000002E-2</v>
      </c>
      <c r="AM47" s="98">
        <v>0.11799999999999999</v>
      </c>
      <c r="AN47" s="98">
        <v>-0.47399999999999998</v>
      </c>
      <c r="AO47" s="98">
        <v>4.3999999999999997E-2</v>
      </c>
      <c r="AP47" s="178">
        <f>SUM(AL47:AO47)</f>
        <v>-0.255</v>
      </c>
      <c r="AQ47" s="98">
        <v>0.21099999999999999</v>
      </c>
      <c r="AR47" s="98">
        <v>3.7999999999999999E-2</v>
      </c>
      <c r="AS47" s="98">
        <v>-0.191</v>
      </c>
      <c r="AT47" s="98">
        <v>-9.4E-2</v>
      </c>
      <c r="AU47" s="178">
        <f>SUM(AQ47:AT47)</f>
        <v>-3.6000000000000004E-2</v>
      </c>
      <c r="AV47" s="98">
        <v>6.4000000000000001E-2</v>
      </c>
      <c r="AW47" s="98">
        <v>0.123</v>
      </c>
      <c r="AX47" s="98">
        <v>4.1360000000000001</v>
      </c>
      <c r="AY47" s="98">
        <v>2.9000000000000001E-2</v>
      </c>
      <c r="AZ47" s="178">
        <f>SUM(AV47:AY47)</f>
        <v>4.3520000000000003</v>
      </c>
      <c r="BA47" s="98">
        <v>0</v>
      </c>
      <c r="BB47" s="98">
        <v>0</v>
      </c>
      <c r="BC47" s="98">
        <v>0</v>
      </c>
      <c r="BD47" s="98">
        <v>0</v>
      </c>
      <c r="BE47" s="178">
        <f>SUM(BA47:BD47)</f>
        <v>0</v>
      </c>
      <c r="BF47" s="186">
        <v>0</v>
      </c>
      <c r="BG47" s="186">
        <v>0</v>
      </c>
      <c r="BH47" s="186">
        <v>0</v>
      </c>
      <c r="BI47" s="186">
        <v>0</v>
      </c>
      <c r="BJ47" s="186">
        <v>0</v>
      </c>
      <c r="BL47" s="51"/>
      <c r="BM47" s="62"/>
      <c r="BN47" s="61"/>
    </row>
    <row r="48" spans="2:70">
      <c r="B48" s="45" t="str">
        <f>B29</f>
        <v>Operating Non GAAP adjustments</v>
      </c>
      <c r="C48" s="181">
        <f>-12.23-C66-C32-SUM(C46:C47)</f>
        <v>0.16500000000000248</v>
      </c>
      <c r="D48" s="181">
        <f>-3.713-D66-D32-SUM(D46:D47)</f>
        <v>0.20699999999999685</v>
      </c>
      <c r="E48" s="181">
        <f>-1.569-E66-E32-SUM(E46:E47)</f>
        <v>0.20500000000000157</v>
      </c>
      <c r="F48" s="181">
        <f>2.957-F66-F32-SUM(F46:F47)</f>
        <v>0.26099999999999041</v>
      </c>
      <c r="G48" s="182">
        <f>SUM(C48:F48)</f>
        <v>0.8379999999999912</v>
      </c>
      <c r="H48" s="181">
        <f>-7.952-H66-H32-SUM(H46:H47)</f>
        <v>-4.0000000000027514E-3</v>
      </c>
      <c r="I48" s="181">
        <f>-0.185-I66-I32-SUM(I46:I47)</f>
        <v>6.00000000001355E-3</v>
      </c>
      <c r="J48" s="181">
        <f>0.353-J66-J32-SUM(J46:J47)</f>
        <v>-5.9999999999968967E-3</v>
      </c>
      <c r="K48" s="181">
        <f>7.235-K66-K32-SUM(K46:K47)</f>
        <v>-3.3839999999999977</v>
      </c>
      <c r="L48" s="182">
        <f>SUM(H48:K48)</f>
        <v>-3.3879999999999839</v>
      </c>
      <c r="M48" s="183">
        <f>M29</f>
        <v>-2.016</v>
      </c>
      <c r="N48" s="183">
        <f>N29</f>
        <v>-1.677</v>
      </c>
      <c r="O48" s="183">
        <f>O29</f>
        <v>-0.99399999999999999</v>
      </c>
      <c r="P48" s="183">
        <f>P29</f>
        <v>-0.85699999999999998</v>
      </c>
      <c r="Q48" s="182">
        <f>SUM(M48:P48)</f>
        <v>-5.5440000000000005</v>
      </c>
      <c r="R48" s="183">
        <f>R29</f>
        <v>-0.73199999999999998</v>
      </c>
      <c r="S48" s="183">
        <f t="shared" ref="S48:T48" si="90">S29</f>
        <v>-0.79100000000000004</v>
      </c>
      <c r="T48" s="183">
        <f t="shared" si="90"/>
        <v>-4.4710000000000001</v>
      </c>
      <c r="U48" s="183">
        <f>U29</f>
        <v>-6.3879999999999999</v>
      </c>
      <c r="V48" s="182">
        <f>SUM(R48:U48)</f>
        <v>-12.382</v>
      </c>
      <c r="W48" s="183">
        <f>W29</f>
        <v>-3.4790000000000001</v>
      </c>
      <c r="X48" s="183">
        <f>X29</f>
        <v>-1.778</v>
      </c>
      <c r="Y48" s="183">
        <f>Y29</f>
        <v>-2.3149999999999999</v>
      </c>
      <c r="Z48" s="183">
        <f>Z29</f>
        <v>-5.1150000000000002</v>
      </c>
      <c r="AA48" s="182">
        <f>SUM(W48:Z48)</f>
        <v>-12.686999999999999</v>
      </c>
      <c r="AB48" s="183">
        <f>AB29</f>
        <v>-2.7560000000000002</v>
      </c>
      <c r="AC48" s="183">
        <f>AC29</f>
        <v>-3.7759999999999998</v>
      </c>
      <c r="AD48" s="183">
        <f>AD29</f>
        <v>-5.9649999999999999</v>
      </c>
      <c r="AE48" s="181">
        <f>-(0.462+0.32+2.045)</f>
        <v>-2.827</v>
      </c>
      <c r="AF48" s="182">
        <f>SUM(AB48:AE48)</f>
        <v>-15.324</v>
      </c>
      <c r="AG48" s="181">
        <f>-1.574-0.172-1.699</f>
        <v>-3.4450000000000003</v>
      </c>
      <c r="AH48" s="181">
        <v>5.0960000000000001</v>
      </c>
      <c r="AI48" s="181">
        <v>-2.2200000000000002</v>
      </c>
      <c r="AJ48" s="181">
        <f>-(1.511+0.219+1.656)</f>
        <v>-3.3860000000000001</v>
      </c>
      <c r="AK48" s="182">
        <f>SUM(AG48:AJ48)</f>
        <v>-3.9550000000000005</v>
      </c>
      <c r="AL48" s="181">
        <f>-(1.488+0.196+0.308)-25.338</f>
        <v>-27.330000000000002</v>
      </c>
      <c r="AM48" s="181">
        <f>-(1.489+0.244+0.157+0.33)</f>
        <v>-2.2200000000000002</v>
      </c>
      <c r="AN48" s="181">
        <f>-1.489-0.023-0.146-3.843</f>
        <v>-5.5009999999999994</v>
      </c>
      <c r="AO48" s="181">
        <f>-3.103-1.489-0.009-0.137</f>
        <v>-4.7380000000000013</v>
      </c>
      <c r="AP48" s="182">
        <f>SUM(AL48:AO48)</f>
        <v>-39.789000000000001</v>
      </c>
      <c r="AQ48" s="181">
        <f>-1.483-0.005-0.121</f>
        <v>-1.609</v>
      </c>
      <c r="AR48" s="181">
        <f>-(1.465+0.001+0.237)</f>
        <v>-1.7029999999999998</v>
      </c>
      <c r="AS48" s="181">
        <f>-(1.461+0.225)</f>
        <v>-1.6860000000000002</v>
      </c>
      <c r="AT48" s="303">
        <f>-(AT35+AT34)</f>
        <v>-2.7149999999999999</v>
      </c>
      <c r="AU48" s="182">
        <f>SUM(AQ48:AT48)</f>
        <v>-7.7130000000000001</v>
      </c>
      <c r="AV48" s="303">
        <f>-(AV35+AV34)</f>
        <v>-2.1709999999999998</v>
      </c>
      <c r="AW48" s="303">
        <f>-(AW35+AW34)</f>
        <v>-6.4079999999999995</v>
      </c>
      <c r="AX48" s="303">
        <f>-(AX35+AX34)</f>
        <v>-37.731999999999999</v>
      </c>
      <c r="AY48" s="303">
        <f>-(AY35+AY34)</f>
        <v>-95.661000000000001</v>
      </c>
      <c r="AZ48" s="182">
        <f>SUM(AV48:AY48)</f>
        <v>-141.97200000000001</v>
      </c>
      <c r="BA48" s="181">
        <v>0</v>
      </c>
      <c r="BB48" s="181">
        <v>0</v>
      </c>
      <c r="BC48" s="181">
        <v>0</v>
      </c>
      <c r="BD48" s="181">
        <v>0</v>
      </c>
      <c r="BE48" s="182">
        <f>SUM(BA48:BD48)</f>
        <v>0</v>
      </c>
      <c r="BF48" s="188">
        <v>0</v>
      </c>
      <c r="BG48" s="188">
        <v>0</v>
      </c>
      <c r="BH48" s="188">
        <v>0</v>
      </c>
      <c r="BI48" s="188">
        <v>0</v>
      </c>
      <c r="BJ48" s="188">
        <v>0</v>
      </c>
      <c r="BK48" s="51"/>
      <c r="BL48" s="51"/>
      <c r="BM48" s="62"/>
      <c r="BN48" s="61"/>
    </row>
    <row r="49" spans="2:80" s="51" customFormat="1">
      <c r="B49" s="45" t="s">
        <v>16</v>
      </c>
      <c r="C49" s="56">
        <f t="shared" ref="C49:Q49" si="91">C32+SUM(C46:C48)</f>
        <v>-11.58</v>
      </c>
      <c r="D49" s="56">
        <f t="shared" si="91"/>
        <v>-2.883</v>
      </c>
      <c r="E49" s="56">
        <f t="shared" si="91"/>
        <v>-0.65899999999999992</v>
      </c>
      <c r="F49" s="56">
        <f t="shared" si="91"/>
        <v>3.681</v>
      </c>
      <c r="G49" s="99">
        <f t="shared" si="91"/>
        <v>-11.440999999999987</v>
      </c>
      <c r="H49" s="56">
        <f t="shared" si="91"/>
        <v>-7.3919999999999995</v>
      </c>
      <c r="I49" s="56">
        <f t="shared" si="91"/>
        <v>1.4749999999999996</v>
      </c>
      <c r="J49" s="56">
        <f t="shared" si="91"/>
        <v>1.4330000000000001</v>
      </c>
      <c r="K49" s="56">
        <f t="shared" si="91"/>
        <v>5.2550000000000008</v>
      </c>
      <c r="L49" s="99">
        <f t="shared" si="91"/>
        <v>0.77100000000007185</v>
      </c>
      <c r="M49" s="56">
        <f>M32-M45+M46+M47+M48</f>
        <v>-18.561999999999983</v>
      </c>
      <c r="N49" s="56">
        <f t="shared" ref="N49:O49" si="92">N32-N45+N46+N47+N48</f>
        <v>-4.911999999999991</v>
      </c>
      <c r="O49" s="56">
        <f t="shared" si="92"/>
        <v>-5.9899999999999869</v>
      </c>
      <c r="P49" s="56">
        <f>P32-P45+P46+P47+P48</f>
        <v>-4.4509999999999916</v>
      </c>
      <c r="Q49" s="99">
        <f t="shared" si="91"/>
        <v>32.871000000000045</v>
      </c>
      <c r="R49" s="56">
        <f t="shared" ref="R49:BJ49" si="93">R32-R45+R46+R47+R48</f>
        <v>-29.49799999999999</v>
      </c>
      <c r="S49" s="56">
        <f t="shared" si="93"/>
        <v>-14.730999999999995</v>
      </c>
      <c r="T49" s="56">
        <f t="shared" si="93"/>
        <v>-19.245999999999988</v>
      </c>
      <c r="U49" s="56">
        <f t="shared" si="93"/>
        <v>-20.338999999999988</v>
      </c>
      <c r="V49" s="99">
        <f t="shared" si="93"/>
        <v>-83.814000000000064</v>
      </c>
      <c r="W49" s="56">
        <f t="shared" si="93"/>
        <v>-37.214999999999989</v>
      </c>
      <c r="X49" s="56">
        <f t="shared" si="93"/>
        <v>-57.061999999999998</v>
      </c>
      <c r="Y49" s="56">
        <f t="shared" si="93"/>
        <v>-57.012999999999955</v>
      </c>
      <c r="Z49" s="56">
        <f t="shared" si="93"/>
        <v>1.1250000000000169</v>
      </c>
      <c r="AA49" s="99">
        <f t="shared" si="93"/>
        <v>-150.16499999999999</v>
      </c>
      <c r="AB49" s="56">
        <f t="shared" si="93"/>
        <v>-113.60299999999998</v>
      </c>
      <c r="AC49" s="56">
        <f t="shared" si="93"/>
        <v>72.366000000000014</v>
      </c>
      <c r="AD49" s="56">
        <f t="shared" si="93"/>
        <v>42.041000000000068</v>
      </c>
      <c r="AE49" s="56">
        <f t="shared" si="93"/>
        <v>-114.749</v>
      </c>
      <c r="AF49" s="99">
        <f t="shared" si="93"/>
        <v>-113.94500000000009</v>
      </c>
      <c r="AG49" s="56">
        <f t="shared" si="93"/>
        <v>-259.84400000000005</v>
      </c>
      <c r="AH49" s="56">
        <f t="shared" si="93"/>
        <v>-121.89</v>
      </c>
      <c r="AI49" s="56">
        <f t="shared" ref="AI49" si="94">AI32-AI45+AI46+AI47+AI48</f>
        <v>-41.039999999999992</v>
      </c>
      <c r="AJ49" s="56">
        <f t="shared" si="93"/>
        <v>-45.071000000000019</v>
      </c>
      <c r="AK49" s="99">
        <f t="shared" si="93"/>
        <v>-467.84500000000014</v>
      </c>
      <c r="AL49" s="56">
        <f>AL32-AL45+AL46+AL47+AL48</f>
        <v>-11.899000000000031</v>
      </c>
      <c r="AM49" s="56">
        <f>AM32-AM45+AM46+AM47+AM48</f>
        <v>33.146999999999998</v>
      </c>
      <c r="AN49" s="189">
        <f t="shared" si="93"/>
        <v>8.3169999999999966</v>
      </c>
      <c r="AO49" s="56">
        <f>AO32-AO45+AO46+AO47+AO48</f>
        <v>8.2739999999999974</v>
      </c>
      <c r="AP49" s="99">
        <f t="shared" si="93"/>
        <v>37.838999999999757</v>
      </c>
      <c r="AQ49" s="57">
        <f>AQ32-AQ45+AQ46+AQ47+AQ48</f>
        <v>28.764999999999986</v>
      </c>
      <c r="AR49" s="56">
        <f t="shared" ref="AR49:AU49" si="95">AR32-AR45+AR46+AR47+AR48</f>
        <v>41.025999999999954</v>
      </c>
      <c r="AS49" s="56">
        <f>AS32-AS45+AS46+AS47+AS48</f>
        <v>29.853000000000034</v>
      </c>
      <c r="AT49" s="57">
        <f>AT32-AT45+AT46+AT47+AT48</f>
        <v>52.281000000000006</v>
      </c>
      <c r="AU49" s="99">
        <f t="shared" si="95"/>
        <v>151.92500000000004</v>
      </c>
      <c r="AV49" s="56">
        <f t="shared" ref="AV49:AZ49" si="96">AV32-AV45+AV46+AV47+AV48</f>
        <v>43.301000000000016</v>
      </c>
      <c r="AW49" s="56">
        <f>AW32-AW45+AW46+AW47+AW48</f>
        <v>6.0519999999999605</v>
      </c>
      <c r="AX49" s="56">
        <f>AX32-AX45+AX46+AX47+AX48</f>
        <v>11.690999999999995</v>
      </c>
      <c r="AY49" s="56">
        <f>AY32-AY45+AY46+AY47+AY48</f>
        <v>-59.95499999999997</v>
      </c>
      <c r="AZ49" s="99">
        <f t="shared" si="96"/>
        <v>1.0890000000001692</v>
      </c>
      <c r="BA49" s="56">
        <f t="shared" ref="BA49:BE49" si="97">BA32-BA45+BA46+BA47+BA48</f>
        <v>-7.6978985640529167</v>
      </c>
      <c r="BB49" s="56">
        <f t="shared" si="97"/>
        <v>8.8742947767399674</v>
      </c>
      <c r="BC49" s="56">
        <f t="shared" si="97"/>
        <v>33.161597202356077</v>
      </c>
      <c r="BD49" s="56">
        <f t="shared" si="97"/>
        <v>58.061325426563315</v>
      </c>
      <c r="BE49" s="99">
        <f t="shared" si="97"/>
        <v>92.399318841606799</v>
      </c>
      <c r="BF49" s="99">
        <f t="shared" si="93"/>
        <v>278.15137670086591</v>
      </c>
      <c r="BG49" s="99">
        <f t="shared" si="93"/>
        <v>426.26545144861007</v>
      </c>
      <c r="BH49" s="99">
        <f t="shared" si="93"/>
        <v>582.78493297292255</v>
      </c>
      <c r="BI49" s="99">
        <f t="shared" si="93"/>
        <v>732.49830144655425</v>
      </c>
      <c r="BJ49" s="99">
        <f t="shared" si="93"/>
        <v>875.29149286144491</v>
      </c>
      <c r="BM49" s="62"/>
      <c r="BN49" s="61"/>
      <c r="BO49" s="45"/>
      <c r="BP49" s="45"/>
      <c r="BQ49" s="45"/>
      <c r="BR49" s="47"/>
      <c r="BS49" s="45"/>
      <c r="BT49" s="45"/>
      <c r="BU49" s="45"/>
      <c r="BV49" s="45"/>
      <c r="BW49" s="45"/>
      <c r="BX49" s="45"/>
      <c r="BY49" s="45"/>
      <c r="BZ49" s="45"/>
      <c r="CA49" s="45"/>
      <c r="CB49" s="45"/>
    </row>
    <row r="50" spans="2:80" s="51" customFormat="1">
      <c r="B50" s="45" t="s">
        <v>17</v>
      </c>
      <c r="C50" s="56"/>
      <c r="D50" s="56"/>
      <c r="E50" s="56"/>
      <c r="F50" s="56"/>
      <c r="G50" s="99"/>
      <c r="H50" s="56"/>
      <c r="I50" s="56"/>
      <c r="J50" s="56"/>
      <c r="K50" s="56"/>
      <c r="L50" s="99"/>
      <c r="M50" s="98">
        <v>1.2509999999999999</v>
      </c>
      <c r="N50" s="98">
        <v>0.72799999999999998</v>
      </c>
      <c r="O50" s="98">
        <v>-7.3999999999999996E-2</v>
      </c>
      <c r="P50" s="98">
        <v>1.302</v>
      </c>
      <c r="Q50" s="178">
        <f>SUM(M50:P50)</f>
        <v>3.2069999999999999</v>
      </c>
      <c r="R50" s="98">
        <v>1.242</v>
      </c>
      <c r="S50" s="98">
        <v>2.0009999999999999</v>
      </c>
      <c r="T50" s="98">
        <v>-1.879</v>
      </c>
      <c r="U50" s="98">
        <v>1.234</v>
      </c>
      <c r="V50" s="178">
        <f>SUM(R50:U50)</f>
        <v>2.5979999999999999</v>
      </c>
      <c r="W50" s="98">
        <v>1.9379999999999999</v>
      </c>
      <c r="X50" s="98">
        <v>0.67400000000000004</v>
      </c>
      <c r="Y50" s="98">
        <v>-0.17100000000000001</v>
      </c>
      <c r="Z50" s="98">
        <v>12.548</v>
      </c>
      <c r="AA50" s="178">
        <f>SUM(W50:Z50)</f>
        <v>14.989000000000001</v>
      </c>
      <c r="AB50" s="98">
        <v>8.1489999999999991</v>
      </c>
      <c r="AC50" s="98">
        <v>34.408999999999999</v>
      </c>
      <c r="AD50" s="98">
        <v>25.373999999999999</v>
      </c>
      <c r="AE50" s="98">
        <v>-3.73</v>
      </c>
      <c r="AF50" s="178">
        <f>SUM(AB50:AE50)</f>
        <v>64.201999999999998</v>
      </c>
      <c r="AG50" s="98">
        <v>-32.555</v>
      </c>
      <c r="AH50" s="98">
        <v>-10.651999999999999</v>
      </c>
      <c r="AI50" s="98">
        <v>6.3230000000000004</v>
      </c>
      <c r="AJ50" s="98">
        <v>-6.0960000000000001</v>
      </c>
      <c r="AK50" s="178">
        <f>SUM(AG50:AJ50)</f>
        <v>-42.980000000000004</v>
      </c>
      <c r="AL50" s="98">
        <v>-1.53</v>
      </c>
      <c r="AM50" s="98">
        <v>-0.43</v>
      </c>
      <c r="AN50" s="98">
        <v>1.3420000000000001</v>
      </c>
      <c r="AO50" s="98">
        <v>5.32</v>
      </c>
      <c r="AP50" s="178">
        <f>SUM(AL50:AO50)</f>
        <v>4.702</v>
      </c>
      <c r="AQ50" s="98">
        <v>4.7629999999999999</v>
      </c>
      <c r="AR50" s="98">
        <v>1.508</v>
      </c>
      <c r="AS50" s="98">
        <v>3.0750000000000002</v>
      </c>
      <c r="AT50" s="98">
        <v>4.2569999999999997</v>
      </c>
      <c r="AU50" s="178">
        <f>SUM(AQ50:AT50)</f>
        <v>13.603</v>
      </c>
      <c r="AV50" s="98">
        <v>9.5350000000000001</v>
      </c>
      <c r="AW50" s="98">
        <v>-51.651000000000003</v>
      </c>
      <c r="AX50" s="98">
        <v>12.28</v>
      </c>
      <c r="AY50" s="98">
        <v>-21.210999999999999</v>
      </c>
      <c r="AZ50" s="178">
        <f>SUM(AV50:AY50)</f>
        <v>-51.046999999999997</v>
      </c>
      <c r="BA50" s="56">
        <f>IF(BA49&gt;0,BA49*BA108,0)</f>
        <v>0</v>
      </c>
      <c r="BB50" s="56">
        <f>IF(BB49&gt;0,BB49*BB108,0)</f>
        <v>1.1092868470924959</v>
      </c>
      <c r="BC50" s="56">
        <f>IF(BC49&gt;0,BC49*BC108,0)</f>
        <v>4.1451996502945097</v>
      </c>
      <c r="BD50" s="56">
        <f>IF(BD49&gt;0,BD49*BD108,0)</f>
        <v>7.2576656783204143</v>
      </c>
      <c r="BE50" s="178">
        <f>SUM(BA50:BD50)</f>
        <v>12.512152175707421</v>
      </c>
      <c r="BF50" s="178">
        <f t="shared" ref="BF50" si="98">IF(BF49&gt;0,BF49*BF108,0)</f>
        <v>34.768922087608239</v>
      </c>
      <c r="BG50" s="178">
        <f t="shared" ref="BG50" si="99">IF(BG49&gt;0,BG49*BG108,0)</f>
        <v>53.283181431076258</v>
      </c>
      <c r="BH50" s="178">
        <f t="shared" ref="BH50" si="100">IF(BH49&gt;0,BH49*BH108,0)</f>
        <v>72.848116621615318</v>
      </c>
      <c r="BI50" s="178">
        <f t="shared" ref="BI50" si="101">IF(BI49&gt;0,BI49*BI108,0)</f>
        <v>91.562287680819281</v>
      </c>
      <c r="BJ50" s="178">
        <f t="shared" ref="BJ50" si="102">IF(BJ49&gt;0,BJ49*BJ108,0)</f>
        <v>109.41143660768061</v>
      </c>
      <c r="BM50" s="62"/>
      <c r="BN50" s="61"/>
      <c r="BO50" s="45"/>
      <c r="BP50" s="45"/>
      <c r="BQ50" s="45"/>
      <c r="BR50" s="46"/>
    </row>
    <row r="51" spans="2:80" s="51" customFormat="1">
      <c r="B51" s="45" t="s">
        <v>328</v>
      </c>
      <c r="C51" s="56"/>
      <c r="D51" s="56"/>
      <c r="E51" s="56"/>
      <c r="F51" s="56"/>
      <c r="G51" s="99"/>
      <c r="H51" s="56"/>
      <c r="I51" s="56"/>
      <c r="J51" s="56"/>
      <c r="K51" s="56"/>
      <c r="L51" s="99"/>
      <c r="M51" s="98"/>
      <c r="N51" s="98"/>
      <c r="O51" s="98"/>
      <c r="P51" s="98"/>
      <c r="Q51" s="178"/>
      <c r="R51" s="98"/>
      <c r="S51" s="98"/>
      <c r="T51" s="98"/>
      <c r="U51" s="98"/>
      <c r="V51" s="178"/>
      <c r="W51" s="98"/>
      <c r="X51" s="98"/>
      <c r="Y51" s="98"/>
      <c r="Z51" s="98"/>
      <c r="AA51" s="178"/>
      <c r="AB51" s="98"/>
      <c r="AC51" s="98"/>
      <c r="AD51" s="98"/>
      <c r="AE51" s="98"/>
      <c r="AF51" s="178"/>
      <c r="AG51" s="98">
        <v>0</v>
      </c>
      <c r="AH51" s="98">
        <v>0</v>
      </c>
      <c r="AI51" s="98">
        <v>0</v>
      </c>
      <c r="AJ51" s="98">
        <v>0</v>
      </c>
      <c r="AK51" s="178">
        <f>SUM(AG51:AJ51)</f>
        <v>0</v>
      </c>
      <c r="AL51" s="98">
        <v>0</v>
      </c>
      <c r="AM51" s="98">
        <v>0</v>
      </c>
      <c r="AN51" s="98">
        <v>0</v>
      </c>
      <c r="AO51" s="98">
        <v>0</v>
      </c>
      <c r="AP51" s="178">
        <f>SUM(AL51:AO51)</f>
        <v>0</v>
      </c>
      <c r="AQ51" s="98">
        <v>0</v>
      </c>
      <c r="AR51" s="98">
        <v>0</v>
      </c>
      <c r="AS51" s="98">
        <v>0</v>
      </c>
      <c r="AT51" s="98">
        <v>0</v>
      </c>
      <c r="AU51" s="178">
        <f>SUM(AQ51:AT51)</f>
        <v>0</v>
      </c>
      <c r="AV51" s="98">
        <v>0</v>
      </c>
      <c r="AW51" s="98">
        <v>0</v>
      </c>
      <c r="AX51" s="98">
        <v>0</v>
      </c>
      <c r="AY51" s="98">
        <v>1.49</v>
      </c>
      <c r="AZ51" s="178">
        <f>SUM(AV51:AY51)</f>
        <v>1.49</v>
      </c>
      <c r="BA51" s="56"/>
      <c r="BB51" s="56"/>
      <c r="BC51" s="56"/>
      <c r="BD51" s="56"/>
      <c r="BE51" s="178">
        <f>SUM(BA51:BD51)</f>
        <v>0</v>
      </c>
      <c r="BF51" s="178"/>
      <c r="BG51" s="178"/>
      <c r="BH51" s="178"/>
      <c r="BI51" s="178"/>
      <c r="BJ51" s="178"/>
      <c r="BM51" s="62"/>
      <c r="BN51" s="61"/>
      <c r="BO51" s="45"/>
      <c r="BP51" s="45"/>
      <c r="BQ51" s="45"/>
      <c r="BR51" s="46"/>
    </row>
    <row r="52" spans="2:80" s="51" customFormat="1">
      <c r="B52" s="45" t="s">
        <v>233</v>
      </c>
      <c r="C52" s="56"/>
      <c r="D52" s="56"/>
      <c r="E52" s="56"/>
      <c r="F52" s="56"/>
      <c r="G52" s="99"/>
      <c r="H52" s="56"/>
      <c r="I52" s="56"/>
      <c r="J52" s="56"/>
      <c r="K52" s="56"/>
      <c r="L52" s="99"/>
      <c r="M52" s="56">
        <f>M49-M50</f>
        <v>-19.812999999999985</v>
      </c>
      <c r="N52" s="56">
        <f t="shared" ref="N52:P52" si="103">N49-N50</f>
        <v>-5.6399999999999908</v>
      </c>
      <c r="O52" s="56">
        <f t="shared" si="103"/>
        <v>-5.915999999999987</v>
      </c>
      <c r="P52" s="189">
        <f t="shared" si="103"/>
        <v>-5.7529999999999912</v>
      </c>
      <c r="Q52" s="178">
        <f>SUM(M52:P52)</f>
        <v>-37.12199999999995</v>
      </c>
      <c r="R52" s="56">
        <f>R49-R50</f>
        <v>-30.739999999999991</v>
      </c>
      <c r="S52" s="56">
        <f>S49-S50</f>
        <v>-16.731999999999996</v>
      </c>
      <c r="T52" s="56">
        <f>T49-T50</f>
        <v>-17.366999999999987</v>
      </c>
      <c r="U52" s="56">
        <f>U49-U50</f>
        <v>-21.572999999999986</v>
      </c>
      <c r="V52" s="178">
        <f>SUM(R52:U52)</f>
        <v>-86.411999999999949</v>
      </c>
      <c r="W52" s="56">
        <f>W49-W50</f>
        <v>-39.152999999999992</v>
      </c>
      <c r="X52" s="56">
        <f>X49-X50</f>
        <v>-57.735999999999997</v>
      </c>
      <c r="Y52" s="56">
        <f>Y49-Y50</f>
        <v>-56.841999999999956</v>
      </c>
      <c r="Z52" s="56">
        <f>Z49-Z50</f>
        <v>-11.422999999999984</v>
      </c>
      <c r="AA52" s="178">
        <f>SUM(W52:Z52)</f>
        <v>-165.15399999999991</v>
      </c>
      <c r="AB52" s="56">
        <f>AB49-AB50</f>
        <v>-121.75199999999998</v>
      </c>
      <c r="AC52" s="56">
        <f>AC49-AC50</f>
        <v>37.957000000000015</v>
      </c>
      <c r="AD52" s="56">
        <f>AD49-AD50</f>
        <v>16.667000000000069</v>
      </c>
      <c r="AE52" s="189">
        <f>AE49-AE50</f>
        <v>-111.01899999999999</v>
      </c>
      <c r="AF52" s="178">
        <f>SUM(AB52:AE52)</f>
        <v>-178.14699999999988</v>
      </c>
      <c r="AG52" s="56">
        <f>AG49-AG50</f>
        <v>-227.28900000000004</v>
      </c>
      <c r="AH52" s="56">
        <f>AH49-AH50</f>
        <v>-111.238</v>
      </c>
      <c r="AI52" s="56">
        <f>AI49-AI50</f>
        <v>-47.362999999999992</v>
      </c>
      <c r="AJ52" s="57">
        <f>AJ49-AJ50</f>
        <v>-38.975000000000023</v>
      </c>
      <c r="AK52" s="54">
        <f>SUM(AG52:AJ52)</f>
        <v>-424.86500000000007</v>
      </c>
      <c r="AL52" s="57">
        <f>AL49-AL50</f>
        <v>-10.369000000000032</v>
      </c>
      <c r="AM52" s="57">
        <f>AM49-AM50</f>
        <v>33.576999999999998</v>
      </c>
      <c r="AN52" s="189">
        <f>AN49-AN50</f>
        <v>6.9749999999999961</v>
      </c>
      <c r="AO52" s="189">
        <f>AO49-AO50</f>
        <v>2.9539999999999971</v>
      </c>
      <c r="AP52" s="178">
        <f>SUM(AL52:AO52)</f>
        <v>33.136999999999958</v>
      </c>
      <c r="AQ52" s="57">
        <f>AQ49-AQ50</f>
        <v>24.001999999999988</v>
      </c>
      <c r="AR52" s="56">
        <f>AR49-AR50</f>
        <v>39.517999999999951</v>
      </c>
      <c r="AS52" s="56">
        <f>AS49-AS50</f>
        <v>26.778000000000034</v>
      </c>
      <c r="AT52" s="57">
        <f>AT49-AT50</f>
        <v>48.024000000000008</v>
      </c>
      <c r="AU52" s="178">
        <f>SUM(AQ52:AT52)</f>
        <v>138.32199999999997</v>
      </c>
      <c r="AV52" s="57">
        <f>AV49-AV50</f>
        <v>33.76600000000002</v>
      </c>
      <c r="AW52" s="56">
        <f>AW49-AW50</f>
        <v>57.70299999999996</v>
      </c>
      <c r="AX52" s="56">
        <f>AX49-AX50</f>
        <v>-0.58900000000000396</v>
      </c>
      <c r="AY52" s="56">
        <f>AY49-AY50-AY51</f>
        <v>-40.233999999999973</v>
      </c>
      <c r="AZ52" s="178">
        <f>SUM(AV52:AY52)</f>
        <v>50.646000000000008</v>
      </c>
      <c r="BA52" s="56">
        <f>BA49-BA50</f>
        <v>-7.6978985640529167</v>
      </c>
      <c r="BB52" s="56">
        <f>BB49-BB50</f>
        <v>7.7650079296474717</v>
      </c>
      <c r="BC52" s="56">
        <f>BC49-BC50</f>
        <v>29.016397552061569</v>
      </c>
      <c r="BD52" s="56">
        <f>BD49-BD50</f>
        <v>50.8036597482429</v>
      </c>
      <c r="BE52" s="178">
        <f>SUM(BA52:BD52)</f>
        <v>79.887166665899031</v>
      </c>
      <c r="BF52" s="178">
        <f t="shared" ref="BF52:BJ52" si="104">BF49-BF50</f>
        <v>243.38245461325766</v>
      </c>
      <c r="BG52" s="178">
        <f t="shared" si="104"/>
        <v>372.98227001753378</v>
      </c>
      <c r="BH52" s="178">
        <f t="shared" si="104"/>
        <v>509.93681635130724</v>
      </c>
      <c r="BI52" s="178">
        <f t="shared" si="104"/>
        <v>640.93601376573497</v>
      </c>
      <c r="BJ52" s="178">
        <f t="shared" si="104"/>
        <v>765.88005625376434</v>
      </c>
      <c r="BM52" s="62"/>
      <c r="BN52" s="61"/>
      <c r="BO52" s="45"/>
      <c r="BP52" s="45"/>
      <c r="BQ52" s="45"/>
      <c r="BR52" s="46"/>
    </row>
    <row r="53" spans="2:80" s="51" customFormat="1">
      <c r="B53" s="45"/>
      <c r="C53" s="56"/>
      <c r="D53" s="56"/>
      <c r="E53" s="56"/>
      <c r="F53" s="56"/>
      <c r="G53" s="99"/>
      <c r="H53" s="56"/>
      <c r="I53" s="56"/>
      <c r="J53" s="56"/>
      <c r="K53" s="56"/>
      <c r="L53" s="99"/>
      <c r="M53" s="56"/>
      <c r="N53" s="56"/>
      <c r="O53" s="56"/>
      <c r="P53" s="56"/>
      <c r="Q53" s="99"/>
      <c r="R53" s="56"/>
      <c r="S53" s="56"/>
      <c r="T53" s="56"/>
      <c r="U53" s="56"/>
      <c r="V53" s="99"/>
      <c r="W53" s="112"/>
      <c r="X53" s="56"/>
      <c r="Y53" s="189"/>
      <c r="Z53" s="189"/>
      <c r="AA53" s="99"/>
      <c r="AB53" s="56"/>
      <c r="AC53" s="56"/>
      <c r="AD53" s="56"/>
      <c r="AE53" s="189"/>
      <c r="AF53" s="99"/>
      <c r="AG53" s="56"/>
      <c r="AH53" s="56"/>
      <c r="AI53" s="56"/>
      <c r="AJ53" s="56"/>
      <c r="AK53" s="99"/>
      <c r="AL53" s="56"/>
      <c r="AM53" s="56"/>
      <c r="AN53" s="56"/>
      <c r="AO53" s="56"/>
      <c r="AP53" s="99"/>
      <c r="AQ53" s="61"/>
      <c r="AR53" s="189"/>
      <c r="AS53" s="56"/>
      <c r="AT53" s="189"/>
      <c r="AU53" s="99"/>
      <c r="AV53" s="56"/>
      <c r="AW53" s="56"/>
      <c r="AX53" s="56"/>
      <c r="AY53" s="56"/>
      <c r="AZ53" s="99"/>
      <c r="BA53" s="56"/>
      <c r="BB53" s="56"/>
      <c r="BC53" s="56"/>
      <c r="BD53" s="56"/>
      <c r="BE53" s="99"/>
      <c r="BF53" s="99"/>
      <c r="BG53" s="99"/>
      <c r="BH53" s="99"/>
      <c r="BI53" s="99"/>
      <c r="BJ53" s="99"/>
      <c r="BM53" s="62"/>
      <c r="BN53" s="61"/>
      <c r="BO53" s="45"/>
      <c r="BP53" s="45"/>
      <c r="BQ53" s="45"/>
      <c r="BR53" s="46"/>
    </row>
    <row r="54" spans="2:80" s="194" customFormat="1" hidden="1">
      <c r="B54" s="129"/>
      <c r="C54" s="191"/>
      <c r="D54" s="191"/>
      <c r="E54" s="191"/>
      <c r="F54" s="191"/>
      <c r="G54" s="191"/>
      <c r="H54" s="191"/>
      <c r="I54" s="191"/>
      <c r="J54" s="191"/>
      <c r="K54" s="191"/>
      <c r="L54" s="191"/>
      <c r="M54" s="191"/>
      <c r="N54" s="191"/>
      <c r="O54" s="191"/>
      <c r="P54" s="191"/>
      <c r="Q54" s="191"/>
      <c r="R54" s="191"/>
      <c r="S54" s="191"/>
      <c r="T54" s="191"/>
      <c r="U54" s="191"/>
      <c r="V54" s="191"/>
      <c r="W54" s="192"/>
      <c r="X54" s="191"/>
      <c r="Y54" s="191"/>
      <c r="Z54" s="191"/>
      <c r="AA54" s="191"/>
      <c r="AB54" s="191"/>
      <c r="AC54" s="191"/>
      <c r="AD54" s="191"/>
      <c r="AE54" s="193"/>
      <c r="AF54" s="191"/>
      <c r="AG54" s="191"/>
      <c r="AH54" s="191"/>
      <c r="AI54" s="191"/>
      <c r="AJ54" s="191"/>
      <c r="AK54" s="191"/>
      <c r="AL54" s="191"/>
      <c r="AM54" s="191"/>
      <c r="AN54" s="191"/>
      <c r="AO54" s="191"/>
      <c r="AP54" s="191"/>
      <c r="AQ54" s="191"/>
      <c r="AR54" s="191"/>
      <c r="AS54" s="191"/>
      <c r="AT54" s="191"/>
      <c r="AU54" s="191"/>
      <c r="AV54" s="191"/>
      <c r="AW54" s="191"/>
      <c r="AX54" s="191"/>
      <c r="AY54" s="191"/>
      <c r="AZ54" s="191"/>
      <c r="BA54" s="191"/>
      <c r="BB54" s="191"/>
      <c r="BC54" s="191"/>
      <c r="BD54" s="191"/>
      <c r="BE54" s="191"/>
      <c r="BF54" s="191"/>
      <c r="BG54" s="191"/>
      <c r="BH54" s="191"/>
      <c r="BI54" s="191"/>
      <c r="BJ54" s="191"/>
      <c r="BK54" s="51"/>
      <c r="BL54" s="51"/>
      <c r="BM54" s="62"/>
      <c r="BN54" s="61"/>
      <c r="BO54" s="45"/>
      <c r="BP54" s="45"/>
      <c r="BQ54" s="129"/>
      <c r="BR54" s="195"/>
    </row>
    <row r="55" spans="2:80" s="194" customFormat="1" hidden="1">
      <c r="B55" s="129"/>
      <c r="C55" s="191"/>
      <c r="D55" s="191"/>
      <c r="E55" s="191"/>
      <c r="F55" s="191"/>
      <c r="G55" s="191"/>
      <c r="H55" s="191"/>
      <c r="I55" s="191"/>
      <c r="J55" s="191"/>
      <c r="K55" s="191"/>
      <c r="L55" s="191"/>
      <c r="M55" s="191"/>
      <c r="N55" s="191"/>
      <c r="O55" s="191"/>
      <c r="P55" s="191"/>
      <c r="Q55" s="191"/>
      <c r="R55" s="191"/>
      <c r="S55" s="191"/>
      <c r="T55" s="191"/>
      <c r="U55" s="191"/>
      <c r="V55" s="191"/>
      <c r="W55" s="192"/>
      <c r="X55" s="191"/>
      <c r="Y55" s="191"/>
      <c r="Z55" s="191"/>
      <c r="AA55" s="191"/>
      <c r="AB55" s="191"/>
      <c r="AC55" s="191"/>
      <c r="AD55" s="191"/>
      <c r="AE55" s="193"/>
      <c r="AF55" s="191"/>
      <c r="AG55" s="191"/>
      <c r="AH55" s="191"/>
      <c r="AI55" s="191"/>
      <c r="AJ55" s="191"/>
      <c r="AK55" s="191"/>
      <c r="AL55" s="191"/>
      <c r="AM55" s="191"/>
      <c r="AN55" s="191"/>
      <c r="AO55" s="191"/>
      <c r="AP55" s="191"/>
      <c r="AQ55" s="191"/>
      <c r="AR55" s="191"/>
      <c r="AS55" s="191"/>
      <c r="AT55" s="191"/>
      <c r="AU55" s="191"/>
      <c r="AV55" s="191"/>
      <c r="AW55" s="191"/>
      <c r="AX55" s="191"/>
      <c r="AY55" s="191"/>
      <c r="AZ55" s="191"/>
      <c r="BA55" s="191"/>
      <c r="BB55" s="191"/>
      <c r="BC55" s="191"/>
      <c r="BD55" s="191"/>
      <c r="BE55" s="191"/>
      <c r="BF55" s="191"/>
      <c r="BG55" s="191"/>
      <c r="BH55" s="191"/>
      <c r="BI55" s="191"/>
      <c r="BJ55" s="191"/>
      <c r="BK55" s="51"/>
      <c r="BL55" s="51"/>
      <c r="BM55" s="62"/>
      <c r="BN55" s="61"/>
      <c r="BO55" s="45"/>
      <c r="BP55" s="45"/>
      <c r="BQ55" s="129"/>
      <c r="BR55" s="195"/>
    </row>
    <row r="56" spans="2:80" s="194" customFormat="1" hidden="1">
      <c r="B56" s="129"/>
      <c r="C56" s="191"/>
      <c r="D56" s="191"/>
      <c r="E56" s="191"/>
      <c r="F56" s="191"/>
      <c r="G56" s="191"/>
      <c r="H56" s="191"/>
      <c r="I56" s="191"/>
      <c r="J56" s="191"/>
      <c r="K56" s="191"/>
      <c r="L56" s="191"/>
      <c r="M56" s="191"/>
      <c r="N56" s="191"/>
      <c r="O56" s="191"/>
      <c r="P56" s="191"/>
      <c r="Q56" s="191"/>
      <c r="R56" s="191"/>
      <c r="S56" s="191"/>
      <c r="T56" s="191"/>
      <c r="U56" s="191"/>
      <c r="V56" s="191"/>
      <c r="W56" s="192"/>
      <c r="X56" s="191"/>
      <c r="Y56" s="191"/>
      <c r="Z56" s="191"/>
      <c r="AA56" s="191"/>
      <c r="AB56" s="191"/>
      <c r="AC56" s="191"/>
      <c r="AD56" s="191"/>
      <c r="AE56" s="193"/>
      <c r="AF56" s="191"/>
      <c r="AG56" s="191"/>
      <c r="AH56" s="191"/>
      <c r="AI56" s="191"/>
      <c r="AJ56" s="191"/>
      <c r="AK56" s="191"/>
      <c r="AL56" s="191"/>
      <c r="AM56" s="191"/>
      <c r="AN56" s="191"/>
      <c r="AO56" s="191"/>
      <c r="AP56" s="191"/>
      <c r="AQ56" s="191"/>
      <c r="AR56" s="191"/>
      <c r="AS56" s="191"/>
      <c r="AT56" s="191"/>
      <c r="AU56" s="191"/>
      <c r="AV56" s="191"/>
      <c r="AW56" s="191"/>
      <c r="AX56" s="191"/>
      <c r="AY56" s="191"/>
      <c r="AZ56" s="191"/>
      <c r="BA56" s="191"/>
      <c r="BB56" s="191"/>
      <c r="BC56" s="191"/>
      <c r="BD56" s="191"/>
      <c r="BE56" s="191"/>
      <c r="BF56" s="191"/>
      <c r="BG56" s="191"/>
      <c r="BH56" s="191"/>
      <c r="BI56" s="191"/>
      <c r="BJ56" s="191"/>
      <c r="BK56" s="51"/>
      <c r="BL56" s="51"/>
      <c r="BM56" s="62"/>
      <c r="BN56" s="61"/>
      <c r="BO56" s="45"/>
      <c r="BP56" s="45"/>
      <c r="BQ56" s="129"/>
      <c r="BR56" s="195"/>
    </row>
    <row r="57" spans="2:80" s="194" customFormat="1" hidden="1">
      <c r="B57" s="129"/>
      <c r="C57" s="191"/>
      <c r="D57" s="191"/>
      <c r="E57" s="191"/>
      <c r="F57" s="191"/>
      <c r="G57" s="191"/>
      <c r="H57" s="191"/>
      <c r="I57" s="191"/>
      <c r="J57" s="191"/>
      <c r="K57" s="191"/>
      <c r="L57" s="191"/>
      <c r="M57" s="191"/>
      <c r="N57" s="191"/>
      <c r="O57" s="191"/>
      <c r="P57" s="191"/>
      <c r="Q57" s="191"/>
      <c r="R57" s="191"/>
      <c r="S57" s="191"/>
      <c r="T57" s="191"/>
      <c r="U57" s="191"/>
      <c r="V57" s="191"/>
      <c r="W57" s="192"/>
      <c r="X57" s="191"/>
      <c r="Y57" s="191"/>
      <c r="Z57" s="191"/>
      <c r="AA57" s="191"/>
      <c r="AB57" s="191"/>
      <c r="AC57" s="191"/>
      <c r="AD57" s="191"/>
      <c r="AE57" s="193"/>
      <c r="AF57" s="191"/>
      <c r="AG57" s="191"/>
      <c r="AH57" s="191"/>
      <c r="AI57" s="191"/>
      <c r="AJ57" s="191"/>
      <c r="AK57" s="191"/>
      <c r="AL57" s="191"/>
      <c r="AM57" s="191"/>
      <c r="AN57" s="191"/>
      <c r="AO57" s="191"/>
      <c r="AP57" s="191"/>
      <c r="AQ57" s="191"/>
      <c r="AR57" s="191"/>
      <c r="AS57" s="191"/>
      <c r="AT57" s="191"/>
      <c r="AU57" s="191"/>
      <c r="AV57" s="191"/>
      <c r="AW57" s="191"/>
      <c r="AX57" s="191"/>
      <c r="AY57" s="191"/>
      <c r="AZ57" s="191"/>
      <c r="BA57" s="191"/>
      <c r="BB57" s="191"/>
      <c r="BC57" s="191"/>
      <c r="BD57" s="191"/>
      <c r="BE57" s="191"/>
      <c r="BF57" s="191"/>
      <c r="BG57" s="191"/>
      <c r="BH57" s="191"/>
      <c r="BI57" s="191"/>
      <c r="BJ57" s="191"/>
      <c r="BK57" s="51"/>
      <c r="BL57" s="51"/>
      <c r="BM57" s="62"/>
      <c r="BN57" s="61"/>
      <c r="BO57" s="45"/>
      <c r="BP57" s="45"/>
      <c r="BQ57" s="129"/>
      <c r="BR57" s="195"/>
    </row>
    <row r="58" spans="2:80" s="194" customFormat="1" hidden="1">
      <c r="B58" s="129"/>
      <c r="C58" s="191"/>
      <c r="D58" s="191"/>
      <c r="E58" s="191"/>
      <c r="F58" s="191"/>
      <c r="G58" s="191"/>
      <c r="H58" s="191"/>
      <c r="I58" s="191"/>
      <c r="J58" s="191"/>
      <c r="K58" s="191"/>
      <c r="L58" s="191"/>
      <c r="M58" s="191"/>
      <c r="N58" s="191"/>
      <c r="O58" s="191"/>
      <c r="P58" s="191"/>
      <c r="Q58" s="191"/>
      <c r="R58" s="191"/>
      <c r="S58" s="191"/>
      <c r="T58" s="191"/>
      <c r="U58" s="191"/>
      <c r="V58" s="191"/>
      <c r="W58" s="192"/>
      <c r="X58" s="191"/>
      <c r="Y58" s="191"/>
      <c r="Z58" s="191"/>
      <c r="AA58" s="191"/>
      <c r="AB58" s="191"/>
      <c r="AC58" s="191"/>
      <c r="AD58" s="191"/>
      <c r="AE58" s="193"/>
      <c r="AF58" s="191"/>
      <c r="AG58" s="191"/>
      <c r="AH58" s="191"/>
      <c r="AI58" s="191"/>
      <c r="AJ58" s="191"/>
      <c r="AK58" s="191"/>
      <c r="AL58" s="191"/>
      <c r="AM58" s="191"/>
      <c r="AN58" s="191"/>
      <c r="AO58" s="191"/>
      <c r="AP58" s="191"/>
      <c r="AQ58" s="191"/>
      <c r="AR58" s="191"/>
      <c r="AS58" s="191"/>
      <c r="AT58" s="191"/>
      <c r="AU58" s="191"/>
      <c r="AV58" s="191"/>
      <c r="AW58" s="191"/>
      <c r="AX58" s="191"/>
      <c r="AY58" s="191"/>
      <c r="AZ58" s="191"/>
      <c r="BA58" s="191"/>
      <c r="BB58" s="191"/>
      <c r="BC58" s="191"/>
      <c r="BD58" s="191"/>
      <c r="BE58" s="191"/>
      <c r="BF58" s="191"/>
      <c r="BG58" s="191"/>
      <c r="BH58" s="191"/>
      <c r="BI58" s="191"/>
      <c r="BJ58" s="191"/>
      <c r="BK58" s="51"/>
      <c r="BL58" s="51"/>
      <c r="BM58" s="62"/>
      <c r="BN58" s="61"/>
      <c r="BO58" s="45"/>
      <c r="BP58" s="45"/>
      <c r="BQ58" s="129"/>
      <c r="BR58" s="195"/>
    </row>
    <row r="59" spans="2:80" s="194" customFormat="1" hidden="1">
      <c r="B59" s="129"/>
      <c r="C59" s="191"/>
      <c r="D59" s="191"/>
      <c r="E59" s="191"/>
      <c r="F59" s="191"/>
      <c r="G59" s="191"/>
      <c r="H59" s="191"/>
      <c r="I59" s="191"/>
      <c r="J59" s="191"/>
      <c r="K59" s="191"/>
      <c r="L59" s="191"/>
      <c r="M59" s="191"/>
      <c r="N59" s="191"/>
      <c r="O59" s="191"/>
      <c r="P59" s="191"/>
      <c r="Q59" s="191"/>
      <c r="R59" s="191"/>
      <c r="S59" s="191"/>
      <c r="T59" s="191"/>
      <c r="U59" s="191"/>
      <c r="V59" s="191"/>
      <c r="W59" s="192"/>
      <c r="X59" s="191"/>
      <c r="Y59" s="191"/>
      <c r="Z59" s="191"/>
      <c r="AA59" s="191"/>
      <c r="AB59" s="191"/>
      <c r="AC59" s="191"/>
      <c r="AD59" s="191"/>
      <c r="AE59" s="193"/>
      <c r="AF59" s="191"/>
      <c r="AG59" s="191"/>
      <c r="AH59" s="191"/>
      <c r="AI59" s="191"/>
      <c r="AJ59" s="191"/>
      <c r="AK59" s="191"/>
      <c r="AL59" s="191"/>
      <c r="AM59" s="191"/>
      <c r="AN59" s="191"/>
      <c r="AO59" s="191"/>
      <c r="AP59" s="191"/>
      <c r="AQ59" s="191"/>
      <c r="AR59" s="191"/>
      <c r="AS59" s="191"/>
      <c r="AT59" s="191"/>
      <c r="AU59" s="191"/>
      <c r="AV59" s="191"/>
      <c r="AW59" s="191"/>
      <c r="AX59" s="191"/>
      <c r="AY59" s="191"/>
      <c r="AZ59" s="191"/>
      <c r="BA59" s="191"/>
      <c r="BB59" s="191"/>
      <c r="BC59" s="191"/>
      <c r="BD59" s="191"/>
      <c r="BE59" s="191"/>
      <c r="BF59" s="191"/>
      <c r="BG59" s="191"/>
      <c r="BH59" s="191"/>
      <c r="BI59" s="191"/>
      <c r="BJ59" s="191"/>
      <c r="BK59" s="51"/>
      <c r="BL59" s="51"/>
      <c r="BM59" s="62"/>
      <c r="BN59" s="61"/>
      <c r="BO59" s="45"/>
      <c r="BP59" s="45"/>
      <c r="BQ59" s="129"/>
      <c r="BR59" s="195"/>
    </row>
    <row r="60" spans="2:80" s="194" customFormat="1" hidden="1">
      <c r="B60" s="129"/>
      <c r="C60" s="191"/>
      <c r="D60" s="191"/>
      <c r="E60" s="191"/>
      <c r="F60" s="191"/>
      <c r="G60" s="191"/>
      <c r="H60" s="191"/>
      <c r="I60" s="191"/>
      <c r="J60" s="191"/>
      <c r="K60" s="191"/>
      <c r="L60" s="191"/>
      <c r="M60" s="191"/>
      <c r="N60" s="191"/>
      <c r="O60" s="191"/>
      <c r="P60" s="191"/>
      <c r="Q60" s="191"/>
      <c r="R60" s="191"/>
      <c r="S60" s="191"/>
      <c r="T60" s="191"/>
      <c r="U60" s="191"/>
      <c r="V60" s="191"/>
      <c r="W60" s="192"/>
      <c r="X60" s="191"/>
      <c r="Y60" s="191"/>
      <c r="Z60" s="191"/>
      <c r="AA60" s="191"/>
      <c r="AB60" s="191"/>
      <c r="AC60" s="191"/>
      <c r="AD60" s="191"/>
      <c r="AE60" s="193"/>
      <c r="AF60" s="191"/>
      <c r="AG60" s="191"/>
      <c r="AH60" s="191"/>
      <c r="AI60" s="191"/>
      <c r="AJ60" s="191"/>
      <c r="AK60" s="191"/>
      <c r="AL60" s="191"/>
      <c r="AM60" s="191"/>
      <c r="AN60" s="191"/>
      <c r="AO60" s="191"/>
      <c r="AP60" s="191"/>
      <c r="AQ60" s="191"/>
      <c r="AR60" s="191"/>
      <c r="AS60" s="191"/>
      <c r="AT60" s="191"/>
      <c r="AU60" s="191"/>
      <c r="AV60" s="191"/>
      <c r="AW60" s="191"/>
      <c r="AX60" s="191"/>
      <c r="AY60" s="191"/>
      <c r="AZ60" s="191"/>
      <c r="BA60" s="191"/>
      <c r="BB60" s="191"/>
      <c r="BC60" s="191"/>
      <c r="BD60" s="191"/>
      <c r="BE60" s="191"/>
      <c r="BF60" s="191"/>
      <c r="BG60" s="191"/>
      <c r="BH60" s="191"/>
      <c r="BI60" s="191"/>
      <c r="BJ60" s="191"/>
      <c r="BK60" s="51"/>
      <c r="BL60" s="51"/>
      <c r="BM60" s="62"/>
      <c r="BN60" s="61"/>
      <c r="BO60" s="45"/>
      <c r="BP60" s="45"/>
      <c r="BQ60" s="129"/>
      <c r="BR60" s="195"/>
    </row>
    <row r="61" spans="2:80" s="129" customFormat="1" hidden="1">
      <c r="C61" s="191"/>
      <c r="D61" s="191"/>
      <c r="E61" s="191"/>
      <c r="F61" s="191"/>
      <c r="G61" s="191"/>
      <c r="H61" s="191"/>
      <c r="I61" s="191"/>
      <c r="J61" s="191"/>
      <c r="K61" s="191"/>
      <c r="L61" s="191"/>
      <c r="M61" s="191"/>
      <c r="N61" s="191"/>
      <c r="O61" s="191"/>
      <c r="P61" s="191"/>
      <c r="Q61" s="191"/>
      <c r="R61" s="191"/>
      <c r="S61" s="191"/>
      <c r="T61" s="191"/>
      <c r="U61" s="191"/>
      <c r="V61" s="191"/>
      <c r="W61" s="191"/>
      <c r="X61" s="191"/>
      <c r="Y61" s="191"/>
      <c r="Z61" s="191"/>
      <c r="AA61" s="191"/>
      <c r="AB61" s="191"/>
      <c r="AC61" s="191"/>
      <c r="AD61" s="191"/>
      <c r="AE61" s="191"/>
      <c r="AF61" s="191"/>
      <c r="AG61" s="191"/>
      <c r="AH61" s="191"/>
      <c r="AI61" s="191"/>
      <c r="AJ61" s="191"/>
      <c r="AK61" s="191"/>
      <c r="AL61" s="191"/>
      <c r="AM61" s="191"/>
      <c r="AN61" s="191"/>
      <c r="AO61" s="191"/>
      <c r="AP61" s="191"/>
      <c r="AQ61" s="191"/>
      <c r="AR61" s="191"/>
      <c r="AS61" s="191"/>
      <c r="AT61" s="191"/>
      <c r="AU61" s="191"/>
      <c r="AV61" s="191"/>
      <c r="AW61" s="191"/>
      <c r="AX61" s="191"/>
      <c r="AY61" s="191"/>
      <c r="AZ61" s="191"/>
      <c r="BA61" s="191"/>
      <c r="BB61" s="191"/>
      <c r="BC61" s="191"/>
      <c r="BD61" s="191"/>
      <c r="BE61" s="191"/>
      <c r="BF61" s="191"/>
      <c r="BG61" s="191"/>
      <c r="BH61" s="191"/>
      <c r="BI61" s="191"/>
      <c r="BJ61" s="191"/>
      <c r="BK61" s="51"/>
      <c r="BL61" s="51"/>
      <c r="BM61" s="62"/>
      <c r="BN61" s="61"/>
      <c r="BO61" s="45"/>
      <c r="BP61" s="45"/>
      <c r="BR61" s="196"/>
    </row>
    <row r="62" spans="2:80" s="194" customFormat="1" hidden="1">
      <c r="B62" s="129" t="s">
        <v>235</v>
      </c>
      <c r="C62" s="191"/>
      <c r="D62" s="191"/>
      <c r="E62" s="191"/>
      <c r="F62" s="191"/>
      <c r="G62" s="191"/>
      <c r="H62" s="191"/>
      <c r="I62" s="191"/>
      <c r="J62" s="191"/>
      <c r="K62" s="191"/>
      <c r="L62" s="191"/>
      <c r="M62" s="191"/>
      <c r="N62" s="191"/>
      <c r="O62" s="191"/>
      <c r="P62" s="191"/>
      <c r="Q62" s="191"/>
      <c r="R62" s="191"/>
      <c r="S62" s="191"/>
      <c r="T62" s="191"/>
      <c r="U62" s="191"/>
      <c r="V62" s="191"/>
      <c r="W62" s="192"/>
      <c r="X62" s="191"/>
      <c r="Y62" s="191"/>
      <c r="Z62" s="191"/>
      <c r="AA62" s="191"/>
      <c r="AB62" s="191"/>
      <c r="AC62" s="191"/>
      <c r="AD62" s="191"/>
      <c r="AE62" s="193">
        <v>71.293999999999997</v>
      </c>
      <c r="AF62" s="191"/>
      <c r="AG62" s="191"/>
      <c r="AH62" s="191"/>
      <c r="AI62" s="191"/>
      <c r="AJ62" s="191"/>
      <c r="AK62" s="191"/>
      <c r="AL62" s="191"/>
      <c r="AM62" s="191"/>
      <c r="AN62" s="191"/>
      <c r="AO62" s="191"/>
      <c r="AP62" s="191"/>
      <c r="AQ62" s="191"/>
      <c r="AR62" s="191"/>
      <c r="AS62" s="191"/>
      <c r="AT62" s="191"/>
      <c r="AU62" s="191"/>
      <c r="AV62" s="191"/>
      <c r="AW62" s="191"/>
      <c r="AX62" s="191"/>
      <c r="AY62" s="191"/>
      <c r="AZ62" s="191"/>
      <c r="BA62" s="191"/>
      <c r="BB62" s="191"/>
      <c r="BC62" s="191"/>
      <c r="BD62" s="191"/>
      <c r="BE62" s="191"/>
      <c r="BF62" s="191"/>
      <c r="BG62" s="191"/>
      <c r="BH62" s="191"/>
      <c r="BI62" s="191"/>
      <c r="BJ62" s="191"/>
      <c r="BK62" s="51"/>
      <c r="BL62" s="51"/>
      <c r="BM62" s="62"/>
      <c r="BN62" s="61"/>
      <c r="BO62" s="45"/>
      <c r="BP62" s="45"/>
      <c r="BQ62" s="129"/>
      <c r="BR62" s="195"/>
    </row>
    <row r="63" spans="2:80" s="194" customFormat="1" hidden="1">
      <c r="B63" s="129" t="s">
        <v>240</v>
      </c>
      <c r="C63" s="197"/>
      <c r="D63" s="197"/>
      <c r="E63" s="197"/>
      <c r="F63" s="197"/>
      <c r="G63" s="197"/>
      <c r="H63" s="197"/>
      <c r="I63" s="197"/>
      <c r="J63" s="197"/>
      <c r="K63" s="197"/>
      <c r="L63" s="197"/>
      <c r="M63" s="197"/>
      <c r="N63" s="197"/>
      <c r="O63" s="197"/>
      <c r="P63" s="197"/>
      <c r="Q63" s="197"/>
      <c r="R63" s="197"/>
      <c r="S63" s="197"/>
      <c r="T63" s="197"/>
      <c r="U63" s="197"/>
      <c r="V63" s="197"/>
      <c r="W63" s="198"/>
      <c r="X63" s="197"/>
      <c r="Y63" s="197"/>
      <c r="Z63" s="197"/>
      <c r="AA63" s="197"/>
      <c r="AB63" s="197"/>
      <c r="AC63" s="197"/>
      <c r="AD63" s="197"/>
      <c r="AE63" s="199">
        <f>0.462+2.045+1.298+0.32+16.195+2.013-3.725</f>
        <v>18.607999999999997</v>
      </c>
      <c r="AF63" s="197"/>
      <c r="AG63" s="197"/>
      <c r="AH63" s="197"/>
      <c r="AI63" s="197"/>
      <c r="AJ63" s="197"/>
      <c r="AK63" s="197"/>
      <c r="AL63" s="197"/>
      <c r="AM63" s="197"/>
      <c r="AN63" s="197"/>
      <c r="AO63" s="197"/>
      <c r="AP63" s="197"/>
      <c r="AQ63" s="197"/>
      <c r="AR63" s="197"/>
      <c r="AS63" s="197"/>
      <c r="AT63" s="197"/>
      <c r="AU63" s="197"/>
      <c r="AV63" s="197"/>
      <c r="AW63" s="197"/>
      <c r="AX63" s="197"/>
      <c r="AY63" s="197"/>
      <c r="AZ63" s="197"/>
      <c r="BA63" s="197"/>
      <c r="BB63" s="197"/>
      <c r="BC63" s="197"/>
      <c r="BD63" s="197"/>
      <c r="BE63" s="197"/>
      <c r="BF63" s="197"/>
      <c r="BG63" s="197"/>
      <c r="BH63" s="197"/>
      <c r="BI63" s="197"/>
      <c r="BJ63" s="197"/>
      <c r="BK63" s="51"/>
      <c r="BL63" s="51"/>
      <c r="BM63" s="62"/>
      <c r="BN63" s="61"/>
      <c r="BO63" s="45"/>
      <c r="BP63" s="45"/>
      <c r="BQ63" s="129"/>
      <c r="BR63" s="195"/>
    </row>
    <row r="64" spans="2:80" s="194" customFormat="1" hidden="1">
      <c r="B64" s="129" t="s">
        <v>233</v>
      </c>
      <c r="C64" s="191"/>
      <c r="D64" s="191"/>
      <c r="E64" s="191"/>
      <c r="F64" s="191"/>
      <c r="G64" s="191"/>
      <c r="H64" s="191"/>
      <c r="I64" s="191"/>
      <c r="J64" s="191"/>
      <c r="K64" s="191"/>
      <c r="L64" s="191"/>
      <c r="M64" s="191"/>
      <c r="N64" s="191"/>
      <c r="O64" s="191"/>
      <c r="P64" s="191"/>
      <c r="Q64" s="191"/>
      <c r="R64" s="191"/>
      <c r="S64" s="191"/>
      <c r="T64" s="191"/>
      <c r="U64" s="191"/>
      <c r="V64" s="191"/>
      <c r="W64" s="192"/>
      <c r="X64" s="191"/>
      <c r="Y64" s="191"/>
      <c r="Z64" s="191"/>
      <c r="AA64" s="191"/>
      <c r="AB64" s="191"/>
      <c r="AC64" s="191"/>
      <c r="AD64" s="191"/>
      <c r="AE64" s="192">
        <f>AE39-SUM(AE62:AE63)</f>
        <v>-111.01899999999996</v>
      </c>
      <c r="AF64" s="191"/>
      <c r="AG64" s="191"/>
      <c r="AH64" s="191"/>
      <c r="AI64" s="191"/>
      <c r="AJ64" s="191"/>
      <c r="AK64" s="191"/>
      <c r="AL64" s="191"/>
      <c r="AM64" s="191"/>
      <c r="AN64" s="191"/>
      <c r="AO64" s="191"/>
      <c r="AP64" s="191"/>
      <c r="AQ64" s="191"/>
      <c r="AR64" s="191"/>
      <c r="AS64" s="191"/>
      <c r="AT64" s="191"/>
      <c r="AU64" s="191"/>
      <c r="AV64" s="191"/>
      <c r="AW64" s="191"/>
      <c r="AX64" s="191"/>
      <c r="AY64" s="191"/>
      <c r="AZ64" s="191"/>
      <c r="BA64" s="191"/>
      <c r="BB64" s="191"/>
      <c r="BC64" s="191"/>
      <c r="BD64" s="191"/>
      <c r="BE64" s="191"/>
      <c r="BF64" s="191"/>
      <c r="BG64" s="191"/>
      <c r="BH64" s="191"/>
      <c r="BI64" s="191"/>
      <c r="BJ64" s="191"/>
      <c r="BK64" s="51"/>
      <c r="BL64" s="51"/>
      <c r="BM64" s="62"/>
      <c r="BN64" s="61"/>
      <c r="BO64" s="45"/>
      <c r="BP64" s="45"/>
      <c r="BQ64" s="129"/>
      <c r="BR64" s="195"/>
    </row>
    <row r="65" spans="2:80" s="194" customFormat="1" hidden="1">
      <c r="B65" s="129"/>
      <c r="C65" s="191"/>
      <c r="D65" s="191"/>
      <c r="E65" s="191"/>
      <c r="F65" s="191"/>
      <c r="G65" s="191"/>
      <c r="H65" s="191"/>
      <c r="I65" s="191"/>
      <c r="J65" s="191"/>
      <c r="K65" s="191"/>
      <c r="L65" s="191"/>
      <c r="M65" s="191"/>
      <c r="N65" s="191"/>
      <c r="O65" s="191"/>
      <c r="P65" s="191"/>
      <c r="Q65" s="191"/>
      <c r="R65" s="191"/>
      <c r="S65" s="191"/>
      <c r="T65" s="191"/>
      <c r="U65" s="191"/>
      <c r="V65" s="191"/>
      <c r="W65" s="192"/>
      <c r="X65" s="191"/>
      <c r="Y65" s="191"/>
      <c r="Z65" s="191"/>
      <c r="AA65" s="191"/>
      <c r="AB65" s="191"/>
      <c r="AC65" s="191"/>
      <c r="AD65" s="191"/>
      <c r="AE65" s="192"/>
      <c r="AF65" s="191"/>
      <c r="AG65" s="191"/>
      <c r="AH65" s="191"/>
      <c r="AI65" s="191"/>
      <c r="AJ65" s="191"/>
      <c r="AK65" s="191"/>
      <c r="AL65" s="191"/>
      <c r="AM65" s="191"/>
      <c r="AN65" s="191"/>
      <c r="AO65" s="191"/>
      <c r="AP65" s="191"/>
      <c r="AQ65" s="191"/>
      <c r="AR65" s="191"/>
      <c r="AS65" s="191"/>
      <c r="AT65" s="191"/>
      <c r="AU65" s="191"/>
      <c r="AV65" s="191"/>
      <c r="AW65" s="191"/>
      <c r="AX65" s="191"/>
      <c r="AY65" s="191"/>
      <c r="AZ65" s="191"/>
      <c r="BA65" s="191"/>
      <c r="BB65" s="191"/>
      <c r="BC65" s="191"/>
      <c r="BD65" s="191"/>
      <c r="BE65" s="191"/>
      <c r="BF65" s="191"/>
      <c r="BG65" s="191"/>
      <c r="BH65" s="191"/>
      <c r="BI65" s="191"/>
      <c r="BJ65" s="191"/>
      <c r="BK65" s="51"/>
      <c r="BL65" s="51"/>
      <c r="BM65" s="62"/>
      <c r="BN65" s="61"/>
      <c r="BO65" s="45"/>
      <c r="BP65" s="45"/>
      <c r="BQ65" s="129"/>
      <c r="BR65" s="195"/>
    </row>
    <row r="66" spans="2:80" s="129" customFormat="1" hidden="1">
      <c r="B66" s="129" t="s">
        <v>17</v>
      </c>
      <c r="C66" s="193">
        <v>-0.65</v>
      </c>
      <c r="D66" s="193">
        <v>-0.83</v>
      </c>
      <c r="E66" s="193">
        <v>-0.91</v>
      </c>
      <c r="F66" s="193">
        <v>-0.72399999999999998</v>
      </c>
      <c r="G66" s="192">
        <f>SUM(C66:F66)</f>
        <v>-3.1139999999999999</v>
      </c>
      <c r="H66" s="193">
        <v>-0.56000000000000005</v>
      </c>
      <c r="I66" s="193">
        <v>-1.66</v>
      </c>
      <c r="J66" s="193">
        <v>-1.08</v>
      </c>
      <c r="K66" s="193">
        <v>1.98</v>
      </c>
      <c r="L66" s="192">
        <f>SUM(H66:K66)</f>
        <v>-1.3199999999999998</v>
      </c>
      <c r="M66" s="193">
        <v>-1.2509999999999999</v>
      </c>
      <c r="N66" s="193">
        <v>-0.73</v>
      </c>
      <c r="O66" s="193">
        <v>7.0000000000000007E-2</v>
      </c>
      <c r="P66" s="193">
        <v>-1.3</v>
      </c>
      <c r="Q66" s="192">
        <f>SUM(M66:P66)</f>
        <v>-3.2109999999999999</v>
      </c>
      <c r="R66" s="193">
        <v>-1.24</v>
      </c>
      <c r="S66" s="193">
        <v>-2</v>
      </c>
      <c r="T66" s="193">
        <v>1.879</v>
      </c>
      <c r="U66" s="193">
        <v>-1.234</v>
      </c>
      <c r="V66" s="192">
        <f>SUM(R66:U66)</f>
        <v>-2.5950000000000002</v>
      </c>
      <c r="W66" s="193">
        <v>-1.9379999999999999</v>
      </c>
      <c r="X66" s="193">
        <v>-0.67400000000000004</v>
      </c>
      <c r="Y66" s="193">
        <v>0.17100000000000001</v>
      </c>
      <c r="Z66" s="193">
        <v>2.7949999999999999</v>
      </c>
      <c r="AA66" s="192">
        <f>SUM(W66:Z66)</f>
        <v>0.35399999999999965</v>
      </c>
      <c r="AB66" s="193">
        <v>-8.1489999999999991</v>
      </c>
      <c r="AC66" s="193">
        <v>-34.408999999999999</v>
      </c>
      <c r="AD66" s="193">
        <v>-25.373999999999999</v>
      </c>
      <c r="AE66" s="193">
        <v>-3.73</v>
      </c>
      <c r="AF66" s="192">
        <f>SUM(AB66:AE66)</f>
        <v>-71.662000000000006</v>
      </c>
      <c r="AG66" s="192">
        <f>AG49*-AG108</f>
        <v>-32.555</v>
      </c>
      <c r="AH66" s="192">
        <f>AH49*-AH108</f>
        <v>-10.651999999999999</v>
      </c>
      <c r="AI66" s="192">
        <f>AI49*-AI108</f>
        <v>6.3230000000000004</v>
      </c>
      <c r="AJ66" s="192">
        <f>AJ49*-AJ108</f>
        <v>-6.0960000000000001</v>
      </c>
      <c r="AK66" s="192">
        <f>SUM(AG66:AJ66)</f>
        <v>-42.980000000000004</v>
      </c>
      <c r="AL66" s="192">
        <f>AL49*-AL108</f>
        <v>-1.53</v>
      </c>
      <c r="AM66" s="192">
        <f>AM49*-AM108</f>
        <v>-0.43</v>
      </c>
      <c r="AN66" s="192">
        <f>AN49*-AN108</f>
        <v>1.3420000000000001</v>
      </c>
      <c r="AO66" s="192">
        <f>AO49*-AO108</f>
        <v>5.32</v>
      </c>
      <c r="AP66" s="192">
        <f>SUM(AL66:AO66)</f>
        <v>4.702</v>
      </c>
      <c r="AQ66" s="192">
        <f>AQ49*-AQ108</f>
        <v>4.7629999999999999</v>
      </c>
      <c r="AR66" s="192">
        <f>AR49*-AR108</f>
        <v>1.5079999999999998</v>
      </c>
      <c r="AS66" s="192">
        <f>AS49*-AS108</f>
        <v>3.0750000000000002</v>
      </c>
      <c r="AT66" s="192">
        <f>AT49*-AT108</f>
        <v>4.2569999999999997</v>
      </c>
      <c r="AU66" s="192">
        <f>SUM(AQ66:AT66)</f>
        <v>13.603</v>
      </c>
      <c r="AV66" s="192">
        <f>AV49*-AV108</f>
        <v>9.5350000000000001</v>
      </c>
      <c r="AW66" s="192">
        <f>AW49*-AW108</f>
        <v>-51.65100000000001</v>
      </c>
      <c r="AX66" s="192">
        <f>AX49*-AX108</f>
        <v>12.28</v>
      </c>
      <c r="AY66" s="192">
        <f>AY49*-AY108</f>
        <v>-21.210999999999999</v>
      </c>
      <c r="AZ66" s="192">
        <f t="shared" ref="AZ66:BJ66" si="105">AZ49*-AZ108</f>
        <v>-51.046999999999997</v>
      </c>
      <c r="BA66" s="192">
        <f>BA49*-BA108</f>
        <v>0.96223732050661459</v>
      </c>
      <c r="BB66" s="192">
        <f>BB49*-BB108</f>
        <v>-1.1092868470924959</v>
      </c>
      <c r="BC66" s="192">
        <f>BC49*-BC108</f>
        <v>-4.1451996502945097</v>
      </c>
      <c r="BD66" s="192">
        <f>BD49*-BD108</f>
        <v>-7.2576656783204143</v>
      </c>
      <c r="BE66" s="192">
        <f t="shared" ref="BE66" si="106">BE49*-BE108</f>
        <v>12.512152175707421</v>
      </c>
      <c r="BF66" s="192">
        <f t="shared" si="105"/>
        <v>-34.768922087608239</v>
      </c>
      <c r="BG66" s="192">
        <f t="shared" si="105"/>
        <v>-53.283181431076258</v>
      </c>
      <c r="BH66" s="192">
        <f t="shared" si="105"/>
        <v>-72.848116621615318</v>
      </c>
      <c r="BI66" s="192">
        <f t="shared" si="105"/>
        <v>-91.562287680819281</v>
      </c>
      <c r="BJ66" s="192">
        <f t="shared" si="105"/>
        <v>-109.41143660768061</v>
      </c>
      <c r="BK66" s="51"/>
      <c r="BL66" s="51"/>
      <c r="BM66" s="62"/>
      <c r="BN66" s="61"/>
      <c r="BO66" s="45"/>
      <c r="BP66" s="45"/>
      <c r="BR66" s="196"/>
    </row>
    <row r="67" spans="2:80" s="129" customFormat="1" hidden="1">
      <c r="C67" s="193"/>
      <c r="D67" s="193"/>
      <c r="E67" s="193"/>
      <c r="F67" s="193"/>
      <c r="G67" s="192"/>
      <c r="H67" s="193"/>
      <c r="I67" s="193"/>
      <c r="J67" s="193"/>
      <c r="K67" s="193"/>
      <c r="L67" s="192"/>
      <c r="M67" s="193"/>
      <c r="N67" s="193"/>
      <c r="O67" s="193"/>
      <c r="P67" s="193"/>
      <c r="Q67" s="192"/>
      <c r="R67" s="193"/>
      <c r="S67" s="193"/>
      <c r="T67" s="193"/>
      <c r="U67" s="193"/>
      <c r="V67" s="192"/>
      <c r="W67" s="193"/>
      <c r="X67" s="193"/>
      <c r="Y67" s="193"/>
      <c r="Z67" s="193"/>
      <c r="AA67" s="192"/>
      <c r="AB67" s="193"/>
      <c r="AC67" s="193"/>
      <c r="AD67" s="200"/>
      <c r="AE67" s="200"/>
      <c r="AF67" s="192"/>
      <c r="AG67" s="192"/>
      <c r="AH67" s="192"/>
      <c r="AI67" s="192"/>
      <c r="AJ67" s="192"/>
      <c r="AK67" s="192"/>
      <c r="AL67" s="192"/>
      <c r="AM67" s="192"/>
      <c r="AN67" s="192"/>
      <c r="AO67" s="192"/>
      <c r="AP67" s="192"/>
      <c r="AQ67" s="192"/>
      <c r="AR67" s="192"/>
      <c r="AS67" s="192"/>
      <c r="AT67" s="192"/>
      <c r="AU67" s="192"/>
      <c r="AV67" s="192"/>
      <c r="AW67" s="192"/>
      <c r="AX67" s="192"/>
      <c r="AY67" s="192"/>
      <c r="AZ67" s="192"/>
      <c r="BA67" s="192"/>
      <c r="BB67" s="192"/>
      <c r="BC67" s="192"/>
      <c r="BD67" s="192"/>
      <c r="BE67" s="192"/>
      <c r="BF67" s="192"/>
      <c r="BG67" s="192"/>
      <c r="BH67" s="192"/>
      <c r="BI67" s="192"/>
      <c r="BJ67" s="192"/>
      <c r="BK67" s="51"/>
      <c r="BL67" s="51"/>
      <c r="BM67" s="62"/>
      <c r="BN67" s="61"/>
      <c r="BO67" s="45"/>
      <c r="BP67" s="45"/>
      <c r="BR67" s="196"/>
    </row>
    <row r="68" spans="2:80" s="129" customFormat="1" hidden="1">
      <c r="B68" s="129" t="s">
        <v>233</v>
      </c>
      <c r="C68" s="191"/>
      <c r="D68" s="191"/>
      <c r="E68" s="191"/>
      <c r="F68" s="191"/>
      <c r="G68" s="191"/>
      <c r="H68" s="191"/>
      <c r="I68" s="191"/>
      <c r="J68" s="191"/>
      <c r="K68" s="191"/>
      <c r="L68" s="191"/>
      <c r="M68" s="191"/>
      <c r="N68" s="191"/>
      <c r="O68" s="191"/>
      <c r="P68" s="191"/>
      <c r="Q68" s="191"/>
      <c r="R68" s="191"/>
      <c r="S68" s="191"/>
      <c r="T68" s="191"/>
      <c r="U68" s="191"/>
      <c r="V68" s="201"/>
      <c r="W68" s="191"/>
      <c r="X68" s="191"/>
      <c r="Y68" s="191"/>
      <c r="Z68" s="191"/>
      <c r="AA68" s="191"/>
      <c r="AB68" s="191"/>
      <c r="AC68" s="191"/>
      <c r="AD68" s="191"/>
      <c r="AE68" s="191"/>
      <c r="AF68" s="191"/>
      <c r="AG68" s="191"/>
      <c r="AH68" s="191"/>
      <c r="AI68" s="191"/>
      <c r="AJ68" s="191"/>
      <c r="AK68" s="191"/>
      <c r="AL68" s="191"/>
      <c r="AM68" s="191"/>
      <c r="AN68" s="191"/>
      <c r="AO68" s="191"/>
      <c r="AP68" s="191"/>
      <c r="AQ68" s="191"/>
      <c r="AR68" s="191"/>
      <c r="AS68" s="191"/>
      <c r="AT68" s="191"/>
      <c r="AU68" s="191"/>
      <c r="AV68" s="191"/>
      <c r="AW68" s="191"/>
      <c r="AX68" s="191"/>
      <c r="AY68" s="191"/>
      <c r="AZ68" s="191"/>
      <c r="BA68" s="191"/>
      <c r="BB68" s="191"/>
      <c r="BC68" s="191"/>
      <c r="BD68" s="191"/>
      <c r="BE68" s="191"/>
      <c r="BF68" s="191"/>
      <c r="BG68" s="191"/>
      <c r="BH68" s="191"/>
      <c r="BI68" s="191"/>
      <c r="BJ68" s="191"/>
      <c r="BK68" s="51"/>
      <c r="BL68" s="51"/>
      <c r="BM68" s="62"/>
      <c r="BN68" s="61"/>
      <c r="BO68" s="45"/>
      <c r="BP68" s="45"/>
      <c r="BR68" s="196"/>
    </row>
    <row r="69" spans="2:80" s="194" customFormat="1" hidden="1">
      <c r="B69" s="129" t="s">
        <v>82</v>
      </c>
      <c r="C69" s="191">
        <f t="shared" ref="C69:BJ69" si="107">C49+C66</f>
        <v>-12.23</v>
      </c>
      <c r="D69" s="191">
        <f t="shared" si="107"/>
        <v>-3.7130000000000001</v>
      </c>
      <c r="E69" s="191">
        <f t="shared" si="107"/>
        <v>-1.569</v>
      </c>
      <c r="F69" s="191">
        <f t="shared" si="107"/>
        <v>2.9569999999999999</v>
      </c>
      <c r="G69" s="191">
        <f t="shared" si="107"/>
        <v>-14.554999999999986</v>
      </c>
      <c r="H69" s="191">
        <f t="shared" si="107"/>
        <v>-7.952</v>
      </c>
      <c r="I69" s="191">
        <f t="shared" si="107"/>
        <v>-0.18500000000000028</v>
      </c>
      <c r="J69" s="191">
        <f t="shared" si="107"/>
        <v>0.35299999999999998</v>
      </c>
      <c r="K69" s="191">
        <f t="shared" si="107"/>
        <v>7.2350000000000012</v>
      </c>
      <c r="L69" s="191">
        <f t="shared" si="107"/>
        <v>-0.54899999999992799</v>
      </c>
      <c r="M69" s="191">
        <f t="shared" si="107"/>
        <v>-19.812999999999985</v>
      </c>
      <c r="N69" s="191">
        <f t="shared" si="107"/>
        <v>-5.6419999999999906</v>
      </c>
      <c r="O69" s="191">
        <f t="shared" si="107"/>
        <v>-5.9199999999999866</v>
      </c>
      <c r="P69" s="191">
        <f t="shared" si="107"/>
        <v>-5.7509999999999915</v>
      </c>
      <c r="Q69" s="191">
        <f t="shared" si="107"/>
        <v>29.660000000000046</v>
      </c>
      <c r="R69" s="191">
        <f t="shared" si="107"/>
        <v>-30.737999999999989</v>
      </c>
      <c r="S69" s="191">
        <f t="shared" si="107"/>
        <v>-16.730999999999995</v>
      </c>
      <c r="T69" s="191">
        <f t="shared" si="107"/>
        <v>-17.366999999999987</v>
      </c>
      <c r="U69" s="191">
        <f t="shared" si="107"/>
        <v>-21.572999999999986</v>
      </c>
      <c r="V69" s="191">
        <f t="shared" si="107"/>
        <v>-86.409000000000063</v>
      </c>
      <c r="W69" s="191">
        <f t="shared" si="107"/>
        <v>-39.152999999999992</v>
      </c>
      <c r="X69" s="191">
        <f t="shared" si="107"/>
        <v>-57.735999999999997</v>
      </c>
      <c r="Y69" s="191">
        <f t="shared" si="107"/>
        <v>-56.841999999999956</v>
      </c>
      <c r="Z69" s="191">
        <f t="shared" si="107"/>
        <v>3.9200000000000168</v>
      </c>
      <c r="AA69" s="191">
        <f t="shared" si="107"/>
        <v>-149.81099999999998</v>
      </c>
      <c r="AB69" s="191">
        <f t="shared" si="107"/>
        <v>-121.75199999999998</v>
      </c>
      <c r="AC69" s="191">
        <f t="shared" si="107"/>
        <v>37.957000000000015</v>
      </c>
      <c r="AD69" s="191">
        <f t="shared" si="107"/>
        <v>16.667000000000069</v>
      </c>
      <c r="AE69" s="202">
        <f t="shared" si="107"/>
        <v>-118.479</v>
      </c>
      <c r="AF69" s="191">
        <f t="shared" si="107"/>
        <v>-185.60700000000008</v>
      </c>
      <c r="AG69" s="191">
        <f t="shared" si="107"/>
        <v>-292.39900000000006</v>
      </c>
      <c r="AH69" s="191">
        <f t="shared" si="107"/>
        <v>-132.542</v>
      </c>
      <c r="AI69" s="191">
        <f t="shared" si="107"/>
        <v>-34.716999999999992</v>
      </c>
      <c r="AJ69" s="191">
        <f t="shared" si="107"/>
        <v>-51.167000000000016</v>
      </c>
      <c r="AK69" s="191">
        <f t="shared" si="107"/>
        <v>-510.82500000000016</v>
      </c>
      <c r="AL69" s="191">
        <f t="shared" si="107"/>
        <v>-13.42900000000003</v>
      </c>
      <c r="AM69" s="191">
        <f t="shared" si="107"/>
        <v>32.716999999999999</v>
      </c>
      <c r="AN69" s="191">
        <f t="shared" si="107"/>
        <v>9.6589999999999971</v>
      </c>
      <c r="AO69" s="191">
        <f t="shared" si="107"/>
        <v>13.593999999999998</v>
      </c>
      <c r="AP69" s="191">
        <f t="shared" si="107"/>
        <v>42.540999999999755</v>
      </c>
      <c r="AQ69" s="191">
        <f t="shared" si="107"/>
        <v>33.527999999999984</v>
      </c>
      <c r="AR69" s="191">
        <f t="shared" ref="AR69:AU69" si="108">AR49+AR66</f>
        <v>42.533999999999956</v>
      </c>
      <c r="AS69" s="191">
        <f t="shared" si="108"/>
        <v>32.928000000000033</v>
      </c>
      <c r="AT69" s="191">
        <f t="shared" si="108"/>
        <v>56.538000000000004</v>
      </c>
      <c r="AU69" s="191">
        <f t="shared" si="108"/>
        <v>165.52800000000005</v>
      </c>
      <c r="AV69" s="191">
        <f t="shared" ref="AV69:AY69" si="109">AV49+AV66</f>
        <v>52.836000000000013</v>
      </c>
      <c r="AW69" s="191">
        <f t="shared" si="109"/>
        <v>-45.599000000000046</v>
      </c>
      <c r="AX69" s="191">
        <f t="shared" si="109"/>
        <v>23.970999999999997</v>
      </c>
      <c r="AY69" s="191">
        <f t="shared" si="109"/>
        <v>-81.165999999999968</v>
      </c>
      <c r="AZ69" s="191">
        <f t="shared" si="107"/>
        <v>-49.957999999999828</v>
      </c>
      <c r="BA69" s="191">
        <f t="shared" si="107"/>
        <v>-6.7356612435463017</v>
      </c>
      <c r="BB69" s="191">
        <f t="shared" si="107"/>
        <v>7.7650079296474717</v>
      </c>
      <c r="BC69" s="191">
        <f t="shared" si="107"/>
        <v>29.016397552061569</v>
      </c>
      <c r="BD69" s="191">
        <f t="shared" si="107"/>
        <v>50.8036597482429</v>
      </c>
      <c r="BE69" s="191">
        <f t="shared" ref="BE69" si="110">BE49+BE66</f>
        <v>104.91147101731423</v>
      </c>
      <c r="BF69" s="191">
        <f t="shared" si="107"/>
        <v>243.38245461325766</v>
      </c>
      <c r="BG69" s="191">
        <f t="shared" si="107"/>
        <v>372.98227001753378</v>
      </c>
      <c r="BH69" s="191">
        <f t="shared" si="107"/>
        <v>509.93681635130724</v>
      </c>
      <c r="BI69" s="191">
        <f t="shared" si="107"/>
        <v>640.93601376573497</v>
      </c>
      <c r="BJ69" s="191">
        <f t="shared" si="107"/>
        <v>765.88005625376434</v>
      </c>
      <c r="BK69" s="51"/>
      <c r="BL69" s="51"/>
      <c r="BM69" s="62"/>
      <c r="BN69" s="61"/>
      <c r="BO69" s="45"/>
      <c r="BP69" s="45"/>
      <c r="BQ69" s="129"/>
      <c r="BR69" s="196"/>
      <c r="BS69" s="129"/>
      <c r="BT69" s="129"/>
      <c r="BU69" s="129"/>
      <c r="BV69" s="129"/>
      <c r="BW69" s="129"/>
      <c r="BX69" s="129"/>
      <c r="BY69" s="129"/>
      <c r="BZ69" s="129"/>
      <c r="CA69" s="129"/>
      <c r="CB69" s="129"/>
    </row>
    <row r="70" spans="2:80" hidden="1">
      <c r="G70" s="63"/>
      <c r="L70" s="63"/>
      <c r="Q70" s="63"/>
      <c r="V70" s="63"/>
      <c r="AA70" s="63"/>
      <c r="AB70" s="61"/>
      <c r="AE70" s="61"/>
      <c r="AF70" s="63"/>
      <c r="AK70" s="63"/>
      <c r="AP70" s="63"/>
      <c r="AU70" s="63"/>
      <c r="AZ70" s="63"/>
      <c r="BE70" s="63"/>
      <c r="BF70" s="63"/>
      <c r="BG70" s="63"/>
      <c r="BH70" s="63"/>
      <c r="BI70" s="63"/>
      <c r="BJ70" s="63"/>
      <c r="BK70" s="51"/>
      <c r="BL70" s="51"/>
      <c r="BM70" s="62"/>
      <c r="BN70" s="61"/>
    </row>
    <row r="71" spans="2:80">
      <c r="B71" s="45" t="s">
        <v>19</v>
      </c>
      <c r="C71" s="61">
        <f t="shared" ref="C71:Q71" si="111">C69/C77</f>
        <v>-0.30288096760637284</v>
      </c>
      <c r="D71" s="61">
        <f t="shared" si="111"/>
        <v>-9.0194502148331981E-2</v>
      </c>
      <c r="E71" s="61">
        <f t="shared" si="111"/>
        <v>-3.6763551551215683E-2</v>
      </c>
      <c r="F71" s="61">
        <f t="shared" si="111"/>
        <v>6.7346297165297109E-2</v>
      </c>
      <c r="G71" s="64">
        <f t="shared" si="111"/>
        <v>-0.34627757200967574</v>
      </c>
      <c r="H71" s="61">
        <f t="shared" si="111"/>
        <v>-0.17791320739545288</v>
      </c>
      <c r="I71" s="61">
        <f t="shared" si="111"/>
        <v>-4.0757446071454824E-3</v>
      </c>
      <c r="J71" s="61">
        <f t="shared" si="111"/>
        <v>7.7001286335936321E-3</v>
      </c>
      <c r="K71" s="61">
        <f t="shared" si="111"/>
        <v>0.15637258484055649</v>
      </c>
      <c r="L71" s="64">
        <f t="shared" si="111"/>
        <v>-1.205285334260784E-2</v>
      </c>
      <c r="M71" s="61">
        <f>M39/M77</f>
        <v>-5.7423614473782886E-2</v>
      </c>
      <c r="N71" s="61">
        <f>N39/N77</f>
        <v>0.28949867766037535</v>
      </c>
      <c r="O71" s="61">
        <f>O39/O77</f>
        <v>0.38770357582164816</v>
      </c>
      <c r="P71" s="61">
        <f>P39/P77</f>
        <v>0.4234143961587814</v>
      </c>
      <c r="Q71" s="64">
        <f t="shared" si="111"/>
        <v>0.61769547699411675</v>
      </c>
      <c r="R71" s="61">
        <f t="shared" ref="R71:AP71" si="112">R39/R77</f>
        <v>2.9619247200199438E-2</v>
      </c>
      <c r="S71" s="61">
        <f t="shared" si="112"/>
        <v>0.33731812833114844</v>
      </c>
      <c r="T71" s="61">
        <f t="shared" si="112"/>
        <v>0.4094588574359852</v>
      </c>
      <c r="U71" s="61">
        <f t="shared" si="112"/>
        <v>0.38771535831568893</v>
      </c>
      <c r="V71" s="64">
        <f t="shared" si="112"/>
        <v>1.1711781743551863</v>
      </c>
      <c r="W71" s="61">
        <f t="shared" si="112"/>
        <v>-7.6391373376841253E-3</v>
      </c>
      <c r="X71" s="61">
        <f t="shared" si="112"/>
        <v>-0.25907078203194012</v>
      </c>
      <c r="Y71" s="61">
        <f t="shared" si="112"/>
        <v>-0.14480563700019519</v>
      </c>
      <c r="Z71" s="61">
        <f t="shared" si="112"/>
        <v>-2.9242348489559776E-2</v>
      </c>
      <c r="AA71" s="64">
        <f t="shared" si="112"/>
        <v>-0.44490537797933105</v>
      </c>
      <c r="AB71" s="61">
        <f t="shared" si="112"/>
        <v>-0.53579778637956343</v>
      </c>
      <c r="AC71" s="61">
        <f t="shared" si="112"/>
        <v>-0.27607822332669035</v>
      </c>
      <c r="AD71" s="61">
        <f t="shared" si="112"/>
        <v>-0.2083444308744975</v>
      </c>
      <c r="AE71" s="61">
        <f t="shared" si="112"/>
        <v>-0.36882890787257466</v>
      </c>
      <c r="AF71" s="64">
        <f t="shared" si="112"/>
        <v>-1.3856255970577236</v>
      </c>
      <c r="AG71" s="61">
        <f t="shared" si="112"/>
        <v>-0.72015329171067499</v>
      </c>
      <c r="AH71" s="61">
        <f t="shared" si="112"/>
        <v>-0.13508070152911972</v>
      </c>
      <c r="AI71" s="61">
        <f t="shared" ref="AI71:AJ71" si="113">AI39/AI77</f>
        <v>6.1210981469420847E-2</v>
      </c>
      <c r="AJ71" s="61">
        <f t="shared" si="113"/>
        <v>0.61234682435995091</v>
      </c>
      <c r="AK71" s="64">
        <f t="shared" si="112"/>
        <v>-0.17273120027832184</v>
      </c>
      <c r="AL71" s="255">
        <f>AL39/AL77</f>
        <v>1.26721638942179</v>
      </c>
      <c r="AM71" s="255">
        <f>AM39/AM77</f>
        <v>1.3761453257962553</v>
      </c>
      <c r="AN71" s="255">
        <f>AN39/AN77</f>
        <v>1.1449575113739654</v>
      </c>
      <c r="AO71" s="255">
        <f>AO39/AO77</f>
        <v>1.0668410859695192</v>
      </c>
      <c r="AP71" s="256">
        <f t="shared" si="112"/>
        <v>4.853247492604936</v>
      </c>
      <c r="AQ71" s="255">
        <f>AQ39/AQ77</f>
        <v>1.4642686035901853</v>
      </c>
      <c r="AR71" s="255">
        <f>AR39/AR77</f>
        <v>1.7562142519911563</v>
      </c>
      <c r="AS71" s="255">
        <f>AS39/AS77</f>
        <v>1.560509894575383</v>
      </c>
      <c r="AT71" s="255">
        <f>AT39/AT77</f>
        <v>1.957388128295301</v>
      </c>
      <c r="AU71" s="256">
        <f t="shared" ref="AU71" si="114">AU39/AU77</f>
        <v>6.7400482616586439</v>
      </c>
      <c r="AV71" s="255">
        <f t="shared" ref="AV71:BE71" si="115">AV39/AV77</f>
        <v>1.6878342275986846</v>
      </c>
      <c r="AW71" s="255">
        <f t="shared" si="115"/>
        <v>2.0953591806280207</v>
      </c>
      <c r="AX71" s="255">
        <f t="shared" si="115"/>
        <v>1.0597421934891655</v>
      </c>
      <c r="AY71" s="255">
        <f t="shared" si="115"/>
        <v>0.32536205697106585</v>
      </c>
      <c r="AZ71" s="256">
        <f t="shared" si="115"/>
        <v>5.184673317806423</v>
      </c>
      <c r="BA71" s="255">
        <f t="shared" si="115"/>
        <v>1.0356023279873945</v>
      </c>
      <c r="BB71" s="255">
        <f t="shared" si="115"/>
        <v>1.4079437970388569</v>
      </c>
      <c r="BC71" s="255">
        <f t="shared" si="115"/>
        <v>1.9682513632021872</v>
      </c>
      <c r="BD71" s="255">
        <f t="shared" si="115"/>
        <v>2.5621647427963929</v>
      </c>
      <c r="BE71" s="256">
        <f t="shared" si="115"/>
        <v>6.8176282940649431</v>
      </c>
      <c r="BF71" s="256">
        <f t="shared" ref="BF71:BJ71" si="116">BF39/BF77</f>
        <v>10.851436931331691</v>
      </c>
      <c r="BG71" s="256">
        <f t="shared" si="116"/>
        <v>13.465435463351518</v>
      </c>
      <c r="BH71" s="256">
        <f t="shared" si="116"/>
        <v>16.10243701777858</v>
      </c>
      <c r="BI71" s="256">
        <f t="shared" si="116"/>
        <v>18.479704802733735</v>
      </c>
      <c r="BJ71" s="256">
        <f t="shared" si="116"/>
        <v>20.609326331737389</v>
      </c>
      <c r="BK71" s="51"/>
      <c r="BL71" s="51"/>
      <c r="BM71" s="62"/>
      <c r="BN71" s="61"/>
      <c r="BR71" s="45"/>
      <c r="BS71" s="137"/>
    </row>
    <row r="72" spans="2:80">
      <c r="B72" s="45" t="s">
        <v>20</v>
      </c>
      <c r="C72" s="61">
        <f t="shared" ref="C72:Q72" si="117">C69/C78</f>
        <v>-0.23052744301976097</v>
      </c>
      <c r="D72" s="61">
        <f t="shared" si="117"/>
        <v>-7.0609463885522222E-2</v>
      </c>
      <c r="E72" s="61">
        <f t="shared" si="117"/>
        <v>-2.953649335409133E-2</v>
      </c>
      <c r="F72" s="61">
        <f t="shared" si="117"/>
        <v>5.5084435945714723E-2</v>
      </c>
      <c r="G72" s="64">
        <f t="shared" si="117"/>
        <v>-0.27405485285549153</v>
      </c>
      <c r="H72" s="61">
        <f t="shared" si="117"/>
        <v>-0.14328082051621346</v>
      </c>
      <c r="I72" s="61">
        <f t="shared" si="117"/>
        <v>-3.3110166634162078E-3</v>
      </c>
      <c r="J72" s="61">
        <f t="shared" si="117"/>
        <v>6.6623975734226874E-3</v>
      </c>
      <c r="K72" s="61">
        <f t="shared" si="117"/>
        <v>0.12791295681522447</v>
      </c>
      <c r="L72" s="64">
        <f t="shared" si="117"/>
        <v>-9.9402809107076769E-3</v>
      </c>
      <c r="M72" s="61">
        <f>M39/M78</f>
        <v>-5.7423614473782886E-2</v>
      </c>
      <c r="N72" s="61">
        <f>N39/N78</f>
        <v>0.28949867766037535</v>
      </c>
      <c r="O72" s="61">
        <f>O39/O78</f>
        <v>0.38770357582164816</v>
      </c>
      <c r="P72" s="61">
        <f>P39/P78</f>
        <v>0.4234143961587814</v>
      </c>
      <c r="Q72" s="64">
        <f t="shared" si="117"/>
        <v>0.61769547699411675</v>
      </c>
      <c r="R72" s="61">
        <f t="shared" ref="R72:AA72" si="118">R39/R78</f>
        <v>2.9619247200199438E-2</v>
      </c>
      <c r="S72" s="61">
        <f t="shared" si="118"/>
        <v>0.33731812833114844</v>
      </c>
      <c r="T72" s="61">
        <f t="shared" si="118"/>
        <v>0.4094588574359852</v>
      </c>
      <c r="U72" s="61">
        <f t="shared" si="118"/>
        <v>0.38771535831568893</v>
      </c>
      <c r="V72" s="64">
        <f t="shared" si="118"/>
        <v>1.1711781743551863</v>
      </c>
      <c r="W72" s="61">
        <f t="shared" si="118"/>
        <v>-7.6391373376841253E-3</v>
      </c>
      <c r="X72" s="61">
        <f t="shared" si="118"/>
        <v>-0.25907078203194012</v>
      </c>
      <c r="Y72" s="61">
        <f t="shared" si="118"/>
        <v>-0.14480563700019519</v>
      </c>
      <c r="Z72" s="61">
        <f t="shared" si="118"/>
        <v>-2.9242348489559776E-2</v>
      </c>
      <c r="AA72" s="64">
        <f t="shared" si="118"/>
        <v>-0.44490537797933105</v>
      </c>
      <c r="AB72" s="61">
        <f>IF(AB39&gt;0,AB39/AB78,AB71)</f>
        <v>-0.53579778637956343</v>
      </c>
      <c r="AC72" s="61">
        <f t="shared" ref="AC72" si="119">IF(AC39&gt;0,AC39/AC78,AC71)</f>
        <v>-0.27607822332669035</v>
      </c>
      <c r="AD72" s="61">
        <f t="shared" ref="AD72" si="120">IF(AD39&gt;0,AD39/AD78,AD71)</f>
        <v>-0.2083444308744975</v>
      </c>
      <c r="AE72" s="61">
        <f t="shared" ref="AE72" si="121">IF(AE39&gt;0,AE39/AE78,AE71)</f>
        <v>-0.36882890787257466</v>
      </c>
      <c r="AF72" s="64">
        <f t="shared" ref="AF72" si="122">IF(AF39&gt;0,AF39/AF78,AF71)</f>
        <v>-1.3856255970577236</v>
      </c>
      <c r="AG72" s="61">
        <f>IF(AG39&gt;0,AG39/AG78,AG71)</f>
        <v>-0.72015329171067499</v>
      </c>
      <c r="AH72" s="61">
        <f t="shared" ref="AH72:AK72" si="123">IF(AH39&gt;0,AH39/AH78,AH71)</f>
        <v>-0.13508070152911972</v>
      </c>
      <c r="AI72" s="61">
        <f t="shared" ref="AI72:AJ72" si="124">IF(AI39&gt;0,AI39/AI78,AI71)</f>
        <v>5.3940182331105167E-2</v>
      </c>
      <c r="AJ72" s="61">
        <f t="shared" si="124"/>
        <v>0.54280428089652299</v>
      </c>
      <c r="AK72" s="64">
        <f t="shared" si="123"/>
        <v>-0.17273120027832184</v>
      </c>
      <c r="AL72" s="255">
        <f>IF(AL39&gt;0,AL39/AL78,AL71)</f>
        <v>1.1152127819653854</v>
      </c>
      <c r="AM72" s="255">
        <f>IF(AM39&gt;0,AM39/AM78,AM71)</f>
        <v>1.1934062562100856</v>
      </c>
      <c r="AN72" s="255">
        <f>IF(AN39&gt;0,AN39/AN78,AN71)</f>
        <v>1.056432543031359</v>
      </c>
      <c r="AO72" s="255">
        <f>IF(AO39&gt;0,AO39/AO78,AO71)</f>
        <v>0.98389511928069029</v>
      </c>
      <c r="AP72" s="256">
        <f t="shared" ref="AP72" si="125">IF(AP39&gt;0,AP39/AP78,AP71)</f>
        <v>4.3555787849440861</v>
      </c>
      <c r="AQ72" s="255">
        <f>IF(AQ39&gt;0,AQ39/AQ78,AQ71)</f>
        <v>1.360672857233441</v>
      </c>
      <c r="AR72" s="255">
        <f>IF(AR39&gt;0,AR39/AR78,AR71)</f>
        <v>1.6413048740812852</v>
      </c>
      <c r="AS72" s="255">
        <f>IF(AS39&gt;0,AS39/AS78,AS71)</f>
        <v>1.4782315431099613</v>
      </c>
      <c r="AT72" s="255">
        <f>IF(AT39&gt;0,AT39/AT78,AT71)</f>
        <v>1.7527530551686707</v>
      </c>
      <c r="AU72" s="256">
        <f t="shared" ref="AU72" si="126">IF(AU39&gt;0,AU39/AU78,AU71)</f>
        <v>6.2421236660038124</v>
      </c>
      <c r="AV72" s="255">
        <f>IF(AV39&gt;0,AV39/AV78,AV71)</f>
        <v>1.5571377493996394</v>
      </c>
      <c r="AW72" s="255">
        <f>IF(AW39&gt;0,AW39/AW78,AW71)</f>
        <v>1.9638220333516128</v>
      </c>
      <c r="AX72" s="255">
        <f>IF(AX39&gt;0,AX39/AX78,AX71)</f>
        <v>0.99293169210470467</v>
      </c>
      <c r="AY72" s="255">
        <f>IF(AY39&gt;0,AY39/AY78,AY71)</f>
        <v>0.30460303283205675</v>
      </c>
      <c r="AZ72" s="256">
        <f t="shared" ref="AZ72" si="127">IF(AZ39&gt;0,AZ39/AZ78,AZ71)</f>
        <v>4.8382695290409794</v>
      </c>
      <c r="BA72" s="255">
        <f>IF(BA39&gt;0,BA39/BA78,BA71)</f>
        <v>0.96520118946687361</v>
      </c>
      <c r="BB72" s="255">
        <f>IF(BB39&gt;0,BB39/BB78,BB71)</f>
        <v>1.3063589658442929</v>
      </c>
      <c r="BC72" s="255">
        <f>IF(BC39&gt;0,BC39/BC78,BC71)</f>
        <v>1.8179989215208781</v>
      </c>
      <c r="BD72" s="255">
        <f>IF(BD39&gt;0,BD39/BD78,BD71)</f>
        <v>2.3557505931883056</v>
      </c>
      <c r="BE72" s="256">
        <f t="shared" ref="BE72" si="128">IF(BE39&gt;0,BE39/BE78,BE71)</f>
        <v>6.3133861163752121</v>
      </c>
      <c r="BF72" s="256">
        <f t="shared" ref="BF72" si="129">IF(BF39&gt;0,BF39/BF78,BF71)</f>
        <v>10.013417286712089</v>
      </c>
      <c r="BG72" s="256">
        <f t="shared" ref="BG72" si="130">IF(BG39&gt;0,BG39/BG78,BG71)</f>
        <v>12.448994207651964</v>
      </c>
      <c r="BH72" s="256">
        <f t="shared" ref="BH72" si="131">IF(BH39&gt;0,BH39/BH78,BH71)</f>
        <v>14.91440008257562</v>
      </c>
      <c r="BI72" s="256">
        <f t="shared" ref="BI72" si="132">IF(BI39&gt;0,BI39/BI78,BI71)</f>
        <v>17.147129624826295</v>
      </c>
      <c r="BJ72" s="256">
        <f t="shared" ref="BJ72" si="133">IF(BJ39&gt;0,BJ39/BJ78,BJ71)</f>
        <v>19.156876556413007</v>
      </c>
      <c r="BL72" s="51"/>
      <c r="BM72" s="62"/>
      <c r="BN72" s="61"/>
      <c r="BR72" s="45"/>
      <c r="BS72" s="137"/>
    </row>
    <row r="73" spans="2:80">
      <c r="C73" s="61"/>
      <c r="D73" s="61"/>
      <c r="E73" s="61"/>
      <c r="F73" s="61"/>
      <c r="G73" s="64"/>
      <c r="H73" s="61"/>
      <c r="I73" s="61"/>
      <c r="J73" s="61"/>
      <c r="K73" s="61"/>
      <c r="L73" s="64"/>
      <c r="M73" s="61"/>
      <c r="N73" s="61"/>
      <c r="O73" s="61"/>
      <c r="P73" s="61"/>
      <c r="Q73" s="64"/>
      <c r="R73" s="61"/>
      <c r="S73" s="61"/>
      <c r="T73" s="61"/>
      <c r="U73" s="61"/>
      <c r="V73" s="64"/>
      <c r="W73" s="61"/>
      <c r="X73" s="61"/>
      <c r="Y73" s="61"/>
      <c r="Z73" s="61"/>
      <c r="AA73" s="64"/>
      <c r="AB73" s="61"/>
      <c r="AC73" s="61"/>
      <c r="AD73" s="61"/>
      <c r="AE73" s="61"/>
      <c r="AF73" s="64"/>
      <c r="AG73" s="61"/>
      <c r="AH73" s="61"/>
      <c r="AI73" s="61"/>
      <c r="AJ73" s="61"/>
      <c r="AK73" s="64"/>
      <c r="AL73" s="255"/>
      <c r="AM73" s="255"/>
      <c r="AN73" s="255"/>
      <c r="AO73" s="255"/>
      <c r="AP73" s="256"/>
      <c r="AQ73" s="255"/>
      <c r="AR73" s="255"/>
      <c r="AS73" s="255"/>
      <c r="AT73" s="255"/>
      <c r="AU73" s="256"/>
      <c r="AV73" s="255"/>
      <c r="AW73" s="255"/>
      <c r="AX73" s="255"/>
      <c r="AY73" s="255"/>
      <c r="AZ73" s="256"/>
      <c r="BA73" s="255"/>
      <c r="BB73" s="255"/>
      <c r="BC73" s="255"/>
      <c r="BD73" s="255"/>
      <c r="BE73" s="256"/>
      <c r="BF73" s="256"/>
      <c r="BG73" s="256"/>
      <c r="BH73" s="256"/>
      <c r="BI73" s="256"/>
      <c r="BJ73" s="256"/>
      <c r="BL73" s="51"/>
      <c r="BM73" s="62"/>
      <c r="BN73" s="61"/>
      <c r="BR73" s="45"/>
      <c r="BS73" s="137"/>
    </row>
    <row r="74" spans="2:80">
      <c r="B74" s="45" t="s">
        <v>320</v>
      </c>
      <c r="C74" s="61"/>
      <c r="D74" s="61"/>
      <c r="E74" s="61"/>
      <c r="F74" s="61"/>
      <c r="G74" s="64"/>
      <c r="H74" s="61"/>
      <c r="I74" s="61"/>
      <c r="J74" s="61"/>
      <c r="K74" s="61"/>
      <c r="L74" s="64"/>
      <c r="M74" s="61"/>
      <c r="N74" s="61"/>
      <c r="O74" s="61"/>
      <c r="P74" s="61"/>
      <c r="Q74" s="64"/>
      <c r="R74" s="61"/>
      <c r="S74" s="61"/>
      <c r="T74" s="61"/>
      <c r="U74" s="61"/>
      <c r="V74" s="64"/>
      <c r="W74" s="61"/>
      <c r="X74" s="61"/>
      <c r="Y74" s="61"/>
      <c r="Z74" s="61"/>
      <c r="AA74" s="64"/>
      <c r="AB74" s="61">
        <f>AB52/AB77</f>
        <v>-2.1633046621550198</v>
      </c>
      <c r="AC74" s="61">
        <f t="shared" ref="AC74:BJ74" si="134">AC52/AC77</f>
        <v>0.66239577261764759</v>
      </c>
      <c r="AD74" s="61">
        <f t="shared" si="134"/>
        <v>0.29080283304457599</v>
      </c>
      <c r="AE74" s="61">
        <f t="shared" si="134"/>
        <v>-1.9390546253305587</v>
      </c>
      <c r="AF74" s="64">
        <f t="shared" si="134"/>
        <v>-3.123316124138555</v>
      </c>
      <c r="AG74" s="61">
        <f t="shared" si="134"/>
        <v>-3.9542668386632727</v>
      </c>
      <c r="AH74" s="61">
        <f t="shared" si="134"/>
        <v>-1.9197785967415641</v>
      </c>
      <c r="AI74" s="61">
        <f t="shared" si="134"/>
        <v>-0.81162813979176118</v>
      </c>
      <c r="AJ74" s="61">
        <f t="shared" si="134"/>
        <v>-0.66979730240876512</v>
      </c>
      <c r="AK74" s="64">
        <f t="shared" si="134"/>
        <v>-7.3262894485623686</v>
      </c>
      <c r="AL74" s="255">
        <f t="shared" si="134"/>
        <v>-0.1838192375970816</v>
      </c>
      <c r="AM74" s="255">
        <f t="shared" si="134"/>
        <v>0.59172768676699194</v>
      </c>
      <c r="AN74" s="255">
        <f t="shared" si="134"/>
        <v>0.12271737544498677</v>
      </c>
      <c r="AO74" s="255">
        <f t="shared" si="134"/>
        <v>5.1537205317404314E-2</v>
      </c>
      <c r="AP74" s="256">
        <f t="shared" si="134"/>
        <v>0.58311963249086141</v>
      </c>
      <c r="AQ74" s="255">
        <f t="shared" si="134"/>
        <v>0.42785078670836113</v>
      </c>
      <c r="AR74" s="255">
        <f t="shared" si="134"/>
        <v>0.71035173447750244</v>
      </c>
      <c r="AS74" s="255">
        <f t="shared" si="134"/>
        <v>0.48598964873627237</v>
      </c>
      <c r="AT74" s="255">
        <f t="shared" si="134"/>
        <v>0.85592176165038503</v>
      </c>
      <c r="AU74" s="256">
        <f t="shared" si="134"/>
        <v>2.4817969611641213</v>
      </c>
      <c r="AV74" s="255">
        <f t="shared" si="134"/>
        <v>0.60611750379249807</v>
      </c>
      <c r="AW74" s="255">
        <f t="shared" si="134"/>
        <v>1.0321533762423267</v>
      </c>
      <c r="AX74" s="255">
        <f t="shared" si="134"/>
        <v>-1.0583765463326147E-2</v>
      </c>
      <c r="AY74" s="255">
        <f t="shared" si="134"/>
        <v>-0.73226027857995402</v>
      </c>
      <c r="AZ74" s="256">
        <f t="shared" si="134"/>
        <v>0.91167676376674056</v>
      </c>
      <c r="BA74" s="255">
        <f t="shared" ref="BA74:BE74" si="135">BA52/BA77</f>
        <v>-0.14994554682388611</v>
      </c>
      <c r="BB74" s="255">
        <f t="shared" si="135"/>
        <v>0.16125299538566162</v>
      </c>
      <c r="BC74" s="255">
        <f t="shared" si="135"/>
        <v>0.64042896243812131</v>
      </c>
      <c r="BD74" s="255">
        <f t="shared" si="135"/>
        <v>1.1887888099353816</v>
      </c>
      <c r="BE74" s="256">
        <f t="shared" si="135"/>
        <v>1.7039364427483745</v>
      </c>
      <c r="BF74" s="256">
        <f t="shared" si="134"/>
        <v>5.4395215987697236</v>
      </c>
      <c r="BG74" s="256">
        <f t="shared" si="134"/>
        <v>8.1327188917538713</v>
      </c>
      <c r="BH74" s="256">
        <f t="shared" si="134"/>
        <v>10.847760200887242</v>
      </c>
      <c r="BI74" s="256">
        <f t="shared" si="134"/>
        <v>13.301925695357879</v>
      </c>
      <c r="BJ74" s="256">
        <f t="shared" si="134"/>
        <v>15.507319601542642</v>
      </c>
      <c r="BL74" s="51"/>
      <c r="BM74" s="62"/>
      <c r="BN74" s="61"/>
      <c r="BR74" s="45"/>
      <c r="BS74" s="137"/>
    </row>
    <row r="75" spans="2:80">
      <c r="B75" s="45" t="s">
        <v>321</v>
      </c>
      <c r="C75" s="61"/>
      <c r="D75" s="61"/>
      <c r="E75" s="61"/>
      <c r="F75" s="61"/>
      <c r="G75" s="64"/>
      <c r="H75" s="61"/>
      <c r="I75" s="61"/>
      <c r="J75" s="61"/>
      <c r="K75" s="61"/>
      <c r="L75" s="64"/>
      <c r="M75" s="61"/>
      <c r="N75" s="61"/>
      <c r="O75" s="61"/>
      <c r="P75" s="61"/>
      <c r="Q75" s="64"/>
      <c r="R75" s="61"/>
      <c r="S75" s="61"/>
      <c r="T75" s="61"/>
      <c r="U75" s="61"/>
      <c r="V75" s="64"/>
      <c r="W75" s="61"/>
      <c r="X75" s="61"/>
      <c r="Y75" s="61"/>
      <c r="Z75" s="61"/>
      <c r="AA75" s="64"/>
      <c r="AB75" s="61">
        <f>AB52/AB78</f>
        <v>-2.1633046621550198</v>
      </c>
      <c r="AC75" s="61">
        <f t="shared" ref="AC75:BJ75" si="136">AC52/AC78</f>
        <v>0.5844173790457956</v>
      </c>
      <c r="AD75" s="61">
        <f t="shared" si="136"/>
        <v>0.27526078387011227</v>
      </c>
      <c r="AE75" s="61">
        <f t="shared" si="136"/>
        <v>-1.7292596974422472</v>
      </c>
      <c r="AF75" s="64">
        <f t="shared" si="136"/>
        <v>-2.8969445558405078</v>
      </c>
      <c r="AG75" s="61">
        <f t="shared" si="136"/>
        <v>-3.4765605916135192</v>
      </c>
      <c r="AH75" s="61">
        <f t="shared" si="136"/>
        <v>-1.6860177973260737</v>
      </c>
      <c r="AI75" s="61">
        <f t="shared" si="136"/>
        <v>-0.71522084427439148</v>
      </c>
      <c r="AJ75" s="61">
        <f t="shared" si="136"/>
        <v>-0.59373026627587588</v>
      </c>
      <c r="AK75" s="64">
        <f t="shared" si="136"/>
        <v>-6.456421781950378</v>
      </c>
      <c r="AL75" s="255">
        <f t="shared" si="136"/>
        <v>-0.16176997476566299</v>
      </c>
      <c r="AM75" s="255">
        <f t="shared" si="136"/>
        <v>0.51315185258639029</v>
      </c>
      <c r="AN75" s="255">
        <f t="shared" si="136"/>
        <v>0.1132292052129589</v>
      </c>
      <c r="AO75" s="255">
        <f t="shared" si="136"/>
        <v>4.7530232421710186E-2</v>
      </c>
      <c r="AP75" s="256">
        <f t="shared" si="136"/>
        <v>0.52332453768978537</v>
      </c>
      <c r="AQ75" s="255">
        <f t="shared" si="136"/>
        <v>0.39758071093831615</v>
      </c>
      <c r="AR75" s="255">
        <f t="shared" si="136"/>
        <v>0.66387330747836959</v>
      </c>
      <c r="AS75" s="255">
        <f t="shared" si="136"/>
        <v>0.46036569898351526</v>
      </c>
      <c r="AT75" s="255">
        <f t="shared" si="136"/>
        <v>0.76643945113972456</v>
      </c>
      <c r="AU75" s="256">
        <f t="shared" si="136"/>
        <v>2.2984529107342904</v>
      </c>
      <c r="AV75" s="255">
        <f t="shared" si="136"/>
        <v>0.55918314150433646</v>
      </c>
      <c r="AW75" s="255">
        <f t="shared" si="136"/>
        <v>0.96735946791490723</v>
      </c>
      <c r="AX75" s="255">
        <f t="shared" si="136"/>
        <v>-9.9165214095509203E-3</v>
      </c>
      <c r="AY75" s="255">
        <f t="shared" si="136"/>
        <v>-0.68553999121580511</v>
      </c>
      <c r="AZ75" s="256">
        <f t="shared" si="136"/>
        <v>0.85076486715531974</v>
      </c>
      <c r="BA75" s="255">
        <f t="shared" ref="BA75:BE75" si="137">BA52/BA78</f>
        <v>-0.13975211935931195</v>
      </c>
      <c r="BB75" s="255">
        <f t="shared" si="137"/>
        <v>0.14961839864229592</v>
      </c>
      <c r="BC75" s="255">
        <f t="shared" si="137"/>
        <v>0.59153987381419515</v>
      </c>
      <c r="BD75" s="255">
        <f t="shared" si="137"/>
        <v>1.0930171262619082</v>
      </c>
      <c r="BE75" s="256">
        <f t="shared" si="137"/>
        <v>1.5779107068947047</v>
      </c>
      <c r="BF75" s="256">
        <f t="shared" si="136"/>
        <v>5.0194458073379034</v>
      </c>
      <c r="BG75" s="256">
        <f t="shared" si="136"/>
        <v>7.5188188790075845</v>
      </c>
      <c r="BH75" s="256">
        <f t="shared" si="136"/>
        <v>10.04741303799198</v>
      </c>
      <c r="BI75" s="256">
        <f t="shared" si="136"/>
        <v>12.342721195652837</v>
      </c>
      <c r="BJ75" s="256">
        <f t="shared" si="136"/>
        <v>14.414435607733552</v>
      </c>
      <c r="BL75" s="51"/>
      <c r="BM75" s="62"/>
      <c r="BN75" s="61"/>
      <c r="BR75" s="45"/>
      <c r="BS75" s="137"/>
    </row>
    <row r="76" spans="2:80">
      <c r="G76" s="63"/>
      <c r="L76" s="63"/>
      <c r="Q76" s="63"/>
      <c r="V76" s="63"/>
      <c r="AA76" s="63"/>
      <c r="AF76" s="63"/>
      <c r="AK76" s="63"/>
      <c r="AP76" s="63"/>
      <c r="AU76" s="63"/>
      <c r="AZ76" s="63"/>
      <c r="BE76" s="63"/>
      <c r="BF76" s="63"/>
      <c r="BG76" s="63"/>
      <c r="BH76" s="63"/>
      <c r="BI76" s="63"/>
      <c r="BJ76" s="63"/>
      <c r="BL76" s="51"/>
      <c r="BM76" s="62"/>
      <c r="BN76" s="61"/>
      <c r="BR76" s="45"/>
      <c r="BS76" s="137"/>
      <c r="CA76" s="51"/>
    </row>
    <row r="77" spans="2:80">
      <c r="B77" s="45" t="s">
        <v>21</v>
      </c>
      <c r="C77" s="67">
        <v>40.378898999999997</v>
      </c>
      <c r="D77" s="67">
        <v>41.166589000000002</v>
      </c>
      <c r="E77" s="67">
        <v>42.678139999999999</v>
      </c>
      <c r="F77" s="67">
        <v>43.907387999999997</v>
      </c>
      <c r="G77" s="68">
        <f>AVERAGE(C77:F77)</f>
        <v>42.032753999999997</v>
      </c>
      <c r="H77" s="67">
        <v>44.695951000000001</v>
      </c>
      <c r="I77" s="67">
        <v>45.390478999999999</v>
      </c>
      <c r="J77" s="67">
        <v>45.843389999999999</v>
      </c>
      <c r="K77" s="67">
        <v>46.267701000000002</v>
      </c>
      <c r="L77" s="68">
        <f>AVERAGE(H77:K77)</f>
        <v>45.549380249999999</v>
      </c>
      <c r="M77" s="67">
        <v>46.827424999999998</v>
      </c>
      <c r="N77" s="67">
        <v>47.689337000000002</v>
      </c>
      <c r="O77" s="69">
        <v>48.498392000000003</v>
      </c>
      <c r="P77" s="69">
        <v>49.053598999999998</v>
      </c>
      <c r="Q77" s="68">
        <f>AVERAGE(M77:P77)</f>
        <v>48.017188249999997</v>
      </c>
      <c r="R77" s="69">
        <v>49.562367000000002</v>
      </c>
      <c r="S77" s="69">
        <v>50.273017000000003</v>
      </c>
      <c r="T77" s="69">
        <v>50.862253000000003</v>
      </c>
      <c r="U77" s="69">
        <v>51.321154999999997</v>
      </c>
      <c r="V77" s="68">
        <f>AVERAGE(R77:U77)</f>
        <v>50.504698000000005</v>
      </c>
      <c r="W77" s="67">
        <v>51.838313999999997</v>
      </c>
      <c r="X77" s="67">
        <v>54.695476999999997</v>
      </c>
      <c r="Y77" s="67">
        <v>55.356960999999998</v>
      </c>
      <c r="Z77" s="67">
        <v>55.809471000000002</v>
      </c>
      <c r="AA77" s="68">
        <f>AVERAGE(W77:Z77)</f>
        <v>54.425055749999999</v>
      </c>
      <c r="AB77" s="67">
        <v>56.280560999999999</v>
      </c>
      <c r="AC77" s="67">
        <v>57.302599999999998</v>
      </c>
      <c r="AD77" s="67">
        <v>57.313746999999999</v>
      </c>
      <c r="AE77" s="67">
        <v>57.254188999999997</v>
      </c>
      <c r="AF77" s="68">
        <f>AVERAGE(AB77:AE77)</f>
        <v>57.037774249999998</v>
      </c>
      <c r="AG77" s="69">
        <v>57.479429000000003</v>
      </c>
      <c r="AH77" s="69">
        <v>57.94314</v>
      </c>
      <c r="AI77" s="69">
        <v>58.355542</v>
      </c>
      <c r="AJ77" s="69">
        <v>58.189245999999997</v>
      </c>
      <c r="AK77" s="68">
        <f>AVERAGE(AG77:AJ77)</f>
        <v>57.991839250000005</v>
      </c>
      <c r="AL77" s="69">
        <v>56.408676999999997</v>
      </c>
      <c r="AM77" s="69">
        <v>56.744007000000003</v>
      </c>
      <c r="AN77" s="69">
        <v>56.837916999999997</v>
      </c>
      <c r="AO77" s="69">
        <v>57.317815000000003</v>
      </c>
      <c r="AP77" s="68">
        <f>AVERAGE(AL77:AO77)</f>
        <v>56.827103999999999</v>
      </c>
      <c r="AQ77" s="67">
        <v>56.098996999999997</v>
      </c>
      <c r="AR77" s="67">
        <v>55.631594999999997</v>
      </c>
      <c r="AS77" s="67">
        <v>55.099938999999999</v>
      </c>
      <c r="AT77" s="67">
        <v>56.107931999999998</v>
      </c>
      <c r="AU77" s="68">
        <f>AVERAGE(AQ77:AT77)</f>
        <v>55.734615750000003</v>
      </c>
      <c r="AV77" s="67">
        <v>55.708669999999998</v>
      </c>
      <c r="AW77" s="67">
        <v>55.905450999999999</v>
      </c>
      <c r="AX77" s="67">
        <v>55.651271000000001</v>
      </c>
      <c r="AY77" s="67">
        <v>54.944944</v>
      </c>
      <c r="AZ77" s="314">
        <f>AVERAGE(AV77:AY77)</f>
        <v>55.552583999999996</v>
      </c>
      <c r="BA77" s="313">
        <f>+AY77*1.02-'Cash Flow'!BA61</f>
        <v>51.337960527058826</v>
      </c>
      <c r="BB77" s="313">
        <f>+BA77*1.02-'Cash Flow'!BB61</f>
        <v>48.154193421810533</v>
      </c>
      <c r="BC77" s="313">
        <f>+BB77*1.02-'Cash Flow'!BC61</f>
        <v>45.307753480722937</v>
      </c>
      <c r="BD77" s="313">
        <f>+BC77*1.02-'Cash Flow'!BD61</f>
        <v>42.735647680772175</v>
      </c>
      <c r="BE77" s="314">
        <f>AVERAGE(BA77:BD77)</f>
        <v>46.88388877759111</v>
      </c>
      <c r="BF77" s="314">
        <f>+BE77*1.025-'Cash Flow'!BF61</f>
        <v>44.743356597444958</v>
      </c>
      <c r="BG77" s="314">
        <f>+BF77*1.025-'Cash Flow'!BG61</f>
        <v>45.861940512381075</v>
      </c>
      <c r="BH77" s="314">
        <f>+BG77*1.025-'Cash Flow'!BH61</f>
        <v>47.008489025190599</v>
      </c>
      <c r="BI77" s="314">
        <f>+BH77*1.025-'Cash Flow'!BI61</f>
        <v>48.183701250820363</v>
      </c>
      <c r="BJ77" s="314">
        <f>+BI77*1.025-'Cash Flow'!BJ61</f>
        <v>49.388293782090869</v>
      </c>
      <c r="BL77" s="51"/>
      <c r="BM77" s="62"/>
      <c r="BN77" s="61"/>
      <c r="BR77" s="45"/>
    </row>
    <row r="78" spans="2:80">
      <c r="B78" s="45" t="s">
        <v>26</v>
      </c>
      <c r="C78" s="67">
        <v>53.052252000000003</v>
      </c>
      <c r="D78" s="67">
        <v>52.585019000000003</v>
      </c>
      <c r="E78" s="67">
        <v>53.120727000000002</v>
      </c>
      <c r="F78" s="67">
        <v>53.681224999999998</v>
      </c>
      <c r="G78" s="68">
        <f>AVERAGE(C78:F78)</f>
        <v>53.109805749999992</v>
      </c>
      <c r="H78" s="67">
        <v>55.499403000000001</v>
      </c>
      <c r="I78" s="67">
        <v>55.874077</v>
      </c>
      <c r="J78" s="67">
        <v>52.983929000000003</v>
      </c>
      <c r="K78" s="67">
        <v>56.561900999999999</v>
      </c>
      <c r="L78" s="68">
        <f>AVERAGE(H78:K78)</f>
        <v>55.229827500000006</v>
      </c>
      <c r="M78" s="67">
        <v>46.827424999999998</v>
      </c>
      <c r="N78" s="67">
        <v>47.689337000000002</v>
      </c>
      <c r="O78" s="69">
        <v>48.498392000000003</v>
      </c>
      <c r="P78" s="69">
        <v>49.053598999999998</v>
      </c>
      <c r="Q78" s="68">
        <f>AVERAGE(M78:P78)</f>
        <v>48.017188249999997</v>
      </c>
      <c r="R78" s="69">
        <v>49.562367000000002</v>
      </c>
      <c r="S78" s="69">
        <v>50.273017000000003</v>
      </c>
      <c r="T78" s="69">
        <v>50.862253000000003</v>
      </c>
      <c r="U78" s="69">
        <v>51.321154999999997</v>
      </c>
      <c r="V78" s="68">
        <f>AVERAGE(R78:U78)</f>
        <v>50.504698000000005</v>
      </c>
      <c r="W78" s="67">
        <v>51.838313999999997</v>
      </c>
      <c r="X78" s="67">
        <v>54.695476999999997</v>
      </c>
      <c r="Y78" s="67">
        <v>55.356960999999998</v>
      </c>
      <c r="Z78" s="67">
        <v>55.809471000000002</v>
      </c>
      <c r="AA78" s="68">
        <f>AVERAGE(W78:Z78)</f>
        <v>54.425055749999999</v>
      </c>
      <c r="AB78" s="67">
        <f>AB77</f>
        <v>56.280560999999999</v>
      </c>
      <c r="AC78" s="67">
        <v>64.948445000000007</v>
      </c>
      <c r="AD78" s="67">
        <v>60.549852999999999</v>
      </c>
      <c r="AE78" s="67">
        <v>64.200305</v>
      </c>
      <c r="AF78" s="68">
        <f>AVERAGE(AB78:AE78)</f>
        <v>61.494791000000006</v>
      </c>
      <c r="AG78" s="69">
        <f>AG77+5.099095+2.799022</f>
        <v>65.377545999999995</v>
      </c>
      <c r="AH78" s="69">
        <f>+AH77+5.024271+3.009354</f>
        <v>65.976765</v>
      </c>
      <c r="AI78" s="69">
        <f>+AI77+4.964207+2.901755</f>
        <v>66.221503999999996</v>
      </c>
      <c r="AJ78" s="69">
        <f>AJ77+4.332022+3.123019</f>
        <v>65.644287000000006</v>
      </c>
      <c r="AK78" s="68">
        <f>AVERAGE(AG78:AJ78)</f>
        <v>65.805025499999999</v>
      </c>
      <c r="AL78" s="69">
        <f>AL77+4.149981+3.538527</f>
        <v>64.097184999999996</v>
      </c>
      <c r="AM78" s="69">
        <f>62.186985+1.982546+1.263342</f>
        <v>65.432873000000001</v>
      </c>
      <c r="AN78" s="69">
        <f>58.497072+1.940648+1.162995</f>
        <v>61.600715000000008</v>
      </c>
      <c r="AO78" s="69">
        <f>59.085757+2.245872+0.818288</f>
        <v>62.149917000000002</v>
      </c>
      <c r="AP78" s="68">
        <f>AVERAGE(AL78:AO78)</f>
        <v>63.320172499999998</v>
      </c>
      <c r="AQ78" s="67">
        <f>58.647238+1.315926+0.406968</f>
        <v>60.370131999999998</v>
      </c>
      <c r="AR78" s="67">
        <v>59.526418</v>
      </c>
      <c r="AS78" s="67">
        <v>58.166801</v>
      </c>
      <c r="AT78" s="67">
        <v>62.658569999999997</v>
      </c>
      <c r="AU78" s="68">
        <f>AVERAGE(AQ78:AT78)</f>
        <v>60.180480249999995</v>
      </c>
      <c r="AV78" s="67">
        <v>60.384509999999999</v>
      </c>
      <c r="AW78" s="67">
        <v>59.650008</v>
      </c>
      <c r="AX78" s="313">
        <f>+AX77+AW78-AW77</f>
        <v>59.395827999999995</v>
      </c>
      <c r="AY78" s="313">
        <f>+AY77+AX78-AX77</f>
        <v>58.689500999999986</v>
      </c>
      <c r="AZ78" s="314">
        <f>AVERAGE(AV78:AY78)</f>
        <v>59.529961749999991</v>
      </c>
      <c r="BA78" s="313">
        <f>+BA77+AY78-AY77</f>
        <v>55.082517527058819</v>
      </c>
      <c r="BB78" s="313">
        <f>+BB77+BA78-BA77</f>
        <v>51.898750421810533</v>
      </c>
      <c r="BC78" s="313">
        <f>+BC77+BB78-BB77</f>
        <v>49.052310480722937</v>
      </c>
      <c r="BD78" s="313">
        <f>+BD77+BC78-BC77</f>
        <v>46.480204680772175</v>
      </c>
      <c r="BE78" s="314">
        <f>AVERAGE(BA78:BD78)</f>
        <v>50.628445777591118</v>
      </c>
      <c r="BF78" s="314">
        <f t="shared" ref="BF78" si="138">+BF77+BE78-BE77</f>
        <v>48.487913597444972</v>
      </c>
      <c r="BG78" s="314">
        <f t="shared" ref="BG78" si="139">+BG77+BF78-BF77</f>
        <v>49.606497512381097</v>
      </c>
      <c r="BH78" s="314">
        <f>+BH77+BG78-BG77</f>
        <v>50.753046025190621</v>
      </c>
      <c r="BI78" s="314">
        <f t="shared" ref="BI78" si="140">+BI77+BH78-BH77</f>
        <v>51.928258250820377</v>
      </c>
      <c r="BJ78" s="314">
        <f t="shared" ref="BJ78" si="141">+BJ77+BI78-BI77</f>
        <v>53.132850782090884</v>
      </c>
      <c r="BL78" s="51"/>
      <c r="BM78" s="62"/>
      <c r="BN78" s="61"/>
      <c r="BR78" s="45"/>
    </row>
    <row r="79" spans="2:80">
      <c r="G79" s="63"/>
      <c r="L79" s="63"/>
      <c r="Q79" s="63"/>
      <c r="V79" s="63"/>
      <c r="AA79" s="63"/>
      <c r="AF79" s="63"/>
      <c r="AK79" s="63"/>
      <c r="AO79" s="285"/>
      <c r="AP79" s="63"/>
      <c r="AU79" s="63"/>
      <c r="AZ79" s="63"/>
      <c r="BE79" s="63"/>
      <c r="BF79" s="63"/>
      <c r="BG79" s="63"/>
      <c r="BH79" s="63"/>
      <c r="BI79" s="63"/>
      <c r="BJ79" s="63"/>
      <c r="BK79" s="51"/>
      <c r="BM79" s="60"/>
      <c r="BR79" s="45"/>
    </row>
    <row r="80" spans="2:80" s="51" customFormat="1">
      <c r="B80" s="51" t="s">
        <v>22</v>
      </c>
      <c r="G80" s="52"/>
      <c r="H80" s="179">
        <f>'Cash Flow'!C16+'Cash Flow'!C21+'Cash Flow'!C22</f>
        <v>14.780999999999999</v>
      </c>
      <c r="I80" s="179">
        <f>'Cash Flow'!D16+'Cash Flow'!D21+'Cash Flow'!D22</f>
        <v>17.411999999999999</v>
      </c>
      <c r="J80" s="179">
        <f>'Cash Flow'!E16+'Cash Flow'!E21+'Cash Flow'!E22</f>
        <v>18.934999999999999</v>
      </c>
      <c r="K80" s="179">
        <f>'Cash Flow'!F16+'Cash Flow'!F21+'Cash Flow'!F22</f>
        <v>19.523999999999997</v>
      </c>
      <c r="L80" s="180">
        <f>SUM(H80:K80)</f>
        <v>70.652000000000001</v>
      </c>
      <c r="M80" s="179">
        <f>'Cash Flow'!H16+'Cash Flow'!H21+'Cash Flow'!H22</f>
        <v>21.421000000000003</v>
      </c>
      <c r="N80" s="179">
        <f>'Cash Flow'!I16+'Cash Flow'!I21+'Cash Flow'!I22</f>
        <v>23.857000000000003</v>
      </c>
      <c r="O80" s="179">
        <f>'Cash Flow'!J16+'Cash Flow'!J21+'Cash Flow'!J22</f>
        <v>23.690999999999999</v>
      </c>
      <c r="P80" s="179">
        <f>'Cash Flow'!K16+'Cash Flow'!K21+'Cash Flow'!K22</f>
        <v>32.664000000000001</v>
      </c>
      <c r="Q80" s="180">
        <f>SUM(M80:P80)</f>
        <v>101.63300000000001</v>
      </c>
      <c r="R80" s="179">
        <f>'Cash Flow'!M16+'Cash Flow'!M21+'Cash Flow'!M22</f>
        <v>30.045999999999999</v>
      </c>
      <c r="S80" s="179">
        <f>'Cash Flow'!N16+'Cash Flow'!N21+'Cash Flow'!N22</f>
        <v>30.754000000000001</v>
      </c>
      <c r="T80" s="179">
        <f>'Cash Flow'!O16+'Cash Flow'!O21+'Cash Flow'!O22</f>
        <v>29.227</v>
      </c>
      <c r="U80" s="179">
        <f>'Cash Flow'!P16+'Cash Flow'!P21+'Cash Flow'!P22</f>
        <v>37.470999999999997</v>
      </c>
      <c r="V80" s="180">
        <f>SUM(R80:U80)</f>
        <v>127.49799999999999</v>
      </c>
      <c r="W80" s="218">
        <f>'Cash Flow'!R16+'Cash Flow'!R21+'Cash Flow'!R22</f>
        <v>39.952000000000012</v>
      </c>
      <c r="X80" s="218">
        <f>'Cash Flow'!S16+'Cash Flow'!S21+'Cash Flow'!S22</f>
        <v>46.694000000000003</v>
      </c>
      <c r="Y80" s="218">
        <f>'Cash Flow'!T16+'Cash Flow'!T21+'Cash Flow'!T22</f>
        <v>19.379999999999995</v>
      </c>
      <c r="Z80" s="218">
        <f>'Cash Flow'!U16+'Cash Flow'!U21+'Cash Flow'!U22</f>
        <v>23.17</v>
      </c>
      <c r="AA80" s="180">
        <f>SUM(W80:Z80)</f>
        <v>129.19600000000003</v>
      </c>
      <c r="AB80" s="218">
        <f>'Cash Flow'!AB16+'Cash Flow'!AB21+'Cash Flow'!AB22</f>
        <v>14.639000000000014</v>
      </c>
      <c r="AC80" s="218">
        <f>'Cash Flow'!AC16+'Cash Flow'!AC21+'Cash Flow'!AC22</f>
        <v>14.713999999999992</v>
      </c>
      <c r="AD80" s="218">
        <f>'Cash Flow'!AD16+'Cash Flow'!AD21+'Cash Flow'!AD22</f>
        <v>-8.7069999999999919</v>
      </c>
      <c r="AE80" s="218">
        <f>'Cash Flow'!AE16+'Cash Flow'!AE21+'Cash Flow'!AE22</f>
        <v>7.3390000000000111</v>
      </c>
      <c r="AF80" s="180">
        <f>SUM(AB80:AE80)</f>
        <v>27.985000000000028</v>
      </c>
      <c r="AG80" s="218">
        <f>'Cash Flow'!AG16+'Cash Flow'!AG21+'Cash Flow'!AG22</f>
        <v>-33.586000000000041</v>
      </c>
      <c r="AH80" s="218">
        <f>'Cash Flow'!AH16+'Cash Flow'!AH21+'Cash Flow'!AH22</f>
        <v>-15.885999999999994</v>
      </c>
      <c r="AI80" s="218">
        <f>'Cash Flow'!AI16+'Cash Flow'!AI21+'Cash Flow'!AI22</f>
        <v>-22.606999999999996</v>
      </c>
      <c r="AJ80" s="218">
        <f>'Cash Flow'!AJ16+'Cash Flow'!AJ21+'Cash Flow'!AJ22</f>
        <v>38.584999999999994</v>
      </c>
      <c r="AK80" s="180">
        <f>SUM(AG80:AJ80)</f>
        <v>-33.494000000000042</v>
      </c>
      <c r="AL80" s="218">
        <f>'Cash Flow'!AL16+'Cash Flow'!AL21+'Cash Flow'!AL22</f>
        <v>25.029000000000011</v>
      </c>
      <c r="AM80" s="218">
        <f>'Cash Flow'!AM16+'Cash Flow'!AM21+'Cash Flow'!AM22</f>
        <v>32.01</v>
      </c>
      <c r="AN80" s="218">
        <f>'Cash Flow'!AN16+'Cash Flow'!AN21+'Cash Flow'!AN22</f>
        <v>44.768000000000022</v>
      </c>
      <c r="AO80" s="218">
        <f>'Cash Flow'!AO16+'Cash Flow'!AO21+'Cash Flow'!AO22</f>
        <v>80.390000000000015</v>
      </c>
      <c r="AP80" s="219">
        <f>'Cash Flow'!AP16+'Cash Flow'!AP21+'Cash Flow'!AP22</f>
        <v>182.19700000000009</v>
      </c>
      <c r="AQ80" s="218">
        <f>'Cash Flow'!AQ16+'Cash Flow'!AQ21+'Cash Flow'!AQ22</f>
        <v>105.711</v>
      </c>
      <c r="AR80" s="218">
        <f>'Cash Flow'!AR16+'Cash Flow'!AR21+'Cash Flow'!AR22</f>
        <v>112.83299999999998</v>
      </c>
      <c r="AS80" s="218">
        <f>'Cash Flow'!AS16+'Cash Flow'!AS21+'Cash Flow'!AS22</f>
        <v>127.76100000000002</v>
      </c>
      <c r="AT80" s="218">
        <f>'Cash Flow'!AT16+'Cash Flow'!AT21+'Cash Flow'!AT22</f>
        <v>131.77299999999997</v>
      </c>
      <c r="AU80" s="219">
        <f>'Cash Flow'!AU16+'Cash Flow'!AU21+'Cash Flow'!AU22</f>
        <v>476.15299999999991</v>
      </c>
      <c r="AV80" s="218">
        <f>'Cash Flow'!AV16+'Cash Flow'!AV21+'Cash Flow'!AV22</f>
        <v>142.44100000000003</v>
      </c>
      <c r="AW80" s="218">
        <f>'Cash Flow'!AW16+'Cash Flow'!AW21+'Cash Flow'!AW22</f>
        <v>147.66499999999999</v>
      </c>
      <c r="AX80" s="218">
        <f>'Cash Flow'!AX16+'Cash Flow'!AX21+'Cash Flow'!AX22</f>
        <v>127.28200000000001</v>
      </c>
      <c r="AY80" s="218">
        <f>'Cash Flow'!AY16+'Cash Flow'!AY21+'Cash Flow'!AY22</f>
        <v>155.56900000000002</v>
      </c>
      <c r="AZ80" s="219">
        <f>'Cash Flow'!AZ16+'Cash Flow'!AZ21+'Cash Flow'!AZ22</f>
        <v>91.035711435947093</v>
      </c>
      <c r="BA80" s="218">
        <f>'Cash Flow'!BA16+'Cash Flow'!BA21+'Cash Flow'!BA22</f>
        <v>99.686711435947089</v>
      </c>
      <c r="BB80" s="218">
        <f>'Cash Flow'!BB16+'Cash Flow'!BB21+'Cash Flow'!BB22</f>
        <v>114.31939792964747</v>
      </c>
      <c r="BC80" s="218">
        <f>'Cash Flow'!BC16+'Cash Flow'!BC21+'Cash Flow'!BC22</f>
        <v>135.69804755206155</v>
      </c>
      <c r="BD80" s="218">
        <f>'Cash Flow'!BD16+'Cash Flow'!BD21+'Cash Flow'!BD22</f>
        <v>156.01676974824289</v>
      </c>
      <c r="BE80" s="219">
        <f>'Cash Flow'!BE16+'Cash Flow'!BE21+'Cash Flow'!BE22</f>
        <v>505.72092666589901</v>
      </c>
      <c r="BF80" s="219">
        <f>'Cash Flow'!BF16+'Cash Flow'!BF21+'Cash Flow'!BF22</f>
        <v>640.95051221325764</v>
      </c>
      <c r="BG80" s="219">
        <f>'Cash Flow'!BG16+'Cash Flow'!BG21+'Cash Flow'!BG22</f>
        <v>748.35542019353386</v>
      </c>
      <c r="BH80" s="219">
        <f>'Cash Flow'!BH16+'Cash Flow'!BH21+'Cash Flow'!BH22</f>
        <v>867.98082682906727</v>
      </c>
      <c r="BI80" s="219">
        <f>'Cash Flow'!BI16+'Cash Flow'!BI21+'Cash Flow'!BI22</f>
        <v>985.55213656827266</v>
      </c>
      <c r="BJ80" s="219">
        <f>'Cash Flow'!BJ16+'Cash Flow'!BJ21+'Cash Flow'!BJ22</f>
        <v>1100.1974878313274</v>
      </c>
      <c r="BK80" s="45"/>
      <c r="BL80" s="45"/>
      <c r="BM80" s="60"/>
      <c r="BN80" s="45"/>
      <c r="BO80" s="45"/>
      <c r="BP80" s="45"/>
      <c r="BQ80" s="45"/>
      <c r="BR80" s="45"/>
      <c r="BS80" s="45"/>
      <c r="BT80" s="45"/>
      <c r="BU80" s="45"/>
      <c r="BV80" s="45"/>
      <c r="BW80" s="45"/>
      <c r="BX80" s="45"/>
      <c r="BY80" s="45"/>
      <c r="BZ80" s="45"/>
      <c r="CA80" s="45"/>
    </row>
    <row r="81" spans="2:79">
      <c r="B81" s="51" t="s">
        <v>23</v>
      </c>
      <c r="C81" s="51"/>
      <c r="D81" s="51"/>
      <c r="E81" s="51"/>
      <c r="F81" s="51"/>
      <c r="G81" s="52"/>
      <c r="H81" s="65">
        <f>H80/H78</f>
        <v>0.26632718914111558</v>
      </c>
      <c r="I81" s="65">
        <f>I80/I78</f>
        <v>0.31162930888325902</v>
      </c>
      <c r="J81" s="65">
        <f>J80/J78</f>
        <v>0.3573725157301943</v>
      </c>
      <c r="K81" s="65">
        <f>K80/K78</f>
        <v>0.34517934607608042</v>
      </c>
      <c r="L81" s="66">
        <f>SUM(H81:K81)</f>
        <v>1.2805083598306493</v>
      </c>
      <c r="M81" s="65">
        <f>M80/M78</f>
        <v>0.45744561013124263</v>
      </c>
      <c r="N81" s="65">
        <f>N80/N78</f>
        <v>0.50025857981628052</v>
      </c>
      <c r="O81" s="65">
        <f>O80/O78</f>
        <v>0.48849042252782315</v>
      </c>
      <c r="P81" s="65">
        <f>P80/P78</f>
        <v>0.66588386307801806</v>
      </c>
      <c r="Q81" s="66">
        <f>SUM(M81:P81)</f>
        <v>2.1120784755533641</v>
      </c>
      <c r="R81" s="65">
        <f>R80/R78</f>
        <v>0.60622609085639512</v>
      </c>
      <c r="S81" s="65">
        <f>S80/S78</f>
        <v>0.61173969328317812</v>
      </c>
      <c r="T81" s="65">
        <f>T80/T78</f>
        <v>0.57463046318455457</v>
      </c>
      <c r="U81" s="65">
        <f>U80/U78</f>
        <v>0.73012776115424527</v>
      </c>
      <c r="V81" s="66">
        <f>SUM(R81:U81)</f>
        <v>2.5227240084783733</v>
      </c>
      <c r="W81" s="65">
        <f>W80/W78</f>
        <v>0.77070407806858865</v>
      </c>
      <c r="X81" s="65">
        <f>X80/X78</f>
        <v>0.8537086165278347</v>
      </c>
      <c r="Y81" s="65">
        <f>Y80/Y78</f>
        <v>0.35009147268759921</v>
      </c>
      <c r="Z81" s="65">
        <f>Z80/Z78</f>
        <v>0.41516250888670853</v>
      </c>
      <c r="AA81" s="66">
        <f>SUM(W81:Z81)</f>
        <v>2.389666676170731</v>
      </c>
      <c r="AB81" s="65">
        <f>AB80/AB78</f>
        <v>0.26010757071167101</v>
      </c>
      <c r="AC81" s="65">
        <f>AC80/AC78</f>
        <v>0.22654891891561052</v>
      </c>
      <c r="AD81" s="65">
        <f>AD80/AD78</f>
        <v>-0.14379886273216869</v>
      </c>
      <c r="AE81" s="65">
        <f>AE80/AE78</f>
        <v>0.11431409866355013</v>
      </c>
      <c r="AF81" s="66">
        <f>SUM(AB81:AE81)</f>
        <v>0.45717172555866298</v>
      </c>
      <c r="AG81" s="65">
        <f>AG80/AG78</f>
        <v>-0.5137237791091156</v>
      </c>
      <c r="AH81" s="65">
        <f>AH80/AH78</f>
        <v>-0.24078173581259998</v>
      </c>
      <c r="AI81" s="65">
        <f>AI80/AI78</f>
        <v>-0.3413845750165988</v>
      </c>
      <c r="AJ81" s="65">
        <f>AJ80/AJ78</f>
        <v>0.58778915520858643</v>
      </c>
      <c r="AK81" s="66">
        <f>SUM(AG81:AJ81)</f>
        <v>-0.50810093472972795</v>
      </c>
      <c r="AL81" s="65">
        <f t="shared" ref="AL81:AU81" si="142">AL80/AL78</f>
        <v>0.39048516717231829</v>
      </c>
      <c r="AM81" s="65">
        <f t="shared" si="142"/>
        <v>0.48920364539090311</v>
      </c>
      <c r="AN81" s="65">
        <f t="shared" si="142"/>
        <v>0.72674481132240132</v>
      </c>
      <c r="AO81" s="65">
        <f t="shared" si="142"/>
        <v>1.293485235064755</v>
      </c>
      <c r="AP81" s="66">
        <f t="shared" si="142"/>
        <v>2.8773926666103145</v>
      </c>
      <c r="AQ81" s="65">
        <f t="shared" si="142"/>
        <v>1.7510480182484942</v>
      </c>
      <c r="AR81" s="65">
        <f t="shared" si="142"/>
        <v>1.8955113341441103</v>
      </c>
      <c r="AS81" s="65">
        <f t="shared" si="142"/>
        <v>2.1964591107563236</v>
      </c>
      <c r="AT81" s="65">
        <f t="shared" si="142"/>
        <v>2.1030323545526168</v>
      </c>
      <c r="AU81" s="66">
        <f t="shared" si="142"/>
        <v>7.9120837524389804</v>
      </c>
      <c r="AV81" s="65">
        <f t="shared" ref="AV81:AY81" si="143">AV80/AV78</f>
        <v>2.3588996582070472</v>
      </c>
      <c r="AW81" s="65">
        <f t="shared" si="143"/>
        <v>2.4755235573480561</v>
      </c>
      <c r="AX81" s="65">
        <f t="shared" si="143"/>
        <v>2.1429451240245361</v>
      </c>
      <c r="AY81" s="65">
        <f t="shared" si="143"/>
        <v>2.6507126036052013</v>
      </c>
      <c r="AZ81" s="66">
        <f t="shared" ref="AZ81:BI81" si="144">AZ80/AZ78</f>
        <v>1.5292418936578118</v>
      </c>
      <c r="BA81" s="65">
        <f t="shared" si="144"/>
        <v>1.8097704301002009</v>
      </c>
      <c r="BB81" s="65">
        <f t="shared" si="144"/>
        <v>2.2027389291747679</v>
      </c>
      <c r="BC81" s="65">
        <f t="shared" si="144"/>
        <v>2.7663946146917895</v>
      </c>
      <c r="BD81" s="65">
        <f t="shared" si="144"/>
        <v>3.3566282855200842</v>
      </c>
      <c r="BE81" s="66">
        <f t="shared" ref="BE81" si="145">BE80/BE78</f>
        <v>9.9888692788933771</v>
      </c>
      <c r="BF81" s="66">
        <f t="shared" si="144"/>
        <v>13.218768650978456</v>
      </c>
      <c r="BG81" s="66">
        <f t="shared" si="144"/>
        <v>15.085834673305744</v>
      </c>
      <c r="BH81" s="66">
        <f t="shared" si="144"/>
        <v>17.102044011274835</v>
      </c>
      <c r="BI81" s="66">
        <f t="shared" si="144"/>
        <v>18.97911021409432</v>
      </c>
      <c r="BJ81" s="66">
        <f>BJ80/BJ$78</f>
        <v>20.706539770347938</v>
      </c>
      <c r="BM81" s="60"/>
      <c r="BR81" s="45"/>
    </row>
    <row r="82" spans="2:79">
      <c r="B82" s="51" t="s">
        <v>322</v>
      </c>
      <c r="C82" s="51"/>
      <c r="D82" s="51"/>
      <c r="E82" s="51"/>
      <c r="F82" s="51"/>
      <c r="G82" s="52"/>
      <c r="H82" s="65"/>
      <c r="I82" s="65"/>
      <c r="J82" s="65"/>
      <c r="K82" s="65"/>
      <c r="L82" s="66"/>
      <c r="M82" s="65"/>
      <c r="N82" s="65"/>
      <c r="O82" s="65"/>
      <c r="P82" s="65"/>
      <c r="Q82" s="66"/>
      <c r="R82" s="179"/>
      <c r="S82" s="179"/>
      <c r="T82" s="179"/>
      <c r="U82" s="179"/>
      <c r="V82" s="180"/>
      <c r="W82" s="218">
        <f>+'Cash Flow'!R48</f>
        <v>40.435000000000009</v>
      </c>
      <c r="X82" s="218">
        <f>+'Cash Flow'!S48</f>
        <v>47.102000000000004</v>
      </c>
      <c r="Y82" s="218">
        <f>+'Cash Flow'!T48</f>
        <v>20.158999999999995</v>
      </c>
      <c r="Z82" s="218">
        <f>+'Cash Flow'!U48</f>
        <v>23.962000000000003</v>
      </c>
      <c r="AA82" s="180">
        <f>+'Cash Flow'!V48</f>
        <v>131.65800000000002</v>
      </c>
      <c r="AB82" s="218">
        <f>+'Cash Flow'!AB48</f>
        <v>15.474000000000014</v>
      </c>
      <c r="AC82" s="218">
        <f>+'Cash Flow'!AC48</f>
        <v>16.910999999999991</v>
      </c>
      <c r="AD82" s="249">
        <f>+'Cash Flow'!AD48</f>
        <v>1.6630000000000074</v>
      </c>
      <c r="AE82" s="249">
        <f>+'Cash Flow'!AE48</f>
        <v>17.339000000000013</v>
      </c>
      <c r="AF82" s="180">
        <f>+'Cash Flow'!AF48</f>
        <v>51.387000000000029</v>
      </c>
      <c r="AG82" s="249">
        <f>+'Cash Flow'!AG48</f>
        <v>-13.586000000000041</v>
      </c>
      <c r="AH82" s="249">
        <f>+'Cash Flow'!AH48</f>
        <v>-5.9859999999999935</v>
      </c>
      <c r="AI82" s="248">
        <f>+'Cash Flow'!AI48</f>
        <v>4.5590000000000046</v>
      </c>
      <c r="AJ82" s="248">
        <f>+'Cash Flow'!AJ48</f>
        <v>51.984999999999992</v>
      </c>
      <c r="AK82" s="180">
        <f>+'Cash Flow'!AK48</f>
        <v>36.971999999999966</v>
      </c>
      <c r="AL82" s="218">
        <f>+'Cash Flow'!AL48</f>
        <v>44.029000000000011</v>
      </c>
      <c r="AM82" s="218">
        <f>+'Cash Flow'!AM48</f>
        <v>49.093000000000004</v>
      </c>
      <c r="AN82" s="218">
        <f>+'Cash Flow'!AN48</f>
        <v>62.811000000000021</v>
      </c>
      <c r="AO82" s="218">
        <f>+'Cash Flow'!AO48</f>
        <v>90.125000000000014</v>
      </c>
      <c r="AP82" s="219">
        <f>+'Cash Flow'!AP48</f>
        <v>246.05800000000005</v>
      </c>
      <c r="AQ82" s="218">
        <f>+'Cash Flow'!AQ48</f>
        <v>111.07299999999999</v>
      </c>
      <c r="AR82" s="218">
        <f>+'Cash Flow'!AR48</f>
        <v>117.79599999999998</v>
      </c>
      <c r="AS82" s="218">
        <f>+'Cash Flow'!AS48</f>
        <v>127.76100000000002</v>
      </c>
      <c r="AT82" s="218">
        <f>+'Cash Flow'!AT48</f>
        <v>131.77299999999997</v>
      </c>
      <c r="AU82" s="219">
        <f>+'Cash Flow'!AU48</f>
        <v>488.40299999999996</v>
      </c>
      <c r="AV82" s="218">
        <f>+'Cash Flow'!AV48</f>
        <v>142.44100000000003</v>
      </c>
      <c r="AW82" s="218">
        <f>+'Cash Flow'!AW48</f>
        <v>147.66499999999999</v>
      </c>
      <c r="AX82" s="218">
        <f>+'Cash Flow'!AX48</f>
        <v>159.41000000000003</v>
      </c>
      <c r="AY82" s="218">
        <f>+'Cash Flow'!AY48</f>
        <v>155.56900000000002</v>
      </c>
      <c r="AZ82" s="219">
        <f>+'Cash Flow'!AZ48</f>
        <v>99.686711435947089</v>
      </c>
      <c r="BA82" s="218">
        <f>+'Cash Flow'!BA48</f>
        <v>99.686711435947089</v>
      </c>
      <c r="BB82" s="218">
        <f>+'Cash Flow'!BB48</f>
        <v>114.31939792964747</v>
      </c>
      <c r="BC82" s="218">
        <f>+'Cash Flow'!BC48</f>
        <v>135.69804755206155</v>
      </c>
      <c r="BD82" s="218">
        <f>+'Cash Flow'!BD48</f>
        <v>156.01676974824289</v>
      </c>
      <c r="BE82" s="219">
        <f>+'Cash Flow'!BE48</f>
        <v>505.72092666589901</v>
      </c>
      <c r="BF82" s="219">
        <f>+'Cash Flow'!BF48</f>
        <v>640.95051221325764</v>
      </c>
      <c r="BG82" s="219">
        <f>+'Cash Flow'!BG48</f>
        <v>748.35542019353386</v>
      </c>
      <c r="BH82" s="219">
        <f>+'Cash Flow'!BH48</f>
        <v>867.98082682906727</v>
      </c>
      <c r="BI82" s="219">
        <f>+'Cash Flow'!BI48</f>
        <v>985.55213656827266</v>
      </c>
      <c r="BJ82" s="219">
        <f>+'Cash Flow'!BJ48</f>
        <v>1100.1974878313274</v>
      </c>
      <c r="BM82" s="60"/>
      <c r="BR82" s="45"/>
    </row>
    <row r="83" spans="2:79">
      <c r="B83" s="51" t="s">
        <v>256</v>
      </c>
      <c r="C83" s="51"/>
      <c r="D83" s="51"/>
      <c r="E83" s="51"/>
      <c r="F83" s="51"/>
      <c r="G83" s="52"/>
      <c r="H83" s="65"/>
      <c r="I83" s="65"/>
      <c r="J83" s="65"/>
      <c r="K83" s="65"/>
      <c r="L83" s="66"/>
      <c r="M83" s="65"/>
      <c r="N83" s="65"/>
      <c r="O83" s="65"/>
      <c r="P83" s="65"/>
      <c r="Q83" s="66"/>
      <c r="R83" s="65"/>
      <c r="S83" s="65"/>
      <c r="T83" s="65"/>
      <c r="U83" s="65"/>
      <c r="V83" s="66"/>
      <c r="W83" s="65">
        <f t="shared" ref="W83:BJ83" si="146">W82/W$78</f>
        <v>0.78002151073046111</v>
      </c>
      <c r="X83" s="65">
        <f t="shared" si="146"/>
        <v>0.86116809987780174</v>
      </c>
      <c r="Y83" s="65">
        <f t="shared" si="146"/>
        <v>0.36416377698190472</v>
      </c>
      <c r="Z83" s="65">
        <f t="shared" si="146"/>
        <v>0.4293536485948774</v>
      </c>
      <c r="AA83" s="66">
        <f t="shared" si="146"/>
        <v>2.4190696396300893</v>
      </c>
      <c r="AB83" s="65">
        <f t="shared" si="146"/>
        <v>0.27494395444992126</v>
      </c>
      <c r="AC83" s="65">
        <f t="shared" si="146"/>
        <v>0.2603757487958332</v>
      </c>
      <c r="AD83" s="65">
        <f t="shared" si="146"/>
        <v>2.7464971715125509E-2</v>
      </c>
      <c r="AE83" s="65">
        <f t="shared" si="146"/>
        <v>0.27007659854575478</v>
      </c>
      <c r="AF83" s="66">
        <f t="shared" si="146"/>
        <v>0.83563175293985503</v>
      </c>
      <c r="AG83" s="65">
        <f t="shared" si="146"/>
        <v>-0.2078083505918078</v>
      </c>
      <c r="AH83" s="65">
        <f t="shared" si="146"/>
        <v>-9.0728910397470885E-2</v>
      </c>
      <c r="AI83" s="65">
        <f t="shared" si="146"/>
        <v>6.8844706396278835E-2</v>
      </c>
      <c r="AJ83" s="65">
        <f t="shared" si="146"/>
        <v>0.79191963803339027</v>
      </c>
      <c r="AK83" s="66">
        <f t="shared" si="146"/>
        <v>0.56184158761552283</v>
      </c>
      <c r="AL83" s="65">
        <f>AL82/AL$78</f>
        <v>0.68691004136921163</v>
      </c>
      <c r="AM83" s="65">
        <f>AM82/AM$78</f>
        <v>0.75028036748439886</v>
      </c>
      <c r="AN83" s="65">
        <f>AN82/AN$78</f>
        <v>1.0196472557177301</v>
      </c>
      <c r="AO83" s="65">
        <f>AO82/AO$78</f>
        <v>1.450122612392226</v>
      </c>
      <c r="AP83" s="66">
        <f t="shared" si="146"/>
        <v>3.885933823064049</v>
      </c>
      <c r="AQ83" s="65">
        <f>AQ82/AQ$78</f>
        <v>1.8398667738543291</v>
      </c>
      <c r="AR83" s="65">
        <f>AR82/AR$78</f>
        <v>1.9788860804626272</v>
      </c>
      <c r="AS83" s="65">
        <f>AS82/AS$78</f>
        <v>2.1964591107563236</v>
      </c>
      <c r="AT83" s="65">
        <f>AT82/AT$78</f>
        <v>2.1030323545526168</v>
      </c>
      <c r="AU83" s="66">
        <f t="shared" ref="AU83" si="147">AU82/AU$78</f>
        <v>8.1156381266997286</v>
      </c>
      <c r="AV83" s="65">
        <f t="shared" ref="AV83:BD83" si="148">AV82/AV$78</f>
        <v>2.3588996582070472</v>
      </c>
      <c r="AW83" s="65">
        <f t="shared" si="148"/>
        <v>2.4755235573480561</v>
      </c>
      <c r="AX83" s="65">
        <f t="shared" si="148"/>
        <v>2.6838585363268281</v>
      </c>
      <c r="AY83" s="65">
        <f t="shared" si="148"/>
        <v>2.6507126036052013</v>
      </c>
      <c r="AZ83" s="66">
        <f t="shared" si="148"/>
        <v>1.674563673576476</v>
      </c>
      <c r="BA83" s="65">
        <f t="shared" si="148"/>
        <v>1.8097704301002009</v>
      </c>
      <c r="BB83" s="65">
        <f t="shared" si="148"/>
        <v>2.2027389291747679</v>
      </c>
      <c r="BC83" s="65">
        <f t="shared" si="148"/>
        <v>2.7663946146917895</v>
      </c>
      <c r="BD83" s="65">
        <f t="shared" si="148"/>
        <v>3.3566282855200842</v>
      </c>
      <c r="BE83" s="66">
        <f t="shared" ref="BE83" si="149">BE82/BE$78</f>
        <v>9.9888692788933771</v>
      </c>
      <c r="BF83" s="66">
        <f t="shared" si="146"/>
        <v>13.218768650978456</v>
      </c>
      <c r="BG83" s="66">
        <f t="shared" si="146"/>
        <v>15.085834673305744</v>
      </c>
      <c r="BH83" s="66">
        <f t="shared" si="146"/>
        <v>17.102044011274835</v>
      </c>
      <c r="BI83" s="66">
        <f t="shared" si="146"/>
        <v>18.97911021409432</v>
      </c>
      <c r="BJ83" s="66">
        <f t="shared" si="146"/>
        <v>20.706539770347938</v>
      </c>
      <c r="BM83" s="60"/>
      <c r="BR83" s="45"/>
    </row>
    <row r="84" spans="2:79">
      <c r="B84" s="51" t="s">
        <v>293</v>
      </c>
      <c r="C84" s="51"/>
      <c r="D84" s="51"/>
      <c r="E84" s="51"/>
      <c r="F84" s="51"/>
      <c r="G84" s="52"/>
      <c r="H84" s="65"/>
      <c r="I84" s="65"/>
      <c r="J84" s="65"/>
      <c r="K84" s="65"/>
      <c r="L84" s="66"/>
      <c r="M84" s="65"/>
      <c r="N84" s="65"/>
      <c r="O84" s="65"/>
      <c r="P84" s="65"/>
      <c r="Q84" s="66"/>
      <c r="R84" s="65"/>
      <c r="S84" s="65"/>
      <c r="T84" s="65"/>
      <c r="U84" s="65"/>
      <c r="V84" s="66"/>
      <c r="W84" s="65"/>
      <c r="X84" s="65"/>
      <c r="Y84" s="65"/>
      <c r="Z84" s="65"/>
      <c r="AA84" s="275">
        <f>+AA82/AA13</f>
        <v>0.13315465835996604</v>
      </c>
      <c r="AB84" s="65"/>
      <c r="AC84" s="65"/>
      <c r="AD84" s="65"/>
      <c r="AE84" s="65"/>
      <c r="AF84" s="275">
        <f>+AF82/AF13</f>
        <v>4.0473135657898181E-2</v>
      </c>
      <c r="AG84" s="65"/>
      <c r="AH84" s="65"/>
      <c r="AI84" s="65"/>
      <c r="AJ84" s="65"/>
      <c r="AK84" s="275">
        <f t="shared" ref="AK84:BD84" si="150">+AK82/AK13</f>
        <v>2.6643298891808234E-2</v>
      </c>
      <c r="AL84" s="276">
        <f t="shared" si="150"/>
        <v>0.11770068114500799</v>
      </c>
      <c r="AM84" s="276">
        <f t="shared" si="150"/>
        <v>0.12588691127938317</v>
      </c>
      <c r="AN84" s="276">
        <f t="shared" si="150"/>
        <v>0.1594831416739243</v>
      </c>
      <c r="AO84" s="276">
        <f t="shared" si="150"/>
        <v>0.22320820465065597</v>
      </c>
      <c r="AP84" s="275">
        <f t="shared" si="150"/>
        <v>0.15756132076981944</v>
      </c>
      <c r="AQ84" s="276">
        <f t="shared" si="150"/>
        <v>0.26460064415307211</v>
      </c>
      <c r="AR84" s="276">
        <f t="shared" si="150"/>
        <v>0.27033179880021846</v>
      </c>
      <c r="AS84" s="276">
        <f t="shared" si="150"/>
        <v>0.2873144985191366</v>
      </c>
      <c r="AT84" s="276">
        <f t="shared" si="150"/>
        <v>0.28617997415599777</v>
      </c>
      <c r="AU84" s="275">
        <f t="shared" si="150"/>
        <v>0.27739925595660692</v>
      </c>
      <c r="AV84" s="276">
        <f t="shared" ref="AV84:AY84" si="151">+AV82/AV13</f>
        <v>0.30072986228256682</v>
      </c>
      <c r="AW84" s="276">
        <f>+AW82/AW13</f>
        <v>0.30140020002857548</v>
      </c>
      <c r="AX84" s="276">
        <f>+AX82/AX13</f>
        <v>0.31554214816486348</v>
      </c>
      <c r="AY84" s="276">
        <f t="shared" si="151"/>
        <v>0.29673507302548885</v>
      </c>
      <c r="AZ84" s="275">
        <f t="shared" si="150"/>
        <v>5.0017315942822681E-2</v>
      </c>
      <c r="BA84" s="331">
        <f t="shared" si="150"/>
        <v>0.18398413444280956</v>
      </c>
      <c r="BB84" s="331">
        <f t="shared" si="150"/>
        <v>0.20293095719094814</v>
      </c>
      <c r="BC84" s="331">
        <f t="shared" si="150"/>
        <v>0.23136115349194572</v>
      </c>
      <c r="BD84" s="331">
        <f t="shared" si="150"/>
        <v>0.25463944081965362</v>
      </c>
      <c r="BE84" s="275">
        <f t="shared" ref="BE84" si="152">+BE82/BE13</f>
        <v>0.21946064723330727</v>
      </c>
      <c r="BF84" s="275">
        <f>+BF82/BF13</f>
        <v>0.24891393142940232</v>
      </c>
      <c r="BG84" s="275">
        <f t="shared" ref="BG84:BJ84" si="153">+BG82/BG13</f>
        <v>0.26542774953110077</v>
      </c>
      <c r="BH84" s="275">
        <f t="shared" si="153"/>
        <v>0.28587665708596888</v>
      </c>
      <c r="BI84" s="275">
        <f t="shared" si="153"/>
        <v>0.30553469400752536</v>
      </c>
      <c r="BJ84" s="275">
        <f t="shared" si="153"/>
        <v>0.32441591502996869</v>
      </c>
      <c r="BM84" s="60"/>
      <c r="BR84" s="45"/>
    </row>
    <row r="85" spans="2:79" s="310" customFormat="1">
      <c r="B85" s="310" t="s">
        <v>315</v>
      </c>
      <c r="G85" s="226"/>
      <c r="L85" s="226"/>
      <c r="Q85" s="226"/>
      <c r="V85" s="226"/>
      <c r="AA85" s="226"/>
      <c r="AF85" s="226"/>
      <c r="AK85" s="226">
        <f>+AK84+AK112</f>
        <v>0.11958887395656988</v>
      </c>
      <c r="AP85" s="226">
        <f>+AP84+AP112</f>
        <v>0.28295100387800254</v>
      </c>
      <c r="AU85" s="226">
        <f>+AU84+AU112</f>
        <v>0.40481774839896828</v>
      </c>
      <c r="AZ85" s="226">
        <f>+AZ84+AZ112</f>
        <v>0.18201061387256448</v>
      </c>
      <c r="BE85" s="226">
        <f>+BE84+BE112</f>
        <v>0.37567240829944393</v>
      </c>
      <c r="BF85" s="226">
        <f t="shared" ref="BF85:BJ85" si="154">+BF84+BF112</f>
        <v>0.3663457286337285</v>
      </c>
      <c r="BG85" s="226">
        <f t="shared" si="154"/>
        <v>0.36035758266233414</v>
      </c>
      <c r="BH85" s="226">
        <f t="shared" si="154"/>
        <v>0.36276296040963285</v>
      </c>
      <c r="BI85" s="226">
        <f t="shared" si="154"/>
        <v>0.36793364822948033</v>
      </c>
      <c r="BJ85" s="226">
        <f t="shared" si="154"/>
        <v>0.37577101563578086</v>
      </c>
    </row>
    <row r="86" spans="2:79">
      <c r="G86" s="63"/>
      <c r="L86" s="63"/>
      <c r="Q86" s="63"/>
      <c r="V86" s="63"/>
      <c r="AA86" s="63"/>
      <c r="AF86" s="63"/>
      <c r="AK86" s="64"/>
      <c r="AP86" s="64"/>
      <c r="AU86" s="64"/>
      <c r="AZ86" s="64"/>
      <c r="BE86" s="64"/>
      <c r="BF86" s="64"/>
      <c r="BG86" s="64"/>
      <c r="BH86" s="64"/>
      <c r="BI86" s="64"/>
      <c r="BJ86" s="64"/>
      <c r="BM86" s="60"/>
      <c r="BR86" s="45"/>
    </row>
    <row r="87" spans="2:79" hidden="1" outlineLevel="1">
      <c r="B87" s="166" t="s">
        <v>276</v>
      </c>
      <c r="G87" s="63"/>
      <c r="L87" s="63"/>
      <c r="Q87" s="63"/>
      <c r="V87" s="63"/>
      <c r="AA87" s="63"/>
      <c r="AF87" s="63"/>
      <c r="AK87" s="63"/>
      <c r="AP87" s="64"/>
      <c r="AU87" s="282"/>
      <c r="AZ87" s="282"/>
      <c r="BE87" s="282"/>
      <c r="BF87" s="64"/>
      <c r="BG87" s="64"/>
      <c r="BH87" s="64"/>
      <c r="BI87" s="63"/>
      <c r="BJ87" s="63"/>
      <c r="BM87" s="60"/>
      <c r="BR87" s="45"/>
    </row>
    <row r="88" spans="2:79" hidden="1" outlineLevel="1">
      <c r="B88" s="45" t="s">
        <v>214</v>
      </c>
      <c r="G88" s="63"/>
      <c r="L88" s="63"/>
      <c r="Q88" s="63"/>
      <c r="V88" s="63"/>
      <c r="AA88" s="63"/>
      <c r="AF88" s="63"/>
      <c r="AJ88" s="98">
        <v>50</v>
      </c>
      <c r="AK88" s="63"/>
      <c r="AP88" s="186">
        <v>240</v>
      </c>
      <c r="AU88" s="186">
        <v>488</v>
      </c>
      <c r="AZ88" s="186"/>
      <c r="BE88" s="186"/>
      <c r="BF88" s="63"/>
      <c r="BG88" s="63"/>
      <c r="BH88" s="63"/>
      <c r="BI88" s="63"/>
      <c r="BJ88" s="63"/>
      <c r="BM88" s="60"/>
      <c r="BR88" s="45"/>
    </row>
    <row r="89" spans="2:79" hidden="1" outlineLevel="1">
      <c r="B89" s="45" t="s">
        <v>215</v>
      </c>
      <c r="G89" s="63"/>
      <c r="L89" s="63"/>
      <c r="Q89" s="63"/>
      <c r="V89" s="63"/>
      <c r="AA89" s="63"/>
      <c r="AF89" s="63"/>
      <c r="AJ89" s="56">
        <f>AVERAGE(AJ88,AJ90)</f>
        <v>48.5</v>
      </c>
      <c r="AK89" s="63"/>
      <c r="AP89" s="99">
        <f>AVERAGE(AP88,AP90)</f>
        <v>237.5</v>
      </c>
      <c r="AU89" s="99">
        <f>AVERAGE(AU88,AU90)</f>
        <v>485.5</v>
      </c>
      <c r="AZ89" s="99">
        <v>600</v>
      </c>
      <c r="BE89" s="99"/>
      <c r="BF89" s="63"/>
      <c r="BG89" s="63"/>
      <c r="BH89" s="63"/>
      <c r="BI89" s="63"/>
      <c r="BJ89" s="63"/>
      <c r="BM89" s="60"/>
      <c r="BR89" s="45"/>
    </row>
    <row r="90" spans="2:79" hidden="1" outlineLevel="1">
      <c r="B90" s="45" t="s">
        <v>216</v>
      </c>
      <c r="G90" s="63"/>
      <c r="L90" s="63"/>
      <c r="Q90" s="63"/>
      <c r="V90" s="63"/>
      <c r="AA90" s="63"/>
      <c r="AF90" s="63"/>
      <c r="AJ90" s="98">
        <v>47</v>
      </c>
      <c r="AK90" s="63"/>
      <c r="AP90" s="186">
        <v>235</v>
      </c>
      <c r="AU90" s="186">
        <v>483</v>
      </c>
      <c r="AZ90" s="186"/>
      <c r="BE90" s="186"/>
      <c r="BF90" s="63"/>
      <c r="BG90" s="63"/>
      <c r="BH90" s="63"/>
      <c r="BI90" s="63"/>
      <c r="BJ90" s="63"/>
      <c r="BM90" s="60"/>
      <c r="BR90" s="45"/>
    </row>
    <row r="91" spans="2:79" hidden="1" outlineLevel="1">
      <c r="B91" s="45" t="s">
        <v>217</v>
      </c>
      <c r="G91" s="63"/>
      <c r="L91" s="63"/>
      <c r="Q91" s="63"/>
      <c r="V91" s="63"/>
      <c r="AA91" s="63"/>
      <c r="AF91" s="63"/>
      <c r="AJ91" s="53">
        <f>AJ82/AJ89-1</f>
        <v>7.1855670103092573E-2</v>
      </c>
      <c r="AK91" s="63"/>
      <c r="AP91" s="74">
        <f>AP82/AP89-1</f>
        <v>3.603368421052644E-2</v>
      </c>
      <c r="AU91" s="74">
        <f>AU82/AU89-1</f>
        <v>5.9794026776518461E-3</v>
      </c>
      <c r="AZ91" s="74">
        <f>AZ82/AZ89-1</f>
        <v>-0.83385548094008821</v>
      </c>
      <c r="BE91" s="74"/>
      <c r="BF91" s="63"/>
      <c r="BG91" s="63"/>
      <c r="BH91" s="63"/>
      <c r="BI91" s="63"/>
      <c r="BJ91" s="63"/>
      <c r="BM91" s="60"/>
      <c r="BR91" s="45"/>
    </row>
    <row r="92" spans="2:79" hidden="1" outlineLevel="1">
      <c r="G92" s="63"/>
      <c r="L92" s="63"/>
      <c r="Q92" s="63"/>
      <c r="V92" s="63"/>
      <c r="AA92" s="63"/>
      <c r="AF92" s="63"/>
      <c r="AK92" s="63"/>
      <c r="AP92" s="63"/>
      <c r="AU92" s="63"/>
      <c r="AZ92" s="63"/>
      <c r="BE92" s="63"/>
      <c r="BF92" s="63"/>
      <c r="BG92" s="63"/>
      <c r="BH92" s="63"/>
      <c r="BI92" s="63"/>
      <c r="BJ92" s="63"/>
      <c r="BM92" s="60"/>
      <c r="BR92" s="45"/>
    </row>
    <row r="93" spans="2:79" collapsed="1">
      <c r="B93" s="51" t="s">
        <v>31</v>
      </c>
      <c r="G93" s="63"/>
      <c r="L93" s="63"/>
      <c r="Q93" s="63"/>
      <c r="V93" s="63"/>
      <c r="AA93" s="63"/>
      <c r="AF93" s="63"/>
      <c r="AK93" s="63"/>
      <c r="AP93" s="229"/>
      <c r="AU93" s="229"/>
      <c r="AZ93" s="63"/>
      <c r="BE93" s="63"/>
      <c r="BF93" s="63"/>
      <c r="BG93" s="63"/>
      <c r="BH93" s="63"/>
      <c r="BI93" s="63"/>
      <c r="BJ93" s="63"/>
      <c r="BR93" s="45"/>
    </row>
    <row r="94" spans="2:79">
      <c r="B94" s="45" t="str">
        <f>+B5</f>
        <v>Change in deferred revenue</v>
      </c>
      <c r="C94" s="70">
        <f t="shared" ref="C94:AF94" si="155">+C5/C13</f>
        <v>0.22906315960383178</v>
      </c>
      <c r="D94" s="70">
        <f t="shared" si="155"/>
        <v>0.18511567001309473</v>
      </c>
      <c r="E94" s="70">
        <f t="shared" si="155"/>
        <v>0.15419918000264515</v>
      </c>
      <c r="F94" s="70">
        <f t="shared" si="155"/>
        <v>0.16008553100498932</v>
      </c>
      <c r="G94" s="71">
        <f t="shared" si="155"/>
        <v>0.1791251594222881</v>
      </c>
      <c r="H94" s="70">
        <f t="shared" si="155"/>
        <v>0.23782148260211797</v>
      </c>
      <c r="I94" s="70">
        <f t="shared" si="155"/>
        <v>0.13136591962905719</v>
      </c>
      <c r="J94" s="70">
        <f t="shared" si="155"/>
        <v>8.1851751778798512E-2</v>
      </c>
      <c r="K94" s="70">
        <f t="shared" si="155"/>
        <v>0.11521849164838872</v>
      </c>
      <c r="L94" s="71">
        <f t="shared" si="155"/>
        <v>0.1370979489227733</v>
      </c>
      <c r="M94" s="70">
        <f t="shared" si="155"/>
        <v>0.15880965342043182</v>
      </c>
      <c r="N94" s="70">
        <f t="shared" si="155"/>
        <v>9.4181972463252439E-2</v>
      </c>
      <c r="O94" s="70">
        <f t="shared" si="155"/>
        <v>4.6124678663238834E-2</v>
      </c>
      <c r="P94" s="70">
        <f t="shared" si="155"/>
        <v>7.223639895978605E-2</v>
      </c>
      <c r="Q94" s="71">
        <f t="shared" si="155"/>
        <v>9.057584511614955E-2</v>
      </c>
      <c r="R94" s="70">
        <f t="shared" si="155"/>
        <v>0.14968730277124334</v>
      </c>
      <c r="S94" s="70">
        <f t="shared" si="155"/>
        <v>7.628128724672216E-2</v>
      </c>
      <c r="T94" s="70">
        <f t="shared" si="155"/>
        <v>4.6084424592588165E-2</v>
      </c>
      <c r="U94" s="70">
        <f t="shared" si="155"/>
        <v>0.10799753651240541</v>
      </c>
      <c r="V94" s="71">
        <f t="shared" si="155"/>
        <v>9.3809125882946515E-2</v>
      </c>
      <c r="W94" s="70">
        <f t="shared" si="155"/>
        <v>0.15218971512174348</v>
      </c>
      <c r="X94" s="70">
        <f t="shared" si="155"/>
        <v>0.12620573670141774</v>
      </c>
      <c r="Y94" s="70">
        <f t="shared" si="155"/>
        <v>0.10528365725076703</v>
      </c>
      <c r="Z94" s="70">
        <f t="shared" si="155"/>
        <v>8.4404000934400744E-2</v>
      </c>
      <c r="AA94" s="71">
        <f t="shared" si="155"/>
        <v>0.11455863910352354</v>
      </c>
      <c r="AB94" s="70">
        <f t="shared" si="155"/>
        <v>0.1545384595149156</v>
      </c>
      <c r="AC94" s="70">
        <f t="shared" si="155"/>
        <v>8.3610930260488062E-2</v>
      </c>
      <c r="AD94" s="70">
        <f t="shared" si="155"/>
        <v>0.16365489702210431</v>
      </c>
      <c r="AE94" s="70">
        <f t="shared" si="155"/>
        <v>7.070067186043838E-2</v>
      </c>
      <c r="AF94" s="71">
        <f t="shared" si="155"/>
        <v>0.11748527358176268</v>
      </c>
      <c r="AG94" s="70">
        <f t="shared" ref="AG94" si="156">+AG5/AG13</f>
        <v>0.15120448950078605</v>
      </c>
      <c r="AH94" s="70">
        <f>+AH5/AH13</f>
        <v>2.7141797789261311E-2</v>
      </c>
      <c r="AI94" s="70">
        <f t="shared" ref="AI94" si="157">+AI5/AI13</f>
        <v>1.9256517401425803E-2</v>
      </c>
      <c r="AJ94" s="70">
        <f t="shared" ref="AJ94:AO94" si="158">+AJ5/AJ13</f>
        <v>4.7242564218116345E-2</v>
      </c>
      <c r="AK94" s="71">
        <f t="shared" si="158"/>
        <v>6.0859745788972297E-2</v>
      </c>
      <c r="AL94" s="70">
        <f t="shared" si="158"/>
        <v>0.10914626974197743</v>
      </c>
      <c r="AM94" s="70">
        <f t="shared" si="158"/>
        <v>2.1844878031268528E-2</v>
      </c>
      <c r="AN94" s="70">
        <f t="shared" si="158"/>
        <v>-1.2050548317722221E-2</v>
      </c>
      <c r="AO94" s="70">
        <f t="shared" si="158"/>
        <v>-2.1712802553923022E-2</v>
      </c>
      <c r="AP94" s="71">
        <f t="shared" ref="AP94:BJ94" si="159">AP5/AP13</f>
        <v>2.2946662696545057E-2</v>
      </c>
      <c r="AQ94" s="70">
        <f t="shared" ref="AQ94" si="160">+AQ5/AQ13</f>
        <v>8.9345269858210077E-2</v>
      </c>
      <c r="AR94" s="70">
        <f t="shared" ref="AR94:AT94" si="161">+AR5/AR13</f>
        <v>5.1986707852739948E-2</v>
      </c>
      <c r="AS94" s="70">
        <f t="shared" si="161"/>
        <v>1.7570214517184511E-2</v>
      </c>
      <c r="AT94" s="70">
        <f t="shared" si="161"/>
        <v>9.0019654472206431E-3</v>
      </c>
      <c r="AU94" s="71">
        <f t="shared" ref="AU94" si="162">AU5/AU13</f>
        <v>4.0959872774259498E-2</v>
      </c>
      <c r="AV94" s="70">
        <f t="shared" ref="AV94:AY94" si="163">+AV5/AV13</f>
        <v>7.8652847771882722E-2</v>
      </c>
      <c r="AW94" s="70">
        <f t="shared" si="163"/>
        <v>4.0809911620027291E-2</v>
      </c>
      <c r="AX94" s="70">
        <f t="shared" si="163"/>
        <v>1.8505762142860063E-2</v>
      </c>
      <c r="AY94" s="70">
        <f t="shared" si="163"/>
        <v>9.2090129303849261E-3</v>
      </c>
      <c r="AZ94" s="111">
        <f t="shared" ref="AZ94" si="164">AZ5/AZ13</f>
        <v>3.5837141578409684E-2</v>
      </c>
      <c r="BA94" s="70">
        <f t="shared" ref="BA94:BD94" si="165">+BA5/BA13</f>
        <v>6.4545697739348262E-2</v>
      </c>
      <c r="BB94" s="70">
        <f t="shared" si="165"/>
        <v>3.7910407732514244E-2</v>
      </c>
      <c r="BC94" s="70">
        <f t="shared" si="165"/>
        <v>1.9084756593376006E-2</v>
      </c>
      <c r="BD94" s="70">
        <f t="shared" si="165"/>
        <v>0</v>
      </c>
      <c r="BE94" s="111">
        <f t="shared" ref="BE94" si="166">BE5/BE13</f>
        <v>2.9301752854961397E-2</v>
      </c>
      <c r="BF94" s="71">
        <f t="shared" si="159"/>
        <v>2.7533528734983551E-2</v>
      </c>
      <c r="BG94" s="71">
        <f t="shared" si="159"/>
        <v>2.640370578729833E-2</v>
      </c>
      <c r="BH94" s="71">
        <f t="shared" si="159"/>
        <v>2.5744492237571526E-2</v>
      </c>
      <c r="BI94" s="71">
        <f t="shared" si="159"/>
        <v>2.5444035634661084E-2</v>
      </c>
      <c r="BJ94" s="71">
        <f t="shared" si="159"/>
        <v>2.5411240598918087E-2</v>
      </c>
      <c r="BV94" s="51"/>
      <c r="BW94" s="51"/>
      <c r="BX94" s="51"/>
      <c r="BY94" s="51"/>
      <c r="BZ94" s="51"/>
      <c r="CA94" s="51"/>
    </row>
    <row r="95" spans="2:79">
      <c r="B95" s="45" t="str">
        <f>B14</f>
        <v>Creative Subscriptions</v>
      </c>
      <c r="C95" s="70"/>
      <c r="D95" s="70"/>
      <c r="E95" s="70"/>
      <c r="F95" s="70"/>
      <c r="G95" s="71"/>
      <c r="H95" s="70"/>
      <c r="I95" s="70"/>
      <c r="J95" s="70"/>
      <c r="K95" s="70"/>
      <c r="L95" s="71"/>
      <c r="M95" s="70"/>
      <c r="N95" s="70"/>
      <c r="O95" s="70"/>
      <c r="P95" s="70"/>
      <c r="Q95" s="71">
        <f t="shared" ref="Q95:AF95" si="167">Q14/Q13</f>
        <v>0.87021122934418182</v>
      </c>
      <c r="R95" s="70">
        <f t="shared" si="167"/>
        <v>0.86846061162430443</v>
      </c>
      <c r="S95" s="70">
        <f t="shared" si="167"/>
        <v>0.84679563583020079</v>
      </c>
      <c r="T95" s="70">
        <f t="shared" si="167"/>
        <v>0.83723849159768482</v>
      </c>
      <c r="U95" s="70">
        <f t="shared" si="167"/>
        <v>0.83756134279625394</v>
      </c>
      <c r="V95" s="71">
        <f t="shared" si="167"/>
        <v>0.84680352337706022</v>
      </c>
      <c r="W95" s="70">
        <f t="shared" si="167"/>
        <v>0.81739178746869023</v>
      </c>
      <c r="X95" s="70">
        <f t="shared" si="167"/>
        <v>0.8055994475957281</v>
      </c>
      <c r="Y95" s="70">
        <f t="shared" si="167"/>
        <v>0.79863089149421673</v>
      </c>
      <c r="Z95" s="70">
        <f t="shared" si="167"/>
        <v>0.75652841781874047</v>
      </c>
      <c r="AA95" s="71">
        <f t="shared" si="167"/>
        <v>0.7923621505724342</v>
      </c>
      <c r="AB95" s="70">
        <f t="shared" si="167"/>
        <v>0.74458094386278739</v>
      </c>
      <c r="AC95" s="70">
        <f t="shared" si="167"/>
        <v>0.74553263844554141</v>
      </c>
      <c r="AD95" s="70">
        <f t="shared" si="167"/>
        <v>0.75219843078333015</v>
      </c>
      <c r="AE95" s="70">
        <f t="shared" si="167"/>
        <v>0.75125631201612963</v>
      </c>
      <c r="AF95" s="71">
        <f t="shared" si="167"/>
        <v>0.74846907471860513</v>
      </c>
      <c r="AG95" s="70">
        <f t="shared" ref="AG95" si="168">AG14/AG13</f>
        <v>0.74639999765805909</v>
      </c>
      <c r="AH95" s="70">
        <f>AH14/AH13</f>
        <v>0.74785356753875742</v>
      </c>
      <c r="AI95" s="70">
        <f t="shared" ref="AI95" si="169">AI14/AI13</f>
        <v>0.75495149000159056</v>
      </c>
      <c r="AJ95" s="70">
        <f t="shared" ref="AJ95:BJ95" si="170">AJ14/AJ13</f>
        <v>0.74714961694456961</v>
      </c>
      <c r="AK95" s="71">
        <f t="shared" si="170"/>
        <v>0.74908443386232715</v>
      </c>
      <c r="AL95" s="70">
        <f t="shared" si="170"/>
        <v>0.74351201360151409</v>
      </c>
      <c r="AM95" s="70">
        <f t="shared" si="170"/>
        <v>0.73616905612382277</v>
      </c>
      <c r="AN95" s="70">
        <f t="shared" si="170"/>
        <v>0.73794754736048307</v>
      </c>
      <c r="AO95" s="70">
        <f t="shared" si="170"/>
        <v>0.73347020959900533</v>
      </c>
      <c r="AP95" s="71">
        <f t="shared" si="170"/>
        <v>0.73767869549487253</v>
      </c>
      <c r="AQ95" s="70">
        <f t="shared" si="170"/>
        <v>0.72489375285866753</v>
      </c>
      <c r="AR95" s="70">
        <f t="shared" ref="AR95:AU95" si="171">AR14/AR13</f>
        <v>0.71630032174707292</v>
      </c>
      <c r="AS95" s="70">
        <f t="shared" si="171"/>
        <v>0.71698753915798796</v>
      </c>
      <c r="AT95" s="70">
        <f t="shared" si="171"/>
        <v>0.71610037897297241</v>
      </c>
      <c r="AU95" s="71">
        <f t="shared" si="171"/>
        <v>0.71847045125379827</v>
      </c>
      <c r="AV95" s="70">
        <f t="shared" ref="AV95:AZ95" si="172">AV14/AV13</f>
        <v>0.71292153927680935</v>
      </c>
      <c r="AW95" s="70">
        <f t="shared" si="172"/>
        <v>0.70511297532300532</v>
      </c>
      <c r="AX95" s="70">
        <f t="shared" si="172"/>
        <v>0.70502420852187475</v>
      </c>
      <c r="AY95" s="70">
        <f t="shared" si="172"/>
        <v>0.70654759293416169</v>
      </c>
      <c r="AZ95" s="111">
        <f t="shared" si="172"/>
        <v>0.707323571381264</v>
      </c>
      <c r="BA95" s="70">
        <f t="shared" ref="BA95:BE95" si="173">BA14/BA13</f>
        <v>0.71069100363644233</v>
      </c>
      <c r="BB95" s="70">
        <f t="shared" si="173"/>
        <v>0.70662658364747688</v>
      </c>
      <c r="BC95" s="70">
        <f t="shared" si="173"/>
        <v>0.70908047556488707</v>
      </c>
      <c r="BD95" s="70">
        <f t="shared" si="173"/>
        <v>0.71606167865197401</v>
      </c>
      <c r="BE95" s="111">
        <f t="shared" si="173"/>
        <v>0.71071544921188179</v>
      </c>
      <c r="BF95" s="71">
        <f t="shared" si="170"/>
        <v>0.71234889244140265</v>
      </c>
      <c r="BG95" s="71">
        <f t="shared" si="170"/>
        <v>0.71304513083095622</v>
      </c>
      <c r="BH95" s="71">
        <f t="shared" si="170"/>
        <v>0.71298798629812732</v>
      </c>
      <c r="BI95" s="71">
        <f t="shared" si="170"/>
        <v>0.71234442124476682</v>
      </c>
      <c r="BJ95" s="71">
        <f t="shared" si="170"/>
        <v>0.7114262744110097</v>
      </c>
    </row>
    <row r="96" spans="2:79">
      <c r="B96" s="45" t="str">
        <f>B15</f>
        <v>Business Solutions</v>
      </c>
      <c r="C96" s="70"/>
      <c r="D96" s="70"/>
      <c r="E96" s="70"/>
      <c r="F96" s="70"/>
      <c r="G96" s="71"/>
      <c r="H96" s="70"/>
      <c r="I96" s="70"/>
      <c r="J96" s="70"/>
      <c r="K96" s="70"/>
      <c r="L96" s="71"/>
      <c r="M96" s="70"/>
      <c r="N96" s="70"/>
      <c r="O96" s="70"/>
      <c r="P96" s="70"/>
      <c r="Q96" s="71">
        <f t="shared" ref="Q96:AF96" si="174">Q15/Q13</f>
        <v>0.12978877065581809</v>
      </c>
      <c r="R96" s="70">
        <f t="shared" si="174"/>
        <v>0.13153938837569568</v>
      </c>
      <c r="S96" s="70">
        <f t="shared" si="174"/>
        <v>0.15320436416979921</v>
      </c>
      <c r="T96" s="70">
        <f t="shared" si="174"/>
        <v>0.16276150840231515</v>
      </c>
      <c r="U96" s="70">
        <f t="shared" si="174"/>
        <v>0.16243865720374606</v>
      </c>
      <c r="V96" s="71">
        <f t="shared" si="174"/>
        <v>0.15319647662293981</v>
      </c>
      <c r="W96" s="70">
        <f t="shared" si="174"/>
        <v>0.18260821253130977</v>
      </c>
      <c r="X96" s="70">
        <f t="shared" si="174"/>
        <v>0.19440055240427179</v>
      </c>
      <c r="Y96" s="70">
        <f t="shared" si="174"/>
        <v>0.2013691085057833</v>
      </c>
      <c r="Z96" s="70">
        <f t="shared" si="174"/>
        <v>0.24347158218125961</v>
      </c>
      <c r="AA96" s="71">
        <f t="shared" si="174"/>
        <v>0.2076378494275658</v>
      </c>
      <c r="AB96" s="70">
        <f t="shared" si="174"/>
        <v>0.25541905613721261</v>
      </c>
      <c r="AC96" s="70">
        <f t="shared" si="174"/>
        <v>0.25446736155445848</v>
      </c>
      <c r="AD96" s="70">
        <f t="shared" si="174"/>
        <v>0.24780156921666971</v>
      </c>
      <c r="AE96" s="70">
        <f t="shared" si="174"/>
        <v>0.2487436879838705</v>
      </c>
      <c r="AF96" s="71">
        <f t="shared" si="174"/>
        <v>0.25153092528139492</v>
      </c>
      <c r="AG96" s="70">
        <f t="shared" ref="AG96" si="175">AG15/AG13</f>
        <v>0.25360000234194097</v>
      </c>
      <c r="AH96" s="70">
        <f>AH15/AH13</f>
        <v>0.25214643246124252</v>
      </c>
      <c r="AI96" s="70">
        <f t="shared" ref="AI96" si="176">AI15/AI13</f>
        <v>0.24504850999840955</v>
      </c>
      <c r="AJ96" s="70">
        <f t="shared" ref="AJ96:BJ96" si="177">AJ15/AJ13</f>
        <v>0.25285038305543039</v>
      </c>
      <c r="AK96" s="71">
        <f t="shared" si="177"/>
        <v>0.25091556613767285</v>
      </c>
      <c r="AL96" s="70">
        <f t="shared" si="177"/>
        <v>0.25648798639848586</v>
      </c>
      <c r="AM96" s="70">
        <f t="shared" si="177"/>
        <v>0.26383094387617734</v>
      </c>
      <c r="AN96" s="70">
        <f t="shared" si="177"/>
        <v>0.26205245263951693</v>
      </c>
      <c r="AO96" s="70">
        <f t="shared" si="177"/>
        <v>0.26652979040099462</v>
      </c>
      <c r="AP96" s="71">
        <f t="shared" si="177"/>
        <v>0.26232130450512758</v>
      </c>
      <c r="AQ96" s="70">
        <f t="shared" si="177"/>
        <v>0.27510624714133253</v>
      </c>
      <c r="AR96" s="70">
        <f t="shared" ref="AR96:AU96" si="178">AR15/AR13</f>
        <v>0.28369967825292719</v>
      </c>
      <c r="AS96" s="70">
        <f t="shared" si="178"/>
        <v>0.28301246084201198</v>
      </c>
      <c r="AT96" s="70">
        <f t="shared" si="178"/>
        <v>0.28389962102702759</v>
      </c>
      <c r="AU96" s="71">
        <f t="shared" si="178"/>
        <v>0.28152954874620173</v>
      </c>
      <c r="AV96" s="70">
        <f t="shared" ref="AV96:AZ96" si="179">AV15/AV13</f>
        <v>0.28707846072319071</v>
      </c>
      <c r="AW96" s="70">
        <f t="shared" si="179"/>
        <v>0.29488702467699462</v>
      </c>
      <c r="AX96" s="70">
        <f t="shared" si="179"/>
        <v>0.2949757914781253</v>
      </c>
      <c r="AY96" s="70">
        <f t="shared" si="179"/>
        <v>0.29345240706583836</v>
      </c>
      <c r="AZ96" s="111">
        <f t="shared" si="179"/>
        <v>0.29267642861873594</v>
      </c>
      <c r="BA96" s="70">
        <f t="shared" ref="BA96:BE96" si="180">BA15/BA13</f>
        <v>0.28930899636355767</v>
      </c>
      <c r="BB96" s="70">
        <f t="shared" si="180"/>
        <v>0.29337341635252312</v>
      </c>
      <c r="BC96" s="70">
        <f t="shared" si="180"/>
        <v>0.29091952443511288</v>
      </c>
      <c r="BD96" s="70">
        <f t="shared" si="180"/>
        <v>0.2839383213480261</v>
      </c>
      <c r="BE96" s="111">
        <f t="shared" si="180"/>
        <v>0.28928455078811816</v>
      </c>
      <c r="BF96" s="71">
        <f t="shared" si="177"/>
        <v>0.28765110755859741</v>
      </c>
      <c r="BG96" s="71">
        <f t="shared" si="177"/>
        <v>0.28695486916904378</v>
      </c>
      <c r="BH96" s="71">
        <f t="shared" si="177"/>
        <v>0.28701201370187268</v>
      </c>
      <c r="BI96" s="71">
        <f t="shared" si="177"/>
        <v>0.28765557875523318</v>
      </c>
      <c r="BJ96" s="71">
        <f t="shared" si="177"/>
        <v>0.28857372558899025</v>
      </c>
      <c r="BM96" s="160"/>
    </row>
    <row r="97" spans="2:65">
      <c r="B97" s="45" t="s">
        <v>213</v>
      </c>
      <c r="C97" s="70">
        <f t="shared" ref="C97:AF97" si="181">C24/C13</f>
        <v>0.83630459490176978</v>
      </c>
      <c r="D97" s="70">
        <f t="shared" si="181"/>
        <v>0.8465735486687036</v>
      </c>
      <c r="E97" s="70">
        <f t="shared" si="181"/>
        <v>0.86041528898293873</v>
      </c>
      <c r="F97" s="70">
        <f t="shared" si="181"/>
        <v>0.85375386077453075</v>
      </c>
      <c r="G97" s="72">
        <f t="shared" si="181"/>
        <v>0.85008445072558692</v>
      </c>
      <c r="H97" s="70">
        <f t="shared" si="181"/>
        <v>0.84515885022692894</v>
      </c>
      <c r="I97" s="70">
        <f t="shared" si="181"/>
        <v>0.8426391035548686</v>
      </c>
      <c r="J97" s="70">
        <f t="shared" si="181"/>
        <v>0.84430334143925057</v>
      </c>
      <c r="K97" s="70">
        <f t="shared" si="181"/>
        <v>0.84796693099375731</v>
      </c>
      <c r="L97" s="72">
        <f t="shared" si="181"/>
        <v>0.84510490331978483</v>
      </c>
      <c r="M97" s="70">
        <f t="shared" si="181"/>
        <v>0.79702413355107959</v>
      </c>
      <c r="N97" s="70">
        <f t="shared" si="181"/>
        <v>0.79915418936304172</v>
      </c>
      <c r="O97" s="70">
        <f t="shared" si="181"/>
        <v>0.79514781491002573</v>
      </c>
      <c r="P97" s="70">
        <f t="shared" si="181"/>
        <v>0.79695731347101351</v>
      </c>
      <c r="Q97" s="72">
        <f t="shared" si="181"/>
        <v>0.79703795237401109</v>
      </c>
      <c r="R97" s="70">
        <f t="shared" si="181"/>
        <v>0.77965459865741005</v>
      </c>
      <c r="S97" s="70">
        <f t="shared" si="181"/>
        <v>0.75608756384189324</v>
      </c>
      <c r="T97" s="70">
        <f t="shared" si="181"/>
        <v>0.73692902622579282</v>
      </c>
      <c r="U97" s="70">
        <f t="shared" si="181"/>
        <v>0.72797524781512113</v>
      </c>
      <c r="V97" s="72">
        <f t="shared" si="181"/>
        <v>0.74897383745375046</v>
      </c>
      <c r="W97" s="70">
        <f t="shared" si="181"/>
        <v>0.72017297337339747</v>
      </c>
      <c r="X97" s="70">
        <f t="shared" si="181"/>
        <v>0.70933961424898018</v>
      </c>
      <c r="Y97" s="70">
        <f t="shared" si="181"/>
        <v>0.69555039735620428</v>
      </c>
      <c r="Z97" s="70">
        <f t="shared" si="181"/>
        <v>0.64558247856895101</v>
      </c>
      <c r="AA97" s="72">
        <f t="shared" si="181"/>
        <v>0.68994295885755896</v>
      </c>
      <c r="AB97" s="70">
        <f t="shared" si="181"/>
        <v>0.63062621665702112</v>
      </c>
      <c r="AC97" s="70">
        <f t="shared" si="181"/>
        <v>0.62829402729404626</v>
      </c>
      <c r="AD97" s="70">
        <f t="shared" si="181"/>
        <v>0.63069480076185258</v>
      </c>
      <c r="AE97" s="70">
        <f t="shared" si="181"/>
        <v>0.62020088809838514</v>
      </c>
      <c r="AF97" s="72">
        <f t="shared" si="181"/>
        <v>0.62736628869056765</v>
      </c>
      <c r="AG97" s="70">
        <f t="shared" ref="AG97" si="182">AG24/AG13</f>
        <v>0.62038308298960476</v>
      </c>
      <c r="AH97" s="70">
        <f>AH24/AH13</f>
        <v>0.6249275832502954</v>
      </c>
      <c r="AI97" s="70">
        <f>AI24/AI13</f>
        <v>0.64523358540217757</v>
      </c>
      <c r="AJ97" s="70">
        <f t="shared" ref="AJ97:BJ97" si="183">AJ24/AJ13</f>
        <v>0.65224200090130702</v>
      </c>
      <c r="AK97" s="72">
        <f t="shared" si="183"/>
        <v>0.6358576199171847</v>
      </c>
      <c r="AL97" s="70">
        <f t="shared" si="183"/>
        <v>0.66704894192623954</v>
      </c>
      <c r="AM97" s="70">
        <f t="shared" si="183"/>
        <v>0.68314798052192816</v>
      </c>
      <c r="AN97" s="70">
        <f t="shared" si="183"/>
        <v>0.68328081637005789</v>
      </c>
      <c r="AO97" s="70">
        <f t="shared" si="183"/>
        <v>0.69842806937595814</v>
      </c>
      <c r="AP97" s="72">
        <f t="shared" si="183"/>
        <v>0.6832758626209845</v>
      </c>
      <c r="AQ97" s="70">
        <f t="shared" si="183"/>
        <v>0.68306906540631185</v>
      </c>
      <c r="AR97" s="70">
        <f t="shared" ref="AR97:AU97" si="184">AR24/AR13</f>
        <v>0.68447214661752487</v>
      </c>
      <c r="AS97" s="70">
        <f t="shared" si="184"/>
        <v>0.69013859622689033</v>
      </c>
      <c r="AT97" s="70">
        <f>AT24/AT13</f>
        <v>0.69703228328501154</v>
      </c>
      <c r="AU97" s="72">
        <f t="shared" si="184"/>
        <v>0.68885354840541835</v>
      </c>
      <c r="AV97" s="70">
        <f t="shared" ref="AV97:AZ97" si="185">AV24/AV13</f>
        <v>0.68794534372354332</v>
      </c>
      <c r="AW97" s="70">
        <f t="shared" si="185"/>
        <v>0.69579939991427342</v>
      </c>
      <c r="AX97" s="70">
        <f t="shared" si="185"/>
        <v>0.69228850698939426</v>
      </c>
      <c r="AY97" s="70">
        <f t="shared" si="185"/>
        <v>0.68428993512872205</v>
      </c>
      <c r="AZ97" s="288">
        <f t="shared" si="185"/>
        <v>0.69001537346892505</v>
      </c>
      <c r="BA97" s="70">
        <f t="shared" ref="BA97:BE97" si="186">BA24/BA13</f>
        <v>0.66832872197885029</v>
      </c>
      <c r="BB97" s="70">
        <f t="shared" si="186"/>
        <v>0.67488564753929081</v>
      </c>
      <c r="BC97" s="70">
        <f t="shared" si="186"/>
        <v>0.68295387189185885</v>
      </c>
      <c r="BD97" s="70">
        <f>BD24/BD13</f>
        <v>0.68706895101723864</v>
      </c>
      <c r="BE97" s="288">
        <f t="shared" si="186"/>
        <v>0.67863683332813152</v>
      </c>
      <c r="BF97" s="72">
        <f t="shared" si="183"/>
        <v>0.68326978428812557</v>
      </c>
      <c r="BG97" s="72">
        <f t="shared" si="183"/>
        <v>0.6874587321974297</v>
      </c>
      <c r="BH97" s="72">
        <f t="shared" si="183"/>
        <v>0.6912828150102891</v>
      </c>
      <c r="BI97" s="72">
        <f t="shared" si="183"/>
        <v>0.69481575464530621</v>
      </c>
      <c r="BJ97" s="72">
        <f t="shared" si="183"/>
        <v>0.69820633847589619</v>
      </c>
      <c r="BM97" s="160"/>
    </row>
    <row r="98" spans="2:65">
      <c r="B98" s="45" t="s">
        <v>281</v>
      </c>
      <c r="C98" s="70"/>
      <c r="D98" s="70"/>
      <c r="E98" s="70"/>
      <c r="F98" s="70"/>
      <c r="G98" s="72"/>
      <c r="H98" s="70"/>
      <c r="I98" s="70"/>
      <c r="J98" s="70"/>
      <c r="K98" s="70"/>
      <c r="L98" s="72"/>
      <c r="M98" s="70"/>
      <c r="N98" s="70"/>
      <c r="O98" s="70"/>
      <c r="P98" s="70"/>
      <c r="Q98" s="72"/>
      <c r="R98" s="70">
        <f>R30/R13</f>
        <v>0.79200757358425611</v>
      </c>
      <c r="S98" s="70">
        <f t="shared" ref="S98:BJ98" si="187">S30/S13</f>
        <v>0.67953122387673326</v>
      </c>
      <c r="T98" s="70">
        <f t="shared" si="187"/>
        <v>0.67463959225777592</v>
      </c>
      <c r="U98" s="70">
        <f t="shared" si="187"/>
        <v>0.64405536981641154</v>
      </c>
      <c r="V98" s="72">
        <f t="shared" si="187"/>
        <v>0.69448736545576861</v>
      </c>
      <c r="W98" s="70">
        <f t="shared" si="187"/>
        <v>0.73959080870607952</v>
      </c>
      <c r="X98" s="70">
        <f t="shared" si="187"/>
        <v>0.78138092595495201</v>
      </c>
      <c r="Y98" s="70">
        <f t="shared" si="187"/>
        <v>0.72900306869147835</v>
      </c>
      <c r="Z98" s="70">
        <f t="shared" si="187"/>
        <v>0.67261993246830465</v>
      </c>
      <c r="AA98" s="72">
        <f t="shared" si="187"/>
        <v>0.72770945426594924</v>
      </c>
      <c r="AB98" s="70">
        <f t="shared" si="187"/>
        <v>0.74988491082232855</v>
      </c>
      <c r="AC98" s="70">
        <f t="shared" si="187"/>
        <v>0.68351421907296317</v>
      </c>
      <c r="AD98" s="70">
        <f t="shared" si="187"/>
        <v>0.66475995723152015</v>
      </c>
      <c r="AE98" s="70">
        <f t="shared" si="187"/>
        <v>0.69375529173849215</v>
      </c>
      <c r="AF98" s="72">
        <f t="shared" si="187"/>
        <v>0.6973214025520279</v>
      </c>
      <c r="AG98" s="70">
        <f t="shared" si="187"/>
        <v>0.76964668893462185</v>
      </c>
      <c r="AH98" s="70">
        <f t="shared" si="187"/>
        <v>0.66237283618751874</v>
      </c>
      <c r="AI98" s="70">
        <f t="shared" si="187"/>
        <v>0.65438903428232686</v>
      </c>
      <c r="AJ98" s="70">
        <f t="shared" si="187"/>
        <v>0.56577287066246063</v>
      </c>
      <c r="AK98" s="72">
        <f t="shared" si="187"/>
        <v>0.66207502381697036</v>
      </c>
      <c r="AL98" s="70">
        <f t="shared" si="187"/>
        <v>0.53734802553491801</v>
      </c>
      <c r="AM98" s="70">
        <f>AM30/AM13</f>
        <v>0.50658372160409459</v>
      </c>
      <c r="AN98" s="70">
        <f t="shared" si="187"/>
        <v>0.53611990625658579</v>
      </c>
      <c r="AO98" s="70">
        <f t="shared" si="187"/>
        <v>0.53818377248489857</v>
      </c>
      <c r="AP98" s="72">
        <f t="shared" si="187"/>
        <v>0.5295719632571646</v>
      </c>
      <c r="AQ98" s="70">
        <f>AQ30/AQ13</f>
        <v>0.51769276947705445</v>
      </c>
      <c r="AR98" s="70">
        <f>AR30/AR13</f>
        <v>0.47748458964626184</v>
      </c>
      <c r="AS98" s="70">
        <f t="shared" ref="AS98:AU98" si="188">AS30/AS13</f>
        <v>0.49128685573443853</v>
      </c>
      <c r="AT98" s="70">
        <f t="shared" si="188"/>
        <v>0.47869172883343647</v>
      </c>
      <c r="AU98" s="72">
        <f t="shared" si="188"/>
        <v>0.49087268906369796</v>
      </c>
      <c r="AV98" s="70">
        <f t="shared" ref="AV98:AZ98" si="189">AV30/AV13</f>
        <v>0.47716356557887563</v>
      </c>
      <c r="AW98" s="70">
        <f t="shared" si="189"/>
        <v>0.47096523993223521</v>
      </c>
      <c r="AX98" s="70">
        <f>AX30/AX13</f>
        <v>0.51428560117499422</v>
      </c>
      <c r="AY98" s="70">
        <f t="shared" si="189"/>
        <v>0.52943813195134559</v>
      </c>
      <c r="AZ98" s="288">
        <f t="shared" si="189"/>
        <v>0.4988003275391813</v>
      </c>
      <c r="BA98" s="70">
        <f t="shared" ref="BA98:BE98" si="190">BA30/BA13</f>
        <v>0.59436089157945649</v>
      </c>
      <c r="BB98" s="70">
        <f t="shared" si="190"/>
        <v>0.5750953735462887</v>
      </c>
      <c r="BC98" s="70">
        <f t="shared" si="190"/>
        <v>0.5416418143948355</v>
      </c>
      <c r="BD98" s="70">
        <f t="shared" si="190"/>
        <v>0.51015118994292519</v>
      </c>
      <c r="BE98" s="288">
        <f t="shared" si="190"/>
        <v>0.55384289668965259</v>
      </c>
      <c r="BF98" s="72">
        <f t="shared" si="187"/>
        <v>0.49120468867389872</v>
      </c>
      <c r="BG98" s="72">
        <f t="shared" si="187"/>
        <v>0.46077440404665482</v>
      </c>
      <c r="BH98" s="72">
        <f t="shared" si="187"/>
        <v>0.43582085607973919</v>
      </c>
      <c r="BI98" s="72">
        <f t="shared" si="187"/>
        <v>0.41525170259272498</v>
      </c>
      <c r="BJ98" s="72">
        <f t="shared" si="187"/>
        <v>0.39817517170735667</v>
      </c>
      <c r="BL98" s="45" t="s">
        <v>290</v>
      </c>
      <c r="BM98" s="160"/>
    </row>
    <row r="99" spans="2:65">
      <c r="B99" s="45" t="str">
        <f>+B26</f>
        <v>Sales &amp; marketing, non GAAP</v>
      </c>
      <c r="C99" s="73">
        <f t="shared" ref="C99:AF99" si="191">C26/C13</f>
        <v>0.6400227309628187</v>
      </c>
      <c r="D99" s="73">
        <f t="shared" si="191"/>
        <v>0.50592172268296232</v>
      </c>
      <c r="E99" s="73">
        <f t="shared" si="191"/>
        <v>0.51097738394392278</v>
      </c>
      <c r="F99" s="73">
        <f t="shared" si="191"/>
        <v>0.45938465193632688</v>
      </c>
      <c r="G99" s="72">
        <f t="shared" si="191"/>
        <v>0.52220537037675352</v>
      </c>
      <c r="H99" s="73">
        <f t="shared" si="191"/>
        <v>0.5646098984223038</v>
      </c>
      <c r="I99" s="73">
        <f t="shared" si="191"/>
        <v>0.4460587326120557</v>
      </c>
      <c r="J99" s="73">
        <f t="shared" si="191"/>
        <v>0.44405115734486172</v>
      </c>
      <c r="K99" s="73">
        <f t="shared" si="191"/>
        <v>0.39913109498903326</v>
      </c>
      <c r="L99" s="72">
        <f t="shared" si="191"/>
        <v>0.45824072551276923</v>
      </c>
      <c r="M99" s="73">
        <f t="shared" si="191"/>
        <v>0.47155870078025758</v>
      </c>
      <c r="N99" s="73">
        <f t="shared" si="191"/>
        <v>0.38665726877070045</v>
      </c>
      <c r="O99" s="73">
        <f t="shared" si="191"/>
        <v>0.30053341902313618</v>
      </c>
      <c r="P99" s="73">
        <f t="shared" si="191"/>
        <v>0.3549760348849248</v>
      </c>
      <c r="Q99" s="72">
        <f t="shared" si="191"/>
        <v>0.3752186501994354</v>
      </c>
      <c r="R99" s="73">
        <f t="shared" si="191"/>
        <v>0.46457054334729475</v>
      </c>
      <c r="S99" s="73">
        <f t="shared" si="191"/>
        <v>0.36038917263063652</v>
      </c>
      <c r="T99" s="73">
        <f t="shared" si="191"/>
        <v>0.36217103424445218</v>
      </c>
      <c r="U99" s="73">
        <f t="shared" si="191"/>
        <v>0.34310418988405966</v>
      </c>
      <c r="V99" s="72">
        <f t="shared" si="191"/>
        <v>0.38006117558022201</v>
      </c>
      <c r="W99" s="73">
        <f t="shared" si="191"/>
        <v>0.42404403968757381</v>
      </c>
      <c r="X99" s="73">
        <f t="shared" si="191"/>
        <v>0.48266746872603877</v>
      </c>
      <c r="Y99" s="73">
        <f t="shared" si="191"/>
        <v>0.42089857581241635</v>
      </c>
      <c r="Z99" s="73">
        <f t="shared" si="191"/>
        <v>0.36404468134808554</v>
      </c>
      <c r="AA99" s="72">
        <f t="shared" si="191"/>
        <v>0.42008677535499012</v>
      </c>
      <c r="AB99" s="73">
        <f t="shared" si="191"/>
        <v>0.45053467143683906</v>
      </c>
      <c r="AC99" s="73">
        <f t="shared" si="191"/>
        <v>0.31140686333381795</v>
      </c>
      <c r="AD99" s="73">
        <f t="shared" si="191"/>
        <v>0.34687356801965102</v>
      </c>
      <c r="AE99" s="73">
        <f t="shared" si="191"/>
        <v>0.29399833100852163</v>
      </c>
      <c r="AF99" s="72">
        <f t="shared" si="191"/>
        <v>0.34919037188784058</v>
      </c>
      <c r="AG99" s="73">
        <f t="shared" ref="AG99" si="192">AG26/AG13</f>
        <v>0.4274832624408294</v>
      </c>
      <c r="AH99" s="73">
        <f>AH26/AH13</f>
        <v>0.31845989850068357</v>
      </c>
      <c r="AI99" s="73">
        <f t="shared" ref="AI99" si="193">AI26/AI13</f>
        <v>0.31048423244314</v>
      </c>
      <c r="AJ99" s="73">
        <f t="shared" ref="AJ99:AQ99" si="194">AJ26/AJ13</f>
        <v>0.24663136547994594</v>
      </c>
      <c r="AK99" s="72">
        <f t="shared" si="194"/>
        <v>0.32493265670557614</v>
      </c>
      <c r="AL99" s="73">
        <f t="shared" si="194"/>
        <v>0.23726462002373847</v>
      </c>
      <c r="AM99" s="73">
        <f t="shared" si="194"/>
        <v>0.21940781122989303</v>
      </c>
      <c r="AN99" s="73">
        <f>AN26/AN13</f>
        <v>0.22625882018377974</v>
      </c>
      <c r="AO99" s="73">
        <f t="shared" si="194"/>
        <v>0.2268340222551892</v>
      </c>
      <c r="AP99" s="72">
        <f t="shared" si="194"/>
        <v>0.22733300675881191</v>
      </c>
      <c r="AQ99" s="73">
        <f t="shared" si="194"/>
        <v>0.22854093611831072</v>
      </c>
      <c r="AR99" s="73">
        <f t="shared" ref="AR99" si="195">AR26/AR13</f>
        <v>0.21227045113437645</v>
      </c>
      <c r="AS99" s="73">
        <f>AS26/AS13</f>
        <v>0.22232516928169688</v>
      </c>
      <c r="AT99" s="73">
        <f t="shared" ref="AT99:AU99" si="196">AT26/AT13</f>
        <v>0.2081376030230967</v>
      </c>
      <c r="AU99" s="72">
        <f t="shared" si="196"/>
        <v>0.21760826967313204</v>
      </c>
      <c r="AV99" s="73">
        <f>AV26/AV13</f>
        <v>0.21446592533320949</v>
      </c>
      <c r="AW99" s="73">
        <f>AW26/AW13</f>
        <v>0.21129345008470599</v>
      </c>
      <c r="AX99" s="73">
        <f>AX26/AX13</f>
        <v>0.25183988725123418</v>
      </c>
      <c r="AY99" s="73">
        <f>AY26/AY13</f>
        <v>0.27106695227068545</v>
      </c>
      <c r="AZ99" s="288">
        <f t="shared" ref="AZ99" si="197">AZ26/AZ13</f>
        <v>0.23804843244805435</v>
      </c>
      <c r="BA99" s="73">
        <f>BA26/BA13</f>
        <v>0.33513200123830372</v>
      </c>
      <c r="BB99" s="73">
        <f>BB26/BB13</f>
        <v>0.32576874097643749</v>
      </c>
      <c r="BC99" s="73">
        <f>BC26/BC13</f>
        <v>0.30216849284687902</v>
      </c>
      <c r="BD99" s="73">
        <f>BD26/BD13</f>
        <v>0.28090892734847056</v>
      </c>
      <c r="BE99" s="288">
        <f t="shared" ref="BE99" si="198">BE26/BE13</f>
        <v>0.31003598230293244</v>
      </c>
      <c r="BF99" s="141">
        <f>MAX(+BE99*0.85,0.15)</f>
        <v>0.2635305849574926</v>
      </c>
      <c r="BG99" s="141">
        <f t="shared" ref="BG99:BJ99" si="199">MAX(+BF99*0.925,0.15)</f>
        <v>0.24376579108568067</v>
      </c>
      <c r="BH99" s="141">
        <f t="shared" si="199"/>
        <v>0.22548335675425463</v>
      </c>
      <c r="BI99" s="141">
        <f t="shared" si="199"/>
        <v>0.20857210499768555</v>
      </c>
      <c r="BJ99" s="141">
        <f t="shared" si="199"/>
        <v>0.19292919712285914</v>
      </c>
      <c r="BM99" s="160"/>
    </row>
    <row r="100" spans="2:65">
      <c r="B100" s="45" t="str">
        <f>+B27</f>
        <v>Research and development, non GAAP</v>
      </c>
      <c r="C100" s="73">
        <f t="shared" ref="C100:AF100" si="200">C27/C13</f>
        <v>0.32539373274882283</v>
      </c>
      <c r="D100" s="73">
        <f t="shared" si="200"/>
        <v>0.31245453222755709</v>
      </c>
      <c r="E100" s="73">
        <f t="shared" si="200"/>
        <v>0.29437905039016005</v>
      </c>
      <c r="F100" s="73">
        <f t="shared" si="200"/>
        <v>0.28581610833927296</v>
      </c>
      <c r="G100" s="72">
        <f t="shared" si="200"/>
        <v>0.30276102168143115</v>
      </c>
      <c r="H100" s="73">
        <f t="shared" si="200"/>
        <v>0.28197536200561918</v>
      </c>
      <c r="I100" s="73">
        <f t="shared" si="200"/>
        <v>0.28173299845440497</v>
      </c>
      <c r="J100" s="73">
        <f t="shared" si="200"/>
        <v>0.28854363685490408</v>
      </c>
      <c r="K100" s="73">
        <f t="shared" si="200"/>
        <v>0.28679770541589333</v>
      </c>
      <c r="L100" s="72">
        <f t="shared" si="200"/>
        <v>0.28497286375490444</v>
      </c>
      <c r="M100" s="73">
        <f t="shared" si="200"/>
        <v>0.27593540192342586</v>
      </c>
      <c r="N100" s="73">
        <f t="shared" si="200"/>
        <v>0.26703254591738973</v>
      </c>
      <c r="O100" s="73">
        <f t="shared" si="200"/>
        <v>0.33338688946015421</v>
      </c>
      <c r="P100" s="73">
        <f t="shared" si="200"/>
        <v>0.26473078070853917</v>
      </c>
      <c r="Q100" s="72">
        <f t="shared" si="200"/>
        <v>0.28554059605369514</v>
      </c>
      <c r="R100" s="73">
        <f t="shared" si="200"/>
        <v>0.26350909403867118</v>
      </c>
      <c r="S100" s="73">
        <f t="shared" si="200"/>
        <v>0.25545925714193257</v>
      </c>
      <c r="T100" s="73">
        <f t="shared" si="200"/>
        <v>0.25205420979617971</v>
      </c>
      <c r="U100" s="73">
        <f t="shared" si="200"/>
        <v>0.25286918098813227</v>
      </c>
      <c r="V100" s="72">
        <f t="shared" si="200"/>
        <v>0.25572601328624289</v>
      </c>
      <c r="W100" s="73">
        <f t="shared" si="200"/>
        <v>0.25247352849940041</v>
      </c>
      <c r="X100" s="73">
        <f t="shared" si="200"/>
        <v>0.24251564227587166</v>
      </c>
      <c r="Y100" s="73">
        <f t="shared" si="200"/>
        <v>0.25242347942403021</v>
      </c>
      <c r="Z100" s="73">
        <f t="shared" si="200"/>
        <v>0.23875002654547772</v>
      </c>
      <c r="AA100" s="72">
        <f t="shared" si="200"/>
        <v>0.24616185929851531</v>
      </c>
      <c r="AB100" s="73">
        <f t="shared" si="200"/>
        <v>0.2360906508128584</v>
      </c>
      <c r="AC100" s="73">
        <f t="shared" si="200"/>
        <v>0.30336340018836561</v>
      </c>
      <c r="AD100" s="73">
        <f t="shared" si="200"/>
        <v>0.25895815733937655</v>
      </c>
      <c r="AE100" s="73">
        <f t="shared" si="200"/>
        <v>0.32541069981909104</v>
      </c>
      <c r="AF100" s="72">
        <f t="shared" si="200"/>
        <v>0.28173199533417292</v>
      </c>
      <c r="AG100" s="73">
        <f t="shared" ref="AG100" si="201">AG27/AG13</f>
        <v>0.26209246568324668</v>
      </c>
      <c r="AH100" s="73">
        <f>AH27/AH13</f>
        <v>0.26245857761916896</v>
      </c>
      <c r="AI100" s="73">
        <f t="shared" ref="AI100" si="202">AI27/AI13</f>
        <v>0.26082040456326544</v>
      </c>
      <c r="AJ100" s="73">
        <f t="shared" ref="AJ100:AQ100" si="203">AJ27/AJ13</f>
        <v>0.24505126182965303</v>
      </c>
      <c r="AK100" s="72">
        <f t="shared" si="203"/>
        <v>0.25750648931371095</v>
      </c>
      <c r="AL100" s="73">
        <f t="shared" si="203"/>
        <v>0.23117494840620623</v>
      </c>
      <c r="AM100" s="73">
        <f t="shared" si="203"/>
        <v>0.2222079763678371</v>
      </c>
      <c r="AN100" s="73">
        <f t="shared" si="203"/>
        <v>0.24041173976300079</v>
      </c>
      <c r="AO100" s="73">
        <f t="shared" si="203"/>
        <v>0.23220340242365103</v>
      </c>
      <c r="AP100" s="72">
        <f t="shared" si="203"/>
        <v>0.23153109021461071</v>
      </c>
      <c r="AQ100" s="73">
        <f t="shared" si="203"/>
        <v>0.22187547644457997</v>
      </c>
      <c r="AR100" s="73">
        <f t="shared" ref="AR100:AU100" si="204">AR27/AR13</f>
        <v>0.20304030329595685</v>
      </c>
      <c r="AS100" s="73">
        <f t="shared" si="204"/>
        <v>0.20764696754693898</v>
      </c>
      <c r="AT100" s="73">
        <f t="shared" si="204"/>
        <v>0.20602664755513567</v>
      </c>
      <c r="AU100" s="72">
        <f t="shared" si="204"/>
        <v>0.20947547780649189</v>
      </c>
      <c r="AV100" s="73">
        <f t="shared" ref="AV100:BJ100" si="205">AV27/AV13</f>
        <v>0.20269354440294649</v>
      </c>
      <c r="AW100" s="73">
        <f t="shared" si="205"/>
        <v>0.20082256648909028</v>
      </c>
      <c r="AX100" s="73">
        <f t="shared" si="205"/>
        <v>0.20756976527828916</v>
      </c>
      <c r="AY100" s="73">
        <f t="shared" si="205"/>
        <v>0.20024262353867955</v>
      </c>
      <c r="AZ100" s="288">
        <f t="shared" si="205"/>
        <v>0.20282492508946112</v>
      </c>
      <c r="BA100" s="73">
        <f t="shared" ref="BA100:BE100" si="206">BA27/BA13</f>
        <v>0.20298351504108272</v>
      </c>
      <c r="BB100" s="73">
        <f t="shared" si="206"/>
        <v>0.19522976858706495</v>
      </c>
      <c r="BC100" s="73">
        <f t="shared" si="206"/>
        <v>0.18751434881504389</v>
      </c>
      <c r="BD100" s="73">
        <f t="shared" si="206"/>
        <v>0.17950314178390897</v>
      </c>
      <c r="BE100" s="288">
        <f t="shared" si="206"/>
        <v>0.19090767394177444</v>
      </c>
      <c r="BF100" s="288">
        <f t="shared" si="205"/>
        <v>0.17938728622218511</v>
      </c>
      <c r="BG100" s="288">
        <f t="shared" si="205"/>
        <v>0.17202622929237404</v>
      </c>
      <c r="BH100" s="288">
        <f t="shared" si="205"/>
        <v>0.1677313010663338</v>
      </c>
      <c r="BI100" s="288">
        <f t="shared" si="205"/>
        <v>0.16577375704273911</v>
      </c>
      <c r="BJ100" s="288">
        <f t="shared" si="205"/>
        <v>0.1655600898255763</v>
      </c>
      <c r="BM100" s="160"/>
    </row>
    <row r="101" spans="2:65">
      <c r="B101" s="45" t="str">
        <f>+B28</f>
        <v>General &amp; administrative, non GAAP</v>
      </c>
      <c r="C101" s="73">
        <f t="shared" ref="C101:AF101" si="207">C28/C13</f>
        <v>6.9865237863289492E-2</v>
      </c>
      <c r="D101" s="73">
        <f t="shared" si="207"/>
        <v>7.1555361559726458E-2</v>
      </c>
      <c r="E101" s="73">
        <f t="shared" si="207"/>
        <v>7.0453643697923549E-2</v>
      </c>
      <c r="F101" s="73">
        <f t="shared" si="207"/>
        <v>6.2461392254692334E-2</v>
      </c>
      <c r="G101" s="72">
        <f t="shared" si="207"/>
        <v>6.8270655958084861E-2</v>
      </c>
      <c r="H101" s="73">
        <f t="shared" si="207"/>
        <v>8.0030257186081699E-2</v>
      </c>
      <c r="I101" s="73">
        <f t="shared" si="207"/>
        <v>8.0950540958268938E-2</v>
      </c>
      <c r="J101" s="73">
        <f t="shared" si="207"/>
        <v>8.0915067999639739E-2</v>
      </c>
      <c r="K101" s="73">
        <f t="shared" si="207"/>
        <v>8.0217648051290696E-2</v>
      </c>
      <c r="L101" s="72">
        <f t="shared" si="207"/>
        <v>8.0537086201630526E-2</v>
      </c>
      <c r="M101" s="73">
        <f t="shared" si="207"/>
        <v>6.9693340591544181E-2</v>
      </c>
      <c r="N101" s="73">
        <f t="shared" si="207"/>
        <v>6.8397065666657542E-2</v>
      </c>
      <c r="O101" s="73">
        <f t="shared" si="207"/>
        <v>6.3142673521850892E-2</v>
      </c>
      <c r="P101" s="73">
        <f t="shared" si="207"/>
        <v>6.7906234584066694E-2</v>
      </c>
      <c r="Q101" s="72">
        <f t="shared" si="207"/>
        <v>6.7205120390124953E-2</v>
      </c>
      <c r="R101" s="73">
        <f t="shared" si="207"/>
        <v>6.8127832922141279E-2</v>
      </c>
      <c r="S101" s="73">
        <f t="shared" si="207"/>
        <v>6.7948807835227248E-2</v>
      </c>
      <c r="T101" s="73">
        <f t="shared" si="207"/>
        <v>8.3133883155225588E-2</v>
      </c>
      <c r="U101" s="73">
        <f t="shared" si="207"/>
        <v>7.9305726631082971E-2</v>
      </c>
      <c r="V101" s="72">
        <f t="shared" si="207"/>
        <v>7.496899175916584E-2</v>
      </c>
      <c r="W101" s="73">
        <f t="shared" si="207"/>
        <v>7.918069143050277E-2</v>
      </c>
      <c r="X101" s="73">
        <f t="shared" si="207"/>
        <v>6.3729830254300818E-2</v>
      </c>
      <c r="Y101" s="73">
        <f t="shared" si="207"/>
        <v>6.4788732394366194E-2</v>
      </c>
      <c r="Z101" s="73">
        <f t="shared" si="207"/>
        <v>8.7929240374609779E-2</v>
      </c>
      <c r="AA101" s="72">
        <f t="shared" si="207"/>
        <v>7.4292042558355934E-2</v>
      </c>
      <c r="AB101" s="73">
        <f t="shared" si="207"/>
        <v>7.2322039248697845E-2</v>
      </c>
      <c r="AC101" s="73">
        <f t="shared" si="207"/>
        <v>8.0677989671498015E-2</v>
      </c>
      <c r="AD101" s="73">
        <f t="shared" si="207"/>
        <v>7.7522545410337373E-2</v>
      </c>
      <c r="AE101" s="73">
        <f t="shared" si="207"/>
        <v>8.2956185928087192E-2</v>
      </c>
      <c r="AF101" s="72">
        <f t="shared" si="207"/>
        <v>7.8468436751028034E-2</v>
      </c>
      <c r="AG101" s="73">
        <f t="shared" ref="AG101" si="208">AG28/AG13</f>
        <v>8.0070960810545766E-2</v>
      </c>
      <c r="AH101" s="73">
        <f>AH28/AH13</f>
        <v>8.1454360067666209E-2</v>
      </c>
      <c r="AI101" s="73">
        <f t="shared" ref="AI101" si="209">AI28/AI13</f>
        <v>8.3084397275921415E-2</v>
      </c>
      <c r="AJ101" s="73">
        <f t="shared" ref="AJ101:AQ101" si="210">AJ28/AJ13</f>
        <v>7.4090243352861657E-2</v>
      </c>
      <c r="AK101" s="72">
        <f t="shared" si="210"/>
        <v>7.9635877797683316E-2</v>
      </c>
      <c r="AL101" s="73">
        <f t="shared" si="210"/>
        <v>6.8908457104973314E-2</v>
      </c>
      <c r="AM101" s="73">
        <f t="shared" si="210"/>
        <v>6.4967934006364483E-2</v>
      </c>
      <c r="AN101" s="73">
        <f t="shared" si="210"/>
        <v>6.9449346309805232E-2</v>
      </c>
      <c r="AO101" s="73">
        <f t="shared" si="210"/>
        <v>7.9146347806058379E-2</v>
      </c>
      <c r="AP101" s="72">
        <f t="shared" si="210"/>
        <v>7.0707866283742038E-2</v>
      </c>
      <c r="AQ101" s="73">
        <f t="shared" si="210"/>
        <v>6.727635691416374E-2</v>
      </c>
      <c r="AR101" s="73">
        <f t="shared" ref="AR101:AU101" si="211">AR28/AR13</f>
        <v>6.2173835215928543E-2</v>
      </c>
      <c r="AS101" s="73">
        <f t="shared" si="211"/>
        <v>6.1314718905802694E-2</v>
      </c>
      <c r="AT101" s="73">
        <f t="shared" si="211"/>
        <v>6.4527478255204079E-2</v>
      </c>
      <c r="AU101" s="72">
        <f t="shared" si="211"/>
        <v>6.3788941584074055E-2</v>
      </c>
      <c r="AV101" s="73">
        <f t="shared" ref="AV101:AZ101" si="212">AV28/AV13</f>
        <v>6.0004095842719644E-2</v>
      </c>
      <c r="AW101" s="73">
        <f t="shared" si="212"/>
        <v>5.8849223358438958E-2</v>
      </c>
      <c r="AX101" s="73">
        <f t="shared" si="212"/>
        <v>5.4875948645470851E-2</v>
      </c>
      <c r="AY101" s="73">
        <f t="shared" si="212"/>
        <v>5.812855614198055E-2</v>
      </c>
      <c r="AZ101" s="288">
        <f t="shared" si="212"/>
        <v>5.7926970001665787E-2</v>
      </c>
      <c r="BA101" s="73">
        <f t="shared" ref="BA101:BE101" si="213">BA28/BA13</f>
        <v>5.6245375300069976E-2</v>
      </c>
      <c r="BB101" s="73">
        <f t="shared" si="213"/>
        <v>5.409686398278616E-2</v>
      </c>
      <c r="BC101" s="73">
        <f t="shared" si="213"/>
        <v>5.1958972732912619E-2</v>
      </c>
      <c r="BD101" s="73">
        <f t="shared" si="213"/>
        <v>4.9739120810545691E-2</v>
      </c>
      <c r="BE101" s="288">
        <f t="shared" si="213"/>
        <v>5.2899240444945726E-2</v>
      </c>
      <c r="BF101" s="141">
        <f t="shared" ref="BF101:BJ101" si="214">MAX(+BE101*0.95,0.05)</f>
        <v>5.0254278422698438E-2</v>
      </c>
      <c r="BG101" s="141">
        <f t="shared" si="214"/>
        <v>0.05</v>
      </c>
      <c r="BH101" s="141">
        <f t="shared" si="214"/>
        <v>0.05</v>
      </c>
      <c r="BI101" s="141">
        <f t="shared" si="214"/>
        <v>0.05</v>
      </c>
      <c r="BJ101" s="141">
        <f t="shared" si="214"/>
        <v>0.05</v>
      </c>
      <c r="BM101" s="160"/>
    </row>
    <row r="102" spans="2:65">
      <c r="B102" s="45" t="s">
        <v>150</v>
      </c>
      <c r="C102" s="70">
        <f t="shared" ref="C102:Q102" si="215">+C41/C13</f>
        <v>1.9483682415976616E-2</v>
      </c>
      <c r="D102" s="70">
        <f t="shared" si="215"/>
        <v>1.7459624618070709E-2</v>
      </c>
      <c r="E102" s="70">
        <f t="shared" si="215"/>
        <v>1.5870916545430498E-2</v>
      </c>
      <c r="F102" s="70">
        <f t="shared" si="215"/>
        <v>1.0691375623663577E-2</v>
      </c>
      <c r="G102" s="71">
        <f t="shared" si="215"/>
        <v>1.5511357760849333E-2</v>
      </c>
      <c r="H102" s="70">
        <f t="shared" si="215"/>
        <v>1.4047979252215258E-2</v>
      </c>
      <c r="I102" s="70">
        <f t="shared" si="215"/>
        <v>1.2557959814528594E-2</v>
      </c>
      <c r="J102" s="70">
        <f t="shared" si="215"/>
        <v>1.3509862199405566E-2</v>
      </c>
      <c r="K102" s="70">
        <f t="shared" si="215"/>
        <v>1.3497553568415725E-2</v>
      </c>
      <c r="L102" s="71">
        <f t="shared" si="215"/>
        <v>1.3391913164015692E-2</v>
      </c>
      <c r="M102" s="70">
        <f t="shared" si="215"/>
        <v>1.3768825984394847E-2</v>
      </c>
      <c r="N102" s="70">
        <f t="shared" si="215"/>
        <v>1.502750937508554E-2</v>
      </c>
      <c r="O102" s="70">
        <f t="shared" si="215"/>
        <v>1.4222365038560409E-2</v>
      </c>
      <c r="P102" s="70">
        <f t="shared" si="215"/>
        <v>1.47262130245985E-2</v>
      </c>
      <c r="Q102" s="71">
        <f t="shared" si="215"/>
        <v>1.4450790453599776E-2</v>
      </c>
      <c r="R102" s="70">
        <f t="shared" ref="R102:AF102" si="216">R32/R13</f>
        <v>-1.2352974926846014E-2</v>
      </c>
      <c r="S102" s="70">
        <f t="shared" si="216"/>
        <v>7.6556339965160022E-2</v>
      </c>
      <c r="T102" s="70">
        <f t="shared" si="216"/>
        <v>6.228943396801688E-2</v>
      </c>
      <c r="U102" s="70">
        <f t="shared" si="216"/>
        <v>8.391987799870966E-2</v>
      </c>
      <c r="V102" s="71">
        <f t="shared" si="216"/>
        <v>5.4486471997981754E-2</v>
      </c>
      <c r="W102" s="70">
        <f t="shared" si="216"/>
        <v>-1.9417835332682005E-2</v>
      </c>
      <c r="X102" s="70">
        <f t="shared" si="216"/>
        <v>-7.2041311705971806E-2</v>
      </c>
      <c r="Y102" s="70">
        <f t="shared" si="216"/>
        <v>-3.3452671335274048E-2</v>
      </c>
      <c r="Z102" s="70">
        <f t="shared" si="216"/>
        <v>-2.7037453899353643E-2</v>
      </c>
      <c r="AA102" s="71">
        <f t="shared" si="216"/>
        <v>-3.7766495408390291E-2</v>
      </c>
      <c r="AB102" s="70">
        <f t="shared" si="216"/>
        <v>-0.11925869416530742</v>
      </c>
      <c r="AC102" s="70">
        <f t="shared" si="216"/>
        <v>-5.5220191778916898E-2</v>
      </c>
      <c r="AD102" s="70">
        <f t="shared" si="216"/>
        <v>-3.4065156469667547E-2</v>
      </c>
      <c r="AE102" s="70">
        <f t="shared" si="216"/>
        <v>-7.3554403640106999E-2</v>
      </c>
      <c r="AF102" s="71">
        <f t="shared" si="216"/>
        <v>-6.9955113861460277E-2</v>
      </c>
      <c r="AG102" s="70">
        <f t="shared" ref="AG102" si="217">AG32/AG13</f>
        <v>-0.14926360594501709</v>
      </c>
      <c r="AH102" s="70">
        <f>AH32/AH13</f>
        <v>-3.7445252937223339E-2</v>
      </c>
      <c r="AI102" s="70">
        <f t="shared" ref="AI102" si="218">AI32/AI13</f>
        <v>-9.1554488801492088E-3</v>
      </c>
      <c r="AJ102" s="70">
        <f t="shared" ref="AJ102:BJ102" si="219">AJ32/AJ13</f>
        <v>8.6469130238846309E-2</v>
      </c>
      <c r="AK102" s="71">
        <f t="shared" si="219"/>
        <v>-2.6217403899785746E-2</v>
      </c>
      <c r="AL102" s="70">
        <f t="shared" si="219"/>
        <v>0.12970091639132147</v>
      </c>
      <c r="AM102" s="70">
        <f t="shared" si="219"/>
        <v>0.17656425891783362</v>
      </c>
      <c r="AN102" s="70">
        <f t="shared" si="219"/>
        <v>0.14716091011347218</v>
      </c>
      <c r="AO102" s="70">
        <f t="shared" si="219"/>
        <v>0.16024429689105951</v>
      </c>
      <c r="AP102" s="71">
        <f t="shared" si="219"/>
        <v>0.15370389936381987</v>
      </c>
      <c r="AQ102" s="70">
        <f t="shared" si="219"/>
        <v>0.16537629592925748</v>
      </c>
      <c r="AR102" s="70">
        <f t="shared" ref="AR102:AU102" si="220">AR32/AR13</f>
        <v>0.206987556971263</v>
      </c>
      <c r="AS102" s="70">
        <f t="shared" si="220"/>
        <v>0.19885174049245183</v>
      </c>
      <c r="AT102" s="70">
        <f t="shared" si="220"/>
        <v>0.21834055445157505</v>
      </c>
      <c r="AU102" s="71">
        <f t="shared" si="220"/>
        <v>0.19798085934172041</v>
      </c>
      <c r="AV102" s="70">
        <f t="shared" ref="AV102:AZ102" si="221">AV32/AV13</f>
        <v>0.21078177814466775</v>
      </c>
      <c r="AW102" s="70">
        <f t="shared" si="221"/>
        <v>0.22483415998203818</v>
      </c>
      <c r="AX102" s="70">
        <f t="shared" si="221"/>
        <v>0.17800290581440001</v>
      </c>
      <c r="AY102" s="70">
        <f t="shared" si="221"/>
        <v>0.15485180317737654</v>
      </c>
      <c r="AZ102" s="111">
        <f t="shared" si="221"/>
        <v>0.1912150459297437</v>
      </c>
      <c r="BA102" s="70">
        <f t="shared" ref="BA102:BE102" si="222">BA32/BA13</f>
        <v>7.3967830399393822E-2</v>
      </c>
      <c r="BB102" s="70">
        <f t="shared" si="222"/>
        <v>9.9790273993002179E-2</v>
      </c>
      <c r="BC102" s="70">
        <f t="shared" si="222"/>
        <v>0.1413120574970233</v>
      </c>
      <c r="BD102" s="70">
        <f t="shared" si="222"/>
        <v>0.17691776107431351</v>
      </c>
      <c r="BE102" s="111">
        <f t="shared" si="222"/>
        <v>0.12479393663847897</v>
      </c>
      <c r="BF102" s="71">
        <f t="shared" si="219"/>
        <v>0.19206509561422688</v>
      </c>
      <c r="BG102" s="71">
        <f t="shared" si="219"/>
        <v>0.22668432815077486</v>
      </c>
      <c r="BH102" s="71">
        <f t="shared" si="219"/>
        <v>0.2554619589305499</v>
      </c>
      <c r="BI102" s="71">
        <f t="shared" si="219"/>
        <v>0.27956405205258122</v>
      </c>
      <c r="BJ102" s="71">
        <f t="shared" si="219"/>
        <v>0.30003116676853947</v>
      </c>
    </row>
    <row r="103" spans="2:65">
      <c r="B103" s="45" t="s">
        <v>207</v>
      </c>
      <c r="C103" s="70">
        <f t="shared" ref="C103:AF103" si="223">C43/C4</f>
        <v>3.519247536262516E-2</v>
      </c>
      <c r="D103" s="70">
        <f t="shared" si="223"/>
        <v>0.13114311320638897</v>
      </c>
      <c r="E103" s="70">
        <f t="shared" si="223"/>
        <v>0.13022952021909268</v>
      </c>
      <c r="F103" s="70">
        <f t="shared" si="223"/>
        <v>0.18306094863602848</v>
      </c>
      <c r="G103" s="72">
        <f t="shared" si="223"/>
        <v>0.12449864942293529</v>
      </c>
      <c r="H103" s="70">
        <f t="shared" si="223"/>
        <v>0.13094947096413731</v>
      </c>
      <c r="I103" s="70">
        <f t="shared" si="223"/>
        <v>0.14771300984468788</v>
      </c>
      <c r="J103" s="70">
        <f t="shared" si="223"/>
        <v>0.10739439551108078</v>
      </c>
      <c r="K103" s="70">
        <f t="shared" si="223"/>
        <v>0.18078942192771447</v>
      </c>
      <c r="L103" s="72">
        <f t="shared" si="223"/>
        <v>0.14277360981687384</v>
      </c>
      <c r="M103" s="70">
        <f t="shared" si="223"/>
        <v>0.14415458332028441</v>
      </c>
      <c r="N103" s="70">
        <f t="shared" si="223"/>
        <v>0.18073110478751686</v>
      </c>
      <c r="O103" s="70">
        <f t="shared" si="223"/>
        <v>0.15755297124286588</v>
      </c>
      <c r="P103" s="70">
        <f t="shared" si="223"/>
        <v>0.18794942575742082</v>
      </c>
      <c r="Q103" s="72">
        <f t="shared" si="223"/>
        <v>0.1596406357982032</v>
      </c>
      <c r="R103" s="70">
        <f t="shared" si="223"/>
        <v>0.13271849844544592</v>
      </c>
      <c r="S103" s="70">
        <f t="shared" si="223"/>
        <v>0.15667232903895004</v>
      </c>
      <c r="T103" s="70">
        <f t="shared" si="223"/>
        <v>0.11911493247838348</v>
      </c>
      <c r="U103" s="70">
        <f t="shared" si="223"/>
        <v>0.18797616054137281</v>
      </c>
      <c r="V103" s="72">
        <f t="shared" si="223"/>
        <v>0.15014324582424901</v>
      </c>
      <c r="W103" s="70">
        <f t="shared" si="223"/>
        <v>0.12958795779119026</v>
      </c>
      <c r="X103" s="70">
        <f t="shared" si="223"/>
        <v>6.1399054357515949E-2</v>
      </c>
      <c r="Y103" s="70">
        <f t="shared" si="223"/>
        <v>7.8201472907122885E-2</v>
      </c>
      <c r="Z103" s="70">
        <f t="shared" si="223"/>
        <v>6.5268407636243767E-2</v>
      </c>
      <c r="AA103" s="72">
        <f t="shared" si="223"/>
        <v>8.2156491060596248E-2</v>
      </c>
      <c r="AB103" s="70">
        <f t="shared" si="223"/>
        <v>4.0332204529077986E-2</v>
      </c>
      <c r="AC103" s="70">
        <f t="shared" si="223"/>
        <v>3.6052511075917074E-2</v>
      </c>
      <c r="AD103" s="70">
        <f t="shared" si="223"/>
        <v>0.12099481110215206</v>
      </c>
      <c r="AE103" s="70">
        <f t="shared" si="223"/>
        <v>7.3587138322203163E-3</v>
      </c>
      <c r="AF103" s="72">
        <f t="shared" si="223"/>
        <v>5.2350434127442246E-2</v>
      </c>
      <c r="AG103" s="70">
        <f t="shared" ref="AG103" si="224">AG43/AG4</f>
        <v>1.0675197330946394E-2</v>
      </c>
      <c r="AH103" s="70">
        <f>AH43/AH4</f>
        <v>1.3113589062419427E-3</v>
      </c>
      <c r="AI103" s="70">
        <f t="shared" ref="AI103" si="225">AI43/AI4</f>
        <v>2.0819147487403118E-2</v>
      </c>
      <c r="AJ103" s="70">
        <f t="shared" ref="AJ103:BJ103" si="226">AJ43/AJ4</f>
        <v>0.14168950520826334</v>
      </c>
      <c r="AK103" s="72">
        <f t="shared" si="226"/>
        <v>4.3938703324934977E-2</v>
      </c>
      <c r="AL103" s="70">
        <f t="shared" si="226"/>
        <v>0.22720622793169504</v>
      </c>
      <c r="AM103" s="70">
        <f t="shared" si="226"/>
        <v>0.20651901148317675</v>
      </c>
      <c r="AN103" s="70">
        <f t="shared" si="226"/>
        <v>0.14940824220306084</v>
      </c>
      <c r="AO103" s="70">
        <f t="shared" si="226"/>
        <v>0.14979341981347014</v>
      </c>
      <c r="AP103" s="72">
        <f t="shared" si="226"/>
        <v>0.18395555555555532</v>
      </c>
      <c r="AQ103" s="70">
        <f t="shared" si="226"/>
        <v>0.2479175824055668</v>
      </c>
      <c r="AR103" s="70">
        <f t="shared" ref="AR103:AU103" si="227">AR43/AR4</f>
        <v>0.25599314134629436</v>
      </c>
      <c r="AS103" s="70">
        <f t="shared" si="227"/>
        <v>0.22263009242274906</v>
      </c>
      <c r="AT103" s="70">
        <f t="shared" si="227"/>
        <v>0.23882694791218245</v>
      </c>
      <c r="AU103" s="72">
        <f t="shared" si="227"/>
        <v>0.24138979007685654</v>
      </c>
      <c r="AV103" s="70">
        <f t="shared" ref="AV103:AZ103" si="228">AV43/AV4</f>
        <v>0.28034174650864652</v>
      </c>
      <c r="AW103" s="70">
        <f t="shared" si="228"/>
        <v>0.26718883598340132</v>
      </c>
      <c r="AX103" s="70">
        <f t="shared" si="228"/>
        <v>0.20496829225157087</v>
      </c>
      <c r="AY103" s="70">
        <f t="shared" si="228"/>
        <v>0.17402669075802735</v>
      </c>
      <c r="AZ103" s="288">
        <f t="shared" si="228"/>
        <v>0.23105989966427209</v>
      </c>
      <c r="BA103" s="70">
        <f t="shared" ref="BA103:BE103" si="229">BA43/BA4</f>
        <v>0.1406301625308532</v>
      </c>
      <c r="BB103" s="70">
        <f t="shared" si="229"/>
        <v>0.14304394650567076</v>
      </c>
      <c r="BC103" s="70">
        <f t="shared" si="229"/>
        <v>0.16753999941666428</v>
      </c>
      <c r="BD103" s="70">
        <f t="shared" si="229"/>
        <v>0.186816621376724</v>
      </c>
      <c r="BE103" s="288">
        <f t="shared" si="229"/>
        <v>0.15993702760325984</v>
      </c>
      <c r="BF103" s="72">
        <f t="shared" si="226"/>
        <v>0.22288326290590357</v>
      </c>
      <c r="BG103" s="72">
        <f t="shared" si="226"/>
        <v>0.25496069750323458</v>
      </c>
      <c r="BH103" s="72">
        <f t="shared" si="226"/>
        <v>0.28193832363428134</v>
      </c>
      <c r="BI103" s="72">
        <f t="shared" si="226"/>
        <v>0.30477433181871449</v>
      </c>
      <c r="BJ103" s="72">
        <f t="shared" si="226"/>
        <v>0.32435373773271203</v>
      </c>
    </row>
    <row r="104" spans="2:65">
      <c r="B104" s="45" t="s">
        <v>231</v>
      </c>
      <c r="C104" s="70">
        <f t="shared" ref="C104:AH104" si="230">C43/C13</f>
        <v>4.3253774963468085E-2</v>
      </c>
      <c r="D104" s="70">
        <f t="shared" si="230"/>
        <v>0.15541975847519279</v>
      </c>
      <c r="E104" s="70">
        <f t="shared" si="230"/>
        <v>0.15031080544901468</v>
      </c>
      <c r="F104" s="70">
        <f t="shared" si="230"/>
        <v>0.21236635780470417</v>
      </c>
      <c r="G104" s="72">
        <f t="shared" si="230"/>
        <v>0.14679948984867813</v>
      </c>
      <c r="H104" s="70">
        <f t="shared" si="230"/>
        <v>0.16209206829479142</v>
      </c>
      <c r="I104" s="70">
        <f t="shared" si="230"/>
        <v>0.16711746522411131</v>
      </c>
      <c r="J104" s="70">
        <f t="shared" si="230"/>
        <v>0.11618481491488787</v>
      </c>
      <c r="K104" s="70">
        <f t="shared" si="230"/>
        <v>0.20161970642820987</v>
      </c>
      <c r="L104" s="72">
        <f t="shared" si="230"/>
        <v>0.16234757888306758</v>
      </c>
      <c r="M104" s="70">
        <f t="shared" si="230"/>
        <v>0.16704772273634555</v>
      </c>
      <c r="N104" s="70">
        <f t="shared" si="230"/>
        <v>0.19775271672186798</v>
      </c>
      <c r="O104" s="70">
        <f t="shared" si="230"/>
        <v>0.16482005141388159</v>
      </c>
      <c r="P104" s="70">
        <f t="shared" si="230"/>
        <v>0.20152621546069657</v>
      </c>
      <c r="Q104" s="72">
        <f t="shared" si="230"/>
        <v>0.17410022130050487</v>
      </c>
      <c r="R104" s="70">
        <f t="shared" si="230"/>
        <v>0.15258477250559419</v>
      </c>
      <c r="S104" s="70">
        <f t="shared" si="230"/>
        <v>0.16862349597398316</v>
      </c>
      <c r="T104" s="70">
        <f t="shared" si="230"/>
        <v>0.12460427560203478</v>
      </c>
      <c r="U104" s="70">
        <f t="shared" si="230"/>
        <v>0.2082771228029015</v>
      </c>
      <c r="V104" s="72">
        <f t="shared" si="230"/>
        <v>0.16422805247225017</v>
      </c>
      <c r="W104" s="70">
        <f t="shared" si="230"/>
        <v>0.14930991217064002</v>
      </c>
      <c r="X104" s="70">
        <f t="shared" si="230"/>
        <v>6.9147967245476644E-2</v>
      </c>
      <c r="Y104" s="70">
        <f t="shared" si="230"/>
        <v>8.6434809977181559E-2</v>
      </c>
      <c r="Z104" s="70">
        <f t="shared" si="230"/>
        <v>7.0777322375360135E-2</v>
      </c>
      <c r="AA104" s="72">
        <f t="shared" si="230"/>
        <v>9.1568226870018962E-2</v>
      </c>
      <c r="AB104" s="70">
        <f t="shared" si="230"/>
        <v>4.6565081285842198E-2</v>
      </c>
      <c r="AC104" s="70">
        <f t="shared" si="230"/>
        <v>3.906689506520105E-2</v>
      </c>
      <c r="AD104" s="70">
        <f t="shared" si="230"/>
        <v>0.14079620445328372</v>
      </c>
      <c r="AE104" s="70">
        <f t="shared" si="230"/>
        <v>7.8789798441869941E-3</v>
      </c>
      <c r="AF104" s="72">
        <f t="shared" si="230"/>
        <v>5.8500839203028836E-2</v>
      </c>
      <c r="AG104" s="70">
        <f t="shared" si="230"/>
        <v>1.2289335093692297E-2</v>
      </c>
      <c r="AH104" s="70">
        <f t="shared" si="230"/>
        <v>1.3469515445043085E-3</v>
      </c>
      <c r="AI104" s="70">
        <f t="shared" ref="AI104" si="231">AI43/AI13</f>
        <v>2.1220051763277147E-2</v>
      </c>
      <c r="AJ104" s="70">
        <f t="shared" ref="AJ104:BJ104" si="232">AJ43/AJ13</f>
        <v>0.14838328075709786</v>
      </c>
      <c r="AK104" s="72">
        <f t="shared" si="232"/>
        <v>4.6612801639587594E-2</v>
      </c>
      <c r="AL104" s="70">
        <f t="shared" si="232"/>
        <v>0.25200494017258501</v>
      </c>
      <c r="AM104" s="70">
        <f t="shared" si="232"/>
        <v>0.21103039410016489</v>
      </c>
      <c r="AN104" s="70">
        <f t="shared" ref="AN104" si="233">AN43/AN13</f>
        <v>0.14760779096132692</v>
      </c>
      <c r="AO104" s="70">
        <f t="shared" si="232"/>
        <v>0.14654098486518335</v>
      </c>
      <c r="AP104" s="72">
        <f t="shared" si="232"/>
        <v>0.1881767216400442</v>
      </c>
      <c r="AQ104" s="70">
        <f t="shared" si="232"/>
        <v>0.2700678457081872</v>
      </c>
      <c r="AR104" s="70">
        <f t="shared" ref="AR104:AU104" si="234">AR43/AR13</f>
        <v>0.26930138199776932</v>
      </c>
      <c r="AS104" s="70">
        <f t="shared" si="234"/>
        <v>0.22654175090459736</v>
      </c>
      <c r="AT104" s="70">
        <f t="shared" si="234"/>
        <v>0.24097685984515307</v>
      </c>
      <c r="AU104" s="72">
        <f t="shared" si="234"/>
        <v>0.25127708516740976</v>
      </c>
      <c r="AV104" s="70">
        <f t="shared" ref="AV104:AZ104" si="235">AV43/AV13</f>
        <v>0.30239142322089479</v>
      </c>
      <c r="AW104" s="70">
        <f t="shared" si="235"/>
        <v>0.27809278876574189</v>
      </c>
      <c r="AX104" s="70">
        <f t="shared" si="235"/>
        <v>0.20876138671480668</v>
      </c>
      <c r="AY104" s="70">
        <f t="shared" si="235"/>
        <v>0.17562930480345013</v>
      </c>
      <c r="AZ104" s="288">
        <f t="shared" si="235"/>
        <v>0.23934042600163374</v>
      </c>
      <c r="BA104" s="70">
        <f t="shared" ref="BA104:BE104" si="236">BA43/BA13</f>
        <v>0.14970723449460507</v>
      </c>
      <c r="BB104" s="70">
        <f t="shared" si="236"/>
        <v>0.14846680084136871</v>
      </c>
      <c r="BC104" s="70">
        <f t="shared" si="236"/>
        <v>0.17073745952518568</v>
      </c>
      <c r="BD104" s="70">
        <f t="shared" si="236"/>
        <v>0.186816621376724</v>
      </c>
      <c r="BE104" s="288">
        <f t="shared" si="236"/>
        <v>0.1646234628584477</v>
      </c>
      <c r="BF104" s="72">
        <f t="shared" si="232"/>
        <v>0.22902002562967017</v>
      </c>
      <c r="BG104" s="72">
        <f t="shared" si="232"/>
        <v>0.26169260474743439</v>
      </c>
      <c r="BH104" s="72">
        <f t="shared" si="232"/>
        <v>0.28919668261855802</v>
      </c>
      <c r="BI104" s="72">
        <f t="shared" si="232"/>
        <v>0.3125290207780399</v>
      </c>
      <c r="BJ104" s="72">
        <f t="shared" si="232"/>
        <v>0.3325959686013964</v>
      </c>
    </row>
    <row r="105" spans="2:65" hidden="1" outlineLevel="1">
      <c r="B105" s="45" t="s">
        <v>208</v>
      </c>
      <c r="C105" s="73"/>
      <c r="D105" s="73"/>
      <c r="E105" s="73"/>
      <c r="F105" s="73"/>
      <c r="G105" s="72"/>
      <c r="H105" s="73">
        <f t="shared" ref="H105:AF105" si="237">H80/H4</f>
        <v>0.12903760868806088</v>
      </c>
      <c r="I105" s="73">
        <f t="shared" si="237"/>
        <v>0.14866930216275753</v>
      </c>
      <c r="J105" s="73">
        <f t="shared" si="237"/>
        <v>0.1576366572870011</v>
      </c>
      <c r="K105" s="73">
        <f t="shared" si="237"/>
        <v>0.14768755956973628</v>
      </c>
      <c r="L105" s="72">
        <f t="shared" si="237"/>
        <v>0.14598033401999655</v>
      </c>
      <c r="M105" s="73">
        <f t="shared" si="237"/>
        <v>0.13417055525977892</v>
      </c>
      <c r="N105" s="73">
        <f t="shared" si="237"/>
        <v>0.14920416523343444</v>
      </c>
      <c r="O105" s="73">
        <f t="shared" si="237"/>
        <v>0.14554267494793491</v>
      </c>
      <c r="P105" s="73">
        <f t="shared" si="237"/>
        <v>0.18552976859898443</v>
      </c>
      <c r="Q105" s="72">
        <f t="shared" si="237"/>
        <v>0.15436712561798949</v>
      </c>
      <c r="R105" s="73">
        <f t="shared" si="237"/>
        <v>0.14994585260930537</v>
      </c>
      <c r="S105" s="73">
        <f t="shared" si="237"/>
        <v>0.15410672319017055</v>
      </c>
      <c r="T105" s="73">
        <f t="shared" si="237"/>
        <v>0.14197512872826193</v>
      </c>
      <c r="U105" s="73">
        <f t="shared" si="237"/>
        <v>0.16530132387519134</v>
      </c>
      <c r="V105" s="72">
        <f t="shared" si="237"/>
        <v>0.15315351027345839</v>
      </c>
      <c r="W105" s="73">
        <f t="shared" si="237"/>
        <v>0.16054135290004745</v>
      </c>
      <c r="X105" s="73">
        <f t="shared" si="237"/>
        <v>0.17563973804875666</v>
      </c>
      <c r="Y105" s="73">
        <f t="shared" si="237"/>
        <v>6.8982455390989558E-2</v>
      </c>
      <c r="Z105" s="73">
        <f t="shared" si="237"/>
        <v>7.5624793965683265E-2</v>
      </c>
      <c r="AA105" s="72">
        <f t="shared" si="237"/>
        <v>0.11723445166243057</v>
      </c>
      <c r="AB105" s="73">
        <f t="shared" si="237"/>
        <v>4.1693605119777655E-2</v>
      </c>
      <c r="AC105" s="73">
        <f t="shared" si="237"/>
        <v>4.291535053563978E-2</v>
      </c>
      <c r="AD105" s="73">
        <f t="shared" si="237"/>
        <v>-2.332459141112838E-2</v>
      </c>
      <c r="AE105" s="73">
        <f t="shared" si="237"/>
        <v>2.0875763747454205E-2</v>
      </c>
      <c r="AF105" s="72">
        <f t="shared" si="237"/>
        <v>1.9724095253601071E-2</v>
      </c>
      <c r="AG105" s="73">
        <f t="shared" ref="AG105" si="238">AG80/AG4</f>
        <v>-8.5406664496704476E-2</v>
      </c>
      <c r="AH105" s="73">
        <f>AH80/AH4</f>
        <v>-4.4800532439917183E-2</v>
      </c>
      <c r="AI105" s="73">
        <f t="shared" ref="AI105" si="239">AI80/AI4</f>
        <v>-6.4139883789550128E-2</v>
      </c>
      <c r="AJ105" s="73">
        <f t="shared" ref="AJ105:BJ105" si="240">AJ80/AJ4</f>
        <v>0.10377528488783339</v>
      </c>
      <c r="AK105" s="72">
        <f t="shared" si="240"/>
        <v>-2.2752236741730828E-2</v>
      </c>
      <c r="AL105" s="73">
        <f t="shared" si="240"/>
        <v>6.0324652631325269E-2</v>
      </c>
      <c r="AM105" s="73">
        <f t="shared" si="240"/>
        <v>8.032702963141411E-2</v>
      </c>
      <c r="AN105" s="73">
        <f t="shared" ref="AN105" si="241">AN80/AN4</f>
        <v>0.11505673421657957</v>
      </c>
      <c r="AO105" s="73">
        <f t="shared" si="240"/>
        <v>0.20351692641087185</v>
      </c>
      <c r="AP105" s="72">
        <f t="shared" si="240"/>
        <v>0.11405133020344294</v>
      </c>
      <c r="AQ105" s="73">
        <f t="shared" si="240"/>
        <v>0.2311729549226843</v>
      </c>
      <c r="AR105" s="73">
        <f t="shared" ref="AR105:AU105" si="242">AR80/AR4</f>
        <v>0.24614582492544701</v>
      </c>
      <c r="AS105" s="73">
        <f t="shared" si="242"/>
        <v>0.28235348717971392</v>
      </c>
      <c r="AT105" s="73">
        <f t="shared" si="242"/>
        <v>0.28362677572105027</v>
      </c>
      <c r="AU105" s="72">
        <f t="shared" si="242"/>
        <v>0.25980021453911734</v>
      </c>
      <c r="AV105" s="73">
        <f t="shared" ref="AV105:AZ105" si="243">AV80/AV4</f>
        <v>0.27880134271537771</v>
      </c>
      <c r="AW105" s="73">
        <f t="shared" si="243"/>
        <v>0.28958236913736163</v>
      </c>
      <c r="AX105" s="73">
        <f t="shared" si="243"/>
        <v>0.24736902455188392</v>
      </c>
      <c r="AY105" s="73">
        <f t="shared" si="243"/>
        <v>0.29402737116256572</v>
      </c>
      <c r="AZ105" s="288">
        <f t="shared" si="243"/>
        <v>4.4096429365588483E-2</v>
      </c>
      <c r="BA105" s="73">
        <f t="shared" ref="BA105:BE105" si="244">BA80/BA4</f>
        <v>0.17282878023321616</v>
      </c>
      <c r="BB105" s="73">
        <f t="shared" si="244"/>
        <v>0.19551876123323991</v>
      </c>
      <c r="BC105" s="73">
        <f t="shared" si="244"/>
        <v>0.22702837226743144</v>
      </c>
      <c r="BD105" s="73">
        <f t="shared" si="244"/>
        <v>0.25463944081965362</v>
      </c>
      <c r="BE105" s="288">
        <f t="shared" si="244"/>
        <v>0.2132131288269859</v>
      </c>
      <c r="BF105" s="72">
        <f t="shared" si="240"/>
        <v>0.24224409663385396</v>
      </c>
      <c r="BG105" s="72">
        <f t="shared" si="240"/>
        <v>0.25859975761438392</v>
      </c>
      <c r="BH105" s="72">
        <f t="shared" si="240"/>
        <v>0.27870162525791786</v>
      </c>
      <c r="BI105" s="72">
        <f t="shared" si="240"/>
        <v>0.29795355318286665</v>
      </c>
      <c r="BJ105" s="72">
        <f t="shared" si="240"/>
        <v>0.31637639825411429</v>
      </c>
    </row>
    <row r="106" spans="2:65" collapsed="1">
      <c r="B106" s="45" t="s">
        <v>209</v>
      </c>
      <c r="C106" s="73"/>
      <c r="D106" s="73"/>
      <c r="E106" s="73"/>
      <c r="F106" s="73"/>
      <c r="G106" s="72"/>
      <c r="H106" s="73">
        <f t="shared" ref="H106:AF106" si="245">H80/H13</f>
        <v>0.15972552409768745</v>
      </c>
      <c r="I106" s="73">
        <f t="shared" si="245"/>
        <v>0.16819938176197835</v>
      </c>
      <c r="J106" s="73">
        <f t="shared" si="245"/>
        <v>0.17053949383049624</v>
      </c>
      <c r="K106" s="73">
        <f t="shared" si="245"/>
        <v>0.16470389741859284</v>
      </c>
      <c r="L106" s="71">
        <f t="shared" si="245"/>
        <v>0.16599393839719942</v>
      </c>
      <c r="M106" s="73">
        <f t="shared" si="245"/>
        <v>0.15547813463981131</v>
      </c>
      <c r="N106" s="73">
        <f t="shared" si="245"/>
        <v>0.16325650781485235</v>
      </c>
      <c r="O106" s="73">
        <f t="shared" si="245"/>
        <v>0.15225578406169663</v>
      </c>
      <c r="P106" s="73">
        <f t="shared" si="245"/>
        <v>0.19893177098241746</v>
      </c>
      <c r="Q106" s="71">
        <f t="shared" si="245"/>
        <v>0.1683490584789897</v>
      </c>
      <c r="R106" s="73">
        <f t="shared" si="245"/>
        <v>0.1723908428481267</v>
      </c>
      <c r="S106" s="73">
        <f t="shared" si="245"/>
        <v>0.16586218240849104</v>
      </c>
      <c r="T106" s="73">
        <f t="shared" si="245"/>
        <v>0.14851797084216251</v>
      </c>
      <c r="U106" s="73">
        <f t="shared" si="245"/>
        <v>0.18315345963595125</v>
      </c>
      <c r="V106" s="71">
        <f t="shared" si="245"/>
        <v>0.16752070719811638</v>
      </c>
      <c r="W106" s="73">
        <f t="shared" si="245"/>
        <v>0.18497409566316497</v>
      </c>
      <c r="X106" s="73">
        <f t="shared" si="245"/>
        <v>0.19780648058324402</v>
      </c>
      <c r="Y106" s="73">
        <f t="shared" si="245"/>
        <v>7.6245180580690824E-2</v>
      </c>
      <c r="Z106" s="73">
        <f t="shared" si="245"/>
        <v>8.200782914622666E-2</v>
      </c>
      <c r="AA106" s="71">
        <f t="shared" si="245"/>
        <v>0.13066467090092643</v>
      </c>
      <c r="AB106" s="73">
        <f t="shared" si="245"/>
        <v>4.8136870626611289E-2</v>
      </c>
      <c r="AC106" s="73">
        <f t="shared" si="245"/>
        <v>4.6503542916379557E-2</v>
      </c>
      <c r="AD106" s="73">
        <f t="shared" si="245"/>
        <v>-2.7141775016599253E-2</v>
      </c>
      <c r="AE106" s="73">
        <f t="shared" si="245"/>
        <v>2.2351694269999001E-2</v>
      </c>
      <c r="AF106" s="71">
        <f t="shared" si="245"/>
        <v>2.2041385980623135E-2</v>
      </c>
      <c r="AG106" s="73">
        <f t="shared" ref="AG106" si="246">AG80/AG13</f>
        <v>-9.8320535601893591E-2</v>
      </c>
      <c r="AH106" s="73">
        <f>AH80/AH13</f>
        <v>-4.601649943225266E-2</v>
      </c>
      <c r="AI106" s="73">
        <f t="shared" ref="AI106" si="247">AI80/AI13</f>
        <v>-6.5374994577869022E-2</v>
      </c>
      <c r="AJ106" s="73">
        <f t="shared" ref="AJ106:BJ106" si="248">AJ80/AJ13</f>
        <v>0.10867789544840017</v>
      </c>
      <c r="AK106" s="71">
        <f t="shared" si="248"/>
        <v>-2.413693208596308E-2</v>
      </c>
      <c r="AL106" s="73">
        <f t="shared" si="248"/>
        <v>6.6908863439514993E-2</v>
      </c>
      <c r="AM106" s="73">
        <f t="shared" si="248"/>
        <v>8.2081763796326451E-2</v>
      </c>
      <c r="AN106" s="73">
        <f t="shared" ref="AN106" si="249">AN80/AN13</f>
        <v>0.11367023748162335</v>
      </c>
      <c r="AO106" s="73">
        <f t="shared" si="248"/>
        <v>0.19909800357133131</v>
      </c>
      <c r="AP106" s="71">
        <f t="shared" si="248"/>
        <v>0.11666842760771362</v>
      </c>
      <c r="AQ106" s="73">
        <f t="shared" si="248"/>
        <v>0.25182716496417135</v>
      </c>
      <c r="AR106" s="73">
        <f t="shared" ref="AR106:AU106" si="250">AR80/AR13</f>
        <v>0.25894213601501792</v>
      </c>
      <c r="AS106" s="73">
        <f t="shared" si="250"/>
        <v>0.2873144985191366</v>
      </c>
      <c r="AT106" s="73">
        <f t="shared" si="250"/>
        <v>0.28617997415599777</v>
      </c>
      <c r="AU106" s="71">
        <f t="shared" si="250"/>
        <v>0.27044159827336489</v>
      </c>
      <c r="AV106" s="73">
        <f t="shared" ref="AV106:AY106" si="251">AV80/AV13</f>
        <v>0.30072986228256682</v>
      </c>
      <c r="AW106" s="73">
        <f t="shared" si="251"/>
        <v>0.30140020002857548</v>
      </c>
      <c r="AX106" s="73">
        <f t="shared" si="251"/>
        <v>0.25194677688175238</v>
      </c>
      <c r="AY106" s="73">
        <f t="shared" si="251"/>
        <v>0.29673507302548885</v>
      </c>
      <c r="AZ106" s="111">
        <f>AZ80/AZ13</f>
        <v>4.5676719347865422E-2</v>
      </c>
      <c r="BA106" s="73">
        <f t="shared" ref="BA106:BD106" si="252">BA80/BA13</f>
        <v>0.18398413444280956</v>
      </c>
      <c r="BB106" s="73">
        <f t="shared" si="252"/>
        <v>0.20293095719094814</v>
      </c>
      <c r="BC106" s="73">
        <f t="shared" si="252"/>
        <v>0.23136115349194572</v>
      </c>
      <c r="BD106" s="73">
        <f t="shared" si="252"/>
        <v>0.25463944081965362</v>
      </c>
      <c r="BE106" s="111">
        <f>BE80/BE13</f>
        <v>0.21946064723330727</v>
      </c>
      <c r="BF106" s="71">
        <f t="shared" si="248"/>
        <v>0.24891393142940232</v>
      </c>
      <c r="BG106" s="71">
        <f t="shared" si="248"/>
        <v>0.26542774953110077</v>
      </c>
      <c r="BH106" s="71">
        <f t="shared" si="248"/>
        <v>0.28587665708596888</v>
      </c>
      <c r="BI106" s="71">
        <f t="shared" si="248"/>
        <v>0.30553469400752536</v>
      </c>
      <c r="BJ106" s="71">
        <f t="shared" si="248"/>
        <v>0.32441591502996869</v>
      </c>
    </row>
    <row r="107" spans="2:65">
      <c r="B107" s="45" t="s">
        <v>265</v>
      </c>
      <c r="C107" s="73"/>
      <c r="D107" s="73"/>
      <c r="E107" s="73"/>
      <c r="F107" s="73"/>
      <c r="G107" s="72"/>
      <c r="H107" s="73"/>
      <c r="I107" s="73"/>
      <c r="J107" s="73"/>
      <c r="K107" s="73"/>
      <c r="L107" s="71"/>
      <c r="M107" s="73"/>
      <c r="N107" s="73"/>
      <c r="O107" s="73"/>
      <c r="P107" s="73"/>
      <c r="Q107" s="71"/>
      <c r="R107" s="73"/>
      <c r="S107" s="73"/>
      <c r="T107" s="73"/>
      <c r="U107" s="73"/>
      <c r="V107" s="71"/>
      <c r="W107" s="73"/>
      <c r="X107" s="73"/>
      <c r="Y107" s="73"/>
      <c r="Z107" s="73"/>
      <c r="AA107" s="71"/>
      <c r="AB107" s="73">
        <f t="shared" ref="AB107:AH107" si="253">AB82/AB13</f>
        <v>5.0882569579628605E-2</v>
      </c>
      <c r="AC107" s="73">
        <f t="shared" si="253"/>
        <v>5.3447153340960632E-2</v>
      </c>
      <c r="AD107" s="73">
        <f t="shared" si="253"/>
        <v>5.1839636904335365E-3</v>
      </c>
      <c r="AE107" s="73">
        <f t="shared" si="253"/>
        <v>5.280774314586624E-2</v>
      </c>
      <c r="AF107" s="71">
        <f t="shared" si="253"/>
        <v>4.0473135657898181E-2</v>
      </c>
      <c r="AG107" s="73">
        <f t="shared" si="253"/>
        <v>-3.9772012049286272E-2</v>
      </c>
      <c r="AH107" s="73">
        <f t="shared" si="253"/>
        <v>-1.7339466549254955E-2</v>
      </c>
      <c r="AI107" s="73">
        <f t="shared" ref="AI107" si="254">AI82/AI13</f>
        <v>1.3183730715287533E-2</v>
      </c>
      <c r="AJ107" s="73">
        <f t="shared" ref="AJ107:BJ107" si="255">AJ82/AJ13</f>
        <v>0.14642012167643081</v>
      </c>
      <c r="AK107" s="71">
        <f t="shared" si="255"/>
        <v>2.6643298891808234E-2</v>
      </c>
      <c r="AL107" s="73">
        <f t="shared" si="255"/>
        <v>0.11770068114500799</v>
      </c>
      <c r="AM107" s="73">
        <f t="shared" si="255"/>
        <v>0.12588691127938317</v>
      </c>
      <c r="AN107" s="73">
        <f t="shared" ref="AN107" si="256">AN82/AN13</f>
        <v>0.1594831416739243</v>
      </c>
      <c r="AO107" s="73">
        <f t="shared" si="255"/>
        <v>0.22320820465065597</v>
      </c>
      <c r="AP107" s="71">
        <f t="shared" si="255"/>
        <v>0.15756132076981944</v>
      </c>
      <c r="AQ107" s="73">
        <f t="shared" si="255"/>
        <v>0.26460064415307211</v>
      </c>
      <c r="AR107" s="73">
        <f t="shared" ref="AR107:AU107" si="257">AR82/AR13</f>
        <v>0.27033179880021846</v>
      </c>
      <c r="AS107" s="73">
        <f t="shared" si="257"/>
        <v>0.2873144985191366</v>
      </c>
      <c r="AT107" s="73">
        <f t="shared" si="257"/>
        <v>0.28617997415599777</v>
      </c>
      <c r="AU107" s="71">
        <f t="shared" si="257"/>
        <v>0.27739925595660692</v>
      </c>
      <c r="AV107" s="73">
        <f t="shared" ref="AV107:AZ107" si="258">AV82/AV13</f>
        <v>0.30072986228256682</v>
      </c>
      <c r="AW107" s="73">
        <f t="shared" si="258"/>
        <v>0.30140020002857548</v>
      </c>
      <c r="AX107" s="73">
        <f t="shared" si="258"/>
        <v>0.31554214816486348</v>
      </c>
      <c r="AY107" s="73">
        <f t="shared" si="258"/>
        <v>0.29673507302548885</v>
      </c>
      <c r="AZ107" s="111">
        <f t="shared" si="258"/>
        <v>5.0017315942822681E-2</v>
      </c>
      <c r="BA107" s="73">
        <f t="shared" ref="BA107:BE107" si="259">BA82/BA13</f>
        <v>0.18398413444280956</v>
      </c>
      <c r="BB107" s="73">
        <f t="shared" si="259"/>
        <v>0.20293095719094814</v>
      </c>
      <c r="BC107" s="73">
        <f t="shared" si="259"/>
        <v>0.23136115349194572</v>
      </c>
      <c r="BD107" s="73">
        <f t="shared" si="259"/>
        <v>0.25463944081965362</v>
      </c>
      <c r="BE107" s="111">
        <f t="shared" si="259"/>
        <v>0.21946064723330727</v>
      </c>
      <c r="BF107" s="71">
        <f t="shared" si="255"/>
        <v>0.24891393142940232</v>
      </c>
      <c r="BG107" s="71">
        <f t="shared" si="255"/>
        <v>0.26542774953110077</v>
      </c>
      <c r="BH107" s="71">
        <f t="shared" si="255"/>
        <v>0.28587665708596888</v>
      </c>
      <c r="BI107" s="71">
        <f t="shared" si="255"/>
        <v>0.30553469400752536</v>
      </c>
      <c r="BJ107" s="71">
        <f t="shared" si="255"/>
        <v>0.32441591502996869</v>
      </c>
    </row>
    <row r="108" spans="2:65">
      <c r="B108" s="45" t="s">
        <v>34</v>
      </c>
      <c r="C108" s="73">
        <f t="shared" ref="C108:AF108" si="260">-C66/C49</f>
        <v>-5.6131260794473233E-2</v>
      </c>
      <c r="D108" s="73">
        <f t="shared" si="260"/>
        <v>-0.28789455428373223</v>
      </c>
      <c r="E108" s="73">
        <f t="shared" si="260"/>
        <v>-1.3808801213960549</v>
      </c>
      <c r="F108" s="73">
        <f t="shared" si="260"/>
        <v>0.19668568323825047</v>
      </c>
      <c r="G108" s="72">
        <f t="shared" si="260"/>
        <v>-0.27217900533170208</v>
      </c>
      <c r="H108" s="73">
        <f t="shared" si="260"/>
        <v>-7.5757575757575774E-2</v>
      </c>
      <c r="I108" s="73">
        <f t="shared" si="260"/>
        <v>1.1254237288135596</v>
      </c>
      <c r="J108" s="73">
        <f t="shared" si="260"/>
        <v>0.75366364270760644</v>
      </c>
      <c r="K108" s="73">
        <f t="shared" si="260"/>
        <v>-0.3767840152235965</v>
      </c>
      <c r="L108" s="72">
        <f t="shared" si="260"/>
        <v>1.7120622568091788</v>
      </c>
      <c r="M108" s="73">
        <f>-M50/M49</f>
        <v>6.7395754767805252E-2</v>
      </c>
      <c r="N108" s="73">
        <f>-N50/N49</f>
        <v>0.14820846905537485</v>
      </c>
      <c r="O108" s="73">
        <f>-O50/O49</f>
        <v>-1.2353923205342263E-2</v>
      </c>
      <c r="P108" s="73">
        <f>-P50/P49</f>
        <v>0.29251853516063864</v>
      </c>
      <c r="Q108" s="72">
        <f t="shared" si="260"/>
        <v>9.7684889416202597E-2</v>
      </c>
      <c r="R108" s="73">
        <f>-R50/R49</f>
        <v>4.2104549460980419E-2</v>
      </c>
      <c r="S108" s="73">
        <f>-S50/S49</f>
        <v>0.13583599212544978</v>
      </c>
      <c r="T108" s="73">
        <f>-T50/T49</f>
        <v>-9.763067650420873E-2</v>
      </c>
      <c r="U108" s="73">
        <f>-U50/U49</f>
        <v>6.0671616106986612E-2</v>
      </c>
      <c r="V108" s="72">
        <f t="shared" si="260"/>
        <v>-3.0961414560813208E-2</v>
      </c>
      <c r="W108" s="73">
        <f>-W50/W49</f>
        <v>5.2075775896815814E-2</v>
      </c>
      <c r="X108" s="73">
        <f>-X50/X49</f>
        <v>1.1811713574708213E-2</v>
      </c>
      <c r="Y108" s="73">
        <f>-Y50/Y49</f>
        <v>-2.9993159454861197E-3</v>
      </c>
      <c r="Z108" s="73">
        <f>-Z50/Z49</f>
        <v>-11.153777777777611</v>
      </c>
      <c r="AA108" s="72">
        <f t="shared" si="260"/>
        <v>2.3574068524622894E-3</v>
      </c>
      <c r="AB108" s="73">
        <f>-AB50/AB49</f>
        <v>7.1732260591709729E-2</v>
      </c>
      <c r="AC108" s="73">
        <f>-AC50/AC49</f>
        <v>-0.47548572534062949</v>
      </c>
      <c r="AD108" s="73">
        <f>-AD50/AD49</f>
        <v>-0.6035536737946281</v>
      </c>
      <c r="AE108" s="73">
        <f>-AE50/AE49</f>
        <v>-3.2505729897428302E-2</v>
      </c>
      <c r="AF108" s="72">
        <f t="shared" si="260"/>
        <v>-0.62891746017815564</v>
      </c>
      <c r="AG108" s="73">
        <f>-AG50/AG49</f>
        <v>-0.12528671048783113</v>
      </c>
      <c r="AH108" s="73">
        <f>-AH50/AH49</f>
        <v>-8.7390269915497573E-2</v>
      </c>
      <c r="AI108" s="73">
        <f>-AI50/AI49</f>
        <v>0.15406920077972713</v>
      </c>
      <c r="AJ108" s="73">
        <f>-AJ50/AJ49</f>
        <v>-0.13525326706751564</v>
      </c>
      <c r="AK108" s="72">
        <f>-AK66/AK49</f>
        <v>-9.1868033216129255E-2</v>
      </c>
      <c r="AL108" s="73">
        <f>-AL50/AL49</f>
        <v>-0.12858223380115943</v>
      </c>
      <c r="AM108" s="73">
        <f>-AM50/AM49</f>
        <v>1.2972516366488673E-2</v>
      </c>
      <c r="AN108" s="73">
        <f>-AN50/AN49</f>
        <v>-0.16135625826620184</v>
      </c>
      <c r="AO108" s="73">
        <f>-AO50/AO49</f>
        <v>-0.64297800338409494</v>
      </c>
      <c r="AP108" s="72">
        <f>-AP66/AP49</f>
        <v>-0.124263326197839</v>
      </c>
      <c r="AQ108" s="73">
        <f t="shared" ref="AQ108:AY108" si="261">-AQ50/AQ49</f>
        <v>-0.16558317399617598</v>
      </c>
      <c r="AR108" s="73">
        <f t="shared" si="261"/>
        <v>-3.675717837468926E-2</v>
      </c>
      <c r="AS108" s="73">
        <f t="shared" si="261"/>
        <v>-0.10300472314340256</v>
      </c>
      <c r="AT108" s="73">
        <f t="shared" si="261"/>
        <v>-8.1425374419004978E-2</v>
      </c>
      <c r="AU108" s="72">
        <f t="shared" si="261"/>
        <v>-8.9537600789863392E-2</v>
      </c>
      <c r="AV108" s="73">
        <f t="shared" si="261"/>
        <v>-0.22020276667975328</v>
      </c>
      <c r="AW108" s="73">
        <f t="shared" si="261"/>
        <v>8.5345340383344919</v>
      </c>
      <c r="AX108" s="73">
        <f t="shared" si="261"/>
        <v>-1.050380634676247</v>
      </c>
      <c r="AY108" s="73">
        <f t="shared" si="261"/>
        <v>-0.35378200316904362</v>
      </c>
      <c r="AZ108" s="72">
        <f>-AZ50/AZ49</f>
        <v>46.875114784198409</v>
      </c>
      <c r="BA108" s="142">
        <v>0.125</v>
      </c>
      <c r="BB108" s="142">
        <v>0.125</v>
      </c>
      <c r="BC108" s="142">
        <v>0.125</v>
      </c>
      <c r="BD108" s="142">
        <v>0.125</v>
      </c>
      <c r="BE108" s="72">
        <f>-BE50/BE49</f>
        <v>-0.13541390058465758</v>
      </c>
      <c r="BF108" s="141">
        <v>0.125</v>
      </c>
      <c r="BG108" s="141">
        <v>0.125</v>
      </c>
      <c r="BH108" s="141">
        <v>0.125</v>
      </c>
      <c r="BI108" s="141">
        <v>0.125</v>
      </c>
      <c r="BJ108" s="141">
        <v>0.125</v>
      </c>
    </row>
    <row r="109" spans="2:65">
      <c r="G109" s="63"/>
      <c r="L109" s="63"/>
      <c r="Q109" s="63"/>
      <c r="V109" s="74"/>
      <c r="AA109" s="63"/>
      <c r="AF109" s="63"/>
      <c r="AK109" s="63"/>
      <c r="AP109" s="63"/>
      <c r="AU109" s="229">
        <f>+AU104-AP104</f>
        <v>6.3100363527365561E-2</v>
      </c>
      <c r="AZ109" s="229">
        <f>+AZ104-AU104</f>
        <v>-1.193665916577602E-2</v>
      </c>
      <c r="BE109" s="229">
        <f>+BE104-AZ104</f>
        <v>-7.4716963143186044E-2</v>
      </c>
      <c r="BF109" s="63"/>
      <c r="BG109" s="63"/>
      <c r="BH109" s="63"/>
      <c r="BI109" s="63"/>
      <c r="BJ109" s="63"/>
    </row>
    <row r="110" spans="2:65">
      <c r="B110" s="75" t="s">
        <v>32</v>
      </c>
      <c r="G110" s="63"/>
      <c r="L110" s="63"/>
      <c r="Q110" s="63"/>
      <c r="V110" s="63"/>
      <c r="X110" s="57"/>
      <c r="Y110" s="57"/>
      <c r="Z110" s="57"/>
      <c r="AA110" s="63"/>
      <c r="AF110" s="63"/>
      <c r="AK110" s="63"/>
      <c r="AP110" s="63"/>
      <c r="AU110" s="63"/>
      <c r="AZ110" s="229"/>
      <c r="BE110" s="229"/>
      <c r="BF110" s="63"/>
      <c r="BG110" s="63"/>
      <c r="BH110" s="63"/>
      <c r="BI110" s="63"/>
      <c r="BJ110" s="63"/>
    </row>
    <row r="111" spans="2:65">
      <c r="B111" s="45" t="s">
        <v>203</v>
      </c>
      <c r="G111" s="63"/>
      <c r="H111" s="73">
        <f t="shared" ref="H111:AP111" si="262">H4/C4-1</f>
        <v>0.51322359903828363</v>
      </c>
      <c r="I111" s="73">
        <f t="shared" si="262"/>
        <v>0.43787214712779132</v>
      </c>
      <c r="J111" s="73">
        <f t="shared" si="262"/>
        <v>0.376410867547468</v>
      </c>
      <c r="K111" s="73">
        <f t="shared" si="262"/>
        <v>0.35371098550012281</v>
      </c>
      <c r="L111" s="72">
        <f t="shared" si="262"/>
        <v>0.41484056174651252</v>
      </c>
      <c r="M111" s="73">
        <f t="shared" si="262"/>
        <v>0.39378251911862283</v>
      </c>
      <c r="N111" s="73">
        <f t="shared" si="262"/>
        <v>0.36523535890846071</v>
      </c>
      <c r="O111" s="73">
        <f t="shared" si="262"/>
        <v>0.35514244326412348</v>
      </c>
      <c r="P111" s="73">
        <f t="shared" si="262"/>
        <v>0.3317750646757136</v>
      </c>
      <c r="Q111" s="72">
        <f t="shared" si="262"/>
        <v>0.3603473675728277</v>
      </c>
      <c r="R111" s="73">
        <f t="shared" si="262"/>
        <v>0.2550750054805675</v>
      </c>
      <c r="S111" s="73">
        <f t="shared" si="262"/>
        <v>0.24808780762375293</v>
      </c>
      <c r="T111" s="73">
        <f t="shared" si="262"/>
        <v>0.26467498479514928</v>
      </c>
      <c r="U111" s="73">
        <f t="shared" si="262"/>
        <v>0.2875472855536243</v>
      </c>
      <c r="V111" s="72">
        <f t="shared" si="262"/>
        <v>0.26443494308041626</v>
      </c>
      <c r="W111" s="73">
        <f t="shared" si="262"/>
        <v>0.24193653027512863</v>
      </c>
      <c r="X111" s="73">
        <f t="shared" si="262"/>
        <v>0.33216578223418169</v>
      </c>
      <c r="Y111" s="73">
        <f t="shared" si="262"/>
        <v>0.36471874089186795</v>
      </c>
      <c r="Z111" s="73">
        <f t="shared" si="262"/>
        <v>0.35158348883683366</v>
      </c>
      <c r="AA111" s="72">
        <f t="shared" si="262"/>
        <v>0.32378481293957262</v>
      </c>
      <c r="AB111" s="73">
        <f t="shared" si="262"/>
        <v>0.41088090396933197</v>
      </c>
      <c r="AC111" s="73">
        <f t="shared" si="262"/>
        <v>0.28967353893722425</v>
      </c>
      <c r="AD111" s="73">
        <f t="shared" si="262"/>
        <v>0.3287380624401568</v>
      </c>
      <c r="AE111" s="73">
        <f t="shared" si="262"/>
        <v>0.14744713281828847</v>
      </c>
      <c r="AF111" s="72">
        <f t="shared" si="262"/>
        <v>0.28746196794826995</v>
      </c>
      <c r="AG111" s="73">
        <f t="shared" si="262"/>
        <v>0.12001686086087204</v>
      </c>
      <c r="AH111" s="73">
        <f t="shared" si="262"/>
        <v>3.4220865015268664E-2</v>
      </c>
      <c r="AI111" s="73">
        <f t="shared" si="262"/>
        <v>-5.5808109896409608E-2</v>
      </c>
      <c r="AJ111" s="73">
        <f t="shared" si="262"/>
        <v>5.7620976458942375E-2</v>
      </c>
      <c r="AK111" s="72">
        <f t="shared" si="262"/>
        <v>3.7563529770803017E-2</v>
      </c>
      <c r="AL111" s="73">
        <f t="shared" si="262"/>
        <v>5.5072117340711157E-2</v>
      </c>
      <c r="AM111" s="73">
        <f t="shared" si="262"/>
        <v>0.12380920150933172</v>
      </c>
      <c r="AN111" s="73">
        <f t="shared" si="262"/>
        <v>0.10392834445503651</v>
      </c>
      <c r="AO111" s="73">
        <f t="shared" si="262"/>
        <v>6.23727518940973E-2</v>
      </c>
      <c r="AP111" s="72">
        <f t="shared" si="262"/>
        <v>8.5170424401831646E-2</v>
      </c>
      <c r="AQ111" s="73">
        <f t="shared" ref="AQ111:AR111" si="263">AQ4/AL4-1</f>
        <v>0.10213422349694512</v>
      </c>
      <c r="AR111" s="73">
        <f t="shared" si="263"/>
        <v>0.150322713402393</v>
      </c>
      <c r="AS111" s="73">
        <f t="shared" ref="AS111" si="264">AS4/AN4-1</f>
        <v>0.16291908145825573</v>
      </c>
      <c r="AT111" s="73">
        <f t="shared" ref="AT111:BE111" si="265">AT4/AO4-1</f>
        <v>0.17619062085447257</v>
      </c>
      <c r="AU111" s="72">
        <f t="shared" si="265"/>
        <v>0.14727136150234754</v>
      </c>
      <c r="AV111" s="73">
        <f t="shared" si="265"/>
        <v>0.11726706335929094</v>
      </c>
      <c r="AW111" s="73">
        <f t="shared" si="265"/>
        <v>0.11240207766596355</v>
      </c>
      <c r="AX111" s="73">
        <f t="shared" si="265"/>
        <v>0.13714678465190078</v>
      </c>
      <c r="AY111" s="73">
        <f t="shared" si="265"/>
        <v>0.1388226431338786</v>
      </c>
      <c r="AZ111" s="72">
        <f t="shared" si="265"/>
        <v>0.1264225765864273</v>
      </c>
      <c r="BA111" s="73">
        <f t="shared" si="265"/>
        <v>0.12896649029266305</v>
      </c>
      <c r="BB111" s="73">
        <f t="shared" si="265"/>
        <v>0.14663722995843353</v>
      </c>
      <c r="BC111" s="73">
        <f t="shared" si="265"/>
        <v>0.16164061832538779</v>
      </c>
      <c r="BD111" s="73">
        <f t="shared" si="265"/>
        <v>0.15800466998489893</v>
      </c>
      <c r="BE111" s="72">
        <f t="shared" si="265"/>
        <v>0.14891689491210447</v>
      </c>
      <c r="BF111" s="72">
        <f t="shared" ref="BF111:BJ111" si="266">BF4/BE4-1</f>
        <v>0.11551217562516669</v>
      </c>
      <c r="BG111" s="72">
        <f t="shared" si="266"/>
        <v>9.3725904678309879E-2</v>
      </c>
      <c r="BH111" s="72">
        <f t="shared" si="266"/>
        <v>7.6194667041893593E-2</v>
      </c>
      <c r="BI111" s="72">
        <f t="shared" si="266"/>
        <v>6.2087760953907445E-2</v>
      </c>
      <c r="BJ111" s="72">
        <f t="shared" si="266"/>
        <v>5.1321476900466179E-2</v>
      </c>
      <c r="BL111" s="45">
        <f>15%-AU112</f>
        <v>2.258150755763863E-2</v>
      </c>
    </row>
    <row r="112" spans="2:65">
      <c r="B112" s="45" t="s">
        <v>65</v>
      </c>
      <c r="C112" s="70"/>
      <c r="D112" s="73"/>
      <c r="E112" s="73"/>
      <c r="F112" s="73"/>
      <c r="G112" s="72"/>
      <c r="H112" s="73">
        <f t="shared" ref="H112:AO112" si="267">H13/C13-1</f>
        <v>0.50251664231206372</v>
      </c>
      <c r="I112" s="73">
        <f t="shared" si="267"/>
        <v>0.50618361705223314</v>
      </c>
      <c r="J112" s="73">
        <f t="shared" si="267"/>
        <v>0.46845655336595682</v>
      </c>
      <c r="K112" s="73">
        <f t="shared" si="267"/>
        <v>0.40817296269897829</v>
      </c>
      <c r="L112" s="72">
        <f t="shared" si="267"/>
        <v>0.46713315638895603</v>
      </c>
      <c r="M112" s="73">
        <f t="shared" si="267"/>
        <v>0.48881564728765925</v>
      </c>
      <c r="N112" s="73">
        <f t="shared" si="267"/>
        <v>0.41163060278207131</v>
      </c>
      <c r="O112" s="73">
        <f t="shared" si="267"/>
        <v>0.40142303881833752</v>
      </c>
      <c r="P112" s="73">
        <f t="shared" si="267"/>
        <v>0.38516112704572292</v>
      </c>
      <c r="Q112" s="72">
        <f t="shared" si="267"/>
        <v>0.41837746399454923</v>
      </c>
      <c r="R112" s="73">
        <f t="shared" si="267"/>
        <v>0.26503356922518595</v>
      </c>
      <c r="S112" s="73">
        <f t="shared" si="267"/>
        <v>0.26884597487203354</v>
      </c>
      <c r="T112" s="73">
        <f t="shared" si="267"/>
        <v>0.26472365038560386</v>
      </c>
      <c r="U112" s="73">
        <f t="shared" si="267"/>
        <v>0.24599109606143843</v>
      </c>
      <c r="V112" s="72">
        <f t="shared" si="267"/>
        <v>0.26069729536329045</v>
      </c>
      <c r="W112" s="73">
        <f t="shared" si="267"/>
        <v>0.23923919903608937</v>
      </c>
      <c r="X112" s="73">
        <f t="shared" si="267"/>
        <v>0.27311116983696393</v>
      </c>
      <c r="Y112" s="73">
        <f t="shared" si="267"/>
        <v>0.29162410882611511</v>
      </c>
      <c r="Z112" s="73">
        <f t="shared" si="267"/>
        <v>0.38099008739515505</v>
      </c>
      <c r="AA112" s="72">
        <f t="shared" si="267"/>
        <v>0.29914017827110673</v>
      </c>
      <c r="AB112" s="73">
        <f t="shared" si="267"/>
        <v>0.40801066730868074</v>
      </c>
      <c r="AC112" s="73">
        <f t="shared" si="267"/>
        <v>0.34036829775606936</v>
      </c>
      <c r="AD112" s="73">
        <f t="shared" si="267"/>
        <v>0.26208592336139747</v>
      </c>
      <c r="AE112" s="73">
        <f t="shared" si="267"/>
        <v>0.16213269907338579</v>
      </c>
      <c r="AF112" s="72">
        <f t="shared" si="267"/>
        <v>0.28409017355070998</v>
      </c>
      <c r="AG112" s="73">
        <f t="shared" si="267"/>
        <v>0.12326050928605237</v>
      </c>
      <c r="AH112" s="73">
        <f t="shared" si="267"/>
        <v>9.1079183074910253E-2</v>
      </c>
      <c r="AI112" s="73">
        <f t="shared" si="267"/>
        <v>7.7955841232929091E-2</v>
      </c>
      <c r="AJ112" s="73">
        <f t="shared" si="267"/>
        <v>8.1311559288790303E-2</v>
      </c>
      <c r="AK112" s="72">
        <f t="shared" si="267"/>
        <v>9.2945575064761643E-2</v>
      </c>
      <c r="AL112" s="73">
        <f t="shared" si="267"/>
        <v>9.507987482325686E-2</v>
      </c>
      <c r="AM112" s="73">
        <f t="shared" si="267"/>
        <v>0.12963467198109035</v>
      </c>
      <c r="AN112" s="73">
        <f t="shared" si="267"/>
        <v>0.13891065774063427</v>
      </c>
      <c r="AO112" s="73">
        <f t="shared" si="267"/>
        <v>0.13725495718792269</v>
      </c>
      <c r="AP112" s="72">
        <f t="shared" ref="AP112:BE114" si="268">AP13/AK13-1</f>
        <v>0.1253896831081831</v>
      </c>
      <c r="AQ112" s="73">
        <f t="shared" si="268"/>
        <v>0.12216768784952792</v>
      </c>
      <c r="AR112" s="73">
        <f t="shared" si="268"/>
        <v>0.11736333168366331</v>
      </c>
      <c r="AS112" s="73">
        <f t="shared" si="268"/>
        <v>0.12906731396680393</v>
      </c>
      <c r="AT112" s="73">
        <f t="shared" si="268"/>
        <v>0.14038650621268012</v>
      </c>
      <c r="AU112" s="72">
        <f t="shared" si="268"/>
        <v>0.12741849244236136</v>
      </c>
      <c r="AV112" s="73">
        <f t="shared" si="268"/>
        <v>0.12834225872846461</v>
      </c>
      <c r="AW112" s="73">
        <f t="shared" si="268"/>
        <v>0.12434767043185713</v>
      </c>
      <c r="AX112" s="73">
        <f t="shared" si="268"/>
        <v>0.13610225941309673</v>
      </c>
      <c r="AY112" s="73">
        <f t="shared" si="268"/>
        <v>0.13858900435438848</v>
      </c>
      <c r="AZ112" s="72">
        <f t="shared" si="268"/>
        <v>0.13199329792974179</v>
      </c>
      <c r="BA112" s="73">
        <f t="shared" si="268"/>
        <v>0.14392733198699692</v>
      </c>
      <c r="BB112" s="73">
        <f t="shared" si="268"/>
        <v>0.149840472821269</v>
      </c>
      <c r="BC112" s="73">
        <f t="shared" si="268"/>
        <v>0.16098063055974543</v>
      </c>
      <c r="BD112" s="73">
        <f t="shared" si="268"/>
        <v>0.16866874996423586</v>
      </c>
      <c r="BE112" s="72">
        <f t="shared" si="268"/>
        <v>0.15621176106613666</v>
      </c>
      <c r="BF112" s="72">
        <f t="shared" ref="BF112:BJ114" si="269">BF13/BE13-1</f>
        <v>0.11743179720432617</v>
      </c>
      <c r="BG112" s="72">
        <f t="shared" si="269"/>
        <v>9.4929833131233377E-2</v>
      </c>
      <c r="BH112" s="72">
        <f t="shared" si="269"/>
        <v>7.6886303323663974E-2</v>
      </c>
      <c r="BI112" s="72">
        <f t="shared" si="269"/>
        <v>6.2398954221954961E-2</v>
      </c>
      <c r="BJ112" s="72">
        <f t="shared" si="269"/>
        <v>5.1355100605812165E-2</v>
      </c>
    </row>
    <row r="113" spans="2:66">
      <c r="B113" s="45" t="s">
        <v>136</v>
      </c>
      <c r="C113" s="70"/>
      <c r="D113" s="73"/>
      <c r="E113" s="73"/>
      <c r="F113" s="73"/>
      <c r="G113" s="72"/>
      <c r="H113" s="73"/>
      <c r="I113" s="73"/>
      <c r="J113" s="73"/>
      <c r="K113" s="73"/>
      <c r="L113" s="72"/>
      <c r="M113" s="73"/>
      <c r="N113" s="73"/>
      <c r="O113" s="73"/>
      <c r="P113" s="73"/>
      <c r="Q113" s="72"/>
      <c r="R113" s="73">
        <f t="shared" ref="R113:AA114" si="270">R14/M14-1</f>
        <v>0.256821163458824</v>
      </c>
      <c r="S113" s="73">
        <f t="shared" si="270"/>
        <v>0.23908582972947379</v>
      </c>
      <c r="T113" s="73">
        <f t="shared" si="270"/>
        <v>0.22426975976935459</v>
      </c>
      <c r="U113" s="73">
        <f t="shared" si="270"/>
        <v>0.19310546507822668</v>
      </c>
      <c r="V113" s="72">
        <f t="shared" si="270"/>
        <v>0.22678595222232789</v>
      </c>
      <c r="W113" s="73">
        <f t="shared" si="270"/>
        <v>0.1663671678866836</v>
      </c>
      <c r="X113" s="73">
        <f t="shared" si="270"/>
        <v>0.21117494204264653</v>
      </c>
      <c r="Y113" s="73">
        <f t="shared" si="270"/>
        <v>0.23206341306498524</v>
      </c>
      <c r="Z113" s="73">
        <f t="shared" si="270"/>
        <v>0.24738116775115992</v>
      </c>
      <c r="AA113" s="72">
        <f t="shared" si="270"/>
        <v>0.21561788199077725</v>
      </c>
      <c r="AB113" s="73">
        <f t="shared" ref="AB113:AK114" si="271">AB14/W14-1</f>
        <v>0.28258924019802212</v>
      </c>
      <c r="AC113" s="73">
        <f t="shared" si="271"/>
        <v>0.24042825066125384</v>
      </c>
      <c r="AD113" s="73">
        <f t="shared" si="271"/>
        <v>0.1887081518847662</v>
      </c>
      <c r="AE113" s="73">
        <f t="shared" si="271"/>
        <v>0.15403401249152027</v>
      </c>
      <c r="AF113" s="72">
        <f t="shared" si="271"/>
        <v>0.2129577155577338</v>
      </c>
      <c r="AG113" s="73">
        <f t="shared" si="271"/>
        <v>0.1260046988994683</v>
      </c>
      <c r="AH113" s="73">
        <f t="shared" si="271"/>
        <v>9.4475838416895996E-2</v>
      </c>
      <c r="AI113" s="73">
        <f t="shared" si="271"/>
        <v>8.1901178186760903E-2</v>
      </c>
      <c r="AJ113" s="73">
        <f t="shared" si="271"/>
        <v>7.540063810207176E-2</v>
      </c>
      <c r="AK113" s="72">
        <f t="shared" si="271"/>
        <v>9.384414799973495E-2</v>
      </c>
      <c r="AL113" s="73">
        <f t="shared" ref="AL113:AO114" si="272">AL14/AG14-1</f>
        <v>9.0842772426343643E-2</v>
      </c>
      <c r="AM113" s="73">
        <f t="shared" si="272"/>
        <v>0.11198518845598171</v>
      </c>
      <c r="AN113" s="73">
        <f t="shared" si="272"/>
        <v>0.11325871618671157</v>
      </c>
      <c r="AO113" s="73">
        <f t="shared" si="272"/>
        <v>0.11643319209252545</v>
      </c>
      <c r="AP113" s="72">
        <f t="shared" si="268"/>
        <v>0.10825423120621003</v>
      </c>
      <c r="AQ113" s="73">
        <f t="shared" si="268"/>
        <v>9.4067522381620083E-2</v>
      </c>
      <c r="AR113" s="73">
        <f t="shared" si="268"/>
        <v>8.7206406375723189E-2</v>
      </c>
      <c r="AS113" s="73">
        <f t="shared" si="268"/>
        <v>9.6998286504675901E-2</v>
      </c>
      <c r="AT113" s="73">
        <f t="shared" si="268"/>
        <v>0.11338020084145417</v>
      </c>
      <c r="AU113" s="72">
        <f t="shared" si="268"/>
        <v>9.8061904137735079E-2</v>
      </c>
      <c r="AV113" s="73">
        <f t="shared" si="268"/>
        <v>0.10970676288971482</v>
      </c>
      <c r="AW113" s="73">
        <f t="shared" si="268"/>
        <v>0.10678734481377661</v>
      </c>
      <c r="AX113" s="73">
        <f t="shared" si="268"/>
        <v>0.11714576962283374</v>
      </c>
      <c r="AY113" s="73">
        <f t="shared" si="268"/>
        <v>0.12340021593293926</v>
      </c>
      <c r="AZ113" s="72">
        <f t="shared" si="268"/>
        <v>0.11443071997470322</v>
      </c>
      <c r="BA113" s="73">
        <f t="shared" si="268"/>
        <v>0.14034829762849621</v>
      </c>
      <c r="BB113" s="73">
        <f t="shared" si="268"/>
        <v>0.15230874127240512</v>
      </c>
      <c r="BC113" s="73">
        <f t="shared" si="268"/>
        <v>0.16766018483943235</v>
      </c>
      <c r="BD113" s="73">
        <f t="shared" si="268"/>
        <v>0.18440557332062713</v>
      </c>
      <c r="BE113" s="72">
        <f t="shared" si="268"/>
        <v>0.16175622359861164</v>
      </c>
      <c r="BF113" s="72">
        <f t="shared" si="269"/>
        <v>0.12000000000000011</v>
      </c>
      <c r="BG113" s="72">
        <f t="shared" si="269"/>
        <v>9.6000000000000085E-2</v>
      </c>
      <c r="BH113" s="72">
        <f t="shared" si="269"/>
        <v>7.6799999999999979E-2</v>
      </c>
      <c r="BI113" s="72">
        <f t="shared" si="269"/>
        <v>6.1439999999999717E-2</v>
      </c>
      <c r="BJ113" s="72">
        <f t="shared" si="269"/>
        <v>5.0000000000000266E-2</v>
      </c>
    </row>
    <row r="114" spans="2:66">
      <c r="B114" s="45" t="s">
        <v>137</v>
      </c>
      <c r="C114" s="70"/>
      <c r="D114" s="73"/>
      <c r="E114" s="73"/>
      <c r="F114" s="73"/>
      <c r="G114" s="72"/>
      <c r="H114" s="73"/>
      <c r="I114" s="73"/>
      <c r="J114" s="73"/>
      <c r="K114" s="73"/>
      <c r="L114" s="72"/>
      <c r="M114" s="73"/>
      <c r="N114" s="73"/>
      <c r="O114" s="73"/>
      <c r="P114" s="73"/>
      <c r="Q114" s="72"/>
      <c r="R114" s="73">
        <f t="shared" si="270"/>
        <v>0.32206908482786445</v>
      </c>
      <c r="S114" s="73">
        <f t="shared" si="270"/>
        <v>0.46307169344870203</v>
      </c>
      <c r="T114" s="73">
        <f t="shared" si="270"/>
        <v>0.52371438085723798</v>
      </c>
      <c r="U114" s="73">
        <f t="shared" si="270"/>
        <v>0.61513413685847573</v>
      </c>
      <c r="V114" s="72">
        <f t="shared" si="270"/>
        <v>0.48806697807386956</v>
      </c>
      <c r="W114" s="73">
        <f t="shared" si="270"/>
        <v>0.72036116199947675</v>
      </c>
      <c r="X114" s="73">
        <f t="shared" si="270"/>
        <v>0.61544689689161114</v>
      </c>
      <c r="Y114" s="73">
        <f t="shared" si="270"/>
        <v>0.59800187324383369</v>
      </c>
      <c r="Z114" s="73">
        <f t="shared" si="270"/>
        <v>1.0699004002046162</v>
      </c>
      <c r="AA114" s="72">
        <f t="shared" si="270"/>
        <v>0.76081512230265158</v>
      </c>
      <c r="AB114" s="73">
        <f t="shared" si="271"/>
        <v>0.96942268198067993</v>
      </c>
      <c r="AC114" s="73">
        <f t="shared" si="271"/>
        <v>0.75452168228372196</v>
      </c>
      <c r="AD114" s="73">
        <f t="shared" si="271"/>
        <v>0.55310253204126303</v>
      </c>
      <c r="AE114" s="73">
        <f t="shared" si="271"/>
        <v>0.18729738766372539</v>
      </c>
      <c r="AF114" s="72">
        <f t="shared" si="271"/>
        <v>0.55553715465845799</v>
      </c>
      <c r="AG114" s="73">
        <f t="shared" si="271"/>
        <v>0.11526082702507856</v>
      </c>
      <c r="AH114" s="73">
        <f t="shared" si="271"/>
        <v>8.1127740172638685E-2</v>
      </c>
      <c r="AI114" s="73">
        <f t="shared" si="271"/>
        <v>6.5979822376531549E-2</v>
      </c>
      <c r="AJ114" s="73">
        <f t="shared" si="271"/>
        <v>9.9163738322334272E-2</v>
      </c>
      <c r="AK114" s="72">
        <f t="shared" si="271"/>
        <v>9.0271732663656401E-2</v>
      </c>
      <c r="AL114" s="73">
        <f t="shared" si="272"/>
        <v>0.10755058929457784</v>
      </c>
      <c r="AM114" s="73">
        <f t="shared" si="272"/>
        <v>0.18198214757544795</v>
      </c>
      <c r="AN114" s="73">
        <f t="shared" si="272"/>
        <v>0.21793979159536914</v>
      </c>
      <c r="AO114" s="73">
        <f t="shared" si="272"/>
        <v>0.19878135721605839</v>
      </c>
      <c r="AP114" s="72">
        <f t="shared" si="268"/>
        <v>0.17654593652261585</v>
      </c>
      <c r="AQ114" s="73">
        <f t="shared" si="268"/>
        <v>0.20362495570425043</v>
      </c>
      <c r="AR114" s="73">
        <f t="shared" si="268"/>
        <v>0.20151038021926748</v>
      </c>
      <c r="AS114" s="73">
        <f t="shared" si="268"/>
        <v>0.21937465481992513</v>
      </c>
      <c r="AT114" s="73">
        <f t="shared" si="268"/>
        <v>0.21470585502290529</v>
      </c>
      <c r="AU114" s="72">
        <f t="shared" si="268"/>
        <v>0.20997270894258158</v>
      </c>
      <c r="AV114" s="73">
        <f t="shared" si="268"/>
        <v>0.1774460310175523</v>
      </c>
      <c r="AW114" s="73">
        <f t="shared" si="268"/>
        <v>0.16868493217171832</v>
      </c>
      <c r="AX114" s="73">
        <f t="shared" si="268"/>
        <v>0.18412688322420712</v>
      </c>
      <c r="AY114" s="73">
        <f t="shared" si="268"/>
        <v>0.17690077492101608</v>
      </c>
      <c r="AZ114" s="72">
        <f t="shared" si="268"/>
        <v>0.17681343622333157</v>
      </c>
      <c r="BA114" s="73">
        <f t="shared" si="268"/>
        <v>0.15281539233662778</v>
      </c>
      <c r="BB114" s="73">
        <f t="shared" si="268"/>
        <v>0.1439385240550155</v>
      </c>
      <c r="BC114" s="73">
        <f t="shared" si="268"/>
        <v>0.14501576969534291</v>
      </c>
      <c r="BD114" s="73">
        <f t="shared" si="268"/>
        <v>0.13077908065103228</v>
      </c>
      <c r="BE114" s="72">
        <f t="shared" si="268"/>
        <v>0.14281222268045912</v>
      </c>
      <c r="BF114" s="72">
        <f t="shared" si="269"/>
        <v>0.11112222623476709</v>
      </c>
      <c r="BG114" s="72">
        <f t="shared" si="269"/>
        <v>9.2279635848268926E-2</v>
      </c>
      <c r="BH114" s="72">
        <f t="shared" si="269"/>
        <v>7.7100755738747528E-2</v>
      </c>
      <c r="BI114" s="72">
        <f t="shared" si="269"/>
        <v>6.4781164049499518E-2</v>
      </c>
      <c r="BJ114" s="72">
        <f t="shared" si="269"/>
        <v>5.4710844168835315E-2</v>
      </c>
      <c r="BN114" s="45">
        <v>34</v>
      </c>
    </row>
    <row r="115" spans="2:66">
      <c r="B115" s="45" t="s">
        <v>69</v>
      </c>
      <c r="C115" s="70"/>
      <c r="D115" s="70"/>
      <c r="E115" s="70"/>
      <c r="F115" s="70"/>
      <c r="G115" s="71"/>
      <c r="H115" s="70">
        <f t="shared" ref="H115:AO115" si="273">+H24/C24-1</f>
        <v>0.51842432243534997</v>
      </c>
      <c r="I115" s="70">
        <f t="shared" si="273"/>
        <v>0.49918363839477498</v>
      </c>
      <c r="J115" s="70">
        <f t="shared" si="273"/>
        <v>0.44095855878012791</v>
      </c>
      <c r="K115" s="70">
        <f t="shared" si="273"/>
        <v>0.39862805938582691</v>
      </c>
      <c r="L115" s="71">
        <f t="shared" si="273"/>
        <v>0.45853911717717288</v>
      </c>
      <c r="M115" s="70">
        <f t="shared" si="273"/>
        <v>0.40402245208474485</v>
      </c>
      <c r="N115" s="70">
        <f t="shared" si="273"/>
        <v>0.33878252894646366</v>
      </c>
      <c r="O115" s="70">
        <f t="shared" si="273"/>
        <v>0.3198318807804319</v>
      </c>
      <c r="P115" s="70">
        <f t="shared" si="273"/>
        <v>0.30183648699735377</v>
      </c>
      <c r="Q115" s="71">
        <f t="shared" si="273"/>
        <v>0.3377045443172404</v>
      </c>
      <c r="R115" s="70">
        <f t="shared" si="273"/>
        <v>0.23746471177488382</v>
      </c>
      <c r="S115" s="70">
        <f t="shared" si="273"/>
        <v>0.20046753780548365</v>
      </c>
      <c r="T115" s="70">
        <f t="shared" si="273"/>
        <v>0.17212366134572599</v>
      </c>
      <c r="U115" s="70">
        <f t="shared" si="273"/>
        <v>0.1381421082394656</v>
      </c>
      <c r="V115" s="71">
        <f t="shared" si="273"/>
        <v>0.18467293604198032</v>
      </c>
      <c r="W115" s="70">
        <f t="shared" si="273"/>
        <v>0.14469481771484927</v>
      </c>
      <c r="X115" s="70">
        <f t="shared" si="273"/>
        <v>0.19439629653406376</v>
      </c>
      <c r="Y115" s="70">
        <f t="shared" si="273"/>
        <v>0.21909930285958601</v>
      </c>
      <c r="Z115" s="70">
        <f t="shared" si="273"/>
        <v>0.224688622553463</v>
      </c>
      <c r="AA115" s="71">
        <f t="shared" si="273"/>
        <v>0.1967475681317814</v>
      </c>
      <c r="AB115" s="70">
        <f t="shared" si="273"/>
        <v>0.23293774269035938</v>
      </c>
      <c r="AC115" s="70">
        <f t="shared" si="273"/>
        <v>0.18722453806003103</v>
      </c>
      <c r="AD115" s="70">
        <f t="shared" si="273"/>
        <v>0.14440453632738492</v>
      </c>
      <c r="AE115" s="70">
        <f t="shared" si="273"/>
        <v>0.11644252435594482</v>
      </c>
      <c r="AF115" s="71">
        <f t="shared" si="273"/>
        <v>0.16762534667862816</v>
      </c>
      <c r="AG115" s="70">
        <f t="shared" si="273"/>
        <v>0.10501561677121285</v>
      </c>
      <c r="AH115" s="70">
        <f t="shared" si="273"/>
        <v>8.5233103281756151E-2</v>
      </c>
      <c r="AI115" s="70">
        <f t="shared" si="273"/>
        <v>0.10280489311750873</v>
      </c>
      <c r="AJ115" s="70">
        <f t="shared" si="273"/>
        <v>0.13717479055971893</v>
      </c>
      <c r="AK115" s="71">
        <f t="shared" si="273"/>
        <v>0.10773846887789684</v>
      </c>
      <c r="AL115" s="70">
        <f t="shared" si="273"/>
        <v>0.17745291877633651</v>
      </c>
      <c r="AM115" s="70">
        <f t="shared" si="273"/>
        <v>0.23487531287661056</v>
      </c>
      <c r="AN115" s="70">
        <f t="shared" si="273"/>
        <v>0.20606834733893553</v>
      </c>
      <c r="AO115" s="70">
        <f t="shared" si="273"/>
        <v>0.2177853971982795</v>
      </c>
      <c r="AP115" s="71">
        <f>AP24/AK24-1</f>
        <v>0.20931413326563586</v>
      </c>
      <c r="AQ115" s="70">
        <f t="shared" ref="AQ115:AR115" si="274">+AQ24/AL24-1</f>
        <v>0.14911813150480713</v>
      </c>
      <c r="AR115" s="70">
        <f t="shared" si="274"/>
        <v>0.11952915033857336</v>
      </c>
      <c r="AS115" s="70">
        <f t="shared" ref="AS115" si="275">+AS24/AN24-1</f>
        <v>0.14039925084725624</v>
      </c>
      <c r="AT115" s="70">
        <f t="shared" ref="AT115" si="276">+AT24/AO24-1</f>
        <v>0.13810748036382337</v>
      </c>
      <c r="AU115" s="71">
        <f>AU24/AP24-1</f>
        <v>0.13662178271268033</v>
      </c>
      <c r="AV115" s="70">
        <f t="shared" ref="AV115:BD115" si="277">+AV24/AQ24-1</f>
        <v>0.13639724345739634</v>
      </c>
      <c r="AW115" s="70">
        <f t="shared" si="277"/>
        <v>0.14295437476530237</v>
      </c>
      <c r="AX115" s="70">
        <f t="shared" si="277"/>
        <v>0.13964143036828003</v>
      </c>
      <c r="AY115" s="70">
        <f t="shared" si="277"/>
        <v>0.11777462050400067</v>
      </c>
      <c r="AZ115" s="71">
        <f>AZ24/AU24-1</f>
        <v>0.13390252549821513</v>
      </c>
      <c r="BA115" s="70">
        <f t="shared" si="277"/>
        <v>0.11130847646346487</v>
      </c>
      <c r="BB115" s="70">
        <f t="shared" si="277"/>
        <v>0.11527953626070331</v>
      </c>
      <c r="BC115" s="70">
        <f t="shared" si="277"/>
        <v>0.14532627485086502</v>
      </c>
      <c r="BD115" s="70">
        <f t="shared" si="277"/>
        <v>0.17341490924239711</v>
      </c>
      <c r="BE115" s="71">
        <f>BE24/AZ24-1</f>
        <v>0.13714551639913863</v>
      </c>
      <c r="BF115" s="71">
        <f t="shared" ref="BF115:BJ115" si="278">BF24/BE24-1</f>
        <v>0.12506033497790514</v>
      </c>
      <c r="BG115" s="71">
        <f t="shared" si="278"/>
        <v>0.10164256087187007</v>
      </c>
      <c r="BH115" s="71">
        <f t="shared" si="278"/>
        <v>8.2876630031393006E-2</v>
      </c>
      <c r="BI115" s="71">
        <f t="shared" si="278"/>
        <v>6.7828557406167889E-2</v>
      </c>
      <c r="BJ115" s="71">
        <f t="shared" si="278"/>
        <v>5.6485536380317836E-2</v>
      </c>
      <c r="BN115" s="45">
        <v>2000</v>
      </c>
    </row>
    <row r="116" spans="2:66">
      <c r="B116" s="45" t="s">
        <v>15</v>
      </c>
      <c r="C116" s="70"/>
      <c r="D116" s="73"/>
      <c r="E116" s="73"/>
      <c r="F116" s="73"/>
      <c r="G116" s="72"/>
      <c r="H116" s="73">
        <f t="shared" ref="H116:Q118" si="279">H26/C26-1</f>
        <v>0.32547756158197805</v>
      </c>
      <c r="I116" s="73">
        <f t="shared" si="279"/>
        <v>0.32796502933394689</v>
      </c>
      <c r="J116" s="73">
        <f t="shared" si="279"/>
        <v>0.2761226866830595</v>
      </c>
      <c r="K116" s="73">
        <f t="shared" si="279"/>
        <v>0.22347495539293027</v>
      </c>
      <c r="L116" s="72">
        <f t="shared" si="279"/>
        <v>0.28742483349505288</v>
      </c>
      <c r="M116" s="73">
        <f t="shared" si="279"/>
        <v>0.24344963539972042</v>
      </c>
      <c r="N116" s="73">
        <f t="shared" si="279"/>
        <v>0.22364431739431745</v>
      </c>
      <c r="O116" s="73">
        <f t="shared" si="279"/>
        <v>-5.1518163194937405E-2</v>
      </c>
      <c r="P116" s="73">
        <f t="shared" si="279"/>
        <v>0.23192357280240095</v>
      </c>
      <c r="Q116" s="72">
        <f t="shared" si="279"/>
        <v>0.16140196163883491</v>
      </c>
      <c r="R116" s="73">
        <f t="shared" ref="R116:AA118" si="280">R26/M26-1</f>
        <v>0.24628669057550523</v>
      </c>
      <c r="S116" s="73">
        <f t="shared" si="280"/>
        <v>0.18264516928304686</v>
      </c>
      <c r="T116" s="73">
        <f t="shared" si="280"/>
        <v>0.52411094241173561</v>
      </c>
      <c r="U116" s="73">
        <f t="shared" si="280"/>
        <v>0.20432007686236808</v>
      </c>
      <c r="V116" s="72">
        <f t="shared" si="280"/>
        <v>0.27696769835909252</v>
      </c>
      <c r="W116" s="73">
        <f t="shared" si="280"/>
        <v>0.13113498826725967</v>
      </c>
      <c r="X116" s="73">
        <f t="shared" si="280"/>
        <v>0.70507160708139427</v>
      </c>
      <c r="Y116" s="73">
        <f t="shared" si="280"/>
        <v>0.50106633741160644</v>
      </c>
      <c r="Z116" s="73">
        <f t="shared" si="280"/>
        <v>0.46527530450886845</v>
      </c>
      <c r="AA116" s="72">
        <f t="shared" si="280"/>
        <v>0.4359572702758765</v>
      </c>
      <c r="AB116" s="73">
        <f t="shared" ref="AB116:AK118" si="281">AB26/W26-1</f>
        <v>0.49597108791544731</v>
      </c>
      <c r="AC116" s="73">
        <f t="shared" si="281"/>
        <v>-0.13522266495813506</v>
      </c>
      <c r="AD116" s="73">
        <f t="shared" si="281"/>
        <v>4.0118148508188067E-2</v>
      </c>
      <c r="AE116" s="73">
        <f t="shared" si="281"/>
        <v>-6.1474891838024348E-2</v>
      </c>
      <c r="AF116" s="72">
        <f t="shared" si="281"/>
        <v>6.7379292911054156E-2</v>
      </c>
      <c r="AG116" s="73">
        <f t="shared" si="281"/>
        <v>6.5789377650295799E-2</v>
      </c>
      <c r="AH116" s="73">
        <f t="shared" si="281"/>
        <v>0.11579096933959865</v>
      </c>
      <c r="AI116" s="73">
        <f t="shared" si="281"/>
        <v>-3.5128868758761977E-2</v>
      </c>
      <c r="AJ116" s="73">
        <f t="shared" si="281"/>
        <v>-9.290183566071375E-2</v>
      </c>
      <c r="AK116" s="72">
        <f t="shared" si="281"/>
        <v>1.7020335985853396E-2</v>
      </c>
      <c r="AL116" s="73">
        <f t="shared" ref="AL116:AU118" si="282">AL26/AG26-1</f>
        <v>-0.3922014421990454</v>
      </c>
      <c r="AM116" s="73">
        <f t="shared" si="282"/>
        <v>-0.22172093869383303</v>
      </c>
      <c r="AN116" s="73">
        <f t="shared" si="282"/>
        <v>-0.17004293684279159</v>
      </c>
      <c r="AO116" s="73">
        <f t="shared" si="282"/>
        <v>4.596637887716426E-2</v>
      </c>
      <c r="AP116" s="72">
        <f t="shared" si="282"/>
        <v>-0.21264232708949704</v>
      </c>
      <c r="AQ116" s="73">
        <f t="shared" si="282"/>
        <v>8.0908117852515504E-2</v>
      </c>
      <c r="AR116" s="73">
        <f t="shared" si="282"/>
        <v>8.1015380300126338E-2</v>
      </c>
      <c r="AS116" s="73">
        <f t="shared" si="282"/>
        <v>0.1094377735383234</v>
      </c>
      <c r="AT116" s="73">
        <f t="shared" si="282"/>
        <v>4.6392033977879388E-2</v>
      </c>
      <c r="AU116" s="72">
        <f t="shared" si="282"/>
        <v>7.9190350911784613E-2</v>
      </c>
      <c r="AV116" s="73">
        <f t="shared" ref="AV116:BE118" si="283">AV26/AQ26-1</f>
        <v>5.8851734489659524E-2</v>
      </c>
      <c r="AW116" s="73">
        <f t="shared" si="283"/>
        <v>0.11917272098252907</v>
      </c>
      <c r="AX116" s="73">
        <f t="shared" si="283"/>
        <v>0.28692520887702044</v>
      </c>
      <c r="AY116" s="73">
        <f t="shared" si="283"/>
        <v>0.48283561843945</v>
      </c>
      <c r="AZ116" s="72">
        <f t="shared" si="283"/>
        <v>0.23832256245889161</v>
      </c>
      <c r="BA116" s="73">
        <f t="shared" si="283"/>
        <v>0.78754109980114584</v>
      </c>
      <c r="BB116" s="73">
        <f t="shared" si="283"/>
        <v>0.77280499232025024</v>
      </c>
      <c r="BC116" s="73">
        <f t="shared" si="283"/>
        <v>0.39299525261734858</v>
      </c>
      <c r="BD116" s="73">
        <f t="shared" si="283"/>
        <v>0.21110110335510024</v>
      </c>
      <c r="BE116" s="72">
        <f t="shared" si="283"/>
        <v>0.50585847344559154</v>
      </c>
      <c r="BF116" s="72">
        <f t="shared" ref="BF116:BJ117" si="284">BF26/BE26-1</f>
        <v>-5.0182972376322632E-2</v>
      </c>
      <c r="BG116" s="72">
        <f t="shared" si="284"/>
        <v>1.2810095646390796E-2</v>
      </c>
      <c r="BH116" s="72">
        <f t="shared" si="284"/>
        <v>-3.8801694256107577E-3</v>
      </c>
      <c r="BI116" s="72">
        <f t="shared" si="284"/>
        <v>-1.7280967344691534E-2</v>
      </c>
      <c r="BJ116" s="72">
        <f t="shared" si="284"/>
        <v>-2.7496531939623536E-2</v>
      </c>
      <c r="BN116" s="45">
        <f>+BN114/BN115</f>
        <v>1.7000000000000001E-2</v>
      </c>
    </row>
    <row r="117" spans="2:66">
      <c r="B117" s="45" t="s">
        <v>127</v>
      </c>
      <c r="C117" s="70"/>
      <c r="D117" s="73"/>
      <c r="E117" s="73"/>
      <c r="F117" s="73"/>
      <c r="G117" s="72"/>
      <c r="H117" s="73">
        <f t="shared" si="279"/>
        <v>0.30203083678459164</v>
      </c>
      <c r="I117" s="73">
        <f t="shared" si="279"/>
        <v>0.35809080325960396</v>
      </c>
      <c r="J117" s="73">
        <f t="shared" si="279"/>
        <v>0.43934765028304423</v>
      </c>
      <c r="K117" s="73">
        <f t="shared" si="279"/>
        <v>0.41300914380714882</v>
      </c>
      <c r="L117" s="72">
        <f t="shared" si="279"/>
        <v>0.38093449006079627</v>
      </c>
      <c r="M117" s="73">
        <f t="shared" si="279"/>
        <v>0.45692496359316315</v>
      </c>
      <c r="N117" s="73">
        <f t="shared" si="279"/>
        <v>0.33797359849134234</v>
      </c>
      <c r="O117" s="73">
        <f t="shared" si="279"/>
        <v>0.61922152511158979</v>
      </c>
      <c r="P117" s="73">
        <f t="shared" si="279"/>
        <v>0.27858340441803708</v>
      </c>
      <c r="Q117" s="72">
        <f t="shared" si="279"/>
        <v>0.42120320216335672</v>
      </c>
      <c r="R117" s="73">
        <f t="shared" si="280"/>
        <v>0.20806481310992431</v>
      </c>
      <c r="S117" s="73">
        <f t="shared" si="280"/>
        <v>0.21385372354056686</v>
      </c>
      <c r="T117" s="73">
        <f t="shared" si="280"/>
        <v>-4.381686746987945E-2</v>
      </c>
      <c r="U117" s="73">
        <f t="shared" si="280"/>
        <v>0.19016287843931168</v>
      </c>
      <c r="V117" s="72">
        <f t="shared" si="280"/>
        <v>0.12906219906950844</v>
      </c>
      <c r="W117" s="73">
        <f t="shared" si="280"/>
        <v>0.18734077993337239</v>
      </c>
      <c r="X117" s="73">
        <f t="shared" si="280"/>
        <v>0.20860514704330013</v>
      </c>
      <c r="Y117" s="73">
        <f t="shared" si="280"/>
        <v>0.29351639046812616</v>
      </c>
      <c r="Z117" s="73">
        <f t="shared" si="280"/>
        <v>0.30388139328101427</v>
      </c>
      <c r="AA117" s="72">
        <f t="shared" si="280"/>
        <v>0.25055233006216904</v>
      </c>
      <c r="AB117" s="73">
        <f t="shared" si="281"/>
        <v>0.3166455777447692</v>
      </c>
      <c r="AC117" s="73">
        <f t="shared" si="281"/>
        <v>0.67666992733370623</v>
      </c>
      <c r="AD117" s="73">
        <f t="shared" si="281"/>
        <v>0.29475849815308353</v>
      </c>
      <c r="AE117" s="73">
        <f t="shared" si="281"/>
        <v>0.58395967682158467</v>
      </c>
      <c r="AF117" s="72">
        <f t="shared" si="281"/>
        <v>0.46963988578237026</v>
      </c>
      <c r="AG117" s="73">
        <f t="shared" si="281"/>
        <v>0.24697066770662124</v>
      </c>
      <c r="AH117" s="73">
        <f t="shared" si="281"/>
        <v>-5.603942241576898E-2</v>
      </c>
      <c r="AI117" s="73">
        <f t="shared" si="281"/>
        <v>8.5707751014168387E-2</v>
      </c>
      <c r="AJ117" s="73">
        <f t="shared" si="281"/>
        <v>-0.18571589015966894</v>
      </c>
      <c r="AK117" s="72">
        <f t="shared" si="281"/>
        <v>-1.034377682043508E-3</v>
      </c>
      <c r="AL117" s="73">
        <f t="shared" si="282"/>
        <v>-3.4100301574891079E-2</v>
      </c>
      <c r="AM117" s="73">
        <f t="shared" si="282"/>
        <v>-4.3605902413720754E-2</v>
      </c>
      <c r="AN117" s="73">
        <f t="shared" si="282"/>
        <v>4.9793221203419336E-2</v>
      </c>
      <c r="AO117" s="73">
        <f t="shared" si="282"/>
        <v>7.7629507028493361E-2</v>
      </c>
      <c r="AP117" s="72">
        <f t="shared" si="282"/>
        <v>1.1868481220598248E-2</v>
      </c>
      <c r="AQ117" s="73">
        <f t="shared" si="282"/>
        <v>7.7026261318038358E-2</v>
      </c>
      <c r="AR117" s="73">
        <f t="shared" si="282"/>
        <v>2.097950516986713E-2</v>
      </c>
      <c r="AS117" s="73">
        <f t="shared" si="282"/>
        <v>-2.4808837818427687E-2</v>
      </c>
      <c r="AT117" s="73">
        <f t="shared" si="282"/>
        <v>1.1828450142389313E-2</v>
      </c>
      <c r="AU117" s="72">
        <f t="shared" si="282"/>
        <v>2.0020797955605074E-2</v>
      </c>
      <c r="AV117" s="73">
        <f t="shared" si="283"/>
        <v>3.0793016813760232E-2</v>
      </c>
      <c r="AW117" s="73">
        <f t="shared" si="283"/>
        <v>0.11206682189117689</v>
      </c>
      <c r="AX117" s="73">
        <f t="shared" si="283"/>
        <v>0.13567986137434351</v>
      </c>
      <c r="AY117" s="73">
        <f t="shared" si="283"/>
        <v>0.10662408028166048</v>
      </c>
      <c r="AZ117" s="72">
        <f t="shared" si="283"/>
        <v>9.6054097876159483E-2</v>
      </c>
      <c r="BA117" s="73">
        <f t="shared" si="283"/>
        <v>0.14556381892798353</v>
      </c>
      <c r="BB117" s="73">
        <f t="shared" si="283"/>
        <v>0.11781804876561397</v>
      </c>
      <c r="BC117" s="73">
        <f t="shared" si="283"/>
        <v>4.8806538054413817E-2</v>
      </c>
      <c r="BD117" s="73">
        <f t="shared" si="283"/>
        <v>4.7627665958602128E-2</v>
      </c>
      <c r="BE117" s="72">
        <f t="shared" si="283"/>
        <v>8.8276984655117463E-2</v>
      </c>
      <c r="BF117" s="72">
        <f t="shared" si="284"/>
        <v>5.0000000000000044E-2</v>
      </c>
      <c r="BG117" s="72">
        <f t="shared" si="284"/>
        <v>5.0000000000000044E-2</v>
      </c>
      <c r="BH117" s="72">
        <f t="shared" si="284"/>
        <v>5.0000000000000044E-2</v>
      </c>
      <c r="BI117" s="72">
        <f t="shared" si="284"/>
        <v>5.0000000000000044E-2</v>
      </c>
      <c r="BJ117" s="72">
        <f t="shared" si="284"/>
        <v>5.0000000000000044E-2</v>
      </c>
    </row>
    <row r="118" spans="2:66">
      <c r="B118" s="45" t="s">
        <v>128</v>
      </c>
      <c r="C118" s="70"/>
      <c r="D118" s="73"/>
      <c r="E118" s="73"/>
      <c r="F118" s="73"/>
      <c r="G118" s="72"/>
      <c r="H118" s="73">
        <f t="shared" si="279"/>
        <v>0.72112479665349771</v>
      </c>
      <c r="I118" s="73">
        <f t="shared" si="279"/>
        <v>0.70394469296461981</v>
      </c>
      <c r="J118" s="73">
        <f t="shared" si="279"/>
        <v>0.68650272198235407</v>
      </c>
      <c r="K118" s="73">
        <f t="shared" si="279"/>
        <v>0.80848231266641291</v>
      </c>
      <c r="L118" s="72">
        <f t="shared" si="279"/>
        <v>0.73073816015348902</v>
      </c>
      <c r="M118" s="73">
        <f t="shared" si="279"/>
        <v>0.29651633810423972</v>
      </c>
      <c r="N118" s="73">
        <f t="shared" si="279"/>
        <v>0.19272076372315028</v>
      </c>
      <c r="O118" s="73">
        <f t="shared" si="279"/>
        <v>9.3610863757791485E-2</v>
      </c>
      <c r="P118" s="73">
        <f t="shared" si="279"/>
        <v>0.1725733515616783</v>
      </c>
      <c r="Q118" s="72">
        <f t="shared" si="279"/>
        <v>0.18358178476618336</v>
      </c>
      <c r="R118" s="73">
        <f t="shared" si="280"/>
        <v>0.2366173713809625</v>
      </c>
      <c r="S118" s="73">
        <f t="shared" si="280"/>
        <v>0.26053026513256627</v>
      </c>
      <c r="T118" s="73">
        <f t="shared" si="280"/>
        <v>0.66513994910941476</v>
      </c>
      <c r="U118" s="73">
        <f t="shared" si="280"/>
        <v>0.45515695067264605</v>
      </c>
      <c r="V118" s="72">
        <f t="shared" si="280"/>
        <v>0.40633934733313626</v>
      </c>
      <c r="W118" s="73">
        <f t="shared" si="280"/>
        <v>0.44028970860704031</v>
      </c>
      <c r="X118" s="73">
        <f t="shared" si="280"/>
        <v>0.19406302087467231</v>
      </c>
      <c r="Y118" s="73">
        <f t="shared" si="280"/>
        <v>6.6014669926650615E-3</v>
      </c>
      <c r="Z118" s="73">
        <f t="shared" si="280"/>
        <v>0.53115562403697991</v>
      </c>
      <c r="AA118" s="72">
        <f t="shared" si="280"/>
        <v>0.2874093028146798</v>
      </c>
      <c r="AB118" s="73">
        <f t="shared" si="281"/>
        <v>0.28604841539001291</v>
      </c>
      <c r="AC118" s="73">
        <f t="shared" si="281"/>
        <v>0.69682265354958806</v>
      </c>
      <c r="AD118" s="73">
        <f t="shared" si="281"/>
        <v>0.5101408792810298</v>
      </c>
      <c r="AE118" s="73">
        <f t="shared" si="281"/>
        <v>9.6405426075755862E-2</v>
      </c>
      <c r="AF118" s="72">
        <f t="shared" si="281"/>
        <v>0.35627646105885069</v>
      </c>
      <c r="AG118" s="73">
        <f t="shared" si="281"/>
        <v>0.24361189415295081</v>
      </c>
      <c r="AH118" s="73">
        <f t="shared" si="281"/>
        <v>0.10157872057037642</v>
      </c>
      <c r="AI118" s="73">
        <f t="shared" si="281"/>
        <v>0.1552937391933733</v>
      </c>
      <c r="AJ118" s="73">
        <f t="shared" si="281"/>
        <v>-3.4253616271385678E-2</v>
      </c>
      <c r="AK118" s="72">
        <f t="shared" si="281"/>
        <v>0.10920624723973194</v>
      </c>
      <c r="AL118" s="73">
        <f t="shared" si="282"/>
        <v>-5.7582626498976275E-2</v>
      </c>
      <c r="AM118" s="73">
        <f t="shared" si="282"/>
        <v>-9.9004267425320092E-2</v>
      </c>
      <c r="AN118" s="73">
        <f t="shared" si="282"/>
        <v>-4.7996937106261628E-2</v>
      </c>
      <c r="AO118" s="73">
        <f t="shared" si="282"/>
        <v>0.21486409427865438</v>
      </c>
      <c r="AP118" s="72">
        <f t="shared" si="282"/>
        <v>-7.7822420096296252E-4</v>
      </c>
      <c r="AQ118" s="73">
        <f t="shared" si="282"/>
        <v>9.558909105016089E-2</v>
      </c>
      <c r="AR118" s="73">
        <f t="shared" si="282"/>
        <v>6.9308493842753505E-2</v>
      </c>
      <c r="AS118" s="73">
        <f t="shared" si="282"/>
        <v>-3.1807546066101589E-3</v>
      </c>
      <c r="AT118" s="73">
        <f t="shared" si="282"/>
        <v>-7.0250649310010349E-2</v>
      </c>
      <c r="AU118" s="72">
        <f t="shared" si="282"/>
        <v>1.7098042056836515E-2</v>
      </c>
      <c r="AV118" s="73">
        <f t="shared" si="283"/>
        <v>6.3737119790374663E-3</v>
      </c>
      <c r="AW118" s="73">
        <f t="shared" si="283"/>
        <v>6.4225601653624675E-2</v>
      </c>
      <c r="AX118" s="73">
        <f t="shared" si="283"/>
        <v>1.6798092792957853E-2</v>
      </c>
      <c r="AY118" s="73">
        <f t="shared" si="283"/>
        <v>2.5679859989230058E-2</v>
      </c>
      <c r="AZ118" s="72">
        <f t="shared" si="283"/>
        <v>2.7967233549995418E-2</v>
      </c>
      <c r="BA118" s="73">
        <f t="shared" si="283"/>
        <v>7.2270504204637431E-2</v>
      </c>
      <c r="BB118" s="73">
        <f t="shared" si="283"/>
        <v>5.6985294117647189E-2</v>
      </c>
      <c r="BC118" s="73">
        <f t="shared" si="283"/>
        <v>9.9267756014861375E-2</v>
      </c>
      <c r="BD118" s="73">
        <f t="shared" si="283"/>
        <v>0</v>
      </c>
      <c r="BE118" s="72">
        <f>BE28/AZ28-1</f>
        <v>5.585919567608788E-2</v>
      </c>
      <c r="BF118" s="141">
        <v>0.02</v>
      </c>
      <c r="BG118" s="141">
        <v>0.02</v>
      </c>
      <c r="BH118" s="141">
        <v>0.02</v>
      </c>
      <c r="BI118" s="141">
        <v>0.02</v>
      </c>
      <c r="BJ118" s="141">
        <v>0.02</v>
      </c>
    </row>
    <row r="119" spans="2:66">
      <c r="B119" s="45" t="s">
        <v>24</v>
      </c>
      <c r="C119" s="70"/>
      <c r="D119" s="70"/>
      <c r="E119" s="70"/>
      <c r="F119" s="70"/>
      <c r="G119" s="71"/>
      <c r="H119" s="70">
        <f t="shared" ref="H119:AO119" si="285">+H41/C41-1</f>
        <v>8.3333333333333481E-2</v>
      </c>
      <c r="I119" s="70">
        <f t="shared" si="285"/>
        <v>8.3333333333333481E-2</v>
      </c>
      <c r="J119" s="70">
        <f t="shared" si="285"/>
        <v>0.25</v>
      </c>
      <c r="K119" s="70">
        <f t="shared" si="285"/>
        <v>0.7777777777777779</v>
      </c>
      <c r="L119" s="71">
        <f t="shared" si="285"/>
        <v>0.26666666666666661</v>
      </c>
      <c r="M119" s="70">
        <f t="shared" si="285"/>
        <v>0.45923076923076911</v>
      </c>
      <c r="N119" s="70">
        <f t="shared" si="285"/>
        <v>0.68923076923076931</v>
      </c>
      <c r="O119" s="70">
        <f t="shared" si="285"/>
        <v>0.47533333333333339</v>
      </c>
      <c r="P119" s="70">
        <f t="shared" si="285"/>
        <v>0.51124999999999998</v>
      </c>
      <c r="Q119" s="71">
        <f t="shared" si="285"/>
        <v>0.53052631578947396</v>
      </c>
      <c r="R119" s="70">
        <f t="shared" si="285"/>
        <v>0.40115972588297311</v>
      </c>
      <c r="S119" s="70">
        <f t="shared" si="285"/>
        <v>0.33287795992714009</v>
      </c>
      <c r="T119" s="70">
        <f t="shared" si="285"/>
        <v>0.44328965205603255</v>
      </c>
      <c r="U119" s="70">
        <f t="shared" si="285"/>
        <v>0.38420181968569045</v>
      </c>
      <c r="V119" s="71">
        <f t="shared" si="285"/>
        <v>0.38995873452544694</v>
      </c>
      <c r="W119" s="70">
        <f t="shared" si="285"/>
        <v>0.3438675696012039</v>
      </c>
      <c r="X119" s="70">
        <f t="shared" si="285"/>
        <v>0.20840450973693203</v>
      </c>
      <c r="Y119" s="70">
        <f t="shared" si="285"/>
        <v>0.1621790857858485</v>
      </c>
      <c r="Z119" s="70">
        <f t="shared" si="285"/>
        <v>0.13205855990439197</v>
      </c>
      <c r="AA119" s="71">
        <f t="shared" si="285"/>
        <v>0.20484908461157847</v>
      </c>
      <c r="AB119" s="70">
        <f t="shared" si="285"/>
        <v>-3.919372900335949E-2</v>
      </c>
      <c r="AC119" s="70">
        <f t="shared" si="285"/>
        <v>-4.4953350296861649E-2</v>
      </c>
      <c r="AD119" s="70">
        <f t="shared" si="285"/>
        <v>-3.1519396551724088E-2</v>
      </c>
      <c r="AE119" s="70">
        <f t="shared" si="285"/>
        <v>-6.9939297967801517E-2</v>
      </c>
      <c r="AF119" s="71">
        <f t="shared" si="285"/>
        <v>-4.6611909650923877E-2</v>
      </c>
      <c r="AG119" s="70">
        <f t="shared" si="285"/>
        <v>3.0011655011655147E-2</v>
      </c>
      <c r="AH119" s="70">
        <f t="shared" si="285"/>
        <v>0.19064535227945534</v>
      </c>
      <c r="AI119" s="70">
        <f t="shared" si="285"/>
        <v>6.9541029207232263E-2</v>
      </c>
      <c r="AJ119" s="70">
        <f t="shared" si="285"/>
        <v>0.47814982973893283</v>
      </c>
      <c r="AK119" s="71">
        <f t="shared" si="285"/>
        <v>0.19254792160241219</v>
      </c>
      <c r="AL119" s="70">
        <f t="shared" si="285"/>
        <v>0.3923620933521923</v>
      </c>
      <c r="AM119" s="70">
        <f t="shared" si="285"/>
        <v>0.22376926902038763</v>
      </c>
      <c r="AN119" s="70">
        <f t="shared" si="285"/>
        <v>0.28010403120936256</v>
      </c>
      <c r="AO119" s="70">
        <f t="shared" si="285"/>
        <v>-0.37915146861201732</v>
      </c>
      <c r="AP119" s="71">
        <f>AP41/AK41-1</f>
        <v>8.3619288423333993E-2</v>
      </c>
      <c r="AQ119" s="70">
        <f t="shared" ref="AQ119:AR119" si="286">+AQ41/AL41-1</f>
        <v>0.3088175538399025</v>
      </c>
      <c r="AR119" s="70">
        <f t="shared" si="286"/>
        <v>-8.5737505079236054E-2</v>
      </c>
      <c r="AS119" s="70">
        <f t="shared" ref="AS119" si="287">+AS41/AN41-1</f>
        <v>-8.5737505079236054E-2</v>
      </c>
      <c r="AT119" s="70">
        <f t="shared" ref="AT119" si="288">+AT41/AO41-1</f>
        <v>0.94124922696351154</v>
      </c>
      <c r="AU119" s="71">
        <f>AU41/AP41-1</f>
        <v>0.20666666666666655</v>
      </c>
      <c r="AV119" s="70">
        <f t="shared" ref="AV119:BD119" si="289">+AV41/AQ41-1</f>
        <v>-4.7345544861844058E-2</v>
      </c>
      <c r="AW119" s="70">
        <f t="shared" si="289"/>
        <v>0.35533333333333328</v>
      </c>
      <c r="AX119" s="70">
        <f t="shared" si="289"/>
        <v>0.37555555555555498</v>
      </c>
      <c r="AY119" s="70">
        <f t="shared" si="289"/>
        <v>-3.3928002548582192E-2</v>
      </c>
      <c r="AZ119" s="71">
        <f>AZ41/AU41-1</f>
        <v>0.12757826887661139</v>
      </c>
      <c r="BA119" s="70">
        <f t="shared" si="289"/>
        <v>-1.1732116669382453E-2</v>
      </c>
      <c r="BB119" s="70">
        <f t="shared" si="289"/>
        <v>-5.574684374487604E-3</v>
      </c>
      <c r="BC119" s="70">
        <f t="shared" si="289"/>
        <v>-2.0193861066235441E-2</v>
      </c>
      <c r="BD119" s="70">
        <f t="shared" si="289"/>
        <v>0</v>
      </c>
      <c r="BE119" s="71">
        <f>BE41/AZ41-1</f>
        <v>-9.4320362582172024E-3</v>
      </c>
      <c r="BF119" s="71">
        <f t="shared" ref="BF119:BJ119" si="290">BF41/BE41-1</f>
        <v>0</v>
      </c>
      <c r="BG119" s="71">
        <f t="shared" si="290"/>
        <v>0</v>
      </c>
      <c r="BH119" s="71">
        <f t="shared" si="290"/>
        <v>0</v>
      </c>
      <c r="BI119" s="71">
        <f t="shared" si="290"/>
        <v>0</v>
      </c>
      <c r="BJ119" s="71">
        <f t="shared" si="290"/>
        <v>0</v>
      </c>
    </row>
    <row r="120" spans="2:66">
      <c r="B120" s="45" t="s">
        <v>176</v>
      </c>
      <c r="C120" s="70"/>
      <c r="D120" s="70"/>
      <c r="E120" s="70"/>
      <c r="F120" s="70"/>
      <c r="G120" s="71"/>
      <c r="H120" s="70">
        <f t="shared" ref="H120:AO120" si="291">+H43/C43-1</f>
        <v>4.6306306306306313</v>
      </c>
      <c r="I120" s="70">
        <f t="shared" si="291"/>
        <v>0.61954690132933909</v>
      </c>
      <c r="J120" s="70">
        <f t="shared" si="291"/>
        <v>0.13506379234491872</v>
      </c>
      <c r="K120" s="70">
        <f t="shared" si="291"/>
        <v>0.33691335235218434</v>
      </c>
      <c r="L120" s="71">
        <f t="shared" si="291"/>
        <v>0.62252277636893116</v>
      </c>
      <c r="M120" s="70">
        <f t="shared" si="291"/>
        <v>0.53433333333333377</v>
      </c>
      <c r="N120" s="70">
        <f t="shared" si="291"/>
        <v>0.67040462427745728</v>
      </c>
      <c r="O120" s="70">
        <f t="shared" si="291"/>
        <v>0.9880620155038744</v>
      </c>
      <c r="P120" s="70">
        <f t="shared" si="291"/>
        <v>0.38451882845188279</v>
      </c>
      <c r="Q120" s="71">
        <f t="shared" si="291"/>
        <v>0.52105643994211159</v>
      </c>
      <c r="R120" s="70">
        <f t="shared" si="291"/>
        <v>0.1555072778622637</v>
      </c>
      <c r="S120" s="70">
        <f t="shared" si="291"/>
        <v>8.1943387085610553E-2</v>
      </c>
      <c r="T120" s="70">
        <f t="shared" si="291"/>
        <v>-4.3866489900957428E-2</v>
      </c>
      <c r="U120" s="70">
        <f t="shared" si="291"/>
        <v>0.28773043215473004</v>
      </c>
      <c r="V120" s="71">
        <f t="shared" si="291"/>
        <v>0.1892107892107886</v>
      </c>
      <c r="W120" s="70">
        <f t="shared" si="291"/>
        <v>0.21264194931187541</v>
      </c>
      <c r="X120" s="70">
        <f t="shared" si="291"/>
        <v>-0.47793129917482313</v>
      </c>
      <c r="Y120" s="70">
        <f t="shared" si="291"/>
        <v>-0.10403327759879344</v>
      </c>
      <c r="Z120" s="70">
        <f t="shared" si="291"/>
        <v>-0.53070803313698356</v>
      </c>
      <c r="AA120" s="71">
        <f t="shared" si="291"/>
        <v>-0.2756416410650282</v>
      </c>
      <c r="AB120" s="70">
        <f t="shared" si="291"/>
        <v>-0.56088560885608751</v>
      </c>
      <c r="AC120" s="70">
        <f t="shared" si="291"/>
        <v>-0.24272498927893005</v>
      </c>
      <c r="AD120" s="70">
        <f t="shared" si="291"/>
        <v>1.0558488848429692</v>
      </c>
      <c r="AE120" s="70">
        <f t="shared" si="291"/>
        <v>-0.87063059458918612</v>
      </c>
      <c r="AF120" s="71">
        <f t="shared" si="291"/>
        <v>-0.17962425032306495</v>
      </c>
      <c r="AG120" s="70">
        <f t="shared" si="291"/>
        <v>-0.70355200903891002</v>
      </c>
      <c r="AH120" s="70">
        <f t="shared" si="291"/>
        <v>-0.96238168432975035</v>
      </c>
      <c r="AI120" s="70">
        <f t="shared" si="291"/>
        <v>-0.83753625434498546</v>
      </c>
      <c r="AJ120" s="70">
        <f t="shared" si="291"/>
        <v>19.364128333977224</v>
      </c>
      <c r="AK120" s="71">
        <f t="shared" si="291"/>
        <v>-0.12915342775593774</v>
      </c>
      <c r="AL120" s="70">
        <f t="shared" si="291"/>
        <v>21.455693187231955</v>
      </c>
      <c r="AM120" s="70">
        <f t="shared" si="291"/>
        <v>175.98279569894169</v>
      </c>
      <c r="AN120" s="70">
        <f t="shared" si="291"/>
        <v>6.9223221586262662</v>
      </c>
      <c r="AO120" s="70">
        <f t="shared" si="291"/>
        <v>0.12313503663490244</v>
      </c>
      <c r="AP120" s="71">
        <f>AP43/AK43-1</f>
        <v>3.5432184654391392</v>
      </c>
      <c r="AQ120" s="70">
        <f t="shared" ref="AQ120:AR120" si="292">+AQ43/AL43-1</f>
        <v>0.20260106715887605</v>
      </c>
      <c r="AR120" s="70">
        <f t="shared" si="292"/>
        <v>0.42589644823019035</v>
      </c>
      <c r="AS120" s="70">
        <f t="shared" ref="AS120" si="293">+AS43/AN43-1</f>
        <v>0.73284136649809217</v>
      </c>
      <c r="AT120" s="70">
        <f t="shared" ref="AT120" si="294">+AT43/AO43-1</f>
        <v>0.87528942520576769</v>
      </c>
      <c r="AU120" s="71">
        <f>AU43/AP43-1</f>
        <v>0.50547012444320627</v>
      </c>
      <c r="AV120" s="70">
        <f t="shared" ref="AV120:BD120" si="295">+AV43/AQ43-1</f>
        <v>0.26339002187566196</v>
      </c>
      <c r="AW120" s="70">
        <f t="shared" si="295"/>
        <v>0.16105226379881854</v>
      </c>
      <c r="AX120" s="70">
        <f t="shared" si="295"/>
        <v>4.6934095714583624E-2</v>
      </c>
      <c r="AY120" s="70">
        <f t="shared" si="295"/>
        <v>-0.17017096404978393</v>
      </c>
      <c r="AZ120" s="71">
        <f>AZ43/AU43-1</f>
        <v>7.8219122038104993E-2</v>
      </c>
      <c r="BA120" s="70">
        <f t="shared" si="295"/>
        <v>-0.43366714733352318</v>
      </c>
      <c r="BB120" s="70">
        <f t="shared" si="295"/>
        <v>-0.38612886283252446</v>
      </c>
      <c r="BC120" s="70">
        <f t="shared" si="295"/>
        <v>-5.048109452101146E-2</v>
      </c>
      <c r="BD120" s="70">
        <f t="shared" si="295"/>
        <v>0.24311115175916287</v>
      </c>
      <c r="BE120" s="71">
        <f>BE43/AZ43-1</f>
        <v>-0.20473282727811182</v>
      </c>
      <c r="BF120" s="71">
        <f t="shared" ref="BF120:BJ120" si="296">BF43/BE43-1</f>
        <v>0.5545430425989295</v>
      </c>
      <c r="BG120" s="71">
        <f t="shared" si="296"/>
        <v>0.25113530687975238</v>
      </c>
      <c r="BH120" s="71">
        <f t="shared" si="296"/>
        <v>0.19006781555457453</v>
      </c>
      <c r="BI120" s="71">
        <f t="shared" si="296"/>
        <v>0.14811311745418521</v>
      </c>
      <c r="BJ120" s="71">
        <f t="shared" si="296"/>
        <v>0.11886079302168584</v>
      </c>
    </row>
    <row r="121" spans="2:66">
      <c r="B121" s="45" t="s">
        <v>147</v>
      </c>
      <c r="C121" s="70"/>
      <c r="D121" s="73"/>
      <c r="E121" s="73"/>
      <c r="F121" s="73"/>
      <c r="G121" s="72"/>
      <c r="H121" s="73">
        <f t="shared" ref="H121:AK121" si="297">H69/C69-1</f>
        <v>-0.34979558462796401</v>
      </c>
      <c r="I121" s="73">
        <f t="shared" si="297"/>
        <v>-0.95017506059789925</v>
      </c>
      <c r="J121" s="73">
        <f t="shared" si="297"/>
        <v>-1.2249840662842575</v>
      </c>
      <c r="K121" s="73">
        <f t="shared" si="297"/>
        <v>1.4467365573216102</v>
      </c>
      <c r="L121" s="72">
        <f t="shared" si="297"/>
        <v>-0.96228100309172593</v>
      </c>
      <c r="M121" s="73">
        <f t="shared" si="297"/>
        <v>1.4915744466800787</v>
      </c>
      <c r="N121" s="73">
        <f t="shared" si="297"/>
        <v>29.497297297297202</v>
      </c>
      <c r="O121" s="73">
        <f t="shared" si="297"/>
        <v>-17.770538243626024</v>
      </c>
      <c r="P121" s="73">
        <f t="shared" si="297"/>
        <v>-1.7948859709744287</v>
      </c>
      <c r="Q121" s="72">
        <f t="shared" si="297"/>
        <v>-55.025500910753983</v>
      </c>
      <c r="R121" s="73">
        <f t="shared" si="297"/>
        <v>0.55140564275980486</v>
      </c>
      <c r="S121" s="73">
        <f t="shared" si="297"/>
        <v>1.9654377880184373</v>
      </c>
      <c r="T121" s="73">
        <f t="shared" si="297"/>
        <v>1.9336148648648694</v>
      </c>
      <c r="U121" s="73">
        <f t="shared" si="297"/>
        <v>2.7511737089201911</v>
      </c>
      <c r="V121" s="72">
        <f t="shared" si="297"/>
        <v>-3.9133175994605507</v>
      </c>
      <c r="W121" s="73">
        <f t="shared" si="297"/>
        <v>0.27376537185243044</v>
      </c>
      <c r="X121" s="73">
        <f t="shared" si="297"/>
        <v>2.4508397585320671</v>
      </c>
      <c r="Y121" s="73">
        <f t="shared" si="297"/>
        <v>2.2729890021304775</v>
      </c>
      <c r="Z121" s="73">
        <f t="shared" si="297"/>
        <v>-1.1817086172530487</v>
      </c>
      <c r="AA121" s="72">
        <f t="shared" si="297"/>
        <v>0.73374301288060129</v>
      </c>
      <c r="AB121" s="73">
        <f t="shared" si="297"/>
        <v>2.1096467703624247</v>
      </c>
      <c r="AC121" s="73">
        <f t="shared" si="297"/>
        <v>-1.6574234446445895</v>
      </c>
      <c r="AD121" s="73">
        <f t="shared" si="297"/>
        <v>-1.2932162837338601</v>
      </c>
      <c r="AE121" s="73">
        <f t="shared" si="297"/>
        <v>-31.22423469387742</v>
      </c>
      <c r="AF121" s="72">
        <f t="shared" si="297"/>
        <v>0.2389410657428368</v>
      </c>
      <c r="AG121" s="73">
        <f t="shared" si="297"/>
        <v>1.401595045666602</v>
      </c>
      <c r="AH121" s="73">
        <f t="shared" si="297"/>
        <v>-4.4918987275074418</v>
      </c>
      <c r="AI121" s="73">
        <f t="shared" si="297"/>
        <v>-3.0829783404331823</v>
      </c>
      <c r="AJ121" s="73">
        <f t="shared" si="297"/>
        <v>-0.56813443732644586</v>
      </c>
      <c r="AK121" s="72">
        <f t="shared" si="297"/>
        <v>1.7521860705684587</v>
      </c>
      <c r="AL121" s="73">
        <f t="shared" ref="AL121" si="298">AL69/AG69-1</f>
        <v>-0.95407303034552093</v>
      </c>
      <c r="AM121" s="73">
        <f t="shared" ref="AM121" si="299">AM69/AH69-1</f>
        <v>-1.2468425102986223</v>
      </c>
      <c r="AN121" s="73">
        <f t="shared" ref="AN121" si="300">AN69/AI69-1</f>
        <v>-1.2782210444450846</v>
      </c>
      <c r="AO121" s="73">
        <f t="shared" ref="AO121" si="301">AO69/AJ69-1</f>
        <v>-1.265679050950808</v>
      </c>
      <c r="AP121" s="72">
        <f>AP69/AK69-1</f>
        <v>-1.0832790094455043</v>
      </c>
      <c r="AQ121" s="73">
        <f t="shared" ref="AQ121:AR121" si="302">AQ69/AL69-1</f>
        <v>-3.4966862759699091</v>
      </c>
      <c r="AR121" s="73">
        <f t="shared" si="302"/>
        <v>0.30005807378426996</v>
      </c>
      <c r="AS121" s="73">
        <f t="shared" ref="AS121" si="303">AS69/AN69-1</f>
        <v>2.4090485557511174</v>
      </c>
      <c r="AT121" s="73">
        <f t="shared" ref="AT121" si="304">AT69/AO69-1</f>
        <v>3.1590407532735041</v>
      </c>
      <c r="AU121" s="72">
        <f>AU69/AP69-1</f>
        <v>2.8910227780259281</v>
      </c>
      <c r="AV121" s="73">
        <f t="shared" ref="AV121:BD121" si="305">AV69/AQ69-1</f>
        <v>0.57587687902648654</v>
      </c>
      <c r="AW121" s="73">
        <f t="shared" si="305"/>
        <v>-2.0720599990595781</v>
      </c>
      <c r="AX121" s="73">
        <f t="shared" si="305"/>
        <v>-0.27201773566569565</v>
      </c>
      <c r="AY121" s="73">
        <f t="shared" si="305"/>
        <v>-2.4356008348367464</v>
      </c>
      <c r="AZ121" s="72">
        <f>AZ69/AU69-1</f>
        <v>-1.3018099656855626</v>
      </c>
      <c r="BA121" s="73">
        <f t="shared" si="305"/>
        <v>-1.1274824219007173</v>
      </c>
      <c r="BB121" s="73">
        <f t="shared" si="305"/>
        <v>-1.1702889960228835</v>
      </c>
      <c r="BC121" s="73">
        <f t="shared" si="305"/>
        <v>0.21047922706860689</v>
      </c>
      <c r="BD121" s="73">
        <f t="shared" si="305"/>
        <v>-1.6259229202898124</v>
      </c>
      <c r="BE121" s="72">
        <f>BE69/AZ69-1</f>
        <v>-3.0999934148147363</v>
      </c>
      <c r="BF121" s="72">
        <f t="shared" ref="BF121:BJ121" si="306">BF69/BE69-1</f>
        <v>1.3198841104143004</v>
      </c>
      <c r="BG121" s="72">
        <f t="shared" si="306"/>
        <v>0.53249448737056371</v>
      </c>
      <c r="BH121" s="72">
        <f t="shared" si="306"/>
        <v>0.36718781921546917</v>
      </c>
      <c r="BI121" s="72">
        <f t="shared" si="306"/>
        <v>0.25689299774774321</v>
      </c>
      <c r="BJ121" s="72">
        <f t="shared" si="306"/>
        <v>0.19493996249943435</v>
      </c>
    </row>
    <row r="122" spans="2:66">
      <c r="B122" s="45" t="s">
        <v>130</v>
      </c>
      <c r="C122" s="70"/>
      <c r="D122" s="73"/>
      <c r="E122" s="73"/>
      <c r="F122" s="73"/>
      <c r="G122" s="72"/>
      <c r="H122" s="73"/>
      <c r="I122" s="73"/>
      <c r="J122" s="73"/>
      <c r="K122" s="73"/>
      <c r="L122" s="72"/>
      <c r="M122" s="73">
        <f t="shared" ref="M122:AK122" si="307">+M80/H80-1</f>
        <v>0.44922535687707232</v>
      </c>
      <c r="N122" s="73">
        <f t="shared" si="307"/>
        <v>0.37014702504020236</v>
      </c>
      <c r="O122" s="73">
        <f t="shared" si="307"/>
        <v>0.25117507261684713</v>
      </c>
      <c r="P122" s="73">
        <f t="shared" si="307"/>
        <v>0.67301782421634937</v>
      </c>
      <c r="Q122" s="72">
        <f t="shared" si="307"/>
        <v>0.43850138708033759</v>
      </c>
      <c r="R122" s="73">
        <f t="shared" si="307"/>
        <v>0.40264226693431659</v>
      </c>
      <c r="S122" s="73">
        <f t="shared" si="307"/>
        <v>0.28909753950622452</v>
      </c>
      <c r="T122" s="73">
        <f t="shared" si="307"/>
        <v>0.2336752353214302</v>
      </c>
      <c r="U122" s="73">
        <f t="shared" si="307"/>
        <v>0.14716507469997531</v>
      </c>
      <c r="V122" s="72">
        <f t="shared" si="307"/>
        <v>0.25449411116468057</v>
      </c>
      <c r="W122" s="73">
        <f t="shared" si="307"/>
        <v>0.32969446848166184</v>
      </c>
      <c r="X122" s="73">
        <f t="shared" si="307"/>
        <v>0.51830656174806533</v>
      </c>
      <c r="Y122" s="73">
        <f t="shared" si="307"/>
        <v>-0.33691449686933328</v>
      </c>
      <c r="Z122" s="73">
        <f t="shared" si="307"/>
        <v>-0.38165514664674005</v>
      </c>
      <c r="AA122" s="72">
        <f t="shared" si="307"/>
        <v>1.3317855966368475E-2</v>
      </c>
      <c r="AB122" s="73">
        <f t="shared" si="307"/>
        <v>-0.63358530236283517</v>
      </c>
      <c r="AC122" s="73">
        <f t="shared" si="307"/>
        <v>-0.68488456761039984</v>
      </c>
      <c r="AD122" s="73">
        <f t="shared" si="307"/>
        <v>-1.4492776057791534</v>
      </c>
      <c r="AE122" s="73">
        <f t="shared" si="307"/>
        <v>-0.68325420802762149</v>
      </c>
      <c r="AF122" s="72">
        <f t="shared" si="307"/>
        <v>-0.783391126660268</v>
      </c>
      <c r="AG122" s="73">
        <f t="shared" si="307"/>
        <v>-3.2942823963385486</v>
      </c>
      <c r="AH122" s="73">
        <f t="shared" si="307"/>
        <v>-2.0796520320782932</v>
      </c>
      <c r="AI122" s="73">
        <f t="shared" si="307"/>
        <v>1.5964166762375118</v>
      </c>
      <c r="AJ122" s="73">
        <f t="shared" si="307"/>
        <v>4.2575282736067495</v>
      </c>
      <c r="AK122" s="72">
        <f t="shared" si="307"/>
        <v>-2.1968554582812221</v>
      </c>
      <c r="AL122" s="73">
        <f t="shared" ref="AL122" si="308">+AL80/AG80-1</f>
        <v>-1.7452212231286839</v>
      </c>
      <c r="AM122" s="73">
        <f t="shared" ref="AM122" si="309">+AM80/AH80-1</f>
        <v>-3.0149817449326459</v>
      </c>
      <c r="AN122" s="73">
        <f t="shared" ref="AN122" si="310">+AN80/AI80-1</f>
        <v>-2.9802715972928753</v>
      </c>
      <c r="AO122" s="73">
        <f t="shared" ref="AO122" si="311">+AO80/AJ80-1</f>
        <v>1.0834521186989772</v>
      </c>
      <c r="AP122" s="72">
        <f>AP80/AK80-1</f>
        <v>-6.4396906908700027</v>
      </c>
      <c r="AQ122" s="73">
        <f t="shared" ref="AQ122:AR122" si="312">+AQ80/AL80-1</f>
        <v>3.2235406927963544</v>
      </c>
      <c r="AR122" s="73">
        <f t="shared" si="312"/>
        <v>2.5249297094657916</v>
      </c>
      <c r="AS122" s="73">
        <f t="shared" ref="AS122" si="313">+AS80/AN80-1</f>
        <v>1.8538464974982123</v>
      </c>
      <c r="AT122" s="73">
        <f t="shared" ref="AT122" si="314">+AT80/AO80-1</f>
        <v>0.63917153874859989</v>
      </c>
      <c r="AU122" s="72">
        <f>AU80/AP80-1</f>
        <v>1.6133964884163827</v>
      </c>
      <c r="AV122" s="73">
        <f t="shared" ref="AV122:BD122" si="315">+AV80/AQ80-1</f>
        <v>0.34745674527721837</v>
      </c>
      <c r="AW122" s="73">
        <f t="shared" si="315"/>
        <v>0.30870401389664393</v>
      </c>
      <c r="AX122" s="73">
        <f t="shared" si="315"/>
        <v>-3.7491879368509728E-3</v>
      </c>
      <c r="AY122" s="73">
        <f t="shared" si="315"/>
        <v>0.18058327578487288</v>
      </c>
      <c r="AZ122" s="72">
        <f>AZ80/AU80-1</f>
        <v>-0.80880995932831024</v>
      </c>
      <c r="BA122" s="73">
        <f t="shared" si="315"/>
        <v>-0.3001543696270943</v>
      </c>
      <c r="BB122" s="73">
        <f t="shared" si="315"/>
        <v>-0.22581926705957767</v>
      </c>
      <c r="BC122" s="73">
        <f t="shared" si="315"/>
        <v>6.6121270502204066E-2</v>
      </c>
      <c r="BD122" s="73">
        <f t="shared" si="315"/>
        <v>2.8782710452781579E-3</v>
      </c>
      <c r="BE122" s="72">
        <f>BE80/AZ80-1</f>
        <v>4.5551927775258312</v>
      </c>
      <c r="BF122" s="72">
        <f t="shared" ref="BF122:BJ122" si="316">BF80/BE80-1</f>
        <v>0.26739962381801363</v>
      </c>
      <c r="BG122" s="72">
        <f t="shared" si="316"/>
        <v>0.16757129596386111</v>
      </c>
      <c r="BH122" s="72">
        <f t="shared" si="316"/>
        <v>0.15985105927955567</v>
      </c>
      <c r="BI122" s="72">
        <f t="shared" si="316"/>
        <v>0.13545380969844723</v>
      </c>
      <c r="BJ122" s="72">
        <f t="shared" si="316"/>
        <v>0.11632601362141415</v>
      </c>
    </row>
    <row r="123" spans="2:66">
      <c r="G123" s="63"/>
      <c r="L123" s="63"/>
      <c r="Q123" s="63"/>
      <c r="V123" s="63"/>
      <c r="AA123" s="63"/>
      <c r="AF123" s="63"/>
      <c r="AK123" s="63"/>
      <c r="AP123" s="63"/>
      <c r="AU123" s="63"/>
      <c r="AZ123" s="63"/>
      <c r="BE123" s="63"/>
      <c r="BF123" s="63"/>
      <c r="BG123" s="63"/>
      <c r="BH123" s="63"/>
      <c r="BI123" s="63"/>
      <c r="BJ123" s="63"/>
    </row>
    <row r="124" spans="2:66">
      <c r="B124" s="75" t="s">
        <v>33</v>
      </c>
      <c r="G124" s="63"/>
      <c r="L124" s="63"/>
      <c r="Q124" s="63"/>
      <c r="V124" s="63"/>
      <c r="AA124" s="63"/>
      <c r="AF124" s="63"/>
      <c r="AK124" s="63"/>
      <c r="AP124" s="63"/>
      <c r="AU124" s="63"/>
      <c r="AZ124" s="63"/>
      <c r="BE124" s="63"/>
      <c r="BF124" s="63"/>
      <c r="BG124" s="63"/>
      <c r="BH124" s="63"/>
      <c r="BI124" s="63"/>
      <c r="BJ124" s="63"/>
    </row>
    <row r="125" spans="2:66">
      <c r="B125" s="45" t="s">
        <v>75</v>
      </c>
      <c r="C125" s="70"/>
      <c r="D125" s="70">
        <f>D13/C13-1</f>
        <v>0.11592791037506078</v>
      </c>
      <c r="E125" s="70">
        <f>E13/D13-1</f>
        <v>0.10010184781027198</v>
      </c>
      <c r="F125" s="70">
        <f>F13/E13-1</f>
        <v>0.11334479566194955</v>
      </c>
      <c r="G125" s="63"/>
      <c r="H125" s="70">
        <f>H13/F13-1</f>
        <v>9.93110002375861E-2</v>
      </c>
      <c r="I125" s="70">
        <f>I13/H13-1</f>
        <v>0.11865139399178726</v>
      </c>
      <c r="J125" s="70">
        <f>J13/I13-1</f>
        <v>7.2546367851622939E-2</v>
      </c>
      <c r="K125" s="70">
        <f>K13/J13-1</f>
        <v>6.7639376745023849E-2</v>
      </c>
      <c r="L125" s="63"/>
      <c r="M125" s="70">
        <f>M13/K13-1</f>
        <v>0.16226590180529787</v>
      </c>
      <c r="N125" s="70">
        <f>N13/M13-1</f>
        <v>6.0656868082017867E-2</v>
      </c>
      <c r="O125" s="70">
        <f>O13/N13-1</f>
        <v>6.4790737141762422E-2</v>
      </c>
      <c r="P125" s="70">
        <f>P13/O13-1</f>
        <v>5.5250642673521755E-2</v>
      </c>
      <c r="Q125" s="63"/>
      <c r="R125" s="70">
        <f>R13/P13-1</f>
        <v>6.1468845350402201E-2</v>
      </c>
      <c r="S125" s="70">
        <f>S13/R13-1</f>
        <v>6.3853347868495058E-2</v>
      </c>
      <c r="T125" s="70">
        <f>T13/S13-1</f>
        <v>6.1331363021049468E-2</v>
      </c>
      <c r="U125" s="70">
        <f>U13/T13-1</f>
        <v>3.962071436193737E-2</v>
      </c>
      <c r="V125" s="63"/>
      <c r="W125" s="70">
        <f>W13/U13-1</f>
        <v>5.5716855338534099E-2</v>
      </c>
      <c r="X125" s="70">
        <f>X13/W13-1</f>
        <v>9.2931519026608234E-2</v>
      </c>
      <c r="Y125" s="70">
        <f>Y13/X13-1</f>
        <v>7.6764707128302634E-2</v>
      </c>
      <c r="Z125" s="70">
        <f>Z13/Y13-1</f>
        <v>0.11155086946258552</v>
      </c>
      <c r="AA125" s="63"/>
      <c r="AB125" s="70">
        <f>AB13/Z13-1</f>
        <v>7.6373109077137791E-2</v>
      </c>
      <c r="AC125" s="70">
        <f>AC13/AB13-1</f>
        <v>4.0425895722628447E-2</v>
      </c>
      <c r="AD125" s="70">
        <f>AD13/AC13-1</f>
        <v>1.3877739360189212E-2</v>
      </c>
      <c r="AE125" s="70">
        <f>AE13/AD13-1</f>
        <v>2.3519546629176658E-2</v>
      </c>
      <c r="AF125" s="63"/>
      <c r="AG125" s="70">
        <f>AG13/AF13-1</f>
        <v>-0.73095332046371575</v>
      </c>
      <c r="AH125" s="70">
        <f>AH13/AG13-1</f>
        <v>1.0617774746265463E-2</v>
      </c>
      <c r="AI125" s="70">
        <f>AI13/AH13-1</f>
        <v>1.6829652631331626E-3</v>
      </c>
      <c r="AJ125" s="70">
        <f>AJ13/AI13-1</f>
        <v>2.6705802403088397E-2</v>
      </c>
      <c r="AK125" s="63"/>
      <c r="AL125" s="70">
        <f>AL13/AJ13-1</f>
        <v>5.3616493916178731E-2</v>
      </c>
      <c r="AM125" s="70">
        <f>AM13/AL13-1</f>
        <v>4.2507404912370594E-2</v>
      </c>
      <c r="AN125" s="70">
        <f>AN13/AM13-1</f>
        <v>9.9082766419558155E-3</v>
      </c>
      <c r="AO125" s="70">
        <f>AO13/AN13-1</f>
        <v>2.5213220563628402E-2</v>
      </c>
      <c r="AP125" s="63"/>
      <c r="AQ125" s="70">
        <f>AQ13/AO13-1</f>
        <v>3.9638805164313506E-2</v>
      </c>
      <c r="AR125" s="70">
        <f>AR13/AQ13-1</f>
        <v>3.8044099710321522E-2</v>
      </c>
      <c r="AS125" s="70">
        <f>AS13/AR13-1</f>
        <v>2.0486705557825058E-2</v>
      </c>
      <c r="AT125" s="70">
        <f>AT13/AS13-1</f>
        <v>3.5491248625394434E-2</v>
      </c>
      <c r="AU125" s="63"/>
      <c r="AV125" s="70">
        <f>AV13/AT13-1</f>
        <v>2.8658609418944048E-2</v>
      </c>
      <c r="AW125" s="70">
        <f>AW13/AV13-1</f>
        <v>3.4369187439697191E-2</v>
      </c>
      <c r="AX125" s="70">
        <f>AX13/AW13-1</f>
        <v>3.1155471189761696E-2</v>
      </c>
      <c r="AY125" s="70">
        <f>AY13/AX13-1</f>
        <v>3.7757772261745037E-2</v>
      </c>
      <c r="AZ125" s="63"/>
      <c r="BA125" s="70">
        <f>BA13/AY13-1</f>
        <v>3.3481523269491387E-2</v>
      </c>
      <c r="BB125" s="70">
        <f>BB13/BA13-1</f>
        <v>3.9716004941940497E-2</v>
      </c>
      <c r="BC125" s="70">
        <f>BC13/BB13-1</f>
        <v>4.1145756688898638E-2</v>
      </c>
      <c r="BD125" s="70">
        <f>BD13/BC13-1</f>
        <v>4.462989868321654E-2</v>
      </c>
      <c r="BE125" s="63"/>
      <c r="BF125" s="63"/>
      <c r="BG125" s="63"/>
      <c r="BH125" s="63"/>
      <c r="BI125" s="63"/>
      <c r="BJ125" s="63"/>
    </row>
    <row r="126" spans="2:66">
      <c r="B126" s="45" t="str">
        <f>+CONCATENATE(B115," q/q")</f>
        <v>Gross profit q/q</v>
      </c>
      <c r="C126" s="70"/>
      <c r="D126" s="70">
        <f>+D24/C24-1</f>
        <v>0.1296303486836996</v>
      </c>
      <c r="E126" s="70">
        <f>+E24/D24-1</f>
        <v>0.11808885451576856</v>
      </c>
      <c r="F126" s="70">
        <f>+F24/E24-1</f>
        <v>0.10472515986227249</v>
      </c>
      <c r="G126" s="74"/>
      <c r="H126" s="70">
        <f>+H24/F24-1</f>
        <v>8.8243888185448816E-2</v>
      </c>
      <c r="I126" s="70">
        <f>+I24/H24-1</f>
        <v>0.11531625986114458</v>
      </c>
      <c r="J126" s="70">
        <f>+J24/I24-1</f>
        <v>7.466467958271239E-2</v>
      </c>
      <c r="K126" s="70">
        <f>+K24/J24-1</f>
        <v>7.2272062980702545E-2</v>
      </c>
      <c r="L126" s="74"/>
      <c r="M126" s="70">
        <f>+M24/K24-1</f>
        <v>9.2441154818042603E-2</v>
      </c>
      <c r="N126" s="70">
        <f>+N24/M24-1</f>
        <v>6.3491485292778593E-2</v>
      </c>
      <c r="O126" s="70">
        <f>+O24/N24-1</f>
        <v>5.9452655374972352E-2</v>
      </c>
      <c r="P126" s="70">
        <f>+P24/O24-1</f>
        <v>5.7652050919377418E-2</v>
      </c>
      <c r="Q126" s="74"/>
      <c r="R126" s="70">
        <f>+R24/P24-1</f>
        <v>3.8423329104831039E-2</v>
      </c>
      <c r="S126" s="70">
        <f>+S24/R24-1</f>
        <v>3.1695686089810771E-2</v>
      </c>
      <c r="T126" s="70">
        <f>+T24/S24-1</f>
        <v>3.443823871377294E-2</v>
      </c>
      <c r="U126" s="70">
        <f>+U24/T24-1</f>
        <v>2.6989194668358474E-2</v>
      </c>
      <c r="V126" s="74"/>
      <c r="W126" s="70">
        <f>+W24/U24-1</f>
        <v>4.4401920300802367E-2</v>
      </c>
      <c r="X126" s="70">
        <f>+X24/W24-1</f>
        <v>7.6490858127394867E-2</v>
      </c>
      <c r="Y126" s="70">
        <f>+Y24/X24-1</f>
        <v>5.5832925241570353E-2</v>
      </c>
      <c r="Z126" s="70">
        <f>+Z24/Y24-1</f>
        <v>3.1697729008173248E-2</v>
      </c>
      <c r="AA126" s="63"/>
      <c r="AB126" s="70">
        <f>+AB24/Z24-1</f>
        <v>5.1436685508144508E-2</v>
      </c>
      <c r="AC126" s="70">
        <f>+AC24/AB24-1</f>
        <v>3.6578180320260945E-2</v>
      </c>
      <c r="AD126" s="70">
        <f>+AD24/AC24-1</f>
        <v>1.7751866234733349E-2</v>
      </c>
      <c r="AE126" s="70">
        <f>+AE24/AD24-1</f>
        <v>6.4895588780424784E-3</v>
      </c>
      <c r="AF126" s="63"/>
      <c r="AG126" s="70">
        <f>+AG24/AF24-1</f>
        <v>-0.73394807542621843</v>
      </c>
      <c r="AH126" s="70">
        <f>+AH24/AG24-1</f>
        <v>1.8020866266203139E-2</v>
      </c>
      <c r="AI126" s="70">
        <f>+AI24/AH24-1</f>
        <v>3.4231018818948744E-2</v>
      </c>
      <c r="AJ126" s="70">
        <f>+AJ24/AI24-1</f>
        <v>3.7857703081232597E-2</v>
      </c>
      <c r="AK126" s="63"/>
      <c r="AL126" s="70">
        <f>+AL24/AJ24-1</f>
        <v>7.7535280603872492E-2</v>
      </c>
      <c r="AM126" s="70">
        <f>+AM24/AL24-1</f>
        <v>6.766802790880333E-2</v>
      </c>
      <c r="AN126" s="70">
        <f>+AN24/AM24-1</f>
        <v>1.0104649940693378E-2</v>
      </c>
      <c r="AO126" s="70">
        <f>+AO24/AN24-1</f>
        <v>4.7940573161305622E-2</v>
      </c>
      <c r="AP126" s="63"/>
      <c r="AQ126" s="70">
        <f>+AQ24/AO24-1</f>
        <v>1.6776298292583425E-2</v>
      </c>
      <c r="AR126" s="70">
        <f>+AR24/AQ24-1</f>
        <v>4.0176329445901438E-2</v>
      </c>
      <c r="AS126" s="70">
        <f>+AS24/AR24-1</f>
        <v>2.8934874738479888E-2</v>
      </c>
      <c r="AT126" s="70">
        <f>+AT24/AS24-1</f>
        <v>4.5834609594442188E-2</v>
      </c>
      <c r="AU126" s="63"/>
      <c r="AV126" s="70">
        <f>+AV24/AT24-1</f>
        <v>1.5248386051496921E-2</v>
      </c>
      <c r="AW126" s="70">
        <f>+AW24/AV24-1</f>
        <v>4.6178255985956485E-2</v>
      </c>
      <c r="AX126" s="70">
        <f>+AX24/AW24-1</f>
        <v>2.5952424954458042E-2</v>
      </c>
      <c r="AY126" s="70">
        <f>+AY24/AX24-1</f>
        <v>2.576771315834625E-2</v>
      </c>
      <c r="AZ126" s="63"/>
      <c r="BA126" s="70">
        <f>+BA24/AY24-1</f>
        <v>9.3753395708293663E-3</v>
      </c>
      <c r="BB126" s="70">
        <f>+BB24/BA24-1</f>
        <v>4.9916584722826673E-2</v>
      </c>
      <c r="BC126" s="70">
        <f>+BC24/BB24-1</f>
        <v>5.3592602431311809E-2</v>
      </c>
      <c r="BD126" s="70">
        <f>+BD24/BC24-1</f>
        <v>5.092422523547846E-2</v>
      </c>
      <c r="BE126" s="63"/>
      <c r="BF126" s="63"/>
      <c r="BG126" s="63"/>
      <c r="BH126" s="63"/>
      <c r="BI126" s="63"/>
      <c r="BJ126" s="63"/>
    </row>
    <row r="127" spans="2:66">
      <c r="B127" s="45" t="str">
        <f>+CONCATENATE(B99," q/q")</f>
        <v>Sales &amp; marketing, non GAAP q/q</v>
      </c>
      <c r="C127" s="70"/>
      <c r="D127" s="70">
        <f t="shared" ref="D127:F129" si="317">D26/C26-1</f>
        <v>-0.11788731322458723</v>
      </c>
      <c r="E127" s="70">
        <f t="shared" si="317"/>
        <v>0.11109513401587479</v>
      </c>
      <c r="F127" s="70">
        <f t="shared" si="317"/>
        <v>9.3179759285622055E-4</v>
      </c>
      <c r="G127" s="63"/>
      <c r="H127" s="70">
        <f>H26/F26-1</f>
        <v>0.35111582322670754</v>
      </c>
      <c r="I127" s="70">
        <f t="shared" ref="I127:K129" si="318">I26/H26-1</f>
        <v>-0.11623188960554265</v>
      </c>
      <c r="J127" s="70">
        <f t="shared" si="318"/>
        <v>6.771916146916146E-2</v>
      </c>
      <c r="K127" s="70">
        <f t="shared" si="318"/>
        <v>-4.0362655416505966E-2</v>
      </c>
      <c r="L127" s="63"/>
      <c r="M127" s="70">
        <f>M26/K26-1</f>
        <v>0.37317439181620249</v>
      </c>
      <c r="N127" s="70">
        <f t="shared" ref="N127:P129" si="319">N26/M26-1</f>
        <v>-0.13030830088195899</v>
      </c>
      <c r="O127" s="70">
        <f t="shared" si="319"/>
        <v>-0.17238022759853466</v>
      </c>
      <c r="P127" s="70">
        <f t="shared" si="319"/>
        <v>0.24641276222654662</v>
      </c>
      <c r="Q127" s="63"/>
      <c r="R127" s="70">
        <f>R26/P26-1</f>
        <v>0.38918436674330015</v>
      </c>
      <c r="S127" s="70">
        <f t="shared" ref="S127:U129" si="320">S26/R26-1</f>
        <v>-0.1747190317401508</v>
      </c>
      <c r="T127" s="70">
        <f t="shared" si="320"/>
        <v>6.6578872543884504E-2</v>
      </c>
      <c r="U127" s="70">
        <f t="shared" si="320"/>
        <v>-1.5111123582893682E-2</v>
      </c>
      <c r="V127" s="63"/>
      <c r="W127" s="70">
        <f>W26/U26-1</f>
        <v>0.30476529667355257</v>
      </c>
      <c r="X127" s="70">
        <f t="shared" ref="X127:Z129" si="321">X26/W26-1</f>
        <v>0.24402760186924044</v>
      </c>
      <c r="Y127" s="70">
        <f t="shared" si="321"/>
        <v>-6.1033193491197069E-2</v>
      </c>
      <c r="Z127" s="70">
        <f t="shared" si="321"/>
        <v>-3.8594556195318819E-2</v>
      </c>
      <c r="AA127" s="63"/>
      <c r="AB127" s="70">
        <f>AB26/Z26-1</f>
        <v>0.33209858538719561</v>
      </c>
      <c r="AC127" s="70">
        <f t="shared" ref="AC127:AE129" si="322">AC26/AB26-1</f>
        <v>-0.28086385963375737</v>
      </c>
      <c r="AD127" s="70">
        <f t="shared" si="322"/>
        <v>0.12935015375871539</v>
      </c>
      <c r="AE127" s="70">
        <f t="shared" si="322"/>
        <v>-0.13249937093353448</v>
      </c>
      <c r="AF127" s="63"/>
      <c r="AG127" s="70">
        <f t="shared" ref="AG127:AJ129" si="323">AG26/AF26-1</f>
        <v>-0.67062965769862326</v>
      </c>
      <c r="AH127" s="70">
        <f t="shared" si="323"/>
        <v>-0.24712553157977624</v>
      </c>
      <c r="AI127" s="70">
        <f t="shared" si="323"/>
        <v>-2.3403674731671709E-2</v>
      </c>
      <c r="AJ127" s="70">
        <f t="shared" si="323"/>
        <v>-0.18444214702841666</v>
      </c>
      <c r="AK127" s="63"/>
      <c r="AL127" s="70">
        <f>AL26/AJ26-1</f>
        <v>1.3601480060298821E-2</v>
      </c>
      <c r="AM127" s="70">
        <f t="shared" ref="AM127:AO129" si="324">AM26/AL26-1</f>
        <v>-3.5952904061743007E-2</v>
      </c>
      <c r="AN127" s="70">
        <f t="shared" si="324"/>
        <v>4.1442662802113173E-2</v>
      </c>
      <c r="AO127" s="70">
        <f t="shared" si="324"/>
        <v>2.7819548872180411E-2</v>
      </c>
      <c r="AP127" s="63"/>
      <c r="AQ127" s="70">
        <f>AQ26/AO26-1</f>
        <v>4.7462031466660948E-2</v>
      </c>
      <c r="AR127" s="70">
        <f t="shared" ref="AR127:AT129" si="325">AR26/AQ26-1</f>
        <v>-3.585723815877262E-2</v>
      </c>
      <c r="AS127" s="70">
        <f t="shared" si="325"/>
        <v>6.8824597820446254E-2</v>
      </c>
      <c r="AT127" s="70">
        <f t="shared" si="325"/>
        <v>-3.0588092492565444E-2</v>
      </c>
      <c r="AU127" s="63"/>
      <c r="AV127" s="70">
        <f>AV26/AT26-1</f>
        <v>5.9934472756109303E-2</v>
      </c>
      <c r="AW127" s="70">
        <f t="shared" ref="AW127:AY129" si="326">AW26/AV26-1</f>
        <v>1.9068338878935442E-2</v>
      </c>
      <c r="AX127" s="70">
        <f t="shared" si="326"/>
        <v>0.22903041953651004</v>
      </c>
      <c r="AY127" s="70">
        <f t="shared" si="326"/>
        <v>0.1169868267991323</v>
      </c>
      <c r="AZ127" s="63"/>
      <c r="BA127" s="70">
        <f>BA26/AY26-1</f>
        <v>0.27773868498086007</v>
      </c>
      <c r="BB127" s="70">
        <f t="shared" ref="BB127:BD129" si="327">BB26/BA26-1</f>
        <v>1.0667356896608693E-2</v>
      </c>
      <c r="BC127" s="70">
        <f t="shared" si="327"/>
        <v>-3.4279829336472001E-2</v>
      </c>
      <c r="BD127" s="70">
        <f t="shared" si="327"/>
        <v>-2.886677048773334E-2</v>
      </c>
      <c r="BE127" s="63"/>
      <c r="BF127" s="63"/>
      <c r="BG127" s="63"/>
      <c r="BH127" s="63"/>
      <c r="BI127" s="63"/>
      <c r="BJ127" s="63"/>
      <c r="BL127" s="76"/>
      <c r="BM127" s="76"/>
    </row>
    <row r="128" spans="2:66">
      <c r="B128" s="45" t="str">
        <f>+CONCATENATE(B100," q/q")</f>
        <v>Research and development, non GAAP q/q</v>
      </c>
      <c r="C128" s="70"/>
      <c r="D128" s="70">
        <f t="shared" si="317"/>
        <v>7.1553315702809206E-2</v>
      </c>
      <c r="E128" s="70">
        <f t="shared" si="317"/>
        <v>3.6461001164144191E-2</v>
      </c>
      <c r="F128" s="70">
        <f t="shared" si="317"/>
        <v>8.0959654955521598E-2</v>
      </c>
      <c r="G128" s="63"/>
      <c r="H128" s="70">
        <f>H27/F27-1</f>
        <v>8.4538653366583727E-2</v>
      </c>
      <c r="I128" s="70">
        <f t="shared" si="318"/>
        <v>0.11768989039625954</v>
      </c>
      <c r="J128" s="70">
        <f t="shared" si="318"/>
        <v>9.8474198525630108E-2</v>
      </c>
      <c r="K128" s="70">
        <f t="shared" si="318"/>
        <v>6.1179261478915059E-2</v>
      </c>
      <c r="L128" s="63"/>
      <c r="M128" s="70">
        <f>M27/K27-1</f>
        <v>0.11824572756419682</v>
      </c>
      <c r="N128" s="70">
        <f t="shared" si="319"/>
        <v>2.6435541994370926E-2</v>
      </c>
      <c r="O128" s="70">
        <f t="shared" si="319"/>
        <v>0.32937829942083963</v>
      </c>
      <c r="P128" s="70">
        <f t="shared" si="319"/>
        <v>-0.16206265060240954</v>
      </c>
      <c r="Q128" s="63"/>
      <c r="R128" s="70">
        <f>R27/P27-1</f>
        <v>5.6570350602742181E-2</v>
      </c>
      <c r="S128" s="70">
        <f t="shared" si="320"/>
        <v>3.1354105428179402E-2</v>
      </c>
      <c r="T128" s="70">
        <f t="shared" si="320"/>
        <v>4.7184748875799709E-2</v>
      </c>
      <c r="U128" s="70">
        <f t="shared" si="320"/>
        <v>4.2982137817023425E-2</v>
      </c>
      <c r="V128" s="63"/>
      <c r="W128" s="70">
        <f>W27/U27-1</f>
        <v>5.4065024935245454E-2</v>
      </c>
      <c r="X128" s="70">
        <f t="shared" si="321"/>
        <v>4.9824870257284992E-2</v>
      </c>
      <c r="Y128" s="70">
        <f t="shared" si="321"/>
        <v>0.12075531022917829</v>
      </c>
      <c r="Z128" s="70">
        <f t="shared" si="321"/>
        <v>5.1339598821714016E-2</v>
      </c>
      <c r="AA128" s="63"/>
      <c r="AB128" s="70">
        <f>AB27/Z27-1</f>
        <v>6.4383663182862705E-2</v>
      </c>
      <c r="AC128" s="70">
        <f t="shared" si="322"/>
        <v>0.33688960695283998</v>
      </c>
      <c r="AD128" s="70">
        <f t="shared" si="322"/>
        <v>-0.13453003563019617</v>
      </c>
      <c r="AE128" s="70">
        <f t="shared" si="322"/>
        <v>0.28616999506458174</v>
      </c>
      <c r="AF128" s="63"/>
      <c r="AG128" s="70">
        <f t="shared" si="323"/>
        <v>-0.74970855709904582</v>
      </c>
      <c r="AH128" s="70">
        <f t="shared" si="323"/>
        <v>1.2029487322685162E-2</v>
      </c>
      <c r="AI128" s="70">
        <f t="shared" si="323"/>
        <v>-4.5691833964263129E-3</v>
      </c>
      <c r="AJ128" s="70">
        <f t="shared" si="323"/>
        <v>-3.5368598449990518E-2</v>
      </c>
      <c r="AK128" s="63"/>
      <c r="AL128" s="70">
        <f>AL27/AJ27-1</f>
        <v>-6.0457685367171221E-3</v>
      </c>
      <c r="AM128" s="70">
        <f t="shared" si="324"/>
        <v>2.0699145437514943E-3</v>
      </c>
      <c r="AN128" s="70">
        <f t="shared" si="324"/>
        <v>9.2642171344165414E-2</v>
      </c>
      <c r="AO128" s="70">
        <f t="shared" si="324"/>
        <v>-9.7904609015250221E-3</v>
      </c>
      <c r="AP128" s="63"/>
      <c r="AQ128" s="70">
        <f>AQ27/AO27-1</f>
        <v>-6.6021737043634454E-3</v>
      </c>
      <c r="AR128" s="70">
        <f t="shared" si="325"/>
        <v>-5.0076230969099633E-2</v>
      </c>
      <c r="AS128" s="70">
        <f t="shared" si="325"/>
        <v>4.3639939417229767E-2</v>
      </c>
      <c r="AT128" s="70">
        <f t="shared" si="325"/>
        <v>2.7411057562138019E-2</v>
      </c>
      <c r="AU128" s="63"/>
      <c r="AV128" s="70">
        <f>AV27/AT27-1</f>
        <v>1.2016950224527312E-2</v>
      </c>
      <c r="AW128" s="70">
        <f t="shared" si="326"/>
        <v>2.4821365331333389E-2</v>
      </c>
      <c r="AX128" s="70">
        <f t="shared" si="326"/>
        <v>6.5800038622203738E-2</v>
      </c>
      <c r="AY128" s="70">
        <f t="shared" si="326"/>
        <v>1.1252777433412575E-3</v>
      </c>
      <c r="AZ128" s="63"/>
      <c r="BA128" s="70">
        <f>BA27/AY27-1</f>
        <v>4.7627665958602128E-2</v>
      </c>
      <c r="BB128" s="70">
        <f t="shared" si="327"/>
        <v>0</v>
      </c>
      <c r="BC128" s="70">
        <f t="shared" si="327"/>
        <v>0</v>
      </c>
      <c r="BD128" s="70">
        <f t="shared" si="327"/>
        <v>0</v>
      </c>
      <c r="BE128" s="63"/>
      <c r="BF128" s="63"/>
      <c r="BG128" s="63"/>
      <c r="BH128" s="63"/>
      <c r="BI128" s="63"/>
      <c r="BJ128" s="63"/>
      <c r="BL128" s="76"/>
      <c r="BM128" s="76"/>
    </row>
    <row r="129" spans="2:79">
      <c r="B129" s="45" t="str">
        <f>+CONCATENATE(B101," q/q")</f>
        <v>General &amp; administrative, non GAAP q/q</v>
      </c>
      <c r="C129" s="70"/>
      <c r="D129" s="70">
        <f t="shared" si="317"/>
        <v>0.14292354171508248</v>
      </c>
      <c r="E129" s="70">
        <f t="shared" si="317"/>
        <v>8.3163887759251764E-2</v>
      </c>
      <c r="F129" s="70">
        <f t="shared" si="317"/>
        <v>-1.2952881546836714E-2</v>
      </c>
      <c r="G129" s="63"/>
      <c r="H129" s="70">
        <f>H28/F28-1</f>
        <v>0.40852034994294395</v>
      </c>
      <c r="I129" s="70">
        <f t="shared" si="318"/>
        <v>0.13151498784769111</v>
      </c>
      <c r="J129" s="70">
        <f t="shared" si="318"/>
        <v>7.2076372315035719E-2</v>
      </c>
      <c r="K129" s="70">
        <f t="shared" si="318"/>
        <v>5.8437221727515531E-2</v>
      </c>
      <c r="L129" s="63"/>
      <c r="M129" s="70">
        <f>M28/K28-1</f>
        <v>9.7802082237878896E-3</v>
      </c>
      <c r="N129" s="70">
        <f t="shared" si="319"/>
        <v>4.0928973130597956E-2</v>
      </c>
      <c r="O129" s="70">
        <f t="shared" si="319"/>
        <v>-1.7008504252126189E-2</v>
      </c>
      <c r="P129" s="70">
        <f t="shared" si="319"/>
        <v>0.13486005089058528</v>
      </c>
      <c r="Q129" s="63"/>
      <c r="R129" s="70">
        <f>R28/P28-1</f>
        <v>6.4932735426009414E-2</v>
      </c>
      <c r="S129" s="70">
        <f t="shared" si="320"/>
        <v>6.1057773286171457E-2</v>
      </c>
      <c r="T129" s="70">
        <f t="shared" si="320"/>
        <v>0.29851575521866791</v>
      </c>
      <c r="U129" s="70">
        <f t="shared" si="320"/>
        <v>-8.2518337408311604E-3</v>
      </c>
      <c r="V129" s="63"/>
      <c r="W129" s="70">
        <f>W28/U28-1</f>
        <v>5.4052388289676401E-2</v>
      </c>
      <c r="X129" s="70">
        <f t="shared" si="321"/>
        <v>-0.12033680271313307</v>
      </c>
      <c r="Y129" s="70">
        <f t="shared" si="321"/>
        <v>9.4655676681733691E-2</v>
      </c>
      <c r="Z129" s="70">
        <f t="shared" si="321"/>
        <v>0.50856205975224689</v>
      </c>
      <c r="AA129" s="63"/>
      <c r="AB129" s="70">
        <f>AB28/Z28-1</f>
        <v>-0.11468019160326859</v>
      </c>
      <c r="AC129" s="70">
        <f t="shared" si="322"/>
        <v>0.16063471855960731</v>
      </c>
      <c r="AD129" s="70">
        <f t="shared" si="322"/>
        <v>-2.5776628667685264E-2</v>
      </c>
      <c r="AE129" s="70">
        <f t="shared" si="322"/>
        <v>9.5259157987856558E-2</v>
      </c>
      <c r="AF129" s="63"/>
      <c r="AG129" s="70">
        <f t="shared" si="323"/>
        <v>-0.72545870638776244</v>
      </c>
      <c r="AH129" s="70">
        <f t="shared" si="323"/>
        <v>2.8078385492834146E-2</v>
      </c>
      <c r="AI129" s="70">
        <f t="shared" si="323"/>
        <v>2.1728307254623047E-2</v>
      </c>
      <c r="AJ129" s="70">
        <f t="shared" si="323"/>
        <v>-8.443841147192932E-2</v>
      </c>
      <c r="AK129" s="63"/>
      <c r="AL129" s="70">
        <f>AL28/AJ28-1</f>
        <v>-2.007222961414179E-2</v>
      </c>
      <c r="AM129" s="70">
        <f t="shared" si="324"/>
        <v>-1.7108274818636859E-2</v>
      </c>
      <c r="AN129" s="70">
        <f t="shared" si="324"/>
        <v>7.9570571518787547E-2</v>
      </c>
      <c r="AO129" s="70">
        <f t="shared" si="324"/>
        <v>0.16836063176367366</v>
      </c>
      <c r="AP129" s="63"/>
      <c r="AQ129" s="70">
        <f>AQ28/AO28-1</f>
        <v>-0.11628125293362956</v>
      </c>
      <c r="AR129" s="70">
        <f t="shared" si="325"/>
        <v>-4.068552813285653E-2</v>
      </c>
      <c r="AS129" s="70">
        <f t="shared" si="325"/>
        <v>6.3856489000444494E-3</v>
      </c>
      <c r="AT129" s="70">
        <f t="shared" si="325"/>
        <v>8.9748762149275629E-2</v>
      </c>
      <c r="AU129" s="63"/>
      <c r="AV129" s="70">
        <f>AV28/AT28-1</f>
        <v>-4.3450457727517544E-2</v>
      </c>
      <c r="AW129" s="70">
        <f t="shared" si="326"/>
        <v>1.4461137890996234E-2</v>
      </c>
      <c r="AX129" s="70">
        <f t="shared" si="326"/>
        <v>-3.8464206437291981E-2</v>
      </c>
      <c r="AY129" s="70">
        <f t="shared" si="326"/>
        <v>9.9267756014861375E-2</v>
      </c>
      <c r="AZ129" s="63"/>
      <c r="BA129" s="70">
        <f>BA28/AY28-1</f>
        <v>0</v>
      </c>
      <c r="BB129" s="70">
        <f t="shared" si="327"/>
        <v>0</v>
      </c>
      <c r="BC129" s="70">
        <f t="shared" si="327"/>
        <v>0</v>
      </c>
      <c r="BD129" s="70">
        <f t="shared" si="327"/>
        <v>0</v>
      </c>
      <c r="BE129" s="63"/>
      <c r="BF129" s="63"/>
      <c r="BG129" s="63"/>
      <c r="BH129" s="63"/>
      <c r="BI129" s="63"/>
      <c r="BJ129" s="63"/>
      <c r="BL129" s="76"/>
      <c r="BM129" s="76"/>
    </row>
    <row r="130" spans="2:79">
      <c r="B130" s="45" t="str">
        <f>+CONCATENATE(B102," q/q")</f>
        <v>Operating margin q/q</v>
      </c>
      <c r="C130" s="70"/>
      <c r="D130" s="70">
        <f>+D41/C41-1</f>
        <v>0</v>
      </c>
      <c r="E130" s="70">
        <f>+E41/D41-1</f>
        <v>0</v>
      </c>
      <c r="F130" s="70">
        <f>+F41/E41-1</f>
        <v>-0.25</v>
      </c>
      <c r="G130" s="63"/>
      <c r="H130" s="70">
        <f>+H41/F41-1</f>
        <v>0.44444444444444442</v>
      </c>
      <c r="I130" s="70">
        <f>+I41/H41-1</f>
        <v>0</v>
      </c>
      <c r="J130" s="70">
        <f>+J41/I41-1</f>
        <v>0.15384615384615374</v>
      </c>
      <c r="K130" s="70">
        <f>+K41/J41-1</f>
        <v>6.6666666666666652E-2</v>
      </c>
      <c r="L130" s="63"/>
      <c r="M130" s="70">
        <f>+M41/K41-1</f>
        <v>0.18562499999999993</v>
      </c>
      <c r="N130" s="70">
        <f>+N41/M41-1</f>
        <v>0.15761729045861905</v>
      </c>
      <c r="O130" s="70">
        <f>+O41/N41-1</f>
        <v>7.7413479052823586E-3</v>
      </c>
      <c r="P130" s="70">
        <f>+P41/O41-1</f>
        <v>9.2634432896520513E-2</v>
      </c>
      <c r="Q130" s="63"/>
      <c r="R130" s="70">
        <f>+R41/P41-1</f>
        <v>9.9255583126550695E-2</v>
      </c>
      <c r="S130" s="70">
        <f>+S41/R41-1</f>
        <v>0.10120391271632823</v>
      </c>
      <c r="T130" s="70">
        <f>+T41/S41-1</f>
        <v>9.1219678852066943E-2</v>
      </c>
      <c r="U130" s="70">
        <f>+U41/T41-1</f>
        <v>4.7902316844082637E-2</v>
      </c>
      <c r="V130" s="63"/>
      <c r="W130" s="70">
        <f>+W41/V41-1</f>
        <v>-0.70542635658914721</v>
      </c>
      <c r="X130" s="70">
        <f>+X41/W41-1</f>
        <v>-9.7984322508398725E-3</v>
      </c>
      <c r="Y130" s="70">
        <f>+Y41/X41-1</f>
        <v>4.9476957873904492E-2</v>
      </c>
      <c r="Z130" s="70">
        <f>+Z41/Y41-1</f>
        <v>2.0743534482758674E-2</v>
      </c>
      <c r="AA130" s="63"/>
      <c r="AB130" s="70">
        <f>+AB41/AA41-1</f>
        <v>-0.76509240246406574</v>
      </c>
      <c r="AC130" s="70">
        <f>+AC41/AB41-1</f>
        <v>-1.5734265734265729E-2</v>
      </c>
      <c r="AD130" s="70">
        <f>+AD41/AC41-1</f>
        <v>6.4239194789816434E-2</v>
      </c>
      <c r="AE130" s="70">
        <f>+AE41/AD41-1</f>
        <v>-1.9749652294854037E-2</v>
      </c>
      <c r="AF130" s="63"/>
      <c r="AG130" s="70">
        <f>+AG41/AF41-1</f>
        <v>-0.74621293703783476</v>
      </c>
      <c r="AH130" s="70">
        <f>+AH41/AG41-1</f>
        <v>0.13776520509193779</v>
      </c>
      <c r="AI130" s="70">
        <f>+AI41/AH41-1</f>
        <v>-4.4007956240676327E-2</v>
      </c>
      <c r="AJ130" s="70">
        <f>+AJ41/AI41-1</f>
        <v>0.35474642392717803</v>
      </c>
      <c r="AK130" s="63"/>
      <c r="AL130" s="70">
        <f>+AL41/AK41-1</f>
        <v>-0.70369032568779732</v>
      </c>
      <c r="AM130" s="70">
        <f>+AM41/AL41-1</f>
        <v>0</v>
      </c>
      <c r="AN130" s="70">
        <f>+AN41/AM41-1</f>
        <v>0</v>
      </c>
      <c r="AO130" s="70">
        <f>+AO41/AN41-1</f>
        <v>-0.34295002031694388</v>
      </c>
      <c r="AP130" s="63"/>
      <c r="AQ130" s="70">
        <f>+AQ41/AO41-1</f>
        <v>0.99196042053184796</v>
      </c>
      <c r="AR130" s="70">
        <f>+AR41/AQ41-1</f>
        <v>-0.30145917416951262</v>
      </c>
      <c r="AS130" s="70">
        <f>+AS41/AR41-1</f>
        <v>0</v>
      </c>
      <c r="AT130" s="70">
        <f>+AT41/AS41-1</f>
        <v>0.39511111111111097</v>
      </c>
      <c r="AU130" s="63"/>
      <c r="AV130" s="70">
        <f>+AV41/AT41-1</f>
        <v>-2.2459381968779724E-2</v>
      </c>
      <c r="AW130" s="70">
        <f>+AW41/AV41-1</f>
        <v>-6.1919504643963563E-3</v>
      </c>
      <c r="AX130" s="70">
        <f>+AX41/AW41-1</f>
        <v>1.4920478767010525E-2</v>
      </c>
      <c r="AY130" s="70">
        <f>+AY41/AX41-1</f>
        <v>-2.0193861066235441E-2</v>
      </c>
      <c r="AZ130" s="63"/>
      <c r="BA130" s="70">
        <f>+BA41/AY41-1</f>
        <v>0</v>
      </c>
      <c r="BB130" s="70">
        <f>+BB41/BA41-1</f>
        <v>0</v>
      </c>
      <c r="BC130" s="70">
        <f>+BC41/BB41-1</f>
        <v>0</v>
      </c>
      <c r="BD130" s="70">
        <f>+BD41/BC41-1</f>
        <v>0</v>
      </c>
      <c r="BE130" s="63"/>
      <c r="BF130" s="63"/>
      <c r="BG130" s="63"/>
      <c r="BH130" s="63"/>
      <c r="BI130" s="63"/>
      <c r="BJ130" s="63"/>
      <c r="BL130" s="76"/>
      <c r="BM130" s="76"/>
    </row>
    <row r="131" spans="2:79">
      <c r="B131" s="45" t="s">
        <v>76</v>
      </c>
      <c r="C131" s="70"/>
      <c r="D131" s="70">
        <f>D43/C43-1</f>
        <v>3.0097597597597607</v>
      </c>
      <c r="E131" s="70">
        <f>E43/D43-1</f>
        <v>6.3939337202771007E-2</v>
      </c>
      <c r="F131" s="70">
        <f>F43/E43-1</f>
        <v>0.57298724153101621</v>
      </c>
      <c r="G131" s="63"/>
      <c r="H131" s="70">
        <f>H43/F43-1</f>
        <v>-0.16093304245678797</v>
      </c>
      <c r="I131" s="70">
        <f>I43/H43-1</f>
        <v>0.15333333333333332</v>
      </c>
      <c r="J131" s="70">
        <f>J43/I43-1</f>
        <v>-0.25433526011560692</v>
      </c>
      <c r="K131" s="70">
        <f>K43/J43-1</f>
        <v>0.85271317829457338</v>
      </c>
      <c r="L131" s="63"/>
      <c r="M131" s="70">
        <f>M43/K43-1</f>
        <v>-3.7029288702928542E-2</v>
      </c>
      <c r="N131" s="70">
        <f>N43/M43-1</f>
        <v>0.25561590267217027</v>
      </c>
      <c r="O131" s="70">
        <f>O43/N43-1</f>
        <v>-0.11253373935912625</v>
      </c>
      <c r="P131" s="70">
        <f>P43/O43-1</f>
        <v>0.29025968962021453</v>
      </c>
      <c r="Q131" s="63"/>
      <c r="R131" s="70">
        <f>R43/P43-1</f>
        <v>-0.19631308552432725</v>
      </c>
      <c r="S131" s="70">
        <f>S43/R43-1</f>
        <v>0.17567872452432787</v>
      </c>
      <c r="T131" s="70">
        <f>T43/S43-1</f>
        <v>-0.21572954647220499</v>
      </c>
      <c r="U131" s="70">
        <f>U43/T43-1</f>
        <v>0.73773500265078784</v>
      </c>
      <c r="V131" s="63"/>
      <c r="W131" s="70">
        <f>W43/U43-1</f>
        <v>-0.24317664452840781</v>
      </c>
      <c r="X131" s="70">
        <f>X43/W43-1</f>
        <v>-0.49384477038047814</v>
      </c>
      <c r="Y131" s="70">
        <f>Y43/X43-1</f>
        <v>0.34595356245788444</v>
      </c>
      <c r="Z131" s="70">
        <f>Z43/Y43-1</f>
        <v>-8.9804278561675388E-2</v>
      </c>
      <c r="AA131" s="63"/>
      <c r="AB131" s="70">
        <f>AB43/Z43-1</f>
        <v>-0.29184377656648275</v>
      </c>
      <c r="AC131" s="70">
        <f>AC43/AB43-1</f>
        <v>-0.12710966739637275</v>
      </c>
      <c r="AD131" s="70">
        <f>AD43/AC43-1</f>
        <v>2.6539923954372657</v>
      </c>
      <c r="AE131" s="70">
        <f>AE43/AD43-1</f>
        <v>-0.94272366993601431</v>
      </c>
      <c r="AF131" s="63"/>
      <c r="AG131" s="70">
        <f>AG43/AF43-1</f>
        <v>-0.94348107060154007</v>
      </c>
      <c r="AH131" s="70">
        <f>AH43/AG43-1</f>
        <v>-0.88923296808004892</v>
      </c>
      <c r="AI131" s="70">
        <f>AI43/AH43-1</f>
        <v>14.780645161291947</v>
      </c>
      <c r="AJ131" s="70">
        <f>AJ43/AI43-1</f>
        <v>6.1793404197328483</v>
      </c>
      <c r="AK131" s="63"/>
      <c r="AL131" s="70">
        <f>AL43/AJ43-1</f>
        <v>0.78939675790592401</v>
      </c>
      <c r="AM131" s="70">
        <f>AM43/AL43-1</f>
        <v>-0.12699827090559923</v>
      </c>
      <c r="AN131" s="70">
        <f>AN43/AM43-1</f>
        <v>-0.29360730038762095</v>
      </c>
      <c r="AO131" s="70">
        <f>AO43/AN43-1</f>
        <v>1.7803694911755485E-2</v>
      </c>
      <c r="AP131" s="63"/>
      <c r="AQ131" s="70">
        <f>AQ43/AO43-1</f>
        <v>0.91600331254542233</v>
      </c>
      <c r="AR131" s="70">
        <f>AR43/AQ43-1</f>
        <v>3.5098087643779419E-2</v>
      </c>
      <c r="AS131" s="70">
        <f>AS43/AR43-1</f>
        <v>-0.14154601310642756</v>
      </c>
      <c r="AT131" s="70">
        <f>AT43/AS43-1</f>
        <v>0.10147215025263745</v>
      </c>
      <c r="AU131" s="63"/>
      <c r="AV131" s="70">
        <f>AV43/AT43-1</f>
        <v>0.29081913139087479</v>
      </c>
      <c r="AW131" s="70">
        <f>AW43/AV43-1</f>
        <v>-4.8747451615606674E-2</v>
      </c>
      <c r="AX131" s="70">
        <f>AX43/AW43-1</f>
        <v>-0.22592222890947189</v>
      </c>
      <c r="AY131" s="70">
        <f>AY43/AX43-1</f>
        <v>-0.12694258758829968</v>
      </c>
      <c r="AZ131" s="63"/>
      <c r="BA131" s="70">
        <f>BA43/AY43-1</f>
        <v>-0.11905555326830619</v>
      </c>
      <c r="BB131" s="70">
        <f>BB43/BA43-1</f>
        <v>3.1101199340245023E-2</v>
      </c>
      <c r="BC131" s="70">
        <f>BC43/BB43-1</f>
        <v>0.1973220981734658</v>
      </c>
      <c r="BD131" s="70">
        <f>BD43/BC43-1</f>
        <v>0.14300768445204959</v>
      </c>
      <c r="BE131" s="63"/>
      <c r="BF131" s="63"/>
      <c r="BG131" s="63"/>
      <c r="BH131" s="63"/>
      <c r="BI131" s="63"/>
      <c r="BJ131" s="63"/>
      <c r="BL131" s="87"/>
      <c r="BM131" s="87"/>
    </row>
    <row r="132" spans="2:79">
      <c r="B132" s="45" t="s">
        <v>131</v>
      </c>
      <c r="C132" s="70"/>
      <c r="D132" s="70"/>
      <c r="E132" s="70"/>
      <c r="F132" s="70"/>
      <c r="G132" s="63"/>
      <c r="H132" s="70"/>
      <c r="I132" s="70">
        <f>+I80/H80-1</f>
        <v>0.17799878222041809</v>
      </c>
      <c r="J132" s="70">
        <f>+J80/I80-1</f>
        <v>8.7468412589019051E-2</v>
      </c>
      <c r="K132" s="70">
        <f>+K80/J80-1</f>
        <v>3.1106416688671645E-2</v>
      </c>
      <c r="L132" s="63"/>
      <c r="M132" s="70">
        <f>+M80/K80-1</f>
        <v>9.7162466707642281E-2</v>
      </c>
      <c r="N132" s="70">
        <f>+N80/M80-1</f>
        <v>0.11372018113066606</v>
      </c>
      <c r="O132" s="70">
        <f>+O80/N80-1</f>
        <v>-6.9581254977576501E-3</v>
      </c>
      <c r="P132" s="70">
        <f>+P80/O80-1</f>
        <v>0.37875142459161726</v>
      </c>
      <c r="Q132" s="63"/>
      <c r="R132" s="70">
        <f>+R80/P80-1</f>
        <v>-8.0149399951016442E-2</v>
      </c>
      <c r="S132" s="70">
        <f>+S80/R80-1</f>
        <v>2.3563868734606919E-2</v>
      </c>
      <c r="T132" s="70">
        <f>+T80/S80-1</f>
        <v>-4.9652077778500336E-2</v>
      </c>
      <c r="U132" s="70">
        <f>+U80/T80-1</f>
        <v>0.28206795086734848</v>
      </c>
      <c r="V132" s="63"/>
      <c r="W132" s="70">
        <f>+W80/U80-1</f>
        <v>6.6211203330576174E-2</v>
      </c>
      <c r="X132" s="70">
        <f>+X80/W80-1</f>
        <v>0.16875250300360412</v>
      </c>
      <c r="Y132" s="70">
        <f>+Y80/X80-1</f>
        <v>-0.58495738210476733</v>
      </c>
      <c r="Z132" s="70">
        <f>+Z80/Y80-1</f>
        <v>0.19556243550051633</v>
      </c>
      <c r="AA132" s="63"/>
      <c r="AB132" s="70">
        <f>+AB80/Z80-1</f>
        <v>-0.36819162710401332</v>
      </c>
      <c r="AC132" s="70">
        <f>+AC80/AB80-1</f>
        <v>5.123300771909145E-3</v>
      </c>
      <c r="AD132" s="70">
        <f>+AD80/AC80-1</f>
        <v>-1.591749354356395</v>
      </c>
      <c r="AE132" s="70">
        <f>+AE80/AD80-1</f>
        <v>-1.8428850350292887</v>
      </c>
      <c r="AF132" s="63"/>
      <c r="AG132" s="70">
        <f>+AG80/AF80-1</f>
        <v>-2.2001429337144902</v>
      </c>
      <c r="AH132" s="70">
        <f>+AH80/AG80-1</f>
        <v>-0.52700529982730981</v>
      </c>
      <c r="AI132" s="70">
        <f>+AI80/AH80-1</f>
        <v>0.42307692307692335</v>
      </c>
      <c r="AJ132" s="70">
        <f>+AJ80/AI80-1</f>
        <v>-2.7067722386871322</v>
      </c>
      <c r="AK132" s="63"/>
      <c r="AL132" s="70">
        <f>+AL80/AJ80-1</f>
        <v>-0.35132823636127997</v>
      </c>
      <c r="AM132" s="70">
        <f>+AM80/AL80-1</f>
        <v>0.27891645690998379</v>
      </c>
      <c r="AN132" s="70">
        <f>+AN80/AM80-1</f>
        <v>0.39856294907841372</v>
      </c>
      <c r="AO132" s="70">
        <f>+AO80/AN80-1</f>
        <v>0.79570228734810522</v>
      </c>
      <c r="AP132" s="63"/>
      <c r="AQ132" s="70">
        <f>+AQ80/AO80-1</f>
        <v>0.31497698718746081</v>
      </c>
      <c r="AR132" s="70">
        <f>+AR80/AQ80-1</f>
        <v>6.7372364276186758E-2</v>
      </c>
      <c r="AS132" s="70">
        <f>+AS80/AR80-1</f>
        <v>0.13230172024141917</v>
      </c>
      <c r="AT132" s="70">
        <f>+AT80/AS80-1</f>
        <v>3.1402384139134432E-2</v>
      </c>
      <c r="AU132" s="63"/>
      <c r="AV132" s="70">
        <f>+AV80/AT80-1</f>
        <v>8.095740402055096E-2</v>
      </c>
      <c r="AW132" s="70">
        <f>+AW80/AV80-1</f>
        <v>3.6674833790832473E-2</v>
      </c>
      <c r="AX132" s="70">
        <f>+AX80/AW80-1</f>
        <v>-0.13803541800697516</v>
      </c>
      <c r="AY132" s="70">
        <f>+AY80/AX80-1</f>
        <v>0.22223880831539411</v>
      </c>
      <c r="AZ132" s="63"/>
      <c r="BA132" s="70">
        <f>+BA80/AY80-1</f>
        <v>-0.3592122374255341</v>
      </c>
      <c r="BB132" s="70">
        <f>+BB80/BA80-1</f>
        <v>0.1467867309787072</v>
      </c>
      <c r="BC132" s="70">
        <f>+BC80/BB80-1</f>
        <v>0.18700806695614847</v>
      </c>
      <c r="BD132" s="70">
        <f>+BD80/BC80-1</f>
        <v>0.14973481610622219</v>
      </c>
      <c r="BE132" s="63"/>
      <c r="BF132" s="63"/>
      <c r="BG132" s="63"/>
      <c r="BH132" s="63"/>
      <c r="BI132" s="63"/>
      <c r="BJ132" s="63"/>
      <c r="BK132" s="76"/>
      <c r="BL132" s="87"/>
      <c r="BM132" s="87"/>
      <c r="BN132" s="76"/>
      <c r="BO132" s="76"/>
      <c r="BP132" s="76"/>
    </row>
    <row r="133" spans="2:79" s="76" customFormat="1">
      <c r="V133" s="63"/>
      <c r="AA133" s="63"/>
      <c r="AF133" s="63"/>
      <c r="AK133" s="63"/>
      <c r="AP133" s="58"/>
      <c r="AU133" s="58"/>
      <c r="AZ133" s="63"/>
      <c r="BE133" s="63"/>
      <c r="BF133" s="63"/>
      <c r="BG133" s="63"/>
      <c r="BH133" s="63"/>
      <c r="BI133" s="63"/>
      <c r="BJ133" s="63"/>
      <c r="BL133" s="87"/>
      <c r="BM133" s="87"/>
      <c r="BR133" s="147"/>
      <c r="BV133" s="45"/>
      <c r="BW133" s="45"/>
      <c r="BX133" s="45"/>
      <c r="BY133" s="45"/>
      <c r="BZ133" s="45"/>
      <c r="CA133" s="45"/>
    </row>
    <row r="134" spans="2:79" s="76" customFormat="1">
      <c r="C134" s="77" t="str">
        <f t="shared" ref="C134:F135" si="328">+C2</f>
        <v>Mar</v>
      </c>
      <c r="D134" s="77" t="str">
        <f t="shared" si="328"/>
        <v>Jun</v>
      </c>
      <c r="E134" s="77" t="str">
        <f t="shared" si="328"/>
        <v>Sep</v>
      </c>
      <c r="F134" s="77" t="str">
        <f t="shared" si="328"/>
        <v>Dec</v>
      </c>
      <c r="G134" s="77"/>
      <c r="H134" s="77" t="str">
        <f t="shared" ref="H134:K135" si="329">+H2</f>
        <v>Mar</v>
      </c>
      <c r="I134" s="77" t="str">
        <f t="shared" si="329"/>
        <v>Jun</v>
      </c>
      <c r="J134" s="77" t="str">
        <f t="shared" si="329"/>
        <v>Sep</v>
      </c>
      <c r="K134" s="77" t="str">
        <f t="shared" si="329"/>
        <v>Dec</v>
      </c>
      <c r="L134" s="77"/>
      <c r="M134" s="77" t="str">
        <f t="shared" ref="M134:P135" si="330">+M2</f>
        <v>Mar</v>
      </c>
      <c r="N134" s="77" t="str">
        <f t="shared" si="330"/>
        <v>Jun</v>
      </c>
      <c r="O134" s="77" t="str">
        <f t="shared" si="330"/>
        <v>Sep</v>
      </c>
      <c r="P134" s="77" t="str">
        <f t="shared" si="330"/>
        <v>Dec</v>
      </c>
      <c r="Q134" s="77"/>
      <c r="R134" s="77" t="str">
        <f t="shared" ref="R134:U135" si="331">+R2</f>
        <v>Mar</v>
      </c>
      <c r="S134" s="77" t="str">
        <f t="shared" si="331"/>
        <v>Jun</v>
      </c>
      <c r="T134" s="77" t="str">
        <f t="shared" si="331"/>
        <v>Sep</v>
      </c>
      <c r="U134" s="77" t="str">
        <f t="shared" si="331"/>
        <v>Dec</v>
      </c>
      <c r="V134" s="63"/>
      <c r="W134" s="77" t="str">
        <f t="shared" ref="W134:Z135" si="332">+W2</f>
        <v>Mar</v>
      </c>
      <c r="X134" s="77" t="str">
        <f t="shared" si="332"/>
        <v>Jun</v>
      </c>
      <c r="Y134" s="77" t="str">
        <f t="shared" si="332"/>
        <v>Sep</v>
      </c>
      <c r="Z134" s="77" t="str">
        <f t="shared" si="332"/>
        <v>Dec</v>
      </c>
      <c r="AA134" s="63"/>
      <c r="AB134" s="77" t="str">
        <f t="shared" ref="AB134:AE135" si="333">+AB2</f>
        <v>Mar</v>
      </c>
      <c r="AC134" s="77" t="str">
        <f t="shared" si="333"/>
        <v>Jun</v>
      </c>
      <c r="AD134" s="77" t="str">
        <f t="shared" si="333"/>
        <v>Sep</v>
      </c>
      <c r="AE134" s="77" t="str">
        <f t="shared" si="333"/>
        <v>Dec</v>
      </c>
      <c r="AF134" s="63"/>
      <c r="AG134" s="77" t="str">
        <f t="shared" ref="AG134:AJ135" si="334">+AG2</f>
        <v>Mar</v>
      </c>
      <c r="AH134" s="77" t="str">
        <f t="shared" si="334"/>
        <v>Jun</v>
      </c>
      <c r="AI134" s="77" t="str">
        <f t="shared" si="334"/>
        <v>Sep</v>
      </c>
      <c r="AJ134" s="77" t="str">
        <f t="shared" si="334"/>
        <v>Dec</v>
      </c>
      <c r="AK134" s="63"/>
      <c r="AL134" s="77" t="str">
        <f t="shared" ref="AL134:AO135" si="335">+AL2</f>
        <v>Mar</v>
      </c>
      <c r="AM134" s="77" t="str">
        <f t="shared" si="335"/>
        <v>Jun</v>
      </c>
      <c r="AN134" s="77" t="str">
        <f t="shared" si="335"/>
        <v>Sep</v>
      </c>
      <c r="AO134" s="77" t="str">
        <f t="shared" si="335"/>
        <v>Dec</v>
      </c>
      <c r="AP134" s="63"/>
      <c r="AQ134" s="77" t="str">
        <f t="shared" ref="AQ134" si="336">+AQ2</f>
        <v>Mar</v>
      </c>
      <c r="AR134" s="77" t="str">
        <f t="shared" ref="AR134:AT134" si="337">+AR2</f>
        <v>Jun</v>
      </c>
      <c r="AS134" s="77" t="str">
        <f t="shared" si="337"/>
        <v>Sep</v>
      </c>
      <c r="AT134" s="77" t="str">
        <f t="shared" si="337"/>
        <v>Dec</v>
      </c>
      <c r="AU134" s="63"/>
      <c r="AV134" s="77" t="str">
        <f t="shared" ref="AV134:AY134" si="338">+AV2</f>
        <v>Mar</v>
      </c>
      <c r="AW134" s="77" t="str">
        <f t="shared" si="338"/>
        <v>Jun</v>
      </c>
      <c r="AX134" s="77" t="str">
        <f t="shared" si="338"/>
        <v>Sep</v>
      </c>
      <c r="AY134" s="77" t="str">
        <f t="shared" si="338"/>
        <v>Dec</v>
      </c>
      <c r="AZ134" s="63"/>
      <c r="BA134" s="77" t="str">
        <f t="shared" ref="BA134:BD134" si="339">+BA2</f>
        <v>Mar</v>
      </c>
      <c r="BB134" s="77" t="str">
        <f t="shared" si="339"/>
        <v>Jun</v>
      </c>
      <c r="BC134" s="77" t="str">
        <f t="shared" si="339"/>
        <v>Sep</v>
      </c>
      <c r="BD134" s="77" t="str">
        <f t="shared" si="339"/>
        <v>Dec</v>
      </c>
      <c r="BE134" s="63"/>
      <c r="BF134" s="63"/>
      <c r="BG134" s="63"/>
      <c r="BH134" s="63"/>
      <c r="BI134" s="63"/>
      <c r="BJ134" s="63"/>
      <c r="BL134" s="87"/>
      <c r="BM134" s="87"/>
      <c r="BR134" s="147"/>
      <c r="BV134" s="45"/>
      <c r="BW134" s="45"/>
      <c r="BX134" s="45"/>
      <c r="BY134" s="45"/>
      <c r="BZ134" s="45"/>
      <c r="CA134" s="45"/>
    </row>
    <row r="135" spans="2:79" s="76" customFormat="1">
      <c r="B135" s="78"/>
      <c r="C135" s="79" t="str">
        <f t="shared" si="328"/>
        <v>1Q16</v>
      </c>
      <c r="D135" s="79" t="str">
        <f t="shared" si="328"/>
        <v>2Q16</v>
      </c>
      <c r="E135" s="79" t="str">
        <f t="shared" si="328"/>
        <v>3Q16</v>
      </c>
      <c r="F135" s="79" t="str">
        <f t="shared" si="328"/>
        <v>4Q16</v>
      </c>
      <c r="G135" s="80">
        <f>+G3</f>
        <v>2016</v>
      </c>
      <c r="H135" s="79" t="str">
        <f t="shared" si="329"/>
        <v>1Q17</v>
      </c>
      <c r="I135" s="79" t="str">
        <f t="shared" si="329"/>
        <v>2Q17</v>
      </c>
      <c r="J135" s="79" t="str">
        <f t="shared" si="329"/>
        <v>3Q17</v>
      </c>
      <c r="K135" s="79" t="str">
        <f t="shared" si="329"/>
        <v>4Q17</v>
      </c>
      <c r="L135" s="80">
        <f>+L3</f>
        <v>2017</v>
      </c>
      <c r="M135" s="79" t="str">
        <f t="shared" si="330"/>
        <v>1Q18</v>
      </c>
      <c r="N135" s="79" t="str">
        <f t="shared" si="330"/>
        <v>2Q18</v>
      </c>
      <c r="O135" s="79" t="str">
        <f t="shared" si="330"/>
        <v>3Q18</v>
      </c>
      <c r="P135" s="79" t="str">
        <f t="shared" si="330"/>
        <v>4Q18</v>
      </c>
      <c r="Q135" s="80">
        <f>+Q3</f>
        <v>2018</v>
      </c>
      <c r="R135" s="79" t="str">
        <f t="shared" si="331"/>
        <v>1Q19</v>
      </c>
      <c r="S135" s="79" t="str">
        <f t="shared" si="331"/>
        <v>2Q19</v>
      </c>
      <c r="T135" s="79" t="str">
        <f t="shared" si="331"/>
        <v>3Q19</v>
      </c>
      <c r="U135" s="79" t="str">
        <f t="shared" si="331"/>
        <v>4Q19</v>
      </c>
      <c r="V135" s="80">
        <f>+V3</f>
        <v>2019</v>
      </c>
      <c r="W135" s="79" t="str">
        <f t="shared" si="332"/>
        <v>1Q20</v>
      </c>
      <c r="X135" s="79" t="str">
        <f t="shared" si="332"/>
        <v>2Q20</v>
      </c>
      <c r="Y135" s="79" t="str">
        <f t="shared" si="332"/>
        <v>3Q20</v>
      </c>
      <c r="Z135" s="79" t="str">
        <f t="shared" si="332"/>
        <v>4Q20</v>
      </c>
      <c r="AA135" s="80">
        <f>+AA3</f>
        <v>2020</v>
      </c>
      <c r="AB135" s="79" t="str">
        <f t="shared" si="333"/>
        <v>1Q21</v>
      </c>
      <c r="AC135" s="79" t="str">
        <f t="shared" si="333"/>
        <v>2Q21</v>
      </c>
      <c r="AD135" s="79" t="str">
        <f t="shared" si="333"/>
        <v>3Q21</v>
      </c>
      <c r="AE135" s="79" t="str">
        <f t="shared" si="333"/>
        <v>4Q21</v>
      </c>
      <c r="AF135" s="80">
        <f>+AF3</f>
        <v>2021</v>
      </c>
      <c r="AG135" s="79" t="str">
        <f t="shared" si="334"/>
        <v>1Q22</v>
      </c>
      <c r="AH135" s="79" t="str">
        <f t="shared" si="334"/>
        <v>2Q22</v>
      </c>
      <c r="AI135" s="79" t="str">
        <f t="shared" si="334"/>
        <v>3Q22</v>
      </c>
      <c r="AJ135" s="79" t="str">
        <f t="shared" si="334"/>
        <v>4Q22</v>
      </c>
      <c r="AK135" s="80">
        <f>+AK3</f>
        <v>2022</v>
      </c>
      <c r="AL135" s="79" t="str">
        <f t="shared" si="335"/>
        <v>1Q23</v>
      </c>
      <c r="AM135" s="79" t="str">
        <f t="shared" si="335"/>
        <v>2Q23</v>
      </c>
      <c r="AN135" s="79" t="str">
        <f t="shared" si="335"/>
        <v>3Q23</v>
      </c>
      <c r="AO135" s="79" t="str">
        <f t="shared" si="335"/>
        <v>4Q23</v>
      </c>
      <c r="AP135" s="80">
        <f t="shared" ref="AP135:BJ135" si="340">+AP3</f>
        <v>2023</v>
      </c>
      <c r="AQ135" s="79" t="str">
        <f t="shared" ref="AQ135" si="341">+AQ3</f>
        <v>1Q24</v>
      </c>
      <c r="AR135" s="79" t="str">
        <f t="shared" si="340"/>
        <v>2Q24</v>
      </c>
      <c r="AS135" s="79" t="str">
        <f t="shared" si="340"/>
        <v>3Q24</v>
      </c>
      <c r="AT135" s="79" t="str">
        <f t="shared" si="340"/>
        <v>4Q24</v>
      </c>
      <c r="AU135" s="80">
        <f t="shared" ref="AU135:AY135" si="342">+AU3</f>
        <v>2024</v>
      </c>
      <c r="AV135" s="79" t="str">
        <f t="shared" si="342"/>
        <v>1Q25</v>
      </c>
      <c r="AW135" s="79" t="str">
        <f t="shared" si="342"/>
        <v>2Q25</v>
      </c>
      <c r="AX135" s="79" t="str">
        <f t="shared" si="342"/>
        <v>3Q25</v>
      </c>
      <c r="AY135" s="79" t="str">
        <f t="shared" si="342"/>
        <v>4Q25</v>
      </c>
      <c r="AZ135" s="80">
        <f t="shared" si="340"/>
        <v>2025</v>
      </c>
      <c r="BA135" s="79" t="str">
        <f t="shared" si="340"/>
        <v>1Q26E</v>
      </c>
      <c r="BB135" s="79" t="str">
        <f t="shared" si="340"/>
        <v>2Q26E</v>
      </c>
      <c r="BC135" s="79" t="str">
        <f t="shared" si="340"/>
        <v>3Q26E</v>
      </c>
      <c r="BD135" s="79" t="str">
        <f t="shared" si="340"/>
        <v>4Q26E</v>
      </c>
      <c r="BE135" s="80" t="str">
        <f t="shared" ref="BE135" si="343">+BE3</f>
        <v>2026E</v>
      </c>
      <c r="BF135" s="80" t="str">
        <f t="shared" si="340"/>
        <v>2027E</v>
      </c>
      <c r="BG135" s="80" t="str">
        <f t="shared" si="340"/>
        <v>2028E</v>
      </c>
      <c r="BH135" s="80" t="str">
        <f t="shared" si="340"/>
        <v>2029E</v>
      </c>
      <c r="BI135" s="80" t="str">
        <f t="shared" si="340"/>
        <v>2030E</v>
      </c>
      <c r="BJ135" s="80" t="str">
        <f t="shared" si="340"/>
        <v>2031E</v>
      </c>
      <c r="BK135" s="87"/>
      <c r="BL135" s="87"/>
      <c r="BM135" s="87"/>
      <c r="BN135" s="87"/>
      <c r="BO135" s="87"/>
      <c r="BP135" s="87"/>
      <c r="BR135" s="147"/>
      <c r="BV135" s="45"/>
      <c r="BW135" s="45"/>
      <c r="BX135" s="45"/>
      <c r="BY135" s="45"/>
      <c r="BZ135" s="45"/>
      <c r="CA135" s="45"/>
    </row>
    <row r="136" spans="2:79" s="87" customFormat="1">
      <c r="B136" s="81" t="s">
        <v>204</v>
      </c>
      <c r="C136" s="83"/>
      <c r="D136" s="83"/>
      <c r="E136" s="83"/>
      <c r="F136" s="83"/>
      <c r="G136" s="71"/>
      <c r="H136" s="83"/>
      <c r="I136" s="83"/>
      <c r="J136" s="83"/>
      <c r="K136" s="83"/>
      <c r="L136" s="71"/>
      <c r="M136" s="98">
        <v>141.95500000000001</v>
      </c>
      <c r="N136" s="98">
        <v>140.65100000000001</v>
      </c>
      <c r="O136" s="98">
        <v>141.845</v>
      </c>
      <c r="P136" s="98">
        <v>155.66800000000001</v>
      </c>
      <c r="Q136" s="178">
        <f>SUM(M136:P136)</f>
        <v>580.11900000000003</v>
      </c>
      <c r="R136" s="98">
        <v>176.893</v>
      </c>
      <c r="S136" s="98">
        <v>170.49299999999999</v>
      </c>
      <c r="T136" s="98">
        <v>173.571</v>
      </c>
      <c r="U136" s="98">
        <v>190.80500000000001</v>
      </c>
      <c r="V136" s="178">
        <f>SUM(R136:U136)</f>
        <v>711.76199999999994</v>
      </c>
      <c r="W136" s="98">
        <v>208.797</v>
      </c>
      <c r="X136" s="98">
        <v>217.696</v>
      </c>
      <c r="Y136" s="98">
        <v>228.327</v>
      </c>
      <c r="Z136" s="98">
        <v>236.42</v>
      </c>
      <c r="AA136" s="178">
        <f>SUM(W136:Z136)</f>
        <v>891.2399999999999</v>
      </c>
      <c r="AB136" s="98">
        <v>268.05900000000003</v>
      </c>
      <c r="AC136" s="98">
        <v>263.04500000000002</v>
      </c>
      <c r="AD136" s="98">
        <v>292.73700000000002</v>
      </c>
      <c r="AE136" s="98">
        <v>264.03800000000001</v>
      </c>
      <c r="AF136" s="178">
        <f>SUM(AB136:AE136)</f>
        <v>1087.8790000000001</v>
      </c>
      <c r="AG136" s="98">
        <v>299.78699999999998</v>
      </c>
      <c r="AH136" s="98">
        <v>269.92099999999999</v>
      </c>
      <c r="AI136" s="98">
        <v>269.93700000000001</v>
      </c>
      <c r="AJ136" s="98">
        <v>281.76600000000002</v>
      </c>
      <c r="AK136" s="178">
        <f>SUM(AG136:AJ136)</f>
        <v>1121.4110000000001</v>
      </c>
      <c r="AL136" s="98">
        <v>313.42899999999997</v>
      </c>
      <c r="AM136" s="98">
        <v>293.92599999999999</v>
      </c>
      <c r="AN136" s="98">
        <v>283.91699999999997</v>
      </c>
      <c r="AO136" s="98">
        <v>283.50099999999998</v>
      </c>
      <c r="AP136" s="178">
        <f>SUM(AL136:AO136)</f>
        <v>1174.7729999999999</v>
      </c>
      <c r="AQ136" s="98">
        <v>334.637</v>
      </c>
      <c r="AR136" s="98">
        <v>328.96699999999998</v>
      </c>
      <c r="AS136" s="98">
        <v>326.63799999999998</v>
      </c>
      <c r="AT136" s="98">
        <v>325.2</v>
      </c>
      <c r="AU136" s="178">
        <f>SUM(AQ136:AT136)</f>
        <v>1315.442</v>
      </c>
      <c r="AV136" s="98">
        <v>369.46899999999999</v>
      </c>
      <c r="AW136" s="98">
        <v>364.87099999999998</v>
      </c>
      <c r="AX136" s="98">
        <v>366.35</v>
      </c>
      <c r="AY136" s="98">
        <v>370.42099999999999</v>
      </c>
      <c r="AZ136" s="178">
        <f>SUM(AV136:AY136)</f>
        <v>1471.1110000000001</v>
      </c>
      <c r="BA136" s="112">
        <f>BA140+BA143</f>
        <v>420.04055175000008</v>
      </c>
      <c r="BB136" s="112">
        <f>BB140+BB143</f>
        <v>419.42846852499997</v>
      </c>
      <c r="BC136" s="112">
        <f>BC140+BC143</f>
        <v>427.08379867500003</v>
      </c>
      <c r="BD136" s="112">
        <f>BD140+BD143</f>
        <v>438.72869687500003</v>
      </c>
      <c r="BE136" s="178">
        <f>SUM(BA136:BD136)</f>
        <v>1705.281515825</v>
      </c>
      <c r="BF136" s="178">
        <f t="shared" ref="BF136:BJ136" si="344">BF140+BF143</f>
        <v>1905.1887297240003</v>
      </c>
      <c r="BG136" s="178">
        <f t="shared" si="344"/>
        <v>2084.8255158575043</v>
      </c>
      <c r="BH136" s="178">
        <f t="shared" si="344"/>
        <v>2242.9450311225605</v>
      </c>
      <c r="BI136" s="178">
        <f t="shared" si="344"/>
        <v>2379.8573591613781</v>
      </c>
      <c r="BJ136" s="178">
        <f t="shared" si="344"/>
        <v>2498.8502271194475</v>
      </c>
      <c r="BR136" s="148"/>
      <c r="BV136" s="76"/>
      <c r="BW136" s="76"/>
      <c r="BX136" s="76"/>
      <c r="BY136" s="76"/>
      <c r="BZ136" s="76"/>
      <c r="CA136" s="76"/>
    </row>
    <row r="137" spans="2:79" s="87" customFormat="1">
      <c r="B137" s="87" t="s">
        <v>72</v>
      </c>
      <c r="C137" s="83"/>
      <c r="D137" s="83"/>
      <c r="E137" s="83"/>
      <c r="F137" s="83"/>
      <c r="G137" s="71"/>
      <c r="H137" s="83"/>
      <c r="I137" s="83"/>
      <c r="J137" s="83"/>
      <c r="K137" s="83"/>
      <c r="L137" s="71"/>
      <c r="M137" s="83"/>
      <c r="N137" s="83"/>
      <c r="O137" s="83"/>
      <c r="P137" s="83"/>
      <c r="Q137" s="71"/>
      <c r="R137" s="83">
        <f t="shared" ref="R137:AF137" si="345">R136/M136-1</f>
        <v>0.24612024937480181</v>
      </c>
      <c r="S137" s="83">
        <f t="shared" si="345"/>
        <v>0.21217054980057015</v>
      </c>
      <c r="T137" s="83">
        <f t="shared" si="345"/>
        <v>0.2236666784165815</v>
      </c>
      <c r="U137" s="83">
        <f t="shared" si="345"/>
        <v>0.22571755274044758</v>
      </c>
      <c r="V137" s="71">
        <f t="shared" si="345"/>
        <v>0.22692413108345</v>
      </c>
      <c r="W137" s="83">
        <f t="shared" si="345"/>
        <v>0.18035761731668298</v>
      </c>
      <c r="X137" s="83">
        <f t="shared" si="345"/>
        <v>0.2768618066430879</v>
      </c>
      <c r="Y137" s="83">
        <f t="shared" si="345"/>
        <v>0.31546744559863105</v>
      </c>
      <c r="Z137" s="83">
        <f t="shared" si="345"/>
        <v>0.23906606221010973</v>
      </c>
      <c r="AA137" s="71">
        <f t="shared" si="345"/>
        <v>0.25216013217901478</v>
      </c>
      <c r="AB137" s="83">
        <f>AB136/W136-1</f>
        <v>0.28382591703903803</v>
      </c>
      <c r="AC137" s="83">
        <f t="shared" si="345"/>
        <v>0.20831342789945628</v>
      </c>
      <c r="AD137" s="83">
        <f t="shared" si="345"/>
        <v>0.28209541578525554</v>
      </c>
      <c r="AE137" s="83">
        <f t="shared" si="345"/>
        <v>0.11681752812790802</v>
      </c>
      <c r="AF137" s="71">
        <f t="shared" si="345"/>
        <v>0.22063529464566245</v>
      </c>
      <c r="AG137" s="83">
        <f t="shared" ref="AG137" si="346">AG136/AB136-1</f>
        <v>0.11836200239499495</v>
      </c>
      <c r="AH137" s="83">
        <f t="shared" ref="AH137" si="347">AH136/AC136-1</f>
        <v>2.6140014066034167E-2</v>
      </c>
      <c r="AI137" s="83">
        <f t="shared" ref="AI137:AJ137" si="348">AI136/AD136-1</f>
        <v>-7.7885610633435465E-2</v>
      </c>
      <c r="AJ137" s="83">
        <f t="shared" si="348"/>
        <v>6.7141850794203872E-2</v>
      </c>
      <c r="AK137" s="71">
        <f t="shared" ref="AK137" si="349">AK136/AF136-1</f>
        <v>3.0823280897967376E-2</v>
      </c>
      <c r="AL137" s="83">
        <f t="shared" ref="AL137" si="350">AL136/AG136-1</f>
        <v>4.5505642339394248E-2</v>
      </c>
      <c r="AM137" s="83">
        <f t="shared" ref="AM137" si="351">AM136/AH136-1</f>
        <v>8.8933428669869974E-2</v>
      </c>
      <c r="AN137" s="83">
        <f t="shared" ref="AN137" si="352">AN136/AI136-1</f>
        <v>5.1789862078929438E-2</v>
      </c>
      <c r="AO137" s="83">
        <f t="shared" ref="AO137" si="353">AO136/AJ136-1</f>
        <v>6.1575917605387609E-3</v>
      </c>
      <c r="AP137" s="111">
        <f>AP136/AK136-1</f>
        <v>4.758469463916426E-2</v>
      </c>
      <c r="AQ137" s="83">
        <f t="shared" ref="AQ137:AR137" si="354">AQ136/AL136-1</f>
        <v>6.7664447131567274E-2</v>
      </c>
      <c r="AR137" s="83">
        <f t="shared" si="354"/>
        <v>0.11921708185053381</v>
      </c>
      <c r="AS137" s="83">
        <f t="shared" ref="AS137" si="355">AS136/AN136-1</f>
        <v>0.15047003173462659</v>
      </c>
      <c r="AT137" s="83">
        <f t="shared" ref="AT137:AV137" si="356">AT136/AO136-1</f>
        <v>0.14708590093156637</v>
      </c>
      <c r="AU137" s="111">
        <f>AU136/AP136-1</f>
        <v>0.11974143089771405</v>
      </c>
      <c r="AV137" s="83">
        <f t="shared" si="356"/>
        <v>0.10408890827971806</v>
      </c>
      <c r="AW137" s="83">
        <f t="shared" ref="AW137:BD137" si="357">AW136/AR136-1</f>
        <v>0.10914164642654134</v>
      </c>
      <c r="AX137" s="83">
        <f t="shared" si="357"/>
        <v>0.1215780160299782</v>
      </c>
      <c r="AY137" s="83">
        <f t="shared" si="357"/>
        <v>0.13905596555965571</v>
      </c>
      <c r="AZ137" s="111">
        <f>AZ136/AU136-1</f>
        <v>0.1183396911456378</v>
      </c>
      <c r="BA137" s="83">
        <f t="shared" si="357"/>
        <v>0.13687630558991448</v>
      </c>
      <c r="BB137" s="83">
        <f t="shared" si="357"/>
        <v>0.1495253624568682</v>
      </c>
      <c r="BC137" s="83">
        <f t="shared" si="357"/>
        <v>0.16578080708339016</v>
      </c>
      <c r="BD137" s="83">
        <f t="shared" si="357"/>
        <v>0.18440557332062713</v>
      </c>
      <c r="BE137" s="111">
        <f>BE136/AZ136-1</f>
        <v>0.15917936568008795</v>
      </c>
      <c r="BF137" s="111">
        <f t="shared" ref="BF137:BJ137" si="358">BF136/BE136-1</f>
        <v>0.11722827699934757</v>
      </c>
      <c r="BG137" s="111">
        <f t="shared" si="358"/>
        <v>9.4288184330970415E-2</v>
      </c>
      <c r="BH137" s="111">
        <f t="shared" si="358"/>
        <v>7.5843044927440983E-2</v>
      </c>
      <c r="BI137" s="111">
        <f t="shared" si="358"/>
        <v>6.1041321182220498E-2</v>
      </c>
      <c r="BJ137" s="111">
        <f t="shared" si="358"/>
        <v>5.0000000000000266E-2</v>
      </c>
      <c r="BR137" s="148"/>
      <c r="BV137" s="76"/>
      <c r="BW137" s="76"/>
      <c r="BX137" s="76"/>
      <c r="BY137" s="76"/>
      <c r="BZ137" s="76"/>
      <c r="CA137" s="76"/>
    </row>
    <row r="138" spans="2:79" s="87" customFormat="1">
      <c r="B138" s="87" t="s">
        <v>138</v>
      </c>
      <c r="C138" s="83"/>
      <c r="D138" s="83"/>
      <c r="E138" s="83"/>
      <c r="F138" s="83"/>
      <c r="G138" s="71"/>
      <c r="H138" s="83"/>
      <c r="I138" s="83"/>
      <c r="J138" s="83"/>
      <c r="K138" s="83"/>
      <c r="L138" s="71"/>
      <c r="M138" s="83"/>
      <c r="N138" s="83">
        <f>N136/M136-1</f>
        <v>-9.1860096509457367E-3</v>
      </c>
      <c r="O138" s="83">
        <f>O136/N136-1</f>
        <v>8.4890971269311333E-3</v>
      </c>
      <c r="P138" s="83">
        <f>P136/O136-1</f>
        <v>9.7451443477034827E-2</v>
      </c>
      <c r="Q138" s="71"/>
      <c r="R138" s="83">
        <f>R136/P136-1</f>
        <v>0.13634786854074044</v>
      </c>
      <c r="S138" s="83">
        <f>S136/R136-1</f>
        <v>-3.6180063654299488E-2</v>
      </c>
      <c r="T138" s="83">
        <f>T136/S136-1</f>
        <v>1.8053527124280766E-2</v>
      </c>
      <c r="U138" s="83">
        <f>U136/T136-1</f>
        <v>9.9290780141844115E-2</v>
      </c>
      <c r="V138" s="71"/>
      <c r="W138" s="83">
        <f>W136/U136-1</f>
        <v>9.4295222871517925E-2</v>
      </c>
      <c r="X138" s="83">
        <f>X136/W136-1</f>
        <v>4.2620344162032975E-2</v>
      </c>
      <c r="Y138" s="83">
        <f>Y136/X136-1</f>
        <v>4.8834154049683942E-2</v>
      </c>
      <c r="Z138" s="83">
        <f>Z136/Y136-1</f>
        <v>3.5444778760286733E-2</v>
      </c>
      <c r="AA138" s="71"/>
      <c r="AB138" s="83">
        <f>AB136/Z136-1</f>
        <v>0.13382539548261585</v>
      </c>
      <c r="AC138" s="83">
        <f>AC136/AB136-1</f>
        <v>-1.8704837367892968E-2</v>
      </c>
      <c r="AD138" s="83">
        <f>AD136/AC136-1</f>
        <v>0.11287802467258445</v>
      </c>
      <c r="AE138" s="83">
        <f>AE136/AD136-1</f>
        <v>-9.803680436705986E-2</v>
      </c>
      <c r="AF138" s="71"/>
      <c r="AG138" s="83">
        <f>AG136/AE136-1</f>
        <v>0.13539339034532905</v>
      </c>
      <c r="AH138" s="83">
        <f>AH136/AG136-1</f>
        <v>-9.9624066420491819E-2</v>
      </c>
      <c r="AI138" s="83">
        <f>AI136/AH136-1</f>
        <v>5.92766031544123E-5</v>
      </c>
      <c r="AJ138" s="83">
        <f>AJ136/AI136-1</f>
        <v>4.3821336089532092E-2</v>
      </c>
      <c r="AK138" s="71"/>
      <c r="AL138" s="83">
        <f>AL136/AJ136-1</f>
        <v>0.11237338784665263</v>
      </c>
      <c r="AM138" s="83">
        <f>AM136/AL136-1</f>
        <v>-6.2224618653666353E-2</v>
      </c>
      <c r="AN138" s="83">
        <f>AN136/AM136-1</f>
        <v>-3.4052788797180322E-2</v>
      </c>
      <c r="AO138" s="83">
        <f>AO136/AN136-1</f>
        <v>-1.4652169472063603E-3</v>
      </c>
      <c r="AP138" s="71"/>
      <c r="AQ138" s="83">
        <f>AQ136/AO136-1</f>
        <v>0.18037326146997734</v>
      </c>
      <c r="AR138" s="83">
        <f>AR136/AQ136-1</f>
        <v>-1.6943733060002408E-2</v>
      </c>
      <c r="AS138" s="83">
        <f>AS136/AR136-1</f>
        <v>-7.0797374812671121E-3</v>
      </c>
      <c r="AT138" s="83">
        <f>AT136/AS136-1</f>
        <v>-4.4024271517704161E-3</v>
      </c>
      <c r="AU138" s="71"/>
      <c r="AV138" s="83">
        <f>AV136/AT136-1</f>
        <v>0.13612853628536281</v>
      </c>
      <c r="AW138" s="83">
        <f>AW136/AV136-1</f>
        <v>-1.2444887121788373E-2</v>
      </c>
      <c r="AX138" s="83">
        <f>AX136/AW136-1</f>
        <v>4.0534873969158003E-3</v>
      </c>
      <c r="AY138" s="83">
        <f>AY136/AX136-1</f>
        <v>1.1112324280059926E-2</v>
      </c>
      <c r="AZ138" s="71"/>
      <c r="BA138" s="83">
        <f>BA136/AY136-1</f>
        <v>0.13395447814783745</v>
      </c>
      <c r="BB138" s="83">
        <f>BB136/BA136-1</f>
        <v>-1.4572003166123393E-3</v>
      </c>
      <c r="BC138" s="83">
        <f>BC136/BB136-1</f>
        <v>1.8251813418677765E-2</v>
      </c>
      <c r="BD138" s="83">
        <f>BD136/BC136-1</f>
        <v>2.7266073393857448E-2</v>
      </c>
      <c r="BE138" s="71"/>
      <c r="BF138" s="71"/>
      <c r="BG138" s="71"/>
      <c r="BH138" s="71"/>
      <c r="BI138" s="71"/>
      <c r="BJ138" s="71"/>
      <c r="BR138" s="148"/>
      <c r="BV138" s="76"/>
      <c r="BW138" s="76"/>
      <c r="BX138" s="76"/>
      <c r="BY138" s="76"/>
      <c r="BZ138" s="76"/>
      <c r="CA138" s="76"/>
    </row>
    <row r="139" spans="2:79" s="87" customFormat="1">
      <c r="C139" s="83"/>
      <c r="D139" s="83"/>
      <c r="E139" s="83"/>
      <c r="F139" s="83"/>
      <c r="G139" s="71"/>
      <c r="H139" s="83"/>
      <c r="I139" s="83"/>
      <c r="J139" s="83"/>
      <c r="K139" s="83"/>
      <c r="L139" s="71"/>
      <c r="M139" s="83"/>
      <c r="N139" s="83"/>
      <c r="O139" s="83"/>
      <c r="P139" s="83"/>
      <c r="Q139" s="71"/>
      <c r="R139" s="83"/>
      <c r="S139" s="83"/>
      <c r="T139" s="83"/>
      <c r="U139" s="83"/>
      <c r="V139" s="71"/>
      <c r="W139" s="83"/>
      <c r="X139" s="83"/>
      <c r="Y139" s="83"/>
      <c r="Z139" s="83"/>
      <c r="AA139" s="71"/>
      <c r="AB139" s="83"/>
      <c r="AC139" s="83"/>
      <c r="AD139" s="83"/>
      <c r="AE139" s="83"/>
      <c r="AF139" s="71"/>
      <c r="AG139" s="83"/>
      <c r="AH139" s="83"/>
      <c r="AI139" s="83"/>
      <c r="AJ139" s="83"/>
      <c r="AK139" s="71"/>
      <c r="AL139" s="83"/>
      <c r="AM139" s="83"/>
      <c r="AN139" s="83"/>
      <c r="AO139" s="83"/>
      <c r="AP139" s="71"/>
      <c r="AQ139" s="83"/>
      <c r="AR139" s="83"/>
      <c r="AS139" s="83"/>
      <c r="AT139" s="83"/>
      <c r="AU139" s="71"/>
      <c r="AV139" s="83"/>
      <c r="AW139" s="83"/>
      <c r="AX139" s="83"/>
      <c r="AY139" s="83"/>
      <c r="AZ139" s="71"/>
      <c r="BA139" s="83"/>
      <c r="BB139" s="83"/>
      <c r="BC139" s="83"/>
      <c r="BD139" s="83"/>
      <c r="BE139" s="71"/>
      <c r="BF139" s="71"/>
      <c r="BG139" s="71"/>
      <c r="BH139" s="71"/>
      <c r="BI139" s="71"/>
      <c r="BJ139" s="71"/>
      <c r="BR139" s="148"/>
    </row>
    <row r="140" spans="2:79" s="87" customFormat="1">
      <c r="B140" s="76" t="s">
        <v>139</v>
      </c>
      <c r="C140" s="83"/>
      <c r="D140" s="83"/>
      <c r="E140" s="83"/>
      <c r="F140" s="83"/>
      <c r="G140" s="71"/>
      <c r="H140" s="83"/>
      <c r="I140" s="83"/>
      <c r="J140" s="83"/>
      <c r="K140" s="83"/>
      <c r="L140" s="71"/>
      <c r="M140" s="112">
        <f>M136-M143</f>
        <v>21.521000000000015</v>
      </c>
      <c r="N140" s="112">
        <f>N136-N143</f>
        <v>13.935000000000016</v>
      </c>
      <c r="O140" s="112">
        <f>O136-O143</f>
        <v>7.2659999999999911</v>
      </c>
      <c r="P140" s="112">
        <f>P136-P143</f>
        <v>12.046999999999997</v>
      </c>
      <c r="Q140" s="178">
        <f>SUM(M140:P140)</f>
        <v>54.76900000000002</v>
      </c>
      <c r="R140" s="112">
        <f>R136-R143</f>
        <v>25.528999999999996</v>
      </c>
      <c r="S140" s="112">
        <f>S136-S143</f>
        <v>13.480999999999995</v>
      </c>
      <c r="T140" s="112">
        <f>T136-T143</f>
        <v>8.8100000000000023</v>
      </c>
      <c r="U140" s="112">
        <f>U136-U143</f>
        <v>19.450000000000017</v>
      </c>
      <c r="V140" s="178">
        <f>SUM(R140:U140)</f>
        <v>67.27000000000001</v>
      </c>
      <c r="W140" s="112">
        <f>W136-W143</f>
        <v>32.251000000000005</v>
      </c>
      <c r="X140" s="112">
        <f>X136-X143</f>
        <v>27.526999999999987</v>
      </c>
      <c r="Y140" s="112">
        <f>Y136-Y143</f>
        <v>25.330999999999989</v>
      </c>
      <c r="Z140" s="112">
        <f>Z136-Z143</f>
        <v>22.674999999999983</v>
      </c>
      <c r="AA140" s="178">
        <f>SUM(W140:Z140)</f>
        <v>107.78399999999996</v>
      </c>
      <c r="AB140" s="112">
        <f>AB136-AB143</f>
        <v>41.623000000000019</v>
      </c>
      <c r="AC140" s="112">
        <f>AC136-AC143</f>
        <v>27.154000000000025</v>
      </c>
      <c r="AD140" s="112">
        <f>AD136-AD143</f>
        <v>51.434000000000026</v>
      </c>
      <c r="AE140" s="112">
        <f>AE136-AE143</f>
        <v>17.369</v>
      </c>
      <c r="AF140" s="178">
        <f>SUM(AB140:AE140)</f>
        <v>137.58000000000007</v>
      </c>
      <c r="AG140" s="112">
        <f>AG136-AG143</f>
        <v>44.818999999999988</v>
      </c>
      <c r="AH140" s="112">
        <f>AH136-AH143</f>
        <v>11.743999999999971</v>
      </c>
      <c r="AI140" s="112">
        <f>AI136-AI143</f>
        <v>8.8710000000000377</v>
      </c>
      <c r="AJ140" s="112">
        <f>AJ136-AJ143</f>
        <v>16.498000000000047</v>
      </c>
      <c r="AK140" s="178">
        <f>SUM(AG140:AJ140)</f>
        <v>81.932000000000045</v>
      </c>
      <c r="AL140" s="112">
        <f>AL136-AL143</f>
        <v>35.298999999999978</v>
      </c>
      <c r="AM140" s="112">
        <f>AM136-AM143</f>
        <v>6.8369999999999891</v>
      </c>
      <c r="AN140" s="112">
        <f>AN136-AN143</f>
        <v>-6.7170000000000414</v>
      </c>
      <c r="AO140" s="112">
        <f>AO136-AO143</f>
        <v>-12.65300000000002</v>
      </c>
      <c r="AP140" s="178">
        <f>SUM(AL140:AO140)</f>
        <v>22.765999999999906</v>
      </c>
      <c r="AQ140" s="287">
        <f>AQ136-AQ143</f>
        <v>30.343999999999994</v>
      </c>
      <c r="AR140" s="287">
        <f>AR136-AR143</f>
        <v>16.841999999999985</v>
      </c>
      <c r="AS140" s="287">
        <f>AS136-AS143</f>
        <v>7.8129999999999882</v>
      </c>
      <c r="AT140" s="287">
        <f>AT136-AT143</f>
        <v>-4.5320000000000391</v>
      </c>
      <c r="AU140" s="178">
        <f>SUM(AQ140:AT140)</f>
        <v>50.466999999999928</v>
      </c>
      <c r="AV140" s="287">
        <f>AV136-AV143</f>
        <v>31.793000000000006</v>
      </c>
      <c r="AW140" s="287">
        <f>AW136-AW143</f>
        <v>19.414999999999964</v>
      </c>
      <c r="AX140" s="287">
        <f>AX136-AX143</f>
        <v>10.176000000000045</v>
      </c>
      <c r="AY140" s="287">
        <f>AY136-AY143</f>
        <v>0</v>
      </c>
      <c r="AZ140" s="178">
        <f>SUM(AV140:AY140)</f>
        <v>61.384000000000015</v>
      </c>
      <c r="BA140" s="98">
        <f>AV140*1.1</f>
        <v>34.972300000000011</v>
      </c>
      <c r="BB140" s="98">
        <f t="shared" ref="BB140:BD140" si="359">AW140*1.1</f>
        <v>21.356499999999961</v>
      </c>
      <c r="BC140" s="98">
        <f t="shared" si="359"/>
        <v>11.19360000000005</v>
      </c>
      <c r="BD140" s="98">
        <f t="shared" si="359"/>
        <v>0</v>
      </c>
      <c r="BE140" s="178">
        <f>SUM(BA140:BD140)</f>
        <v>67.522400000000019</v>
      </c>
      <c r="BF140" s="178">
        <f t="shared" ref="BF140:BJ140" si="360">BE140*(1+BF141)</f>
        <v>70.898520000000019</v>
      </c>
      <c r="BG140" s="178">
        <f t="shared" si="360"/>
        <v>74.443446000000023</v>
      </c>
      <c r="BH140" s="178">
        <f t="shared" si="360"/>
        <v>78.165618300000034</v>
      </c>
      <c r="BI140" s="178">
        <f t="shared" si="360"/>
        <v>82.07389921500004</v>
      </c>
      <c r="BJ140" s="178">
        <f t="shared" si="360"/>
        <v>86.177594175750045</v>
      </c>
      <c r="BR140" s="148"/>
    </row>
    <row r="141" spans="2:79" s="87" customFormat="1">
      <c r="B141" s="87" t="s">
        <v>72</v>
      </c>
      <c r="C141" s="83"/>
      <c r="D141" s="83"/>
      <c r="E141" s="83"/>
      <c r="F141" s="83"/>
      <c r="G141" s="71"/>
      <c r="H141" s="83"/>
      <c r="I141" s="83"/>
      <c r="J141" s="83"/>
      <c r="K141" s="83"/>
      <c r="L141" s="71"/>
      <c r="M141" s="55"/>
      <c r="N141" s="55"/>
      <c r="O141" s="55"/>
      <c r="P141" s="55"/>
      <c r="Q141" s="54"/>
      <c r="R141" s="83">
        <f t="shared" ref="R141:AR141" si="361">R140/M140-1</f>
        <v>0.18623669903814788</v>
      </c>
      <c r="S141" s="83">
        <f t="shared" si="361"/>
        <v>-3.2579834947974229E-2</v>
      </c>
      <c r="T141" s="83">
        <f t="shared" si="361"/>
        <v>0.21249655931737044</v>
      </c>
      <c r="U141" s="83">
        <f t="shared" si="361"/>
        <v>0.61450983647381263</v>
      </c>
      <c r="V141" s="71">
        <f t="shared" si="361"/>
        <v>0.22824955723128015</v>
      </c>
      <c r="W141" s="83">
        <f t="shared" si="361"/>
        <v>0.26330839437502496</v>
      </c>
      <c r="X141" s="83">
        <f t="shared" si="361"/>
        <v>1.0419108374749646</v>
      </c>
      <c r="Y141" s="83">
        <f t="shared" si="361"/>
        <v>1.8752553916004522</v>
      </c>
      <c r="Z141" s="83">
        <f t="shared" si="361"/>
        <v>0.16580976863753016</v>
      </c>
      <c r="AA141" s="71">
        <f>AA140/V140-1</f>
        <v>0.60225955106288009</v>
      </c>
      <c r="AB141" s="83">
        <f t="shared" si="361"/>
        <v>0.29059564044525787</v>
      </c>
      <c r="AC141" s="83">
        <f t="shared" si="361"/>
        <v>-1.3550332400914078E-2</v>
      </c>
      <c r="AD141" s="83">
        <f t="shared" si="361"/>
        <v>1.0304764912557753</v>
      </c>
      <c r="AE141" s="83">
        <f t="shared" si="361"/>
        <v>-0.23400220507166425</v>
      </c>
      <c r="AF141" s="71">
        <f>AF140/AA140-1</f>
        <v>0.27644177243375756</v>
      </c>
      <c r="AG141" s="83">
        <f t="shared" si="361"/>
        <v>7.6784470124689808E-2</v>
      </c>
      <c r="AH141" s="83">
        <f t="shared" si="361"/>
        <v>-0.5675038668336172</v>
      </c>
      <c r="AI141" s="83">
        <f t="shared" si="361"/>
        <v>-0.82752653886534133</v>
      </c>
      <c r="AJ141" s="83">
        <f t="shared" si="361"/>
        <v>-5.014681328803916E-2</v>
      </c>
      <c r="AK141" s="71">
        <f>AK140/AF140-1</f>
        <v>-0.40447739497019908</v>
      </c>
      <c r="AL141" s="83">
        <f t="shared" si="361"/>
        <v>-0.21240991543764953</v>
      </c>
      <c r="AM141" s="83">
        <f t="shared" si="361"/>
        <v>-0.41783038147138918</v>
      </c>
      <c r="AN141" s="83">
        <f t="shared" si="361"/>
        <v>-1.7571863375042287</v>
      </c>
      <c r="AO141" s="83">
        <f t="shared" si="361"/>
        <v>-1.7669414474481746</v>
      </c>
      <c r="AP141" s="71">
        <f>AP140/AK140-1</f>
        <v>-0.72213542938046316</v>
      </c>
      <c r="AQ141" s="83">
        <f t="shared" si="361"/>
        <v>-0.14037224850562302</v>
      </c>
      <c r="AR141" s="83">
        <f t="shared" si="361"/>
        <v>1.4633611232996944</v>
      </c>
      <c r="AS141" s="83">
        <f t="shared" ref="AS141" si="362">AS140/AN140-1</f>
        <v>-2.1631680809885276</v>
      </c>
      <c r="AT141" s="83">
        <f t="shared" ref="AT141:AV141" si="363">AT140/AO140-1</f>
        <v>-0.64182407334228786</v>
      </c>
      <c r="AU141" s="71">
        <f>AU140/AP140-1</f>
        <v>1.2167706228586548</v>
      </c>
      <c r="AV141" s="83">
        <f t="shared" si="363"/>
        <v>4.7752438702874045E-2</v>
      </c>
      <c r="AW141" s="83">
        <f t="shared" ref="AW141:BD141" si="364">AW140/AR140-1</f>
        <v>0.15277282983018536</v>
      </c>
      <c r="AX141" s="83">
        <f t="shared" si="364"/>
        <v>0.30244464354282097</v>
      </c>
      <c r="AY141" s="83">
        <f t="shared" si="364"/>
        <v>-1</v>
      </c>
      <c r="AZ141" s="71">
        <f>AZ140/AU140-1</f>
        <v>0.21631957516793365</v>
      </c>
      <c r="BA141" s="83">
        <f t="shared" si="364"/>
        <v>0.10000000000000009</v>
      </c>
      <c r="BB141" s="83">
        <f t="shared" si="364"/>
        <v>0.10000000000000009</v>
      </c>
      <c r="BC141" s="83">
        <f t="shared" si="364"/>
        <v>0.10000000000000009</v>
      </c>
      <c r="BD141" s="83" t="e">
        <f t="shared" si="364"/>
        <v>#DIV/0!</v>
      </c>
      <c r="BE141" s="71">
        <f>BE140/AZ140-1</f>
        <v>0.10000000000000009</v>
      </c>
      <c r="BF141" s="140">
        <f t="shared" ref="BF141:BJ141" si="365">MAX(BE141*0.5,0.05)</f>
        <v>5.0000000000000044E-2</v>
      </c>
      <c r="BG141" s="140">
        <f t="shared" si="365"/>
        <v>0.05</v>
      </c>
      <c r="BH141" s="140">
        <f t="shared" si="365"/>
        <v>0.05</v>
      </c>
      <c r="BI141" s="140">
        <f t="shared" si="365"/>
        <v>0.05</v>
      </c>
      <c r="BJ141" s="140">
        <f t="shared" si="365"/>
        <v>0.05</v>
      </c>
      <c r="BR141" s="148"/>
    </row>
    <row r="142" spans="2:79" s="87" customFormat="1">
      <c r="B142" s="81"/>
      <c r="C142" s="83"/>
      <c r="D142" s="83"/>
      <c r="E142" s="83"/>
      <c r="F142" s="83"/>
      <c r="G142" s="71"/>
      <c r="H142" s="83"/>
      <c r="I142" s="83"/>
      <c r="J142" s="83"/>
      <c r="K142" s="83"/>
      <c r="L142" s="71"/>
      <c r="M142" s="83"/>
      <c r="N142" s="83"/>
      <c r="O142" s="83"/>
      <c r="P142" s="83"/>
      <c r="Q142" s="71"/>
      <c r="R142" s="83"/>
      <c r="S142" s="83"/>
      <c r="T142" s="83"/>
      <c r="U142" s="83"/>
      <c r="V142" s="71"/>
      <c r="W142" s="83"/>
      <c r="X142" s="83"/>
      <c r="Y142" s="107"/>
      <c r="Z142" s="83"/>
      <c r="AA142" s="71"/>
      <c r="AB142" s="83"/>
      <c r="AC142" s="83"/>
      <c r="AD142" s="83"/>
      <c r="AE142" s="83"/>
      <c r="AF142" s="71"/>
      <c r="AG142" s="83"/>
      <c r="AH142" s="83"/>
      <c r="AI142" s="83"/>
      <c r="AJ142" s="83"/>
      <c r="AK142" s="71"/>
      <c r="AL142" s="83"/>
      <c r="AM142" s="83"/>
      <c r="AN142" s="83"/>
      <c r="AO142" s="83"/>
      <c r="AP142" s="71"/>
      <c r="AQ142" s="83"/>
      <c r="AR142" s="83"/>
      <c r="AS142" s="83"/>
      <c r="AT142" s="83"/>
      <c r="AU142" s="71"/>
      <c r="AV142" s="83"/>
      <c r="AW142" s="83"/>
      <c r="AX142" s="83"/>
      <c r="AY142" s="83"/>
      <c r="AZ142" s="71"/>
      <c r="BA142" s="112"/>
      <c r="BB142" s="112"/>
      <c r="BC142" s="112"/>
      <c r="BD142" s="112"/>
      <c r="BE142" s="71"/>
      <c r="BF142" s="71"/>
      <c r="BG142" s="71"/>
      <c r="BH142" s="71"/>
      <c r="BI142" s="71"/>
      <c r="BJ142" s="71"/>
      <c r="BR142" s="148"/>
    </row>
    <row r="143" spans="2:79" s="87" customFormat="1">
      <c r="B143" s="81" t="s">
        <v>143</v>
      </c>
      <c r="C143" s="83"/>
      <c r="D143" s="83"/>
      <c r="E143" s="83"/>
      <c r="F143" s="83"/>
      <c r="G143" s="71"/>
      <c r="H143" s="83"/>
      <c r="I143" s="83"/>
      <c r="J143" s="83"/>
      <c r="K143" s="83"/>
      <c r="L143" s="71"/>
      <c r="M143" s="112">
        <f>M14</f>
        <v>120.434</v>
      </c>
      <c r="N143" s="112">
        <f>N14</f>
        <v>126.71599999999999</v>
      </c>
      <c r="O143" s="112">
        <f>O14</f>
        <v>134.57900000000001</v>
      </c>
      <c r="P143" s="112">
        <f>P14</f>
        <v>143.62100000000001</v>
      </c>
      <c r="Q143" s="178">
        <f>SUM(M143:P143)</f>
        <v>525.35</v>
      </c>
      <c r="R143" s="112">
        <f>R14</f>
        <v>151.364</v>
      </c>
      <c r="S143" s="112">
        <f>S14</f>
        <v>157.012</v>
      </c>
      <c r="T143" s="112">
        <f>T14</f>
        <v>164.761</v>
      </c>
      <c r="U143" s="112">
        <f>U14</f>
        <v>171.35499999999999</v>
      </c>
      <c r="V143" s="178">
        <f>SUM(R143:U143)</f>
        <v>644.49199999999996</v>
      </c>
      <c r="W143" s="112">
        <f>W14</f>
        <v>176.54599999999999</v>
      </c>
      <c r="X143" s="112">
        <f>X14</f>
        <v>190.16900000000001</v>
      </c>
      <c r="Y143" s="112">
        <f>Y14</f>
        <v>202.99600000000001</v>
      </c>
      <c r="Z143" s="112">
        <f>Z14</f>
        <v>213.745</v>
      </c>
      <c r="AA143" s="178">
        <f>SUM(W143:Z143)</f>
        <v>783.45600000000002</v>
      </c>
      <c r="AB143" s="112">
        <f>AB14</f>
        <v>226.43600000000001</v>
      </c>
      <c r="AC143" s="112">
        <f>AC14</f>
        <v>235.89099999999999</v>
      </c>
      <c r="AD143" s="112">
        <f>AD14</f>
        <v>241.303</v>
      </c>
      <c r="AE143" s="112">
        <f>AE14</f>
        <v>246.66900000000001</v>
      </c>
      <c r="AF143" s="178">
        <f>SUM(AB143:AE143)</f>
        <v>950.29899999999998</v>
      </c>
      <c r="AG143" s="112">
        <f>AG14</f>
        <v>254.96799999999999</v>
      </c>
      <c r="AH143" s="112">
        <f>AH14</f>
        <v>258.17700000000002</v>
      </c>
      <c r="AI143" s="112">
        <f>AI14</f>
        <v>261.06599999999997</v>
      </c>
      <c r="AJ143" s="112">
        <f>AJ14</f>
        <v>265.26799999999997</v>
      </c>
      <c r="AK143" s="178">
        <f>SUM(AG143:AJ143)</f>
        <v>1039.479</v>
      </c>
      <c r="AL143" s="214">
        <f>AL14</f>
        <v>278.13</v>
      </c>
      <c r="AM143" s="214">
        <f>AM14</f>
        <v>287.089</v>
      </c>
      <c r="AN143" s="214">
        <f>AN14</f>
        <v>290.63400000000001</v>
      </c>
      <c r="AO143" s="214">
        <f>AO14</f>
        <v>296.154</v>
      </c>
      <c r="AP143" s="178">
        <f>SUM(AL143:AO143)</f>
        <v>1152.0070000000001</v>
      </c>
      <c r="AQ143" s="214">
        <f>AQ14</f>
        <v>304.29300000000001</v>
      </c>
      <c r="AR143" s="214">
        <f>AR14</f>
        <v>312.125</v>
      </c>
      <c r="AS143" s="214">
        <f>AS14</f>
        <v>318.82499999999999</v>
      </c>
      <c r="AT143" s="214">
        <f>AT14</f>
        <v>329.73200000000003</v>
      </c>
      <c r="AU143" s="178">
        <f>SUM(AQ143:AT143)</f>
        <v>1264.9749999999999</v>
      </c>
      <c r="AV143" s="214">
        <f>AV14</f>
        <v>337.67599999999999</v>
      </c>
      <c r="AW143" s="214">
        <f>AW14</f>
        <v>345.45600000000002</v>
      </c>
      <c r="AX143" s="214">
        <f>AX14</f>
        <v>356.17399999999998</v>
      </c>
      <c r="AY143" s="214">
        <f>AY14</f>
        <v>370.42099999999999</v>
      </c>
      <c r="AZ143" s="178">
        <f>SUM(AV143:AY143)</f>
        <v>1409.7270000000001</v>
      </c>
      <c r="BA143" s="112">
        <f>(BA148/4)*BA144</f>
        <v>385.06825175000006</v>
      </c>
      <c r="BB143" s="112">
        <f>(BB148/4)*BB144</f>
        <v>398.07196852499999</v>
      </c>
      <c r="BC143" s="112">
        <f>(BC148/4)*BC144</f>
        <v>415.89019867499997</v>
      </c>
      <c r="BD143" s="112">
        <f>(BD148/4)*BD144</f>
        <v>438.72869687500003</v>
      </c>
      <c r="BE143" s="178">
        <f>SUM(BA143:BD143)</f>
        <v>1637.759115825</v>
      </c>
      <c r="BF143" s="178">
        <f t="shared" ref="BF143:BJ143" si="366">BF148*BF144</f>
        <v>1834.2902097240003</v>
      </c>
      <c r="BG143" s="178">
        <f t="shared" si="366"/>
        <v>2010.3820698575043</v>
      </c>
      <c r="BH143" s="178">
        <f t="shared" si="366"/>
        <v>2164.7794128225605</v>
      </c>
      <c r="BI143" s="178">
        <f t="shared" si="366"/>
        <v>2297.7834599463781</v>
      </c>
      <c r="BJ143" s="178">
        <f t="shared" si="366"/>
        <v>2412.6726329436974</v>
      </c>
      <c r="BR143" s="148"/>
    </row>
    <row r="144" spans="2:79" s="87" customFormat="1">
      <c r="B144" s="76" t="s">
        <v>144</v>
      </c>
      <c r="C144" s="83"/>
      <c r="D144" s="83"/>
      <c r="E144" s="83"/>
      <c r="F144" s="83"/>
      <c r="G144" s="71"/>
      <c r="H144" s="83"/>
      <c r="I144" s="83"/>
      <c r="J144" s="83"/>
      <c r="K144" s="83"/>
      <c r="L144" s="71"/>
      <c r="M144" s="108">
        <f>M143/(M148/4)</f>
        <v>0.96928772635814886</v>
      </c>
      <c r="N144" s="108">
        <f>N143/(N148/4)</f>
        <v>0.95454613935969868</v>
      </c>
      <c r="O144" s="108">
        <f>O143/(O148/4)</f>
        <v>0.95956506238859185</v>
      </c>
      <c r="P144" s="108">
        <f>P143/(P148/4)</f>
        <v>0.97867802385008529</v>
      </c>
      <c r="Q144" s="54"/>
      <c r="R144" s="108">
        <f>R143/(R148/4)</f>
        <v>0.97340192926045022</v>
      </c>
      <c r="S144" s="108">
        <f>S143/(S148/4)</f>
        <v>0.96920987654320989</v>
      </c>
      <c r="T144" s="108">
        <f>T143/(T148/4)</f>
        <v>0.96918235294117649</v>
      </c>
      <c r="U144" s="108">
        <f>U143/(U148/4)</f>
        <v>0.9694766619519094</v>
      </c>
      <c r="V144" s="54"/>
      <c r="W144" s="108">
        <f>W143/(W148/4)</f>
        <v>0.95500346876153719</v>
      </c>
      <c r="X144" s="108">
        <f>X143/(X148/4)</f>
        <v>0.96176585124083969</v>
      </c>
      <c r="Y144" s="108">
        <f>Y143/(Y148/4)</f>
        <v>0.96607257584770978</v>
      </c>
      <c r="Z144" s="108">
        <f>Z143/(Z148/4)</f>
        <v>0.97374139556920225</v>
      </c>
      <c r="AA144" s="109"/>
      <c r="AB144" s="108">
        <f>AB143/(AB148/4)</f>
        <v>0.97812526997840177</v>
      </c>
      <c r="AC144" s="108">
        <f>AC143/(AC148/4)</f>
        <v>0.97546159412798517</v>
      </c>
      <c r="AD144" s="108">
        <f>AD143/(AD148/4)</f>
        <v>0.97270180388995264</v>
      </c>
      <c r="AE144" s="108">
        <f>AE143/(AE148/4)</f>
        <v>0.97731721039327402</v>
      </c>
      <c r="AF144" s="54"/>
      <c r="AG144" s="108">
        <f>AG143/(AG148/4)</f>
        <v>0.98280738508624255</v>
      </c>
      <c r="AH144" s="108">
        <f>AH143/(AH148/4)</f>
        <v>0.98086720640697833</v>
      </c>
      <c r="AI144" s="108">
        <f>AI143/(AI148/4)</f>
        <v>0.97499544837051644</v>
      </c>
      <c r="AJ144" s="108">
        <f>AJ143/(AJ148/4)</f>
        <v>0.9817250542178928</v>
      </c>
      <c r="AK144" s="71">
        <f>+AK143/AK148</f>
        <v>0.98007794582072461</v>
      </c>
      <c r="AL144" s="108">
        <f>AL143/(AL148/4)</f>
        <v>0.9804858186843306</v>
      </c>
      <c r="AM144" s="108">
        <f>AM143/(AM148/4)</f>
        <v>0.9901805915788312</v>
      </c>
      <c r="AN144" s="108">
        <f>AN143/(AN148/4)</f>
        <v>0.98384179806013572</v>
      </c>
      <c r="AO144" s="108">
        <f>AO143/(AO148/4)</f>
        <v>0.99297233864207879</v>
      </c>
      <c r="AP144" s="71">
        <f>+AP143/AP148</f>
        <v>0.98693370257451496</v>
      </c>
      <c r="AQ144" s="108">
        <f>AQ143/(AQ148/4)</f>
        <v>0.97822648569756909</v>
      </c>
      <c r="AR144" s="108">
        <f>AR143/(AR148/4)</f>
        <v>0.97807038503148869</v>
      </c>
      <c r="AS144" s="108">
        <f>AS143/(AS148/4)</f>
        <v>0.97498360119325211</v>
      </c>
      <c r="AT144" s="108">
        <f>AT143/(AT148/4)</f>
        <v>0.98207594936708864</v>
      </c>
      <c r="AU144" s="71">
        <f>+AU143/AU148</f>
        <v>0.9783674051037371</v>
      </c>
      <c r="AV144" s="108">
        <f>AV143/(AV148/4)</f>
        <v>0.98399761049633183</v>
      </c>
      <c r="AW144" s="108">
        <f>AW143/(AW148/4)</f>
        <v>0.98228882543243634</v>
      </c>
      <c r="AX144" s="108">
        <f>AX143/(AX148/4)</f>
        <v>0.97776734603398141</v>
      </c>
      <c r="AY144" s="108">
        <f>AY143/(AY148/4)</f>
        <v>0.97221764734830463</v>
      </c>
      <c r="AZ144" s="71">
        <f>+AZ143/AZ148</f>
        <v>0.97888786178343135</v>
      </c>
      <c r="BA144" s="164">
        <v>0.98</v>
      </c>
      <c r="BB144" s="164">
        <v>0.98</v>
      </c>
      <c r="BC144" s="164">
        <v>0.98</v>
      </c>
      <c r="BD144" s="164">
        <v>0.98</v>
      </c>
      <c r="BE144" s="71">
        <f>+BE143/BE148</f>
        <v>0.98</v>
      </c>
      <c r="BF144" s="167">
        <f>BE144</f>
        <v>0.98</v>
      </c>
      <c r="BG144" s="167">
        <f t="shared" ref="BG144:BJ144" si="367">BF144</f>
        <v>0.98</v>
      </c>
      <c r="BH144" s="167">
        <f t="shared" si="367"/>
        <v>0.98</v>
      </c>
      <c r="BI144" s="167">
        <f t="shared" si="367"/>
        <v>0.98</v>
      </c>
      <c r="BJ144" s="167">
        <f t="shared" si="367"/>
        <v>0.98</v>
      </c>
      <c r="BR144" s="148"/>
    </row>
    <row r="145" spans="2:70" s="87" customFormat="1">
      <c r="B145" s="87" t="s">
        <v>72</v>
      </c>
      <c r="C145" s="83"/>
      <c r="D145" s="83"/>
      <c r="E145" s="83"/>
      <c r="F145" s="83"/>
      <c r="G145" s="71"/>
      <c r="H145" s="83"/>
      <c r="I145" s="83"/>
      <c r="J145" s="83"/>
      <c r="K145" s="83"/>
      <c r="L145" s="71"/>
      <c r="M145" s="83"/>
      <c r="N145" s="83"/>
      <c r="O145" s="83"/>
      <c r="P145" s="83"/>
      <c r="Q145" s="71"/>
      <c r="R145" s="83">
        <f t="shared" ref="R145:BE145" si="368">R143/M143-1</f>
        <v>0.256821163458824</v>
      </c>
      <c r="S145" s="83">
        <f t="shared" si="368"/>
        <v>0.23908582972947379</v>
      </c>
      <c r="T145" s="83">
        <f t="shared" si="368"/>
        <v>0.22426975976935459</v>
      </c>
      <c r="U145" s="83">
        <f t="shared" si="368"/>
        <v>0.19310546507822668</v>
      </c>
      <c r="V145" s="71">
        <f t="shared" si="368"/>
        <v>0.22678595222232789</v>
      </c>
      <c r="W145" s="83">
        <f t="shared" si="368"/>
        <v>0.1663671678866836</v>
      </c>
      <c r="X145" s="83">
        <f t="shared" si="368"/>
        <v>0.21117494204264653</v>
      </c>
      <c r="Y145" s="83">
        <f t="shared" si="368"/>
        <v>0.23206341306498524</v>
      </c>
      <c r="Z145" s="83">
        <f t="shared" si="368"/>
        <v>0.24738116775115992</v>
      </c>
      <c r="AA145" s="71">
        <f t="shared" si="368"/>
        <v>0.21561788199077725</v>
      </c>
      <c r="AB145" s="83">
        <f t="shared" si="368"/>
        <v>0.28258924019802212</v>
      </c>
      <c r="AC145" s="83">
        <f t="shared" si="368"/>
        <v>0.24042825066125384</v>
      </c>
      <c r="AD145" s="83">
        <f t="shared" si="368"/>
        <v>0.1887081518847662</v>
      </c>
      <c r="AE145" s="83">
        <f t="shared" si="368"/>
        <v>0.15403401249152027</v>
      </c>
      <c r="AF145" s="71">
        <f t="shared" si="368"/>
        <v>0.2129577155577338</v>
      </c>
      <c r="AG145" s="83">
        <f t="shared" si="368"/>
        <v>0.1260046988994683</v>
      </c>
      <c r="AH145" s="83">
        <f t="shared" si="368"/>
        <v>9.4475838416895996E-2</v>
      </c>
      <c r="AI145" s="83">
        <f t="shared" si="368"/>
        <v>8.1901178186760903E-2</v>
      </c>
      <c r="AJ145" s="83">
        <f t="shared" si="368"/>
        <v>7.540063810207176E-2</v>
      </c>
      <c r="AK145" s="71">
        <f t="shared" si="368"/>
        <v>9.384414799973495E-2</v>
      </c>
      <c r="AL145" s="83">
        <f t="shared" si="368"/>
        <v>9.0842772426343643E-2</v>
      </c>
      <c r="AM145" s="83">
        <f t="shared" si="368"/>
        <v>0.11198518845598171</v>
      </c>
      <c r="AN145" s="83">
        <f t="shared" si="368"/>
        <v>0.11325871618671157</v>
      </c>
      <c r="AO145" s="83">
        <f t="shared" si="368"/>
        <v>0.11643319209252545</v>
      </c>
      <c r="AP145" s="71">
        <f t="shared" si="368"/>
        <v>0.10825423120621003</v>
      </c>
      <c r="AQ145" s="83">
        <f t="shared" si="368"/>
        <v>9.4067522381620083E-2</v>
      </c>
      <c r="AR145" s="83">
        <f t="shared" si="368"/>
        <v>8.7206406375723189E-2</v>
      </c>
      <c r="AS145" s="83">
        <f t="shared" si="368"/>
        <v>9.6998286504675901E-2</v>
      </c>
      <c r="AT145" s="83">
        <f t="shared" si="368"/>
        <v>0.11338020084145417</v>
      </c>
      <c r="AU145" s="71">
        <f t="shared" si="368"/>
        <v>9.8061904137735079E-2</v>
      </c>
      <c r="AV145" s="83">
        <f t="shared" si="368"/>
        <v>0.10970676288971482</v>
      </c>
      <c r="AW145" s="83">
        <f t="shared" si="368"/>
        <v>0.10678734481377661</v>
      </c>
      <c r="AX145" s="83">
        <f t="shared" si="368"/>
        <v>0.11714576962283374</v>
      </c>
      <c r="AY145" s="83">
        <f t="shared" si="368"/>
        <v>0.12340021593293926</v>
      </c>
      <c r="AZ145" s="71">
        <f t="shared" si="368"/>
        <v>0.11443071997470322</v>
      </c>
      <c r="BA145" s="83">
        <f t="shared" si="368"/>
        <v>0.14034829762849621</v>
      </c>
      <c r="BB145" s="83">
        <f t="shared" si="368"/>
        <v>0.15230874127240512</v>
      </c>
      <c r="BC145" s="83">
        <f t="shared" si="368"/>
        <v>0.16766018483943235</v>
      </c>
      <c r="BD145" s="83">
        <f t="shared" si="368"/>
        <v>0.18440557332062713</v>
      </c>
      <c r="BE145" s="71">
        <f t="shared" si="368"/>
        <v>0.16175622359861164</v>
      </c>
      <c r="BF145" s="71">
        <f t="shared" ref="BF145:BJ145" si="369">BF143/BE143-1</f>
        <v>0.12000000000000011</v>
      </c>
      <c r="BG145" s="71">
        <f t="shared" si="369"/>
        <v>9.6000000000000085E-2</v>
      </c>
      <c r="BH145" s="71">
        <f t="shared" si="369"/>
        <v>7.6799999999999979E-2</v>
      </c>
      <c r="BI145" s="71">
        <f t="shared" si="369"/>
        <v>6.1439999999999717E-2</v>
      </c>
      <c r="BJ145" s="71">
        <f t="shared" si="369"/>
        <v>5.0000000000000266E-2</v>
      </c>
      <c r="BR145" s="148"/>
    </row>
    <row r="146" spans="2:70" s="87" customFormat="1">
      <c r="B146" s="87" t="s">
        <v>138</v>
      </c>
      <c r="C146" s="83"/>
      <c r="D146" s="83"/>
      <c r="E146" s="83"/>
      <c r="F146" s="83"/>
      <c r="G146" s="71"/>
      <c r="H146" s="83"/>
      <c r="I146" s="83"/>
      <c r="J146" s="83"/>
      <c r="K146" s="83"/>
      <c r="L146" s="71"/>
      <c r="M146" s="83"/>
      <c r="N146" s="83">
        <f>N143/M143-1</f>
        <v>5.2161349784944466E-2</v>
      </c>
      <c r="O146" s="83">
        <f>O143/N143-1</f>
        <v>6.2052148110735894E-2</v>
      </c>
      <c r="P146" s="83">
        <f>P143/O143-1</f>
        <v>6.7187302625223877E-2</v>
      </c>
      <c r="Q146" s="71"/>
      <c r="R146" s="83">
        <f>R143/P143-1</f>
        <v>5.3912728639962104E-2</v>
      </c>
      <c r="S146" s="83">
        <f>S143/R143-1</f>
        <v>3.7314024470812113E-2</v>
      </c>
      <c r="T146" s="83">
        <f>T143/S143-1</f>
        <v>4.9352915700710653E-2</v>
      </c>
      <c r="U146" s="83">
        <f>U143/T143-1</f>
        <v>4.0021607055067632E-2</v>
      </c>
      <c r="V146" s="71"/>
      <c r="W146" s="83">
        <f>W143/U143-1</f>
        <v>3.0293834437279399E-2</v>
      </c>
      <c r="X146" s="83">
        <f>X143/W143-1</f>
        <v>7.7164025239880862E-2</v>
      </c>
      <c r="Y146" s="83">
        <f>Y143/X143-1</f>
        <v>6.7450530843617962E-2</v>
      </c>
      <c r="Z146" s="83">
        <f>Z143/Y143-1</f>
        <v>5.2951782301128958E-2</v>
      </c>
      <c r="AA146" s="71"/>
      <c r="AB146" s="83">
        <f>AB143/Z143-1</f>
        <v>5.9374488292123884E-2</v>
      </c>
      <c r="AC146" s="83">
        <f>AC143/AB143-1</f>
        <v>4.1755727887791583E-2</v>
      </c>
      <c r="AD146" s="83">
        <f>AD143/AC143-1</f>
        <v>2.2942799852474272E-2</v>
      </c>
      <c r="AE146" s="83">
        <f>AE143/AD143-1</f>
        <v>2.2237601687504993E-2</v>
      </c>
      <c r="AF146" s="71"/>
      <c r="AG146" s="83">
        <f>AG143/AE143-1</f>
        <v>3.3644276337926549E-2</v>
      </c>
      <c r="AH146" s="83">
        <f>AH143/AG143-1</f>
        <v>1.2585893131687342E-2</v>
      </c>
      <c r="AI146" s="83">
        <f>AI143/AH143-1</f>
        <v>1.1189997559813536E-2</v>
      </c>
      <c r="AJ146" s="83">
        <f>AJ143/AI143-1</f>
        <v>1.6095546719986586E-2</v>
      </c>
      <c r="AK146" s="71"/>
      <c r="AL146" s="83">
        <f>AL143/AJ143-1</f>
        <v>4.8486813335947065E-2</v>
      </c>
      <c r="AM146" s="83">
        <f>AM143/AL143-1</f>
        <v>3.2211555747312381E-2</v>
      </c>
      <c r="AN146" s="83">
        <f>AN143/AM143-1</f>
        <v>1.2348087178540412E-2</v>
      </c>
      <c r="AO146" s="83">
        <f>AO143/AN143-1</f>
        <v>1.8992960218006116E-2</v>
      </c>
      <c r="AP146" s="71"/>
      <c r="AQ146" s="83">
        <f>AQ144/AO144-1</f>
        <v>-1.4850215228225938E-2</v>
      </c>
      <c r="AR146" s="83">
        <f>AR143/AQ143-1</f>
        <v>2.573835086577736E-2</v>
      </c>
      <c r="AS146" s="83">
        <f>AS143/AR143-1</f>
        <v>2.14657589106928E-2</v>
      </c>
      <c r="AT146" s="83">
        <f>AT143/AS143-1</f>
        <v>3.4209989806320173E-2</v>
      </c>
      <c r="AU146" s="71"/>
      <c r="AV146" s="83">
        <f>AV144/AT144-1</f>
        <v>1.95673372357974E-3</v>
      </c>
      <c r="AW146" s="83">
        <f>AW143/AV143-1</f>
        <v>2.3039837003518304E-2</v>
      </c>
      <c r="AX146" s="83">
        <f>AX143/AW143-1</f>
        <v>3.1025658839331172E-2</v>
      </c>
      <c r="AY146" s="83">
        <f>AY143/AX143-1</f>
        <v>4.0000112304660052E-2</v>
      </c>
      <c r="AZ146" s="71"/>
      <c r="BA146" s="83">
        <f>BA143/AY143-1</f>
        <v>3.9542174309772138E-2</v>
      </c>
      <c r="BB146" s="83">
        <f>BB143/BA143-1</f>
        <v>3.3769901091306842E-2</v>
      </c>
      <c r="BC146" s="83">
        <f>BC143/BB143-1</f>
        <v>4.4761328500529496E-2</v>
      </c>
      <c r="BD146" s="83">
        <f>BD143/BC143-1</f>
        <v>5.4914730553309754E-2</v>
      </c>
      <c r="BE146" s="71"/>
      <c r="BF146" s="71"/>
      <c r="BG146" s="71"/>
      <c r="BH146" s="71"/>
      <c r="BI146" s="71"/>
      <c r="BJ146" s="71"/>
      <c r="BR146" s="148"/>
    </row>
    <row r="147" spans="2:70" s="87" customFormat="1">
      <c r="C147" s="83"/>
      <c r="D147" s="83"/>
      <c r="E147" s="83"/>
      <c r="F147" s="83"/>
      <c r="G147" s="71"/>
      <c r="H147" s="83"/>
      <c r="I147" s="83"/>
      <c r="J147" s="83"/>
      <c r="K147" s="83"/>
      <c r="L147" s="71"/>
      <c r="M147" s="83"/>
      <c r="N147" s="83"/>
      <c r="O147" s="83"/>
      <c r="P147" s="83"/>
      <c r="Q147" s="71"/>
      <c r="R147" s="83"/>
      <c r="S147" s="83"/>
      <c r="T147" s="83"/>
      <c r="U147" s="83"/>
      <c r="V147" s="71"/>
      <c r="W147" s="83"/>
      <c r="X147" s="83"/>
      <c r="Y147" s="83"/>
      <c r="Z147" s="83"/>
      <c r="AA147" s="71"/>
      <c r="AB147" s="83"/>
      <c r="AC147" s="83"/>
      <c r="AD147" s="83"/>
      <c r="AE147" s="83"/>
      <c r="AF147" s="71"/>
      <c r="AG147" s="83"/>
      <c r="AH147" s="83"/>
      <c r="AI147" s="83"/>
      <c r="AJ147" s="83"/>
      <c r="AK147" s="71"/>
      <c r="AL147" s="83"/>
      <c r="AM147" s="83"/>
      <c r="AN147" s="83"/>
      <c r="AO147" s="83"/>
      <c r="AP147" s="71"/>
      <c r="AQ147" s="83"/>
      <c r="AR147" s="83"/>
      <c r="AS147" s="83"/>
      <c r="AT147" s="83"/>
      <c r="AU147" s="71"/>
      <c r="AV147" s="83"/>
      <c r="AW147" s="83"/>
      <c r="AX147" s="83"/>
      <c r="AY147" s="83"/>
      <c r="AZ147" s="71"/>
      <c r="BA147" s="83"/>
      <c r="BB147" s="83"/>
      <c r="BC147" s="83"/>
      <c r="BD147" s="83"/>
      <c r="BE147" s="71"/>
      <c r="BF147" s="71"/>
      <c r="BG147" s="71"/>
      <c r="BH147" s="71"/>
      <c r="BI147" s="71"/>
      <c r="BJ147" s="71"/>
      <c r="BL147" s="76"/>
      <c r="BM147" s="76"/>
      <c r="BR147" s="148"/>
    </row>
    <row r="148" spans="2:70" s="87" customFormat="1">
      <c r="B148" s="81" t="s">
        <v>140</v>
      </c>
      <c r="C148" s="83"/>
      <c r="D148" s="83"/>
      <c r="E148" s="83"/>
      <c r="F148" s="83"/>
      <c r="G148" s="71"/>
      <c r="H148" s="83"/>
      <c r="I148" s="83"/>
      <c r="J148" s="83"/>
      <c r="K148" s="83"/>
      <c r="L148" s="178"/>
      <c r="M148" s="98">
        <v>497</v>
      </c>
      <c r="N148" s="98">
        <v>531</v>
      </c>
      <c r="O148" s="98">
        <v>561</v>
      </c>
      <c r="P148" s="98">
        <v>587</v>
      </c>
      <c r="Q148" s="178">
        <f>P148</f>
        <v>587</v>
      </c>
      <c r="R148" s="98">
        <v>622</v>
      </c>
      <c r="S148" s="98">
        <v>648</v>
      </c>
      <c r="T148" s="98">
        <v>680</v>
      </c>
      <c r="U148" s="98">
        <v>707</v>
      </c>
      <c r="V148" s="178">
        <f>AVERAGE(R148:U148)</f>
        <v>664.25</v>
      </c>
      <c r="W148" s="98">
        <v>739.45699999999999</v>
      </c>
      <c r="X148" s="98">
        <v>790.91600000000005</v>
      </c>
      <c r="Y148" s="98">
        <v>840.5</v>
      </c>
      <c r="Z148" s="98">
        <v>878.03599999999994</v>
      </c>
      <c r="AA148" s="178">
        <f>AVERAGE(W148:Z148)</f>
        <v>812.22725000000003</v>
      </c>
      <c r="AB148" s="98">
        <v>926</v>
      </c>
      <c r="AC148" s="98">
        <v>967.3</v>
      </c>
      <c r="AD148" s="98">
        <v>992.3</v>
      </c>
      <c r="AE148" s="98">
        <v>1009.576</v>
      </c>
      <c r="AF148" s="178">
        <f>AVERAGE(AB148:AE148)</f>
        <v>973.79399999999998</v>
      </c>
      <c r="AG148" s="98">
        <v>1037.713</v>
      </c>
      <c r="AH148" s="98">
        <v>1052.8520000000001</v>
      </c>
      <c r="AI148" s="98">
        <v>1071.0450000000001</v>
      </c>
      <c r="AJ148" s="98">
        <v>1080.8240000000001</v>
      </c>
      <c r="AK148" s="178">
        <f>AVERAGE(AG148:AJ148)</f>
        <v>1060.6085</v>
      </c>
      <c r="AL148" s="98">
        <v>1134.662</v>
      </c>
      <c r="AM148" s="98">
        <v>1159.7439999999999</v>
      </c>
      <c r="AN148" s="98">
        <v>1181.6289999999999</v>
      </c>
      <c r="AO148" s="98">
        <v>1193</v>
      </c>
      <c r="AP148" s="178">
        <f>AVERAGE(AL148:AO148)</f>
        <v>1167.25875</v>
      </c>
      <c r="AQ148" s="98">
        <v>1244.2639999999999</v>
      </c>
      <c r="AR148" s="98">
        <v>1276.4929999999999</v>
      </c>
      <c r="AS148" s="98">
        <v>1308.0219999999999</v>
      </c>
      <c r="AT148" s="98">
        <v>1343</v>
      </c>
      <c r="AU148" s="178">
        <f>AVERAGE(AQ148:AT148)</f>
        <v>1292.9447499999999</v>
      </c>
      <c r="AV148" s="98">
        <v>1372.67</v>
      </c>
      <c r="AW148" s="98">
        <v>1406.739</v>
      </c>
      <c r="AX148" s="98">
        <v>1457.0909999999999</v>
      </c>
      <c r="AY148" s="98">
        <v>1524.0250000000001</v>
      </c>
      <c r="AZ148" s="178">
        <f>AVERAGE(AV148:AY148)</f>
        <v>1440.1312499999999</v>
      </c>
      <c r="BA148" s="112">
        <f>AV148*(1+BA149)</f>
        <v>1571.7071500000002</v>
      </c>
      <c r="BB148" s="112">
        <f>AW148*(1+BB149)</f>
        <v>1624.783545</v>
      </c>
      <c r="BC148" s="112">
        <f>AX148*(1+BC149)</f>
        <v>1697.5110149999998</v>
      </c>
      <c r="BD148" s="112">
        <f>AY148*(1+BD149)</f>
        <v>1790.7293750000001</v>
      </c>
      <c r="BE148" s="178">
        <f>AVERAGE(BA148:BD148)</f>
        <v>1671.1827712500001</v>
      </c>
      <c r="BF148" s="178">
        <f t="shared" ref="BF148:BJ148" si="370">BE148*(1+BF149)</f>
        <v>1871.7247038000003</v>
      </c>
      <c r="BG148" s="178">
        <f t="shared" si="370"/>
        <v>2051.4102753648003</v>
      </c>
      <c r="BH148" s="178">
        <f t="shared" si="370"/>
        <v>2208.9585845128167</v>
      </c>
      <c r="BI148" s="178">
        <f t="shared" si="370"/>
        <v>2344.676999945284</v>
      </c>
      <c r="BJ148" s="178">
        <f t="shared" si="370"/>
        <v>2461.9108499425483</v>
      </c>
      <c r="BL148" s="76"/>
      <c r="BM148" s="76"/>
      <c r="BR148" s="148"/>
    </row>
    <row r="149" spans="2:70" s="87" customFormat="1">
      <c r="B149" s="87" t="s">
        <v>84</v>
      </c>
      <c r="C149" s="83"/>
      <c r="D149" s="83"/>
      <c r="E149" s="83"/>
      <c r="F149" s="83"/>
      <c r="G149" s="71"/>
      <c r="H149" s="83"/>
      <c r="I149" s="83"/>
      <c r="J149" s="83"/>
      <c r="K149" s="83"/>
      <c r="L149" s="71"/>
      <c r="M149" s="83"/>
      <c r="N149" s="83"/>
      <c r="O149" s="83"/>
      <c r="P149" s="83"/>
      <c r="Q149" s="205"/>
      <c r="R149" s="83">
        <f t="shared" ref="R149:AY149" si="371">R148/M148-1</f>
        <v>0.25150905432595572</v>
      </c>
      <c r="S149" s="83">
        <f t="shared" si="371"/>
        <v>0.22033898305084754</v>
      </c>
      <c r="T149" s="83">
        <f t="shared" si="371"/>
        <v>0.21212121212121215</v>
      </c>
      <c r="U149" s="83">
        <f t="shared" si="371"/>
        <v>0.2044293015332197</v>
      </c>
      <c r="V149" s="205">
        <f t="shared" si="371"/>
        <v>0.1316013628620103</v>
      </c>
      <c r="W149" s="83">
        <f t="shared" si="371"/>
        <v>0.18883762057877806</v>
      </c>
      <c r="X149" s="83">
        <f t="shared" si="371"/>
        <v>0.2205493827160494</v>
      </c>
      <c r="Y149" s="83">
        <f t="shared" si="371"/>
        <v>0.23602941176470593</v>
      </c>
      <c r="Z149" s="83">
        <f t="shared" si="371"/>
        <v>0.24191796322489378</v>
      </c>
      <c r="AA149" s="205">
        <f t="shared" si="371"/>
        <v>0.22277342867896133</v>
      </c>
      <c r="AB149" s="83">
        <f t="shared" si="371"/>
        <v>0.25227024695147926</v>
      </c>
      <c r="AC149" s="83">
        <f t="shared" si="371"/>
        <v>0.22301230472009648</v>
      </c>
      <c r="AD149" s="83">
        <f t="shared" si="371"/>
        <v>0.18060678167757271</v>
      </c>
      <c r="AE149" s="83">
        <f t="shared" si="371"/>
        <v>0.14981162503587564</v>
      </c>
      <c r="AF149" s="205">
        <f t="shared" si="371"/>
        <v>0.19891815991152706</v>
      </c>
      <c r="AG149" s="83">
        <f t="shared" si="371"/>
        <v>0.12064038876889849</v>
      </c>
      <c r="AH149" s="83">
        <f t="shared" si="371"/>
        <v>8.8444122816086157E-2</v>
      </c>
      <c r="AI149" s="83">
        <f t="shared" si="371"/>
        <v>7.9356041519701881E-2</v>
      </c>
      <c r="AJ149" s="83">
        <f t="shared" si="371"/>
        <v>7.0572200606987545E-2</v>
      </c>
      <c r="AK149" s="205">
        <f>AK148/AF148-1</f>
        <v>8.9150785484404471E-2</v>
      </c>
      <c r="AL149" s="83">
        <f t="shared" si="371"/>
        <v>9.3425638880885176E-2</v>
      </c>
      <c r="AM149" s="83">
        <f t="shared" si="371"/>
        <v>0.10152614042619468</v>
      </c>
      <c r="AN149" s="83">
        <f t="shared" si="371"/>
        <v>0.10324869636663236</v>
      </c>
      <c r="AO149" s="83">
        <f t="shared" si="371"/>
        <v>0.10378748066290155</v>
      </c>
      <c r="AP149" s="205">
        <f>AP148/AK148-1</f>
        <v>0.10055571872184688</v>
      </c>
      <c r="AQ149" s="83">
        <f t="shared" si="371"/>
        <v>9.6594404324811922E-2</v>
      </c>
      <c r="AR149" s="83">
        <f t="shared" si="371"/>
        <v>0.10066790602063902</v>
      </c>
      <c r="AS149" s="83">
        <f t="shared" si="371"/>
        <v>0.10696504571231746</v>
      </c>
      <c r="AT149" s="83">
        <f t="shared" si="371"/>
        <v>0.12573344509639561</v>
      </c>
      <c r="AU149" s="205">
        <f>AU148/AP148-1</f>
        <v>0.1076762114655383</v>
      </c>
      <c r="AV149" s="83">
        <f t="shared" si="371"/>
        <v>0.10319835661885279</v>
      </c>
      <c r="AW149" s="83">
        <f t="shared" si="371"/>
        <v>0.10203424538951644</v>
      </c>
      <c r="AX149" s="83">
        <f t="shared" si="371"/>
        <v>0.11396520853624792</v>
      </c>
      <c r="AY149" s="83">
        <f t="shared" si="371"/>
        <v>0.1347915115413254</v>
      </c>
      <c r="AZ149" s="205">
        <f>AZ148/AU148-1</f>
        <v>0.11383819764920355</v>
      </c>
      <c r="BA149" s="265">
        <v>0.14499999999999999</v>
      </c>
      <c r="BB149" s="265">
        <f>BA149+0.01</f>
        <v>0.155</v>
      </c>
      <c r="BC149" s="265">
        <f t="shared" ref="BC149:BD149" si="372">BB149+0.01</f>
        <v>0.16500000000000001</v>
      </c>
      <c r="BD149" s="265">
        <f t="shared" si="372"/>
        <v>0.17500000000000002</v>
      </c>
      <c r="BE149" s="205">
        <f>BE148/AZ148-1</f>
        <v>0.16043782207350898</v>
      </c>
      <c r="BF149" s="167">
        <v>0.12</v>
      </c>
      <c r="BG149" s="167">
        <f t="shared" ref="BG149:BJ149" si="373">MAX(BF149*0.8,0.05)</f>
        <v>9.6000000000000002E-2</v>
      </c>
      <c r="BH149" s="167">
        <f t="shared" si="373"/>
        <v>7.6800000000000007E-2</v>
      </c>
      <c r="BI149" s="167">
        <f t="shared" si="373"/>
        <v>6.1440000000000008E-2</v>
      </c>
      <c r="BJ149" s="167">
        <f t="shared" si="373"/>
        <v>0.05</v>
      </c>
      <c r="BL149" s="76"/>
      <c r="BM149" s="76"/>
      <c r="BR149" s="148"/>
    </row>
    <row r="150" spans="2:70" s="87" customFormat="1">
      <c r="B150" s="87" t="s">
        <v>85</v>
      </c>
      <c r="C150" s="83"/>
      <c r="D150" s="83"/>
      <c r="E150" s="83"/>
      <c r="F150" s="83"/>
      <c r="G150" s="71"/>
      <c r="H150" s="83"/>
      <c r="I150" s="83"/>
      <c r="J150" s="83"/>
      <c r="K150" s="83"/>
      <c r="L150" s="71"/>
      <c r="M150" s="83"/>
      <c r="N150" s="83">
        <f>N148/M148-1</f>
        <v>6.8410462776659964E-2</v>
      </c>
      <c r="O150" s="83">
        <f>O148/N148-1</f>
        <v>5.6497175141242861E-2</v>
      </c>
      <c r="P150" s="83">
        <f>P148/O148-1</f>
        <v>4.6345811051693442E-2</v>
      </c>
      <c r="Q150" s="71"/>
      <c r="R150" s="83">
        <f>R148/P148-1</f>
        <v>5.9625212947189032E-2</v>
      </c>
      <c r="S150" s="83">
        <f>S148/R148-1</f>
        <v>4.1800643086816747E-2</v>
      </c>
      <c r="T150" s="83">
        <f>T148/S148-1</f>
        <v>4.9382716049382713E-2</v>
      </c>
      <c r="U150" s="83">
        <f>U148/T148-1</f>
        <v>3.9705882352941257E-2</v>
      </c>
      <c r="V150" s="71"/>
      <c r="W150" s="83">
        <f>W148/U148-1</f>
        <v>4.5908062234794933E-2</v>
      </c>
      <c r="X150" s="83">
        <f>X148/W148-1</f>
        <v>6.9590253388635226E-2</v>
      </c>
      <c r="Y150" s="83">
        <f>Y148/X148-1</f>
        <v>6.2691866140019759E-2</v>
      </c>
      <c r="Z150" s="83">
        <f>Z148/Y148-1</f>
        <v>4.46591314693634E-2</v>
      </c>
      <c r="AA150" s="113"/>
      <c r="AB150" s="83">
        <f>AB148/Z148-1</f>
        <v>5.4626461785165947E-2</v>
      </c>
      <c r="AC150" s="83">
        <f>AC148/AB148-1</f>
        <v>4.4600431965442722E-2</v>
      </c>
      <c r="AD150" s="83">
        <f>AD148/AC148-1</f>
        <v>2.5845135945415043E-2</v>
      </c>
      <c r="AE150" s="83">
        <f>AE148/AD148-1</f>
        <v>1.7410057442305726E-2</v>
      </c>
      <c r="AF150" s="71"/>
      <c r="AG150" s="83">
        <f>AG148/AE148-1</f>
        <v>2.7870115771373216E-2</v>
      </c>
      <c r="AH150" s="83">
        <f>AH148/AG148-1</f>
        <v>1.458881212820895E-2</v>
      </c>
      <c r="AI150" s="83">
        <f>AI148/AH148-1</f>
        <v>1.7279731624197936E-2</v>
      </c>
      <c r="AJ150" s="83">
        <f>AJ148/AI148-1</f>
        <v>9.13033532671359E-3</v>
      </c>
      <c r="AK150" s="71"/>
      <c r="AL150" s="83">
        <f>AL148/AJ148-1</f>
        <v>4.9811995292480482E-2</v>
      </c>
      <c r="AM150" s="83">
        <f>AM148/AL148-1</f>
        <v>2.210526130248458E-2</v>
      </c>
      <c r="AN150" s="83">
        <f>AN148/AM148-1</f>
        <v>1.887054384415876E-2</v>
      </c>
      <c r="AO150" s="83">
        <f>AO148/AN148-1</f>
        <v>9.623155829791008E-3</v>
      </c>
      <c r="AP150" s="71"/>
      <c r="AQ150" s="83">
        <f>AQ148/AO148-1</f>
        <v>4.2970662196144094E-2</v>
      </c>
      <c r="AR150" s="83">
        <f>AR148/AQ148-1</f>
        <v>2.59020593700372E-2</v>
      </c>
      <c r="AS150" s="83">
        <f>AS148/AR148-1</f>
        <v>2.4699704581223614E-2</v>
      </c>
      <c r="AT150" s="83">
        <f>AT148/AS148-1</f>
        <v>2.6741140439533906E-2</v>
      </c>
      <c r="AU150" s="71"/>
      <c r="AV150" s="83">
        <f>AV148/AT148-1</f>
        <v>2.2092330603127319E-2</v>
      </c>
      <c r="AW150" s="83">
        <f>AW148/AV148-1</f>
        <v>2.4819512337269645E-2</v>
      </c>
      <c r="AX150" s="83">
        <f>AX148/AW148-1</f>
        <v>3.5793420101383422E-2</v>
      </c>
      <c r="AY150" s="83">
        <f>AY148/AX148-1</f>
        <v>4.5936732846473038E-2</v>
      </c>
      <c r="AZ150" s="71"/>
      <c r="BA150" s="83">
        <f>BA148/AY148-1</f>
        <v>3.1286986762028235E-2</v>
      </c>
      <c r="BB150" s="83">
        <f>BB148/BA148-1</f>
        <v>3.3769901091306842E-2</v>
      </c>
      <c r="BC150" s="83">
        <f>BC148/BB148-1</f>
        <v>4.4761328500529496E-2</v>
      </c>
      <c r="BD150" s="83">
        <f>BD148/BC148-1</f>
        <v>5.4914730553309754E-2</v>
      </c>
      <c r="BE150" s="71"/>
      <c r="BF150" s="71"/>
      <c r="BG150" s="71"/>
      <c r="BH150" s="71"/>
      <c r="BI150" s="71"/>
      <c r="BJ150" s="71"/>
      <c r="BR150" s="148"/>
    </row>
    <row r="151" spans="2:70" s="87" customFormat="1">
      <c r="C151" s="83"/>
      <c r="D151" s="83"/>
      <c r="E151" s="83"/>
      <c r="F151" s="83"/>
      <c r="G151" s="71"/>
      <c r="H151" s="83"/>
      <c r="I151" s="83"/>
      <c r="J151" s="83"/>
      <c r="K151" s="83"/>
      <c r="L151" s="71"/>
      <c r="M151" s="83"/>
      <c r="N151" s="83"/>
      <c r="O151" s="83"/>
      <c r="P151" s="83"/>
      <c r="Q151" s="71"/>
      <c r="R151" s="83"/>
      <c r="S151" s="83"/>
      <c r="T151" s="83"/>
      <c r="U151" s="83"/>
      <c r="V151" s="71"/>
      <c r="W151" s="83"/>
      <c r="X151" s="83"/>
      <c r="Y151" s="83"/>
      <c r="Z151" s="83"/>
      <c r="AA151" s="71"/>
      <c r="AB151" s="83"/>
      <c r="AC151" s="83"/>
      <c r="AD151" s="83"/>
      <c r="AE151" s="83"/>
      <c r="AF151" s="71"/>
      <c r="AG151" s="83"/>
      <c r="AH151" s="83"/>
      <c r="AI151" s="83"/>
      <c r="AJ151" s="83"/>
      <c r="AK151" s="71"/>
      <c r="AL151" s="83"/>
      <c r="AM151" s="83"/>
      <c r="AN151" s="83"/>
      <c r="AO151" s="83"/>
      <c r="AP151" s="54"/>
      <c r="AQ151" s="83"/>
      <c r="AR151" s="83"/>
      <c r="AS151" s="83"/>
      <c r="AT151" s="83"/>
      <c r="AU151" s="54"/>
      <c r="AV151" s="83"/>
      <c r="AW151" s="83"/>
      <c r="AX151" s="83"/>
      <c r="AY151" s="83"/>
      <c r="AZ151" s="71"/>
      <c r="BA151" s="83"/>
      <c r="BB151" s="83"/>
      <c r="BC151" s="83"/>
      <c r="BD151" s="83"/>
      <c r="BE151" s="71"/>
      <c r="BF151" s="71"/>
      <c r="BG151" s="71"/>
      <c r="BH151" s="71"/>
      <c r="BI151" s="71"/>
      <c r="BJ151" s="71"/>
      <c r="BR151" s="148"/>
    </row>
    <row r="152" spans="2:70" s="87" customFormat="1">
      <c r="B152" s="81" t="s">
        <v>251</v>
      </c>
      <c r="C152" s="83"/>
      <c r="D152" s="83"/>
      <c r="E152" s="83"/>
      <c r="F152" s="83"/>
      <c r="G152" s="71"/>
      <c r="H152" s="83"/>
      <c r="I152" s="83"/>
      <c r="J152" s="83"/>
      <c r="K152" s="83"/>
      <c r="L152" s="71"/>
      <c r="M152" s="98">
        <v>18.385999999999999</v>
      </c>
      <c r="N152" s="98">
        <v>19.776</v>
      </c>
      <c r="O152" s="98">
        <v>20.402999999999999</v>
      </c>
      <c r="P152" s="98">
        <f>23.302-1.018</f>
        <v>22.283999999999999</v>
      </c>
      <c r="Q152" s="178">
        <f>SUM(M152:P152)</f>
        <v>80.84899999999999</v>
      </c>
      <c r="R152" s="98">
        <v>25.497</v>
      </c>
      <c r="S152" s="98">
        <v>28.07</v>
      </c>
      <c r="T152" s="98">
        <v>30.257000000000001</v>
      </c>
      <c r="U152" s="98">
        <f>33.42-1.334</f>
        <v>32.085999999999999</v>
      </c>
      <c r="V152" s="178">
        <f>SUM(R152:U152)</f>
        <v>115.91</v>
      </c>
      <c r="W152" s="112">
        <f>W143-W153</f>
        <v>34.067999999999984</v>
      </c>
      <c r="X152" s="112">
        <f>X143-X153</f>
        <v>37.025000000000006</v>
      </c>
      <c r="Y152" s="112">
        <f>Y143-Y153</f>
        <v>41.414000000000016</v>
      </c>
      <c r="Z152" s="112">
        <f>Z143-Z153</f>
        <v>47.891999999999996</v>
      </c>
      <c r="AA152" s="178">
        <f>SUM(W152:Z152)</f>
        <v>160.399</v>
      </c>
      <c r="AB152" s="112">
        <f>AB143-AB153</f>
        <v>53.16</v>
      </c>
      <c r="AC152" s="112">
        <f>AC143-AC153</f>
        <v>55.383999999999986</v>
      </c>
      <c r="AD152" s="112">
        <f>AD143-AD153</f>
        <v>54.865999999999985</v>
      </c>
      <c r="AE152" s="112">
        <f>AE143-AE153</f>
        <v>57.763000000000005</v>
      </c>
      <c r="AF152" s="178">
        <f>SUM(AB152:AE152)</f>
        <v>221.17299999999997</v>
      </c>
      <c r="AG152" s="112">
        <f>AG143-AG153</f>
        <v>61.488</v>
      </c>
      <c r="AH152" s="112">
        <f>AH143-AH153</f>
        <v>62.64700000000002</v>
      </c>
      <c r="AI152" s="112">
        <f>AI143-AI153</f>
        <v>58.531999999999982</v>
      </c>
      <c r="AJ152" s="112">
        <f>AJ143-AJ153</f>
        <v>54.989999999999981</v>
      </c>
      <c r="AK152" s="178">
        <f>SUM(AG152:AJ152)</f>
        <v>237.65699999999998</v>
      </c>
      <c r="AL152" s="112">
        <f>AL143-AL153</f>
        <v>54.332999999999998</v>
      </c>
      <c r="AM152" s="112">
        <f>AM143-AM153</f>
        <v>49.488</v>
      </c>
      <c r="AN152" s="112">
        <f>AN143-AN153</f>
        <v>50.51400000000001</v>
      </c>
      <c r="AO152" s="112">
        <f>AO143-AO153</f>
        <v>50.09899999999999</v>
      </c>
      <c r="AP152" s="178">
        <f>SUM(AL152:AO152)</f>
        <v>204.434</v>
      </c>
      <c r="AQ152" s="112">
        <f>AQ143-AQ153</f>
        <v>52.134000000000015</v>
      </c>
      <c r="AR152" s="112">
        <f>AR143-AR153</f>
        <v>50.519999999999982</v>
      </c>
      <c r="AS152" s="112">
        <f>AS143-AS153</f>
        <v>50.34699999999998</v>
      </c>
      <c r="AT152" s="112">
        <f>AT143-AT153</f>
        <v>50.189000000000021</v>
      </c>
      <c r="AU152" s="178">
        <f>SUM(AQ152:AT152)</f>
        <v>203.19</v>
      </c>
      <c r="AV152" s="112">
        <f>AV143-AV153</f>
        <v>53.699999999999989</v>
      </c>
      <c r="AW152" s="112">
        <f>AW143-AW153</f>
        <v>51.52600000000001</v>
      </c>
      <c r="AX152" s="112">
        <f>AX143-AX153</f>
        <v>56.586999999999989</v>
      </c>
      <c r="AY152" s="112">
        <f>AY143-AY153</f>
        <v>63.882000000000005</v>
      </c>
      <c r="AZ152" s="178">
        <f>SUM(AV152:AY152)</f>
        <v>225.69499999999999</v>
      </c>
      <c r="BA152" s="112">
        <f>BA143-BA153</f>
        <v>72.788751135150221</v>
      </c>
      <c r="BB152" s="112">
        <f>BB143-BB153</f>
        <v>73.256460218919017</v>
      </c>
      <c r="BC152" s="112">
        <f>BC143-BC153</f>
        <v>74.456065706189008</v>
      </c>
      <c r="BD152" s="112">
        <f>BD143-BD153</f>
        <v>78.544800492503896</v>
      </c>
      <c r="BE152" s="178">
        <f>SUM(BA152:BD152)</f>
        <v>299.04607755276214</v>
      </c>
      <c r="BF152" s="178">
        <f t="shared" ref="BF152:BJ152" si="374">BF143-BF153</f>
        <v>325.76015581047341</v>
      </c>
      <c r="BG152" s="178">
        <f t="shared" si="374"/>
        <v>346.98122041899137</v>
      </c>
      <c r="BH152" s="178">
        <f t="shared" si="374"/>
        <v>362.80548108305697</v>
      </c>
      <c r="BI152" s="178">
        <f t="shared" si="374"/>
        <v>373.60733254106799</v>
      </c>
      <c r="BJ152" s="178">
        <f t="shared" si="374"/>
        <v>380.2243360034031</v>
      </c>
      <c r="BR152" s="148"/>
    </row>
    <row r="153" spans="2:70" s="87" customFormat="1">
      <c r="B153" s="76" t="s">
        <v>187</v>
      </c>
      <c r="C153" s="83"/>
      <c r="D153" s="83"/>
      <c r="E153" s="83"/>
      <c r="F153" s="83"/>
      <c r="G153" s="71"/>
      <c r="H153" s="83"/>
      <c r="I153" s="83"/>
      <c r="J153" s="83"/>
      <c r="K153" s="83"/>
      <c r="L153" s="71"/>
      <c r="M153" s="112">
        <f>M143-M152</f>
        <v>102.048</v>
      </c>
      <c r="N153" s="112">
        <f>N143-N152</f>
        <v>106.94</v>
      </c>
      <c r="O153" s="112">
        <f>O143-O152</f>
        <v>114.17600000000002</v>
      </c>
      <c r="P153" s="112">
        <f>P143-P152</f>
        <v>121.33700000000002</v>
      </c>
      <c r="Q153" s="178">
        <f>SUM(M153:P153)</f>
        <v>444.50099999999998</v>
      </c>
      <c r="R153" s="112">
        <f>R143-R152</f>
        <v>125.867</v>
      </c>
      <c r="S153" s="112">
        <f>S143-S152</f>
        <v>128.94200000000001</v>
      </c>
      <c r="T153" s="112">
        <f>T143-T152</f>
        <v>134.50399999999999</v>
      </c>
      <c r="U153" s="112">
        <f>U143-U152</f>
        <v>139.26900000000001</v>
      </c>
      <c r="V153" s="178">
        <f>SUM(R153:U153)</f>
        <v>528.58199999999999</v>
      </c>
      <c r="W153" s="98">
        <v>142.47800000000001</v>
      </c>
      <c r="X153" s="98">
        <v>153.14400000000001</v>
      </c>
      <c r="Y153" s="98">
        <v>161.58199999999999</v>
      </c>
      <c r="Z153" s="98">
        <v>165.85300000000001</v>
      </c>
      <c r="AA153" s="178">
        <f>SUM(W153:Z153)</f>
        <v>623.05700000000002</v>
      </c>
      <c r="AB153" s="98">
        <v>173.27600000000001</v>
      </c>
      <c r="AC153" s="98">
        <v>180.50700000000001</v>
      </c>
      <c r="AD153" s="98">
        <v>186.43700000000001</v>
      </c>
      <c r="AE153" s="98">
        <v>188.90600000000001</v>
      </c>
      <c r="AF153" s="178">
        <f>SUM(AB153:AE153)</f>
        <v>729.12599999999998</v>
      </c>
      <c r="AG153" s="98">
        <v>193.48</v>
      </c>
      <c r="AH153" s="98">
        <v>195.53</v>
      </c>
      <c r="AI153" s="98">
        <v>202.53399999999999</v>
      </c>
      <c r="AJ153" s="98">
        <v>210.27799999999999</v>
      </c>
      <c r="AK153" s="178">
        <f>SUM(AG153:AJ153)</f>
        <v>801.822</v>
      </c>
      <c r="AL153" s="98">
        <v>223.797</v>
      </c>
      <c r="AM153" s="98">
        <v>237.601</v>
      </c>
      <c r="AN153" s="98">
        <v>240.12</v>
      </c>
      <c r="AO153" s="98">
        <v>246.05500000000001</v>
      </c>
      <c r="AP153" s="178">
        <f>SUM(AL153:AO153)</f>
        <v>947.57300000000009</v>
      </c>
      <c r="AQ153" s="98">
        <v>252.15899999999999</v>
      </c>
      <c r="AR153" s="98">
        <v>261.60500000000002</v>
      </c>
      <c r="AS153" s="98">
        <v>268.47800000000001</v>
      </c>
      <c r="AT153" s="98">
        <v>279.54300000000001</v>
      </c>
      <c r="AU153" s="178">
        <f>SUM(AQ153:AT153)</f>
        <v>1061.7849999999999</v>
      </c>
      <c r="AV153" s="98">
        <v>283.976</v>
      </c>
      <c r="AW153" s="98">
        <v>293.93</v>
      </c>
      <c r="AX153" s="98">
        <v>299.58699999999999</v>
      </c>
      <c r="AY153" s="98">
        <v>306.53899999999999</v>
      </c>
      <c r="AZ153" s="178">
        <f>SUM(AV153:AY153)</f>
        <v>1184.0319999999999</v>
      </c>
      <c r="BA153" s="112">
        <f>BA143*BA154</f>
        <v>312.27950061484984</v>
      </c>
      <c r="BB153" s="112">
        <f>BB143*BB154</f>
        <v>324.81550830608097</v>
      </c>
      <c r="BC153" s="112">
        <f>BC143*BC154</f>
        <v>341.43413296881096</v>
      </c>
      <c r="BD153" s="112">
        <f>BD143*BD154</f>
        <v>360.18389638249613</v>
      </c>
      <c r="BE153" s="178">
        <f>SUM(BA153:BD153)</f>
        <v>1338.713038272238</v>
      </c>
      <c r="BF153" s="178">
        <f t="shared" ref="BF153:BJ153" si="375">BF143*BF154</f>
        <v>1508.5300539135269</v>
      </c>
      <c r="BG153" s="178">
        <f t="shared" si="375"/>
        <v>1663.400849438513</v>
      </c>
      <c r="BH153" s="178">
        <f t="shared" si="375"/>
        <v>1801.9739317395035</v>
      </c>
      <c r="BI153" s="178">
        <f t="shared" si="375"/>
        <v>1924.1761274053101</v>
      </c>
      <c r="BJ153" s="178">
        <f t="shared" si="375"/>
        <v>2032.4482969402943</v>
      </c>
      <c r="BR153" s="148"/>
    </row>
    <row r="154" spans="2:70" s="87" customFormat="1">
      <c r="B154" s="76" t="s">
        <v>213</v>
      </c>
      <c r="C154" s="83"/>
      <c r="D154" s="83"/>
      <c r="E154" s="83"/>
      <c r="F154" s="83"/>
      <c r="G154" s="71"/>
      <c r="H154" s="83"/>
      <c r="I154" s="83"/>
      <c r="J154" s="83"/>
      <c r="K154" s="83"/>
      <c r="L154" s="71"/>
      <c r="M154" s="110">
        <f t="shared" ref="M154:AW154" si="376">M153/M143</f>
        <v>0.84733547004998588</v>
      </c>
      <c r="N154" s="110">
        <f t="shared" si="376"/>
        <v>0.84393446762839741</v>
      </c>
      <c r="O154" s="110">
        <f t="shared" si="376"/>
        <v>0.84839388017447004</v>
      </c>
      <c r="P154" s="83">
        <f t="shared" si="376"/>
        <v>0.84484163179479332</v>
      </c>
      <c r="Q154" s="74">
        <f t="shared" si="376"/>
        <v>0.84610450176073082</v>
      </c>
      <c r="R154" s="110">
        <f t="shared" si="376"/>
        <v>0.8315517560318173</v>
      </c>
      <c r="S154" s="110">
        <f t="shared" si="376"/>
        <v>0.82122385550149035</v>
      </c>
      <c r="T154" s="110">
        <f t="shared" si="376"/>
        <v>0.81635824011750346</v>
      </c>
      <c r="U154" s="110">
        <f t="shared" si="376"/>
        <v>0.81275130576872578</v>
      </c>
      <c r="V154" s="74">
        <f t="shared" si="376"/>
        <v>0.82015292664610273</v>
      </c>
      <c r="W154" s="110">
        <f t="shared" si="376"/>
        <v>0.80703046231577047</v>
      </c>
      <c r="X154" s="110">
        <f t="shared" si="376"/>
        <v>0.80530475524401979</v>
      </c>
      <c r="Y154" s="110">
        <f t="shared" si="376"/>
        <v>0.79598612780547395</v>
      </c>
      <c r="Z154" s="110">
        <f t="shared" si="376"/>
        <v>0.77593861844721512</v>
      </c>
      <c r="AA154" s="74">
        <f t="shared" si="376"/>
        <v>0.79526737940611858</v>
      </c>
      <c r="AB154" s="110">
        <f t="shared" si="376"/>
        <v>0.76523167694182903</v>
      </c>
      <c r="AC154" s="110">
        <f t="shared" si="376"/>
        <v>0.76521359441436942</v>
      </c>
      <c r="AD154" s="110">
        <f t="shared" si="376"/>
        <v>0.77262611737110609</v>
      </c>
      <c r="AE154" s="110">
        <f t="shared" si="376"/>
        <v>0.765827890817249</v>
      </c>
      <c r="AF154" s="74">
        <f t="shared" si="376"/>
        <v>0.76725956777814142</v>
      </c>
      <c r="AG154" s="110">
        <f t="shared" si="376"/>
        <v>0.75884032506039978</v>
      </c>
      <c r="AH154" s="110">
        <f t="shared" si="376"/>
        <v>0.75734864066125174</v>
      </c>
      <c r="AI154" s="110">
        <f t="shared" si="376"/>
        <v>0.7757961588257376</v>
      </c>
      <c r="AJ154" s="110">
        <f t="shared" si="376"/>
        <v>0.79270021261516666</v>
      </c>
      <c r="AK154" s="74">
        <f t="shared" si="376"/>
        <v>0.7713691185680519</v>
      </c>
      <c r="AL154" s="110">
        <f t="shared" si="376"/>
        <v>0.8046489051882213</v>
      </c>
      <c r="AM154" s="110">
        <f t="shared" si="376"/>
        <v>0.82762139963565307</v>
      </c>
      <c r="AN154" s="110">
        <f t="shared" si="376"/>
        <v>0.82619376948326761</v>
      </c>
      <c r="AO154" s="110">
        <f t="shared" si="376"/>
        <v>0.83083463333265806</v>
      </c>
      <c r="AP154" s="74">
        <f t="shared" si="376"/>
        <v>0.8225410088653976</v>
      </c>
      <c r="AQ154" s="110">
        <f t="shared" si="376"/>
        <v>0.82867170786051603</v>
      </c>
      <c r="AR154" s="110">
        <f t="shared" si="376"/>
        <v>0.83814177012414903</v>
      </c>
      <c r="AS154" s="110">
        <f t="shared" si="376"/>
        <v>0.84208578373715992</v>
      </c>
      <c r="AT154" s="110">
        <f t="shared" si="376"/>
        <v>0.84778850702995157</v>
      </c>
      <c r="AU154" s="74">
        <f t="shared" si="376"/>
        <v>0.8393723196110594</v>
      </c>
      <c r="AV154" s="110">
        <f t="shared" si="376"/>
        <v>0.84097181914024099</v>
      </c>
      <c r="AW154" s="110">
        <f t="shared" si="376"/>
        <v>0.85084641748876844</v>
      </c>
      <c r="AX154" s="110">
        <f t="shared" ref="AX154" si="377">AX153/AX143</f>
        <v>0.84112540499868049</v>
      </c>
      <c r="AY154" s="110">
        <f>AY153/AY143</f>
        <v>0.82754217498467952</v>
      </c>
      <c r="AZ154" s="74">
        <f>AZ153/AZ143</f>
        <v>0.83990162634325638</v>
      </c>
      <c r="BA154" s="320">
        <f>AV154-3%</f>
        <v>0.81097181914024097</v>
      </c>
      <c r="BB154" s="320">
        <f>BA154+0.005</f>
        <v>0.81597181914024097</v>
      </c>
      <c r="BC154" s="320">
        <f>BB154+0.005</f>
        <v>0.82097181914024098</v>
      </c>
      <c r="BD154" s="320">
        <f>BC154</f>
        <v>0.82097181914024098</v>
      </c>
      <c r="BE154" s="74">
        <f>BE153/BE143</f>
        <v>0.8174053347264556</v>
      </c>
      <c r="BF154" s="140">
        <f t="shared" ref="BF154:BJ154" si="378">BE154+0.005</f>
        <v>0.82240533472645561</v>
      </c>
      <c r="BG154" s="140">
        <f t="shared" si="378"/>
        <v>0.82740533472645561</v>
      </c>
      <c r="BH154" s="140">
        <f t="shared" si="378"/>
        <v>0.83240533472645561</v>
      </c>
      <c r="BI154" s="140">
        <f t="shared" si="378"/>
        <v>0.83740533472645562</v>
      </c>
      <c r="BJ154" s="140">
        <f t="shared" si="378"/>
        <v>0.84240533472645562</v>
      </c>
      <c r="BL154" s="87" t="s">
        <v>247</v>
      </c>
      <c r="BR154" s="148"/>
    </row>
    <row r="155" spans="2:70" s="87" customFormat="1">
      <c r="B155" s="76"/>
      <c r="C155" s="83"/>
      <c r="D155" s="83"/>
      <c r="E155" s="83"/>
      <c r="F155" s="83"/>
      <c r="G155" s="71"/>
      <c r="H155" s="83"/>
      <c r="I155" s="83"/>
      <c r="J155" s="83"/>
      <c r="K155" s="83"/>
      <c r="L155" s="71"/>
      <c r="M155" s="110"/>
      <c r="N155" s="110"/>
      <c r="O155" s="110"/>
      <c r="P155" s="83"/>
      <c r="Q155" s="74"/>
      <c r="R155" s="110"/>
      <c r="S155" s="110"/>
      <c r="T155" s="110"/>
      <c r="U155" s="110"/>
      <c r="V155" s="74"/>
      <c r="W155" s="110"/>
      <c r="X155" s="110"/>
      <c r="Y155" s="110"/>
      <c r="Z155" s="110"/>
      <c r="AA155" s="74"/>
      <c r="AB155" s="110"/>
      <c r="AC155" s="110"/>
      <c r="AD155" s="110"/>
      <c r="AE155" s="110"/>
      <c r="AF155" s="74"/>
      <c r="AG155" s="173"/>
      <c r="AH155" s="173"/>
      <c r="AI155" s="173"/>
      <c r="AJ155" s="173"/>
      <c r="AK155" s="140"/>
      <c r="AL155" s="173"/>
      <c r="AM155" s="173"/>
      <c r="AN155" s="173"/>
      <c r="AO155" s="173"/>
      <c r="AP155" s="140"/>
      <c r="AQ155" s="173"/>
      <c r="AR155" s="173"/>
      <c r="AS155" s="173"/>
      <c r="AT155" s="173"/>
      <c r="AU155" s="140"/>
      <c r="AV155" s="173"/>
      <c r="AW155" s="173"/>
      <c r="AX155" s="173"/>
      <c r="AY155" s="173"/>
      <c r="AZ155" s="140"/>
      <c r="BA155" s="173"/>
      <c r="BB155" s="173"/>
      <c r="BC155" s="173"/>
      <c r="BD155" s="173"/>
      <c r="BE155" s="140"/>
      <c r="BF155" s="140"/>
      <c r="BG155" s="140"/>
      <c r="BH155" s="140"/>
      <c r="BI155" s="140"/>
      <c r="BJ155" s="140"/>
      <c r="BR155" s="148"/>
    </row>
    <row r="156" spans="2:70" s="87" customFormat="1">
      <c r="B156" s="76"/>
      <c r="C156" s="83"/>
      <c r="D156" s="83"/>
      <c r="E156" s="83"/>
      <c r="F156" s="83"/>
      <c r="G156" s="71"/>
      <c r="H156" s="83"/>
      <c r="I156" s="83"/>
      <c r="J156" s="83"/>
      <c r="K156" s="83"/>
      <c r="L156" s="71"/>
      <c r="M156" s="110"/>
      <c r="N156" s="110"/>
      <c r="O156" s="110"/>
      <c r="P156" s="83"/>
      <c r="Q156" s="74"/>
      <c r="R156" s="110"/>
      <c r="S156" s="110"/>
      <c r="T156" s="110"/>
      <c r="U156" s="110"/>
      <c r="V156" s="74"/>
      <c r="W156" s="83"/>
      <c r="X156" s="83"/>
      <c r="Y156" s="83"/>
      <c r="Z156" s="83"/>
      <c r="AA156" s="71"/>
      <c r="AB156" s="110"/>
      <c r="AC156" s="55"/>
      <c r="AD156" s="55"/>
      <c r="AE156" s="55"/>
      <c r="AF156" s="71"/>
      <c r="AG156" s="173"/>
      <c r="AH156" s="174"/>
      <c r="AI156" s="174"/>
      <c r="AJ156" s="174"/>
      <c r="AK156" s="71"/>
      <c r="AL156" s="173"/>
      <c r="AM156" s="174"/>
      <c r="AN156" s="174"/>
      <c r="AO156" s="174"/>
      <c r="AP156" s="54"/>
      <c r="AQ156" s="174"/>
      <c r="AR156" s="174"/>
      <c r="AS156" s="174"/>
      <c r="AT156" s="174"/>
      <c r="AU156" s="54"/>
      <c r="AV156" s="174"/>
      <c r="AW156" s="174"/>
      <c r="AX156" s="174"/>
      <c r="AY156" s="174"/>
      <c r="AZ156" s="71"/>
      <c r="BA156" s="174"/>
      <c r="BB156" s="174"/>
      <c r="BC156" s="174"/>
      <c r="BD156" s="174"/>
      <c r="BE156" s="71"/>
      <c r="BF156" s="71"/>
      <c r="BG156" s="71"/>
      <c r="BH156" s="71"/>
      <c r="BI156" s="71"/>
      <c r="BJ156" s="71"/>
      <c r="BL156" s="315">
        <f>+AZ97</f>
        <v>0.69001537346892505</v>
      </c>
      <c r="BR156" s="148"/>
    </row>
    <row r="157" spans="2:70" s="87" customFormat="1">
      <c r="B157" s="81" t="s">
        <v>202</v>
      </c>
      <c r="C157" s="83"/>
      <c r="D157" s="83"/>
      <c r="E157" s="83"/>
      <c r="F157" s="83"/>
      <c r="G157" s="71"/>
      <c r="H157" s="83"/>
      <c r="I157" s="83"/>
      <c r="J157" s="83"/>
      <c r="K157" s="83"/>
      <c r="L157" s="71"/>
      <c r="M157" s="98">
        <v>17.7</v>
      </c>
      <c r="N157" s="98">
        <v>19.244</v>
      </c>
      <c r="O157" s="98">
        <v>20.931999999999999</v>
      </c>
      <c r="P157" s="98">
        <v>20.39</v>
      </c>
      <c r="Q157" s="178">
        <f>SUM(M157:P157)</f>
        <v>78.266000000000005</v>
      </c>
      <c r="R157" s="98">
        <v>23.486000000000001</v>
      </c>
      <c r="S157" s="98">
        <v>29.07</v>
      </c>
      <c r="T157" s="98">
        <v>32.289000000000001</v>
      </c>
      <c r="U157" s="98">
        <v>35.878</v>
      </c>
      <c r="V157" s="178">
        <f>SUM(R157:U157)</f>
        <v>120.723</v>
      </c>
      <c r="W157" s="98">
        <v>40.061</v>
      </c>
      <c r="X157" s="98">
        <v>48.155000000000001</v>
      </c>
      <c r="Y157" s="98">
        <v>52.613999999999997</v>
      </c>
      <c r="Z157" s="98">
        <v>69.960999999999999</v>
      </c>
      <c r="AA157" s="178">
        <f>SUM(W157:Z157)</f>
        <v>210.791</v>
      </c>
      <c r="AB157" s="98">
        <v>83.05</v>
      </c>
      <c r="AC157" s="98">
        <v>79.816000000000003</v>
      </c>
      <c r="AD157" s="98">
        <v>80.56</v>
      </c>
      <c r="AE157" s="98">
        <v>87.518000000000001</v>
      </c>
      <c r="AF157" s="178">
        <f>SUM(AB157:AE157)</f>
        <v>330.94399999999996</v>
      </c>
      <c r="AG157" s="98">
        <v>93.460999999999999</v>
      </c>
      <c r="AH157" s="98">
        <v>84.673000000000002</v>
      </c>
      <c r="AI157" s="98">
        <v>82.527000000000001</v>
      </c>
      <c r="AJ157" s="98">
        <v>90.046999999999997</v>
      </c>
      <c r="AK157" s="178">
        <f t="shared" ref="AK157" si="379">AK161+AK164</f>
        <v>350.70799999999997</v>
      </c>
      <c r="AL157" s="98">
        <v>101.476</v>
      </c>
      <c r="AM157" s="98">
        <v>104.57</v>
      </c>
      <c r="AN157" s="98">
        <v>105.178</v>
      </c>
      <c r="AO157" s="98">
        <v>111.503</v>
      </c>
      <c r="AP157" s="178">
        <f>SUM(AL157:AO157)</f>
        <v>422.72699999999998</v>
      </c>
      <c r="AQ157" s="98">
        <v>122.64400000000001</v>
      </c>
      <c r="AR157" s="98">
        <v>129.43199999999999</v>
      </c>
      <c r="AS157" s="98">
        <v>125.848</v>
      </c>
      <c r="AT157" s="98">
        <v>139.4</v>
      </c>
      <c r="AU157" s="178">
        <f>SUM(AQ157:AT157)</f>
        <v>517.32399999999996</v>
      </c>
      <c r="AV157" s="98">
        <v>141.43600000000001</v>
      </c>
      <c r="AW157" s="98">
        <v>145.053</v>
      </c>
      <c r="AX157" s="98">
        <v>148.19300000000001</v>
      </c>
      <c r="AY157" s="98">
        <v>158.67599999999999</v>
      </c>
      <c r="AZ157" s="178">
        <f>SUM(AV157:AY157)</f>
        <v>593.35799999999995</v>
      </c>
      <c r="BA157" s="112">
        <f>BA161+BA164</f>
        <v>156.75407297297295</v>
      </c>
      <c r="BB157" s="112">
        <f>BB161+BB164</f>
        <v>165.2693743243243</v>
      </c>
      <c r="BC157" s="112">
        <f>BC161+BC164</f>
        <v>170.63025000000002</v>
      </c>
      <c r="BD157" s="112">
        <f>BD161+BD164</f>
        <v>173.96810000000002</v>
      </c>
      <c r="BE157" s="178">
        <f>SUM(BA157:BD157)</f>
        <v>666.62179729729735</v>
      </c>
      <c r="BF157" s="178">
        <f t="shared" ref="BF157:BJ157" si="380">BF161+BF164</f>
        <v>740.69829546959465</v>
      </c>
      <c r="BG157" s="178">
        <f t="shared" si="380"/>
        <v>809.0496644489624</v>
      </c>
      <c r="BH157" s="178">
        <f t="shared" si="380"/>
        <v>871.42800500815758</v>
      </c>
      <c r="BI157" s="178">
        <f t="shared" si="380"/>
        <v>927.8801255579192</v>
      </c>
      <c r="BJ157" s="178">
        <f t="shared" si="380"/>
        <v>978.64523051467791</v>
      </c>
      <c r="BR157" s="148"/>
    </row>
    <row r="158" spans="2:70" s="87" customFormat="1">
      <c r="B158" s="87" t="s">
        <v>72</v>
      </c>
      <c r="C158" s="83"/>
      <c r="D158" s="83"/>
      <c r="E158" s="83"/>
      <c r="F158" s="83"/>
      <c r="G158" s="71"/>
      <c r="H158" s="83"/>
      <c r="I158" s="83"/>
      <c r="J158" s="83"/>
      <c r="K158" s="83"/>
      <c r="L158" s="71"/>
      <c r="M158" s="83"/>
      <c r="N158" s="83"/>
      <c r="O158" s="83"/>
      <c r="P158" s="83"/>
      <c r="Q158" s="71"/>
      <c r="R158" s="83">
        <f t="shared" ref="R158:AF158" si="381">R157/M157-1</f>
        <v>0.32689265536723178</v>
      </c>
      <c r="S158" s="83">
        <f t="shared" si="381"/>
        <v>0.51060070671378099</v>
      </c>
      <c r="T158" s="83">
        <f t="shared" si="381"/>
        <v>0.54256640550353552</v>
      </c>
      <c r="U158" s="83">
        <f t="shared" si="381"/>
        <v>0.75958803334968117</v>
      </c>
      <c r="V158" s="71">
        <f t="shared" si="381"/>
        <v>0.54247054915288873</v>
      </c>
      <c r="W158" s="83">
        <f t="shared" si="381"/>
        <v>0.70573958954270632</v>
      </c>
      <c r="X158" s="83">
        <f t="shared" si="381"/>
        <v>0.65651874785001718</v>
      </c>
      <c r="Y158" s="83">
        <f t="shared" si="381"/>
        <v>0.62947133698782842</v>
      </c>
      <c r="Z158" s="83">
        <f t="shared" si="381"/>
        <v>0.94996934054295101</v>
      </c>
      <c r="AA158" s="71">
        <f t="shared" si="381"/>
        <v>0.74607158536484341</v>
      </c>
      <c r="AB158" s="83">
        <f t="shared" si="381"/>
        <v>1.0730885399765357</v>
      </c>
      <c r="AC158" s="83">
        <f t="shared" si="381"/>
        <v>0.6574810507735438</v>
      </c>
      <c r="AD158" s="83">
        <f t="shared" si="381"/>
        <v>0.53115140456912613</v>
      </c>
      <c r="AE158" s="83">
        <f t="shared" si="381"/>
        <v>0.25095410300024312</v>
      </c>
      <c r="AF158" s="71">
        <f t="shared" si="381"/>
        <v>0.57001010479574532</v>
      </c>
      <c r="AG158" s="83">
        <f t="shared" ref="AG158" si="382">AG157/AB157-1</f>
        <v>0.12535821794099933</v>
      </c>
      <c r="AH158" s="83">
        <f t="shared" ref="AH158:AJ158" si="383">AH157/AC157-1</f>
        <v>6.0852460659516883E-2</v>
      </c>
      <c r="AI158" s="83">
        <f t="shared" si="383"/>
        <v>2.4416583912611811E-2</v>
      </c>
      <c r="AJ158" s="83">
        <f t="shared" si="383"/>
        <v>2.8896912635115068E-2</v>
      </c>
      <c r="AK158" s="71">
        <f t="shared" ref="AK158" si="384">AK157/AF157-1</f>
        <v>5.9720073486753122E-2</v>
      </c>
      <c r="AL158" s="83">
        <f t="shared" ref="AL158" si="385">AL157/AG157-1</f>
        <v>8.5757695723349903E-2</v>
      </c>
      <c r="AM158" s="83">
        <f t="shared" ref="AM158:AN158" si="386">AM157/AH157-1</f>
        <v>0.23498635928808453</v>
      </c>
      <c r="AN158" s="83">
        <f t="shared" si="386"/>
        <v>0.27446774994850176</v>
      </c>
      <c r="AO158" s="83">
        <f t="shared" ref="AO158:AQ158" si="387">AO157/AJ157-1</f>
        <v>0.23827556720379373</v>
      </c>
      <c r="AP158" s="71">
        <f>AP157/AK157-1</f>
        <v>0.2053531712992005</v>
      </c>
      <c r="AQ158" s="83">
        <f t="shared" si="387"/>
        <v>0.20860104852378902</v>
      </c>
      <c r="AR158" s="83">
        <f t="shared" ref="AR158" si="388">AR157/AM157-1</f>
        <v>0.23775461413407273</v>
      </c>
      <c r="AS158" s="83">
        <f t="shared" ref="AS158:AT158" si="389">AS157/AN157-1</f>
        <v>0.19652398790621617</v>
      </c>
      <c r="AT158" s="83">
        <f t="shared" si="389"/>
        <v>0.25019057783198662</v>
      </c>
      <c r="AU158" s="71">
        <f>AU157/AP157-1</f>
        <v>0.22377799383526487</v>
      </c>
      <c r="AV158" s="83">
        <f t="shared" ref="AV158:BD158" si="390">AV157/AQ157-1</f>
        <v>0.15322396529793547</v>
      </c>
      <c r="AW158" s="83">
        <f t="shared" si="390"/>
        <v>0.12068885592434642</v>
      </c>
      <c r="AX158" s="83">
        <f t="shared" si="390"/>
        <v>0.17755546373402842</v>
      </c>
      <c r="AY158" s="83">
        <f t="shared" si="390"/>
        <v>0.13827833572453363</v>
      </c>
      <c r="AZ158" s="71">
        <f>AZ157/AU157-1</f>
        <v>0.14697558976579472</v>
      </c>
      <c r="BA158" s="83">
        <f t="shared" si="390"/>
        <v>0.10830391818895424</v>
      </c>
      <c r="BB158" s="83">
        <f t="shared" si="390"/>
        <v>0.13937232821330348</v>
      </c>
      <c r="BC158" s="83">
        <f t="shared" si="390"/>
        <v>0.15140559945476517</v>
      </c>
      <c r="BD158" s="83">
        <f t="shared" si="390"/>
        <v>9.6373112505987235E-2</v>
      </c>
      <c r="BE158" s="71">
        <f>BE157/AZ157-1</f>
        <v>0.1234731768970796</v>
      </c>
      <c r="BF158" s="71">
        <f t="shared" ref="BF158:BJ158" si="391">BF157/BE157-1</f>
        <v>0.11112222623476709</v>
      </c>
      <c r="BG158" s="71">
        <f t="shared" si="391"/>
        <v>9.2279635848268926E-2</v>
      </c>
      <c r="BH158" s="71">
        <f t="shared" si="391"/>
        <v>7.7100755738747528E-2</v>
      </c>
      <c r="BI158" s="71">
        <f t="shared" si="391"/>
        <v>6.4781164049499518E-2</v>
      </c>
      <c r="BJ158" s="71">
        <f t="shared" si="391"/>
        <v>5.4710844168835315E-2</v>
      </c>
      <c r="BR158" s="148"/>
    </row>
    <row r="159" spans="2:70" s="87" customFormat="1">
      <c r="B159" s="87" t="s">
        <v>138</v>
      </c>
      <c r="C159" s="83"/>
      <c r="D159" s="83"/>
      <c r="E159" s="83"/>
      <c r="F159" s="83"/>
      <c r="G159" s="71"/>
      <c r="H159" s="83"/>
      <c r="I159" s="83"/>
      <c r="J159" s="83"/>
      <c r="K159" s="83"/>
      <c r="L159" s="71"/>
      <c r="M159" s="83"/>
      <c r="N159" s="83">
        <f>N157/M157-1</f>
        <v>8.7231638418079127E-2</v>
      </c>
      <c r="O159" s="83">
        <f>O157/N157-1</f>
        <v>8.7715651631677272E-2</v>
      </c>
      <c r="P159" s="83">
        <f>P157/O157-1</f>
        <v>-2.5893369004395095E-2</v>
      </c>
      <c r="Q159" s="71"/>
      <c r="R159" s="83">
        <f>R157/P157-1</f>
        <v>0.15183913683178019</v>
      </c>
      <c r="S159" s="83">
        <f>S157/R157-1</f>
        <v>0.2377586647364387</v>
      </c>
      <c r="T159" s="83">
        <f>T157/S157-1</f>
        <v>0.110732714138287</v>
      </c>
      <c r="U159" s="83">
        <f>U157/T157-1</f>
        <v>0.11115240484375488</v>
      </c>
      <c r="V159" s="71"/>
      <c r="W159" s="83">
        <f>W157/U157-1</f>
        <v>0.11658955348681643</v>
      </c>
      <c r="X159" s="83">
        <f>X157/W157-1</f>
        <v>0.20204188612366147</v>
      </c>
      <c r="Y159" s="83">
        <f>Y157/X157-1</f>
        <v>9.2596822759837938E-2</v>
      </c>
      <c r="Z159" s="83">
        <f>Z157/Y157-1</f>
        <v>0.32970312084236131</v>
      </c>
      <c r="AA159" s="71"/>
      <c r="AB159" s="83">
        <f>AB157/Z157-1</f>
        <v>0.18708995011506402</v>
      </c>
      <c r="AC159" s="83">
        <f>AC157/AB157-1</f>
        <v>-3.8940397350993305E-2</v>
      </c>
      <c r="AD159" s="83">
        <f>AD157/AC157-1</f>
        <v>9.3214393104139592E-3</v>
      </c>
      <c r="AE159" s="83">
        <f>AE157/AD157-1</f>
        <v>8.6370407149950257E-2</v>
      </c>
      <c r="AF159" s="71"/>
      <c r="AG159" s="83">
        <f>AG157/AE157-1</f>
        <v>6.7906030759386615E-2</v>
      </c>
      <c r="AH159" s="83">
        <f>AH157/AG157-1</f>
        <v>-9.4028525267223717E-2</v>
      </c>
      <c r="AI159" s="83">
        <f>AI157/AH157-1</f>
        <v>-2.5344560839937191E-2</v>
      </c>
      <c r="AJ159" s="83">
        <f>AJ157/AI157-1</f>
        <v>9.1121693506367674E-2</v>
      </c>
      <c r="AK159" s="71"/>
      <c r="AL159" s="83">
        <f>AL157/AJ157-1</f>
        <v>0.12692260708296788</v>
      </c>
      <c r="AM159" s="83">
        <f>AM157/AL157-1</f>
        <v>3.0489968071268025E-2</v>
      </c>
      <c r="AN159" s="83">
        <f>AN157/AM157-1</f>
        <v>5.8142870804245295E-3</v>
      </c>
      <c r="AO159" s="83">
        <f>AO157/AN157-1</f>
        <v>6.0136150145467804E-2</v>
      </c>
      <c r="AP159" s="71"/>
      <c r="AQ159" s="83">
        <f>AQ157/AP157-1</f>
        <v>-0.70987422142422885</v>
      </c>
      <c r="AR159" s="83">
        <f>AR157/AQ157-1</f>
        <v>5.5347183718730486E-2</v>
      </c>
      <c r="AS159" s="83">
        <f>AS157/AR157-1</f>
        <v>-2.769021571172503E-2</v>
      </c>
      <c r="AT159" s="83">
        <f>AT157/AS157-1</f>
        <v>0.10768546182696581</v>
      </c>
      <c r="AU159" s="71"/>
      <c r="AV159" s="83">
        <f>AV157/AT157-1</f>
        <v>1.4605451936872349E-2</v>
      </c>
      <c r="AW159" s="83">
        <f>AW157/AV157-1</f>
        <v>2.5573404225232466E-2</v>
      </c>
      <c r="AX159" s="83">
        <f>AX157/AW157-1</f>
        <v>2.1647259967046528E-2</v>
      </c>
      <c r="AY159" s="83">
        <f>AY157/AX157-1</f>
        <v>7.0738833818061453E-2</v>
      </c>
      <c r="AZ159" s="71"/>
      <c r="BA159" s="83">
        <f>BA157/AY157-1</f>
        <v>-1.2112272977810368E-2</v>
      </c>
      <c r="BB159" s="83">
        <f>BB157/BA157-1</f>
        <v>5.432268004174623E-2</v>
      </c>
      <c r="BC159" s="83">
        <f>BC157/BB157-1</f>
        <v>3.2437199557345364E-2</v>
      </c>
      <c r="BD159" s="83">
        <f>BD157/BC157-1</f>
        <v>1.9561888938215866E-2</v>
      </c>
      <c r="BE159" s="71"/>
      <c r="BF159" s="71"/>
      <c r="BG159" s="71"/>
      <c r="BH159" s="71"/>
      <c r="BI159" s="71"/>
      <c r="BJ159" s="71"/>
      <c r="BR159" s="148"/>
    </row>
    <row r="160" spans="2:70" s="87" customFormat="1">
      <c r="B160" s="76"/>
      <c r="C160" s="83"/>
      <c r="D160" s="83"/>
      <c r="E160" s="83"/>
      <c r="F160" s="83"/>
      <c r="G160" s="71"/>
      <c r="H160" s="83"/>
      <c r="I160" s="83"/>
      <c r="J160" s="83"/>
      <c r="K160" s="83"/>
      <c r="L160" s="71"/>
      <c r="M160" s="110"/>
      <c r="N160" s="110"/>
      <c r="O160" s="110"/>
      <c r="P160" s="83"/>
      <c r="Q160" s="74"/>
      <c r="R160" s="110"/>
      <c r="S160" s="110"/>
      <c r="T160" s="110"/>
      <c r="U160" s="110"/>
      <c r="V160" s="74"/>
      <c r="W160" s="83"/>
      <c r="X160" s="83"/>
      <c r="Y160" s="83"/>
      <c r="Z160" s="83"/>
      <c r="AA160" s="71"/>
      <c r="AB160" s="55"/>
      <c r="AC160" s="55"/>
      <c r="AD160" s="55"/>
      <c r="AE160" s="55"/>
      <c r="AF160" s="71"/>
      <c r="AG160" s="83"/>
      <c r="AH160" s="83"/>
      <c r="AI160" s="83"/>
      <c r="AJ160" s="83"/>
      <c r="AK160" s="71"/>
      <c r="AL160" s="83"/>
      <c r="AM160" s="83"/>
      <c r="AN160" s="83"/>
      <c r="AO160" s="83"/>
      <c r="AP160" s="71"/>
      <c r="AQ160" s="83"/>
      <c r="AR160" s="83"/>
      <c r="AS160" s="83"/>
      <c r="AT160" s="83"/>
      <c r="AU160" s="71"/>
      <c r="AV160" s="83"/>
      <c r="AW160" s="83"/>
      <c r="AX160" s="83"/>
      <c r="AY160" s="83"/>
      <c r="AZ160" s="71"/>
      <c r="BA160" s="83"/>
      <c r="BB160" s="83"/>
      <c r="BC160" s="83"/>
      <c r="BD160" s="83"/>
      <c r="BE160" s="71"/>
      <c r="BF160" s="71"/>
      <c r="BG160" s="71"/>
      <c r="BH160" s="71"/>
      <c r="BI160" s="71"/>
      <c r="BJ160" s="71"/>
      <c r="BN160" s="45"/>
      <c r="BO160" s="45"/>
      <c r="BR160" s="148"/>
    </row>
    <row r="161" spans="2:79" s="87" customFormat="1">
      <c r="B161" s="76" t="s">
        <v>139</v>
      </c>
      <c r="C161" s="83"/>
      <c r="D161" s="83"/>
      <c r="E161" s="83"/>
      <c r="F161" s="83"/>
      <c r="G161" s="71"/>
      <c r="H161" s="83"/>
      <c r="I161" s="83"/>
      <c r="J161" s="83"/>
      <c r="K161" s="83"/>
      <c r="L161" s="71"/>
      <c r="M161" s="112">
        <f>M157-M164</f>
        <v>0.35899999999999821</v>
      </c>
      <c r="N161" s="112">
        <f>N157-N164</f>
        <v>-0.1720000000000006</v>
      </c>
      <c r="O161" s="112">
        <f>O157-O164</f>
        <v>-8.9000000000002188E-2</v>
      </c>
      <c r="P161" s="112">
        <f>P157-P164</f>
        <v>-0.18599999999999994</v>
      </c>
      <c r="Q161" s="178">
        <f>SUM(M161:P161)</f>
        <v>-8.8000000000004519E-2</v>
      </c>
      <c r="R161" s="112">
        <f>R157-R164</f>
        <v>0.56000000000000227</v>
      </c>
      <c r="S161" s="112">
        <f>S157-S164</f>
        <v>0.66300000000000026</v>
      </c>
      <c r="T161" s="112">
        <f>T157-T164</f>
        <v>0.25900000000000034</v>
      </c>
      <c r="U161" s="112">
        <f>U157-U164</f>
        <v>2.6450000000000031</v>
      </c>
      <c r="V161" s="178">
        <f>SUM(R161:U161)</f>
        <v>4.127000000000006</v>
      </c>
      <c r="W161" s="112">
        <f>W157-W164</f>
        <v>0.61999999999999744</v>
      </c>
      <c r="X161" s="112">
        <f>X157-X164</f>
        <v>2.2650000000000006</v>
      </c>
      <c r="Y161" s="112">
        <f>Y157-Y164</f>
        <v>1.4299999999999997</v>
      </c>
      <c r="Z161" s="112">
        <f>Z157-Z164</f>
        <v>1.171999999999997</v>
      </c>
      <c r="AA161" s="178">
        <f>SUM(W161:Z161)</f>
        <v>5.4869999999999948</v>
      </c>
      <c r="AB161" s="112">
        <f>AB157-AB164</f>
        <v>5.3739999999999952</v>
      </c>
      <c r="AC161" s="112">
        <f>AC157-AC164</f>
        <v>-0.69899999999999807</v>
      </c>
      <c r="AD161" s="112">
        <f>AD157-AD164</f>
        <v>1.0660000000000025</v>
      </c>
      <c r="AE161" s="112">
        <f>AE157-AE164</f>
        <v>5.8449999999999989</v>
      </c>
      <c r="AF161" s="178">
        <f>SUM(AB161:AE161)</f>
        <v>11.585999999999999</v>
      </c>
      <c r="AG161" s="112">
        <f>AG157-AG164</f>
        <v>6.8319999999999936</v>
      </c>
      <c r="AH161" s="112">
        <f>AH157-AH164</f>
        <v>-2.3739999999999952</v>
      </c>
      <c r="AI161" s="112">
        <f>AI157-AI164</f>
        <v>-2.2120000000000033</v>
      </c>
      <c r="AJ161" s="112">
        <f>AJ157-AJ164</f>
        <v>0.27499999999999147</v>
      </c>
      <c r="AK161" s="178">
        <f>SUM(AG161:AJ161)</f>
        <v>2.5209999999999866</v>
      </c>
      <c r="AL161" s="112">
        <f>AL157-AL164</f>
        <v>5.5300000000000011</v>
      </c>
      <c r="AM161" s="112">
        <f>AM157-AM164</f>
        <v>1.6819999999999879</v>
      </c>
      <c r="AN161" s="112">
        <f>AN157-AN164</f>
        <v>1.9710000000000036</v>
      </c>
      <c r="AO161" s="112">
        <f>AO157-AO164</f>
        <v>3.8859999999999957</v>
      </c>
      <c r="AP161" s="178">
        <f>SUM(AL161:AO161)</f>
        <v>13.068999999999988</v>
      </c>
      <c r="AQ161" s="112">
        <f>AQ157-AQ164</f>
        <v>7.1610000000000014</v>
      </c>
      <c r="AR161" s="112">
        <f>AR157-AR164</f>
        <v>5.8109999999999928</v>
      </c>
      <c r="AS161" s="112">
        <f>AS157-AS164</f>
        <v>0</v>
      </c>
      <c r="AT161" s="112">
        <f>AT157-AT164</f>
        <v>8.6769999999999925</v>
      </c>
      <c r="AU161" s="178">
        <f>SUM(AQ161:AT161)</f>
        <v>21.648999999999987</v>
      </c>
      <c r="AV161" s="112">
        <f>AV157-AV164</f>
        <v>5.4610000000000127</v>
      </c>
      <c r="AW161" s="112">
        <f>AW157-AW164</f>
        <v>0.57900000000000773</v>
      </c>
      <c r="AX161" s="112">
        <f>AX157-AX164</f>
        <v>-0.82699999999999818</v>
      </c>
      <c r="AY161" s="112">
        <f>AY157-AY164</f>
        <v>4.8279999999999745</v>
      </c>
      <c r="AZ161" s="178">
        <f>SUM(AV161:AY161)</f>
        <v>10.040999999999997</v>
      </c>
      <c r="BA161" s="98">
        <v>0</v>
      </c>
      <c r="BB161" s="98">
        <v>0</v>
      </c>
      <c r="BC161" s="98">
        <v>0</v>
      </c>
      <c r="BD161" s="98">
        <v>0</v>
      </c>
      <c r="BE161" s="178">
        <f>SUM(BA161:BD161)</f>
        <v>0</v>
      </c>
      <c r="BF161" s="186">
        <v>0</v>
      </c>
      <c r="BG161" s="186">
        <v>0</v>
      </c>
      <c r="BH161" s="186">
        <v>0</v>
      </c>
      <c r="BI161" s="186">
        <v>0</v>
      </c>
      <c r="BJ161" s="186">
        <v>0</v>
      </c>
      <c r="BN161" s="53"/>
      <c r="BO161" s="53"/>
      <c r="BR161" s="148"/>
    </row>
    <row r="162" spans="2:79" s="87" customFormat="1">
      <c r="B162" s="87" t="s">
        <v>72</v>
      </c>
      <c r="C162" s="83"/>
      <c r="D162" s="83"/>
      <c r="E162" s="83"/>
      <c r="F162" s="83"/>
      <c r="G162" s="71"/>
      <c r="H162" s="83"/>
      <c r="I162" s="83"/>
      <c r="J162" s="83"/>
      <c r="K162" s="83"/>
      <c r="L162" s="71"/>
      <c r="M162" s="55"/>
      <c r="N162" s="55"/>
      <c r="O162" s="55"/>
      <c r="P162" s="55"/>
      <c r="Q162" s="54"/>
      <c r="R162" s="83">
        <f t="shared" ref="R162:AG162" si="392">R161/M161-1</f>
        <v>0.55988857938720082</v>
      </c>
      <c r="S162" s="83">
        <f t="shared" si="392"/>
        <v>-4.8546511627906863</v>
      </c>
      <c r="T162" s="83">
        <f t="shared" si="392"/>
        <v>-3.9101123595504941</v>
      </c>
      <c r="U162" s="83">
        <f t="shared" si="392"/>
        <v>-15.220430107526903</v>
      </c>
      <c r="V162" s="71">
        <f t="shared" si="392"/>
        <v>-47.897727272724936</v>
      </c>
      <c r="W162" s="83">
        <f t="shared" si="392"/>
        <v>0.1071428571428481</v>
      </c>
      <c r="X162" s="83">
        <f t="shared" si="392"/>
        <v>2.4162895927601804</v>
      </c>
      <c r="Y162" s="83">
        <f t="shared" si="392"/>
        <v>4.5212355212355133</v>
      </c>
      <c r="Z162" s="83">
        <f t="shared" si="392"/>
        <v>-0.55689981096408481</v>
      </c>
      <c r="AA162" s="71">
        <f t="shared" si="392"/>
        <v>0.32953719408771187</v>
      </c>
      <c r="AB162" s="83">
        <f t="shared" si="392"/>
        <v>7.6677419354838996</v>
      </c>
      <c r="AC162" s="83">
        <f t="shared" si="392"/>
        <v>-1.3086092715231779</v>
      </c>
      <c r="AD162" s="83">
        <f t="shared" si="392"/>
        <v>-0.25454545454545263</v>
      </c>
      <c r="AE162" s="83">
        <f t="shared" si="392"/>
        <v>3.9872013651877252</v>
      </c>
      <c r="AF162" s="71">
        <f t="shared" si="392"/>
        <v>1.1115363586659393</v>
      </c>
      <c r="AG162" s="83">
        <f t="shared" si="392"/>
        <v>0.27130628954224045</v>
      </c>
      <c r="AH162" s="83">
        <f t="shared" ref="AH162:AJ162" si="393">AH161/AC161-1</f>
        <v>2.3962804005722487</v>
      </c>
      <c r="AI162" s="83">
        <f t="shared" si="393"/>
        <v>-3.0750469043151951</v>
      </c>
      <c r="AJ162" s="83">
        <f t="shared" si="393"/>
        <v>-0.95295124037639156</v>
      </c>
      <c r="AK162" s="71">
        <f t="shared" ref="AK162" si="394">AK161/AF161-1</f>
        <v>-0.78240980493699408</v>
      </c>
      <c r="AL162" s="83">
        <f t="shared" ref="AL162" si="395">AL161/AG161-1</f>
        <v>-0.19057377049180235</v>
      </c>
      <c r="AM162" s="83">
        <f t="shared" ref="AM162:AN162" si="396">AM161/AH161-1</f>
        <v>-1.7085088458298194</v>
      </c>
      <c r="AN162" s="83">
        <f t="shared" si="396"/>
        <v>-1.8910488245931287</v>
      </c>
      <c r="AO162" s="83">
        <f t="shared" ref="AO162:AQ162" si="397">AO161/AJ161-1</f>
        <v>13.130909090909514</v>
      </c>
      <c r="AP162" s="71">
        <f t="shared" si="397"/>
        <v>4.1840539468465128</v>
      </c>
      <c r="AQ162" s="83">
        <f t="shared" si="397"/>
        <v>0.29493670886075951</v>
      </c>
      <c r="AR162" s="83">
        <f t="shared" ref="AR162" si="398">AR161/AM161-1</f>
        <v>2.4548156956004963</v>
      </c>
      <c r="AS162" s="83">
        <f t="shared" ref="AS162" si="399">AS161/AN161-1</f>
        <v>-1</v>
      </c>
      <c r="AT162" s="83">
        <f t="shared" ref="AT162:BD162" si="400">AT161/AO161-1</f>
        <v>1.2328872876994343</v>
      </c>
      <c r="AU162" s="71">
        <f t="shared" si="400"/>
        <v>0.65651541816512404</v>
      </c>
      <c r="AV162" s="83">
        <f t="shared" si="400"/>
        <v>-0.23739701159055837</v>
      </c>
      <c r="AW162" s="83">
        <f t="shared" si="400"/>
        <v>-0.90036138358285867</v>
      </c>
      <c r="AX162" s="83" t="e">
        <f>AX161/AS161-1</f>
        <v>#DIV/0!</v>
      </c>
      <c r="AY162" s="83">
        <f>AY161/AT161-1</f>
        <v>-0.44358649302754649</v>
      </c>
      <c r="AZ162" s="71"/>
      <c r="BA162" s="83">
        <f t="shared" si="400"/>
        <v>-1</v>
      </c>
      <c r="BB162" s="83">
        <f t="shared" si="400"/>
        <v>-1</v>
      </c>
      <c r="BC162" s="83">
        <f t="shared" si="400"/>
        <v>-1</v>
      </c>
      <c r="BD162" s="83">
        <f t="shared" si="400"/>
        <v>-1</v>
      </c>
      <c r="BE162" s="71"/>
      <c r="BF162" s="140"/>
      <c r="BG162" s="140"/>
      <c r="BH162" s="140"/>
      <c r="BI162" s="140"/>
      <c r="BJ162" s="140"/>
      <c r="BR162" s="148"/>
    </row>
    <row r="163" spans="2:79" s="87" customFormat="1">
      <c r="B163" s="76"/>
      <c r="C163" s="83"/>
      <c r="D163" s="83"/>
      <c r="E163" s="83"/>
      <c r="F163" s="83"/>
      <c r="G163" s="71"/>
      <c r="H163" s="83"/>
      <c r="I163" s="83"/>
      <c r="J163" s="83"/>
      <c r="K163" s="83"/>
      <c r="L163" s="71"/>
      <c r="M163" s="55"/>
      <c r="N163" s="55"/>
      <c r="O163" s="55"/>
      <c r="P163" s="55"/>
      <c r="Q163" s="54"/>
      <c r="R163" s="83"/>
      <c r="S163" s="83"/>
      <c r="T163" s="83"/>
      <c r="U163" s="83"/>
      <c r="V163" s="71"/>
      <c r="W163" s="83"/>
      <c r="X163" s="83"/>
      <c r="Y163" s="83"/>
      <c r="Z163" s="83"/>
      <c r="AA163" s="71"/>
      <c r="AB163" s="55"/>
      <c r="AC163" s="55"/>
      <c r="AD163" s="55"/>
      <c r="AE163" s="55"/>
      <c r="AF163" s="54"/>
      <c r="AG163" s="55"/>
      <c r="AH163" s="55"/>
      <c r="AI163" s="55"/>
      <c r="AJ163" s="55"/>
      <c r="AK163" s="71"/>
      <c r="AL163" s="55"/>
      <c r="AM163" s="55"/>
      <c r="AN163" s="55"/>
      <c r="AO163" s="55"/>
      <c r="AP163" s="54"/>
      <c r="AQ163" s="55"/>
      <c r="AR163" s="55"/>
      <c r="AS163" s="55"/>
      <c r="AT163" s="55"/>
      <c r="AU163" s="54"/>
      <c r="AV163" s="55"/>
      <c r="AW163" s="55"/>
      <c r="AX163" s="55"/>
      <c r="AY163" s="55"/>
      <c r="AZ163" s="71"/>
      <c r="BA163" s="55"/>
      <c r="BB163" s="55"/>
      <c r="BC163" s="55"/>
      <c r="BD163" s="55"/>
      <c r="BE163" s="71"/>
      <c r="BF163" s="71"/>
      <c r="BG163" s="71"/>
      <c r="BH163" s="71"/>
      <c r="BI163" s="71"/>
      <c r="BJ163" s="71"/>
      <c r="BL163" s="137"/>
      <c r="BM163" s="137"/>
      <c r="BR163" s="148"/>
    </row>
    <row r="164" spans="2:79" s="87" customFormat="1">
      <c r="B164" s="81" t="s">
        <v>142</v>
      </c>
      <c r="C164" s="83"/>
      <c r="D164" s="83"/>
      <c r="E164" s="83"/>
      <c r="F164" s="83"/>
      <c r="G164" s="71"/>
      <c r="H164" s="83"/>
      <c r="I164" s="83"/>
      <c r="J164" s="83"/>
      <c r="K164" s="83"/>
      <c r="L164" s="71"/>
      <c r="M164" s="112">
        <f>M15</f>
        <v>17.341000000000001</v>
      </c>
      <c r="N164" s="112">
        <f>N15</f>
        <v>19.416</v>
      </c>
      <c r="O164" s="112">
        <f>O15</f>
        <v>21.021000000000001</v>
      </c>
      <c r="P164" s="112">
        <f>P15</f>
        <v>20.576000000000001</v>
      </c>
      <c r="Q164" s="178">
        <f>SUM(M164:P164)</f>
        <v>78.354000000000013</v>
      </c>
      <c r="R164" s="112">
        <f>R15</f>
        <v>22.925999999999998</v>
      </c>
      <c r="S164" s="112">
        <f>S15</f>
        <v>28.407</v>
      </c>
      <c r="T164" s="112">
        <f>T15</f>
        <v>32.03</v>
      </c>
      <c r="U164" s="112">
        <f>U15</f>
        <v>33.232999999999997</v>
      </c>
      <c r="V164" s="178">
        <f>SUM(R164:U164)</f>
        <v>116.596</v>
      </c>
      <c r="W164" s="112">
        <f>W15</f>
        <v>39.441000000000003</v>
      </c>
      <c r="X164" s="112">
        <f>X15</f>
        <v>45.89</v>
      </c>
      <c r="Y164" s="112">
        <f>Y15</f>
        <v>51.183999999999997</v>
      </c>
      <c r="Z164" s="112">
        <f>Z15</f>
        <v>68.789000000000001</v>
      </c>
      <c r="AA164" s="178">
        <f>SUM(W164:Z164)</f>
        <v>205.30399999999997</v>
      </c>
      <c r="AB164" s="112">
        <f>AB15</f>
        <v>77.676000000000002</v>
      </c>
      <c r="AC164" s="112">
        <f>AC15</f>
        <v>80.515000000000001</v>
      </c>
      <c r="AD164" s="112">
        <f>AD15</f>
        <v>79.494</v>
      </c>
      <c r="AE164" s="112">
        <f>AE15</f>
        <v>81.673000000000002</v>
      </c>
      <c r="AF164" s="178">
        <f>SUM(AB164:AE164)</f>
        <v>319.358</v>
      </c>
      <c r="AG164" s="214">
        <f>AG15</f>
        <v>86.629000000000005</v>
      </c>
      <c r="AH164" s="214">
        <f>AH15</f>
        <v>87.046999999999997</v>
      </c>
      <c r="AI164" s="214">
        <f>AI15</f>
        <v>84.739000000000004</v>
      </c>
      <c r="AJ164" s="214">
        <f>AJ15</f>
        <v>89.772000000000006</v>
      </c>
      <c r="AK164" s="178">
        <f>AK173+AK176</f>
        <v>348.18700000000001</v>
      </c>
      <c r="AL164" s="214">
        <f>AL15</f>
        <v>95.945999999999998</v>
      </c>
      <c r="AM164" s="214">
        <f>AM15</f>
        <v>102.88800000000001</v>
      </c>
      <c r="AN164" s="214">
        <f>AN15</f>
        <v>103.20699999999999</v>
      </c>
      <c r="AO164" s="214">
        <f>AO15</f>
        <v>107.617</v>
      </c>
      <c r="AP164" s="178">
        <f>AP173+AP176</f>
        <v>409.65800000000002</v>
      </c>
      <c r="AQ164" s="214">
        <f>AQ15</f>
        <v>115.483</v>
      </c>
      <c r="AR164" s="214">
        <f>AR15</f>
        <v>123.621</v>
      </c>
      <c r="AS164" s="214">
        <f>AS15</f>
        <v>125.848</v>
      </c>
      <c r="AT164" s="214">
        <f>AT15</f>
        <v>130.72300000000001</v>
      </c>
      <c r="AU164" s="178">
        <f>AU173+AU176</f>
        <v>495.67500000000007</v>
      </c>
      <c r="AV164" s="214">
        <f>AV15</f>
        <v>135.97499999999999</v>
      </c>
      <c r="AW164" s="214">
        <f>AW15</f>
        <v>144.47399999999999</v>
      </c>
      <c r="AX164" s="214">
        <f>AX15</f>
        <v>149.02000000000001</v>
      </c>
      <c r="AY164" s="214">
        <f>AY15</f>
        <v>153.84800000000001</v>
      </c>
      <c r="AZ164" s="178">
        <f t="shared" ref="AZ164:BE164" si="401">AZ173+AZ176</f>
        <v>583.31700000000001</v>
      </c>
      <c r="BA164" s="112">
        <f t="shared" si="401"/>
        <v>156.75407297297295</v>
      </c>
      <c r="BB164" s="112">
        <f t="shared" si="401"/>
        <v>165.2693743243243</v>
      </c>
      <c r="BC164" s="112">
        <f t="shared" si="401"/>
        <v>170.63025000000002</v>
      </c>
      <c r="BD164" s="112">
        <f t="shared" si="401"/>
        <v>173.96810000000002</v>
      </c>
      <c r="BE164" s="178">
        <f t="shared" si="401"/>
        <v>666.62179729729735</v>
      </c>
      <c r="BF164" s="178">
        <f t="shared" ref="BF164:BJ164" si="402">BF173+BF176</f>
        <v>740.69829546959465</v>
      </c>
      <c r="BG164" s="178">
        <f t="shared" si="402"/>
        <v>809.0496644489624</v>
      </c>
      <c r="BH164" s="178">
        <f t="shared" si="402"/>
        <v>871.42800500815758</v>
      </c>
      <c r="BI164" s="178">
        <f t="shared" si="402"/>
        <v>927.8801255579192</v>
      </c>
      <c r="BJ164" s="178">
        <f t="shared" si="402"/>
        <v>978.64523051467791</v>
      </c>
      <c r="BL164" s="137"/>
      <c r="BM164" s="137"/>
      <c r="BR164" s="148"/>
    </row>
    <row r="165" spans="2:79" s="87" customFormat="1">
      <c r="B165" s="76" t="s">
        <v>210</v>
      </c>
      <c r="C165" s="83"/>
      <c r="D165" s="83"/>
      <c r="E165" s="83"/>
      <c r="F165" s="83"/>
      <c r="G165" s="71"/>
      <c r="H165" s="83"/>
      <c r="I165" s="83"/>
      <c r="J165" s="83"/>
      <c r="K165" s="83"/>
      <c r="L165" s="71"/>
      <c r="M165" s="107">
        <f>M164/Q164</f>
        <v>0.22131607831125402</v>
      </c>
      <c r="N165" s="107">
        <f>N164/Q164</f>
        <v>0.24779845317405616</v>
      </c>
      <c r="O165" s="107">
        <f>O164/Q164</f>
        <v>0.26828241059805497</v>
      </c>
      <c r="P165" s="107">
        <f>P164/Q164</f>
        <v>0.26260305791663474</v>
      </c>
      <c r="Q165" s="54"/>
      <c r="R165" s="107">
        <f>R164/V164</f>
        <v>0.1966276716182373</v>
      </c>
      <c r="S165" s="107">
        <f>S164/V164</f>
        <v>0.24363614532230951</v>
      </c>
      <c r="T165" s="107">
        <f>T164/V164</f>
        <v>0.27470925246149097</v>
      </c>
      <c r="U165" s="107">
        <f>U164/V164</f>
        <v>0.28502693059796214</v>
      </c>
      <c r="V165" s="54"/>
      <c r="W165" s="107">
        <f>W164/AA164</f>
        <v>0.19211023652729614</v>
      </c>
      <c r="X165" s="107">
        <f>X164/AA164</f>
        <v>0.22352219148190006</v>
      </c>
      <c r="Y165" s="107">
        <f>Y164/AA164</f>
        <v>0.24930834275026303</v>
      </c>
      <c r="Z165" s="107">
        <f>Z164/AA164</f>
        <v>0.33505922924054088</v>
      </c>
      <c r="AA165" s="54"/>
      <c r="AB165" s="107">
        <f>AB164/AF164</f>
        <v>0.24322547110139719</v>
      </c>
      <c r="AC165" s="107">
        <f>AC164/AF164</f>
        <v>0.25211518108204584</v>
      </c>
      <c r="AD165" s="107">
        <f>AD164/AF164</f>
        <v>0.24891814202243251</v>
      </c>
      <c r="AE165" s="107">
        <f>AE164/AF164</f>
        <v>0.25574120579412446</v>
      </c>
      <c r="AF165" s="54"/>
      <c r="AG165" s="108">
        <f>AG164/$AK$164</f>
        <v>0.24880021367828209</v>
      </c>
      <c r="AH165" s="108">
        <f t="shared" ref="AH165:AJ165" si="403">AH164/$AK$164</f>
        <v>0.25000071800498008</v>
      </c>
      <c r="AI165" s="108">
        <f t="shared" ref="AI165" si="404">AI164/$AK$164</f>
        <v>0.24337209602885806</v>
      </c>
      <c r="AJ165" s="108">
        <f t="shared" si="403"/>
        <v>0.25782697228787982</v>
      </c>
      <c r="AK165" s="54"/>
      <c r="AL165" s="108">
        <f>+AL164/$AP$164</f>
        <v>0.23420999956060909</v>
      </c>
      <c r="AM165" s="108">
        <f t="shared" ref="AM165:AO165" si="405">+AM164/$AP$164</f>
        <v>0.25115584219031484</v>
      </c>
      <c r="AN165" s="108">
        <f t="shared" si="405"/>
        <v>0.25193454051916475</v>
      </c>
      <c r="AO165" s="108">
        <f t="shared" si="405"/>
        <v>0.26269961772991129</v>
      </c>
      <c r="AP165" s="54"/>
      <c r="AQ165" s="108">
        <f t="shared" ref="AQ165" si="406">+AQ164/$AP$164</f>
        <v>0.28190100034663063</v>
      </c>
      <c r="AR165" s="108">
        <f t="shared" ref="AR165:AT165" si="407">+AR164/$AP$164</f>
        <v>0.30176635144437552</v>
      </c>
      <c r="AS165" s="108">
        <f t="shared" si="407"/>
        <v>0.30720259338277295</v>
      </c>
      <c r="AT165" s="108">
        <f t="shared" si="407"/>
        <v>0.31910276376880231</v>
      </c>
      <c r="AU165" s="54"/>
      <c r="AV165" s="108">
        <f t="shared" ref="AV165:AW165" si="408">+AV164/$AP$164</f>
        <v>0.33192321399801783</v>
      </c>
      <c r="AW165" s="108">
        <f t="shared" si="408"/>
        <v>0.35266978796947696</v>
      </c>
      <c r="AX165" s="108">
        <f t="shared" ref="AX165:AY165" si="409">+AX164/$AP$164</f>
        <v>0.36376684942073634</v>
      </c>
      <c r="AY165" s="108">
        <f t="shared" si="409"/>
        <v>0.37555228995894135</v>
      </c>
      <c r="AZ165" s="54"/>
      <c r="BA165" s="108">
        <f t="shared" ref="BA165:BD165" si="410">+BA164/$AP$164</f>
        <v>0.38264619017075935</v>
      </c>
      <c r="BB165" s="108">
        <f t="shared" si="410"/>
        <v>0.40343255672859873</v>
      </c>
      <c r="BC165" s="108">
        <f t="shared" si="410"/>
        <v>0.41651877907913432</v>
      </c>
      <c r="BD165" s="108">
        <f t="shared" si="410"/>
        <v>0.42466667317616164</v>
      </c>
      <c r="BE165" s="54"/>
      <c r="BF165" s="54"/>
      <c r="BG165" s="54"/>
      <c r="BH165" s="54"/>
      <c r="BI165" s="54"/>
      <c r="BJ165" s="54"/>
      <c r="BL165" s="45"/>
      <c r="BM165" s="45"/>
      <c r="BR165" s="148"/>
    </row>
    <row r="166" spans="2:79" s="87" customFormat="1" hidden="1">
      <c r="B166" s="76" t="s">
        <v>144</v>
      </c>
      <c r="C166" s="83"/>
      <c r="D166" s="83"/>
      <c r="E166" s="83"/>
      <c r="F166" s="83"/>
      <c r="G166" s="71"/>
      <c r="H166" s="83"/>
      <c r="I166" s="83"/>
      <c r="J166" s="83"/>
      <c r="K166" s="83"/>
      <c r="L166" s="71"/>
      <c r="M166" s="108">
        <f>M164/(M148/4)</f>
        <v>0.13956539235412477</v>
      </c>
      <c r="N166" s="108">
        <f>N164/(N148/4)</f>
        <v>0.14625988700564971</v>
      </c>
      <c r="O166" s="108">
        <f>O164/(O148/4)</f>
        <v>0.14988235294117647</v>
      </c>
      <c r="P166" s="108">
        <f>P164/(P148/4)</f>
        <v>0.14021124361158432</v>
      </c>
      <c r="Q166" s="54"/>
      <c r="R166" s="108">
        <f>R164/(R148/4)</f>
        <v>0.14743408360128615</v>
      </c>
      <c r="S166" s="108">
        <f>S164/(S148/4)</f>
        <v>0.17535185185185184</v>
      </c>
      <c r="T166" s="108">
        <f>T164/(T148/4)</f>
        <v>0.18841176470588236</v>
      </c>
      <c r="U166" s="108">
        <f>U164/(U148/4)</f>
        <v>0.18802263083451201</v>
      </c>
      <c r="V166" s="54"/>
      <c r="W166" s="108">
        <f>W164/(W148/4)</f>
        <v>0.21335114820740086</v>
      </c>
      <c r="X166" s="108">
        <f>X164/(X148/4)</f>
        <v>0.23208532890977043</v>
      </c>
      <c r="Y166" s="108">
        <f>Y164/(Y148/4)</f>
        <v>0.24358834027364662</v>
      </c>
      <c r="Z166" s="108">
        <f>Z164/(Z148/4)</f>
        <v>0.31337667248267725</v>
      </c>
      <c r="AA166" s="109"/>
      <c r="AB166" s="108">
        <f>AB164/(AB148/4)</f>
        <v>0.33553347732181427</v>
      </c>
      <c r="AC166" s="108">
        <f>AC164/(AC148/4)</f>
        <v>0.33294737930321516</v>
      </c>
      <c r="AD166" s="108">
        <f>AD164/(AD148/4)</f>
        <v>0.32044341429003326</v>
      </c>
      <c r="AE166" s="108">
        <f>AE164/(AE148/4)</f>
        <v>0.32359327083845102</v>
      </c>
      <c r="AF166" s="54"/>
      <c r="AG166" s="108">
        <f>AG164/(AG148/4)</f>
        <v>0.33392277055409353</v>
      </c>
      <c r="AH166" s="108">
        <f>AH164/(AH148/4)</f>
        <v>0.33070934946222258</v>
      </c>
      <c r="AI166" s="108">
        <f>AI164/(AI148/4)</f>
        <v>0.3164722303918136</v>
      </c>
      <c r="AJ166" s="108">
        <f>AJ164/(AJ148/4)</f>
        <v>0.33223540557944681</v>
      </c>
      <c r="AK166" s="116"/>
      <c r="AL166" s="108">
        <f>AL164/(AL148/4)</f>
        <v>0.33823640872788546</v>
      </c>
      <c r="AM166" s="108">
        <f>AM164/(AM148/4)</f>
        <v>0.35486452182550637</v>
      </c>
      <c r="AN166" s="108">
        <f>AN164/(AN148/4)</f>
        <v>0.34937192638298487</v>
      </c>
      <c r="AO166" s="108">
        <f>AO164/(AO148/4)</f>
        <v>0.36082816429170161</v>
      </c>
      <c r="AP166" s="111"/>
      <c r="AQ166" s="108">
        <f>AQ164/(AQ148/4)</f>
        <v>0.37124918827515707</v>
      </c>
      <c r="AR166" s="108">
        <f>AR164/(AR148/4)</f>
        <v>0.38737697739039695</v>
      </c>
      <c r="AS166" s="108">
        <f>AS164/(AS148/4)</f>
        <v>0.38484979610434689</v>
      </c>
      <c r="AT166" s="108">
        <f>AT164/(AT148/4)</f>
        <v>0.3893462397617275</v>
      </c>
      <c r="AU166" s="111"/>
      <c r="AV166" s="108">
        <f>AV164/(AV148/4)</f>
        <v>0.39623507470841496</v>
      </c>
      <c r="AW166" s="108">
        <f>AW164/(AW148/4)</f>
        <v>0.41080541593003389</v>
      </c>
      <c r="AX166" s="108">
        <f>AX164/(AX148/4)</f>
        <v>0.40908906856194988</v>
      </c>
      <c r="AY166" s="108">
        <f>AY164/(AY148/4)</f>
        <v>0.40379390101868406</v>
      </c>
      <c r="AZ166" s="111"/>
      <c r="BA166" s="108">
        <f>BA164/(BA148/4)</f>
        <v>0.39893964463538373</v>
      </c>
      <c r="BB166" s="108">
        <f>BB164/(BB148/4)</f>
        <v>0.40687111789853658</v>
      </c>
      <c r="BC166" s="108">
        <f>BC164/(BC148/4)</f>
        <v>0.40207161777975275</v>
      </c>
      <c r="BD166" s="108">
        <f>BD164/(BD148/4)</f>
        <v>0.38859718822672468</v>
      </c>
      <c r="BE166" s="111"/>
      <c r="BF166" s="111">
        <f t="shared" ref="BF166:BJ166" si="411">BF164/BF148</f>
        <v>0.39573036246506721</v>
      </c>
      <c r="BG166" s="111">
        <f t="shared" si="411"/>
        <v>0.39438705858343714</v>
      </c>
      <c r="BH166" s="111">
        <f t="shared" si="411"/>
        <v>0.3944972129028621</v>
      </c>
      <c r="BI166" s="111">
        <f t="shared" si="411"/>
        <v>0.39573899755896974</v>
      </c>
      <c r="BJ166" s="111">
        <f t="shared" si="411"/>
        <v>0.39751448779614251</v>
      </c>
      <c r="BL166" s="45"/>
      <c r="BM166" s="45"/>
      <c r="BR166" s="148"/>
    </row>
    <row r="167" spans="2:79" s="87" customFormat="1">
      <c r="B167" s="87" t="s">
        <v>72</v>
      </c>
      <c r="C167" s="83"/>
      <c r="D167" s="83"/>
      <c r="E167" s="83"/>
      <c r="F167" s="83"/>
      <c r="G167" s="71"/>
      <c r="H167" s="83"/>
      <c r="I167" s="83"/>
      <c r="J167" s="83"/>
      <c r="K167" s="83"/>
      <c r="L167" s="71"/>
      <c r="M167" s="83"/>
      <c r="N167" s="83"/>
      <c r="O167" s="83"/>
      <c r="P167" s="83"/>
      <c r="Q167" s="71"/>
      <c r="R167" s="83">
        <f t="shared" ref="R167:AG167" si="412">R164/M164-1</f>
        <v>0.32206908482786445</v>
      </c>
      <c r="S167" s="83">
        <f t="shared" si="412"/>
        <v>0.46307169344870203</v>
      </c>
      <c r="T167" s="83">
        <f t="shared" si="412"/>
        <v>0.52371438085723798</v>
      </c>
      <c r="U167" s="83">
        <f t="shared" si="412"/>
        <v>0.61513413685847573</v>
      </c>
      <c r="V167" s="71">
        <f t="shared" si="412"/>
        <v>0.48806697807386956</v>
      </c>
      <c r="W167" s="83">
        <f t="shared" si="412"/>
        <v>0.72036116199947675</v>
      </c>
      <c r="X167" s="83">
        <f t="shared" si="412"/>
        <v>0.61544689689161114</v>
      </c>
      <c r="Y167" s="83">
        <f t="shared" si="412"/>
        <v>0.59800187324383369</v>
      </c>
      <c r="Z167" s="83">
        <f t="shared" si="412"/>
        <v>1.0699004002046162</v>
      </c>
      <c r="AA167" s="71">
        <f t="shared" si="412"/>
        <v>0.76081512230265158</v>
      </c>
      <c r="AB167" s="83">
        <f t="shared" si="412"/>
        <v>0.96942268198067993</v>
      </c>
      <c r="AC167" s="83">
        <f t="shared" si="412"/>
        <v>0.75452168228372196</v>
      </c>
      <c r="AD167" s="83">
        <f t="shared" si="412"/>
        <v>0.55310253204126303</v>
      </c>
      <c r="AE167" s="83">
        <f t="shared" si="412"/>
        <v>0.18729738766372539</v>
      </c>
      <c r="AF167" s="71">
        <f t="shared" si="412"/>
        <v>0.55553715465845799</v>
      </c>
      <c r="AG167" s="83">
        <f t="shared" si="412"/>
        <v>0.11526082702507856</v>
      </c>
      <c r="AH167" s="83">
        <f t="shared" ref="AH167:AI167" si="413">AH164/AC164-1</f>
        <v>8.1127740172638685E-2</v>
      </c>
      <c r="AI167" s="83">
        <f t="shared" si="413"/>
        <v>6.5979822376531549E-2</v>
      </c>
      <c r="AJ167" s="83">
        <f t="shared" ref="AJ167" si="414">AJ164/AE164-1</f>
        <v>9.9163738322334272E-2</v>
      </c>
      <c r="AK167" s="71">
        <f t="shared" ref="AK167" si="415">AK164/AF164-1</f>
        <v>9.0271732663656401E-2</v>
      </c>
      <c r="AL167" s="83">
        <f t="shared" ref="AL167" si="416">AL164/AG164-1</f>
        <v>0.10755058929457784</v>
      </c>
      <c r="AM167" s="83">
        <f t="shared" ref="AM167" si="417">AM164/AH164-1</f>
        <v>0.18198214757544795</v>
      </c>
      <c r="AN167" s="83">
        <f t="shared" ref="AN167" si="418">AN164/AI164-1</f>
        <v>0.21793979159536914</v>
      </c>
      <c r="AO167" s="83">
        <f t="shared" ref="AO167:AQ167" si="419">AO164/AJ164-1</f>
        <v>0.19878135721605839</v>
      </c>
      <c r="AP167" s="111">
        <f>AP164/AK164-1</f>
        <v>0.17654593652261563</v>
      </c>
      <c r="AQ167" s="83">
        <f t="shared" si="419"/>
        <v>0.20362495570425043</v>
      </c>
      <c r="AR167" s="83">
        <f t="shared" ref="AR167" si="420">AR164/AM164-1</f>
        <v>0.20151038021926748</v>
      </c>
      <c r="AS167" s="83">
        <f t="shared" ref="AS167" si="421">AS164/AN164-1</f>
        <v>0.21937465481992513</v>
      </c>
      <c r="AT167" s="83">
        <f t="shared" ref="AT167" si="422">AT164/AO164-1</f>
        <v>0.21470585502290529</v>
      </c>
      <c r="AU167" s="111">
        <f>AU164/AP164-1</f>
        <v>0.20997270894258158</v>
      </c>
      <c r="AV167" s="83">
        <f t="shared" ref="AV167:BD167" si="423">AV164/AQ164-1</f>
        <v>0.1774460310175523</v>
      </c>
      <c r="AW167" s="83">
        <f t="shared" si="423"/>
        <v>0.16868493217171832</v>
      </c>
      <c r="AX167" s="83">
        <f t="shared" si="423"/>
        <v>0.18412688322420712</v>
      </c>
      <c r="AY167" s="83">
        <f t="shared" si="423"/>
        <v>0.17690077492101608</v>
      </c>
      <c r="AZ167" s="111">
        <f>AZ164/AU164-1</f>
        <v>0.17681343622333157</v>
      </c>
      <c r="BA167" s="83">
        <f t="shared" si="423"/>
        <v>0.15281539233662778</v>
      </c>
      <c r="BB167" s="83">
        <f t="shared" si="423"/>
        <v>0.1439385240550155</v>
      </c>
      <c r="BC167" s="83">
        <f t="shared" si="423"/>
        <v>0.14501576969534291</v>
      </c>
      <c r="BD167" s="83">
        <f t="shared" si="423"/>
        <v>0.13077908065103228</v>
      </c>
      <c r="BE167" s="111">
        <f>BE164/AZ164-1</f>
        <v>0.14281222268045912</v>
      </c>
      <c r="BF167" s="111">
        <f t="shared" ref="BF167:BJ167" si="424">BF164/BE164-1</f>
        <v>0.11112222623476709</v>
      </c>
      <c r="BG167" s="111">
        <f t="shared" si="424"/>
        <v>9.2279635848268926E-2</v>
      </c>
      <c r="BH167" s="111">
        <f t="shared" si="424"/>
        <v>7.7100755738747528E-2</v>
      </c>
      <c r="BI167" s="111">
        <f t="shared" si="424"/>
        <v>6.4781164049499518E-2</v>
      </c>
      <c r="BJ167" s="111">
        <f t="shared" si="424"/>
        <v>5.4710844168835315E-2</v>
      </c>
      <c r="BL167" s="45"/>
      <c r="BM167" s="45"/>
      <c r="BR167" s="148"/>
    </row>
    <row r="168" spans="2:79" s="87" customFormat="1">
      <c r="B168" s="87" t="s">
        <v>138</v>
      </c>
      <c r="C168" s="83"/>
      <c r="D168" s="83"/>
      <c r="E168" s="83"/>
      <c r="F168" s="83"/>
      <c r="G168" s="71"/>
      <c r="H168" s="83"/>
      <c r="I168" s="83"/>
      <c r="J168" s="83"/>
      <c r="K168" s="83"/>
      <c r="L168" s="71"/>
      <c r="M168" s="83"/>
      <c r="N168" s="83">
        <f>N164/M164-1</f>
        <v>0.11965861253676247</v>
      </c>
      <c r="O168" s="83">
        <f>O164/N164-1</f>
        <v>8.2663782447466083E-2</v>
      </c>
      <c r="P168" s="83">
        <f>P164/O164-1</f>
        <v>-2.1169306883592642E-2</v>
      </c>
      <c r="Q168" s="71"/>
      <c r="R168" s="83">
        <f>R164/P164-1</f>
        <v>0.11421073094867795</v>
      </c>
      <c r="S168" s="83">
        <f>S164/R164-1</f>
        <v>0.23907354095786459</v>
      </c>
      <c r="T168" s="83">
        <f>T164/S164-1</f>
        <v>0.12753898686943366</v>
      </c>
      <c r="U168" s="83">
        <f>U164/T164-1</f>
        <v>3.7558538869809421E-2</v>
      </c>
      <c r="V168" s="71"/>
      <c r="W168" s="83">
        <f>W164/U164-1</f>
        <v>0.18680227484729062</v>
      </c>
      <c r="X168" s="83">
        <f>X164/W164-1</f>
        <v>0.16351005299054289</v>
      </c>
      <c r="Y168" s="83">
        <f>Y164/X164-1</f>
        <v>0.11536282414469379</v>
      </c>
      <c r="Z168" s="83">
        <f>Z164/Y164-1</f>
        <v>0.34395514223194756</v>
      </c>
      <c r="AA168" s="71"/>
      <c r="AB168" s="83">
        <f>AB164/Z164-1</f>
        <v>0.12919216735233841</v>
      </c>
      <c r="AC168" s="83">
        <f>AC164/AB164-1</f>
        <v>3.6549255883413068E-2</v>
      </c>
      <c r="AD168" s="83">
        <f>AD164/AC164-1</f>
        <v>-1.2680866919207556E-2</v>
      </c>
      <c r="AE168" s="83">
        <f>AE164/AD164-1</f>
        <v>2.7410873776637201E-2</v>
      </c>
      <c r="AF168" s="71"/>
      <c r="AG168" s="83">
        <f>AG164/AE164-1</f>
        <v>6.0681008411592519E-2</v>
      </c>
      <c r="AH168" s="83">
        <f>AH164/AG164-1</f>
        <v>4.8251740179385827E-3</v>
      </c>
      <c r="AI168" s="83">
        <f>AI164/AH164-1</f>
        <v>-2.6514411754569256E-2</v>
      </c>
      <c r="AJ168" s="83">
        <f>AJ164/AI164-1</f>
        <v>5.9394139652344302E-2</v>
      </c>
      <c r="AK168" s="71"/>
      <c r="AL168" s="83">
        <f>AL164/AJ164-1</f>
        <v>6.8774228044379049E-2</v>
      </c>
      <c r="AM168" s="261">
        <f>AM164/AL164-1</f>
        <v>7.2353198674254271E-2</v>
      </c>
      <c r="AN168" s="83">
        <f>AN164/AM164-1</f>
        <v>3.1004587512633019E-3</v>
      </c>
      <c r="AO168" s="83">
        <f>AO164/AN164-1</f>
        <v>4.2729659809896736E-2</v>
      </c>
      <c r="AP168" s="71"/>
      <c r="AQ168" s="83">
        <f>AQ164/AP164-1</f>
        <v>-0.71809899965336932</v>
      </c>
      <c r="AR168" s="261">
        <f>AR164/AQ164-1</f>
        <v>7.0469246555770138E-2</v>
      </c>
      <c r="AS168" s="261">
        <f>AS164/AR164-1</f>
        <v>1.8014738596193292E-2</v>
      </c>
      <c r="AT168" s="261">
        <f>AT164/AS164-1</f>
        <v>3.8737206789142498E-2</v>
      </c>
      <c r="AU168" s="71"/>
      <c r="AV168" s="261">
        <f>AV164/AT164-1</f>
        <v>4.017655653557517E-2</v>
      </c>
      <c r="AW168" s="261">
        <f>AW164/AV164-1</f>
        <v>6.2504136789851117E-2</v>
      </c>
      <c r="AX168" s="261">
        <f>AX164/AW164-1</f>
        <v>3.1465869291360526E-2</v>
      </c>
      <c r="AY168" s="261">
        <f>AY164/AX164-1</f>
        <v>3.2398335793853095E-2</v>
      </c>
      <c r="AZ168" s="71"/>
      <c r="BA168" s="261">
        <f>BA164/AY164-1</f>
        <v>1.8889247653352204E-2</v>
      </c>
      <c r="BB168" s="261">
        <f>BB164/BA164-1</f>
        <v>5.432268004174623E-2</v>
      </c>
      <c r="BC168" s="261">
        <f>BC164/BB164-1</f>
        <v>3.2437199557345364E-2</v>
      </c>
      <c r="BD168" s="261">
        <f>BD164/BC164-1</f>
        <v>1.9561888938215866E-2</v>
      </c>
      <c r="BE168" s="71"/>
      <c r="BF168" s="71"/>
      <c r="BG168" s="71"/>
      <c r="BH168" s="71"/>
      <c r="BI168" s="71"/>
      <c r="BJ168" s="71"/>
      <c r="BL168" s="45"/>
      <c r="BM168" s="45"/>
      <c r="BR168" s="148"/>
    </row>
    <row r="169" spans="2:79" s="87" customFormat="1">
      <c r="C169" s="83"/>
      <c r="D169" s="83"/>
      <c r="E169" s="83"/>
      <c r="F169" s="83"/>
      <c r="G169" s="71"/>
      <c r="H169" s="83"/>
      <c r="I169" s="83"/>
      <c r="J169" s="83"/>
      <c r="K169" s="83"/>
      <c r="L169" s="71"/>
      <c r="M169" s="83"/>
      <c r="N169" s="83"/>
      <c r="O169" s="83"/>
      <c r="P169" s="83"/>
      <c r="Q169" s="71"/>
      <c r="R169" s="83"/>
      <c r="S169" s="83"/>
      <c r="T169" s="83"/>
      <c r="U169" s="83"/>
      <c r="V169" s="71"/>
      <c r="W169" s="83"/>
      <c r="X169" s="83"/>
      <c r="Y169" s="83"/>
      <c r="Z169" s="83"/>
      <c r="AA169" s="71"/>
      <c r="AB169" s="83"/>
      <c r="AC169" s="83"/>
      <c r="AD169" s="83"/>
      <c r="AE169" s="83"/>
      <c r="AF169" s="71"/>
      <c r="AG169" s="83"/>
      <c r="AH169" s="83"/>
      <c r="AI169" s="83"/>
      <c r="AJ169" s="132"/>
      <c r="AK169" s="71"/>
      <c r="AL169" s="261"/>
      <c r="AM169" s="261"/>
      <c r="AN169" s="261"/>
      <c r="AO169" s="262"/>
      <c r="AP169" s="71"/>
      <c r="AQ169" s="261"/>
      <c r="AR169" s="261"/>
      <c r="AS169" s="261"/>
      <c r="AT169" s="262"/>
      <c r="AU169" s="71"/>
      <c r="AV169" s="261"/>
      <c r="AW169" s="261"/>
      <c r="AX169" s="261"/>
      <c r="AY169" s="261"/>
      <c r="AZ169" s="71"/>
      <c r="BA169" s="261"/>
      <c r="BB169" s="261"/>
      <c r="BC169" s="261"/>
      <c r="BD169" s="261"/>
      <c r="BE169" s="71"/>
      <c r="BF169" s="71"/>
      <c r="BG169" s="71"/>
      <c r="BH169" s="71"/>
      <c r="BI169" s="71"/>
      <c r="BJ169" s="71"/>
      <c r="BK169" s="137"/>
      <c r="BN169" s="137"/>
      <c r="BO169" s="137"/>
      <c r="BP169" s="137"/>
      <c r="BR169" s="148"/>
    </row>
    <row r="170" spans="2:79" s="137" customFormat="1">
      <c r="B170" s="136" t="s">
        <v>168</v>
      </c>
      <c r="G170" s="71"/>
      <c r="L170" s="71"/>
      <c r="Q170" s="138"/>
      <c r="V170" s="139">
        <v>2400</v>
      </c>
      <c r="AA170" s="139">
        <v>5400</v>
      </c>
      <c r="AC170" s="137">
        <f>AH170/1.06</f>
        <v>2359.5026519892599</v>
      </c>
      <c r="AF170" s="139">
        <v>9600</v>
      </c>
      <c r="AG170" s="206">
        <v>2575</v>
      </c>
      <c r="AH170" s="137">
        <f>AH173/AH172</f>
        <v>2501.0728111086155</v>
      </c>
      <c r="AI170" s="206">
        <f>+AH170+25</f>
        <v>2526.0728111086155</v>
      </c>
      <c r="AJ170" s="206">
        <v>2626</v>
      </c>
      <c r="AK170" s="139">
        <f>SUM(AG170:AJ170)</f>
        <v>10228.145622217231</v>
      </c>
      <c r="AL170" s="206">
        <f>+AG170*1.06</f>
        <v>2729.5</v>
      </c>
      <c r="AM170" s="206">
        <f>+AL170*1.05</f>
        <v>2865.9749999999999</v>
      </c>
      <c r="AN170" s="206">
        <f>+AM170*1.005</f>
        <v>2880.3048749999998</v>
      </c>
      <c r="AO170" s="206">
        <f>+AJ170*1.135</f>
        <v>2980.51</v>
      </c>
      <c r="AP170" s="139">
        <f>SUM(AL170:AO170)</f>
        <v>11456.289875</v>
      </c>
      <c r="AQ170" s="206">
        <f>+AQ173/1.58%</f>
        <v>3132.911392405063</v>
      </c>
      <c r="AR170" s="206">
        <f>+AR173/AR172</f>
        <v>3208.3333333333335</v>
      </c>
      <c r="AS170" s="290">
        <f>+AN170*1.14</f>
        <v>3283.5475574999996</v>
      </c>
      <c r="AT170" s="206">
        <f>13000-SUM(AQ170:AS170)</f>
        <v>3375.2077167616044</v>
      </c>
      <c r="AU170" s="139">
        <f>SUM(AQ170:AT170)</f>
        <v>13000</v>
      </c>
      <c r="AV170" s="206">
        <v>3400</v>
      </c>
      <c r="AW170" s="206">
        <v>3600</v>
      </c>
      <c r="AX170" s="206">
        <v>3700</v>
      </c>
      <c r="AY170" s="206">
        <v>3700</v>
      </c>
      <c r="AZ170" s="139">
        <f>SUM(AV170:AY170)</f>
        <v>14400</v>
      </c>
      <c r="BA170" s="206">
        <f>+AV170*1.1</f>
        <v>3740.0000000000005</v>
      </c>
      <c r="BB170" s="206">
        <f t="shared" ref="BB170:BD170" si="425">+AW170*1.1</f>
        <v>3960.0000000000005</v>
      </c>
      <c r="BC170" s="206">
        <f t="shared" si="425"/>
        <v>4070.0000000000005</v>
      </c>
      <c r="BD170" s="206">
        <f t="shared" si="425"/>
        <v>4070.0000000000005</v>
      </c>
      <c r="BE170" s="139">
        <f>SUM(BA170:BD170)</f>
        <v>15840.000000000002</v>
      </c>
      <c r="BF170" s="139">
        <f t="shared" ref="BF170:BJ170" si="426">BE170*(1+BF171)</f>
        <v>17028.000000000004</v>
      </c>
      <c r="BG170" s="139">
        <f t="shared" si="426"/>
        <v>17985.825000000004</v>
      </c>
      <c r="BH170" s="139">
        <f t="shared" si="426"/>
        <v>18744.601992187505</v>
      </c>
      <c r="BI170" s="139">
        <f t="shared" si="426"/>
        <v>19337.692914596566</v>
      </c>
      <c r="BJ170" s="139">
        <f t="shared" si="426"/>
        <v>19796.585432003496</v>
      </c>
      <c r="BK170" s="45"/>
      <c r="BL170" s="87"/>
      <c r="BM170" s="87"/>
      <c r="BN170" s="45"/>
      <c r="BO170" s="45"/>
      <c r="BP170" s="45"/>
      <c r="BR170" s="149"/>
      <c r="BV170" s="87"/>
      <c r="BW170" s="87"/>
      <c r="BX170" s="87"/>
      <c r="BY170" s="87"/>
      <c r="BZ170" s="87"/>
      <c r="CA170" s="87"/>
    </row>
    <row r="171" spans="2:79">
      <c r="B171" s="45" t="s">
        <v>84</v>
      </c>
      <c r="G171" s="71"/>
      <c r="L171" s="71"/>
      <c r="Q171" s="71"/>
      <c r="V171" s="59"/>
      <c r="AA171" s="122">
        <f>AA170/V170-1</f>
        <v>1.25</v>
      </c>
      <c r="AC171" s="243"/>
      <c r="AD171" s="57"/>
      <c r="AE171" s="57"/>
      <c r="AF171" s="122">
        <f>AF170/AA170-1</f>
        <v>0.77777777777777768</v>
      </c>
      <c r="AG171" s="53"/>
      <c r="AH171" s="242"/>
      <c r="AI171" s="61"/>
      <c r="AJ171" s="61"/>
      <c r="AK171" s="122">
        <f>AK170/AF170-1</f>
        <v>6.5431835647628223E-2</v>
      </c>
      <c r="AL171" s="263">
        <f>+AL170/AG170-1</f>
        <v>6.0000000000000053E-2</v>
      </c>
      <c r="AM171" s="263">
        <f t="shared" ref="AM171" si="427">+AM170/AH170-1</f>
        <v>0.14589826704390885</v>
      </c>
      <c r="AN171" s="263">
        <f t="shared" ref="AN171" si="428">+AN170/AI170-1</f>
        <v>0.14023034582915406</v>
      </c>
      <c r="AO171" s="263">
        <f t="shared" ref="AO171" si="429">+AO170/AJ170-1</f>
        <v>0.13500000000000001</v>
      </c>
      <c r="AP171" s="122">
        <f>AP170/AK170-1</f>
        <v>0.12007496746184732</v>
      </c>
      <c r="AQ171" s="263">
        <f t="shared" ref="AQ171:AR171" si="430">+AQ170/AL170-1</f>
        <v>0.14779680982050292</v>
      </c>
      <c r="AR171" s="263">
        <f t="shared" si="430"/>
        <v>0.11945614784962655</v>
      </c>
      <c r="AS171" s="121">
        <f t="shared" ref="AS171" si="431">+AS170/AN170-1</f>
        <v>0.1399999999999999</v>
      </c>
      <c r="AT171" s="263">
        <f t="shared" ref="AT171" si="432">+AT170/AO170-1</f>
        <v>0.1324262346919165</v>
      </c>
      <c r="AU171" s="122">
        <f>AU170/AP170-1</f>
        <v>0.13474782340910352</v>
      </c>
      <c r="AV171" s="263">
        <f t="shared" ref="AV171:BD171" si="433">+AV170/AQ170-1</f>
        <v>8.5252525252525357E-2</v>
      </c>
      <c r="AW171" s="263">
        <f t="shared" si="433"/>
        <v>0.12207792207792201</v>
      </c>
      <c r="AX171" s="263">
        <f t="shared" si="433"/>
        <v>0.12683003221584999</v>
      </c>
      <c r="AY171" s="263">
        <f t="shared" si="433"/>
        <v>9.622882811788025E-2</v>
      </c>
      <c r="AZ171" s="122">
        <f>AZ170/AU170-1</f>
        <v>0.10769230769230775</v>
      </c>
      <c r="BA171" s="263">
        <f t="shared" si="433"/>
        <v>0.10000000000000009</v>
      </c>
      <c r="BB171" s="263">
        <f t="shared" si="433"/>
        <v>0.10000000000000009</v>
      </c>
      <c r="BC171" s="263">
        <f t="shared" si="433"/>
        <v>0.10000000000000009</v>
      </c>
      <c r="BD171" s="263">
        <f t="shared" si="433"/>
        <v>0.10000000000000009</v>
      </c>
      <c r="BE171" s="122">
        <f>BE170/AZ170-1</f>
        <v>0.10000000000000009</v>
      </c>
      <c r="BF171" s="140">
        <f t="shared" ref="BF171:BJ171" si="434">+BE171*0.75</f>
        <v>7.5000000000000067E-2</v>
      </c>
      <c r="BG171" s="140">
        <f t="shared" si="434"/>
        <v>5.625000000000005E-2</v>
      </c>
      <c r="BH171" s="140">
        <f t="shared" si="434"/>
        <v>4.2187500000000037E-2</v>
      </c>
      <c r="BI171" s="140">
        <f t="shared" si="434"/>
        <v>3.1640625000000026E-2</v>
      </c>
      <c r="BJ171" s="140">
        <f t="shared" si="434"/>
        <v>2.3730468750000018E-2</v>
      </c>
      <c r="BL171" s="87"/>
      <c r="BM171" s="87"/>
      <c r="BV171" s="87"/>
      <c r="BW171" s="87"/>
      <c r="BX171" s="87"/>
      <c r="BY171" s="87"/>
      <c r="BZ171" s="87"/>
      <c r="CA171" s="87"/>
    </row>
    <row r="172" spans="2:79">
      <c r="B172" s="45" t="s">
        <v>171</v>
      </c>
      <c r="G172" s="71"/>
      <c r="L172" s="71"/>
      <c r="Q172" s="71"/>
      <c r="V172" s="131">
        <f>V173/V170</f>
        <v>4.6249999999999998E-3</v>
      </c>
      <c r="AA172" s="131">
        <f>AA173/AA170</f>
        <v>1.0330185185185185E-2</v>
      </c>
      <c r="AF172" s="131">
        <f>AF173/AF170</f>
        <v>1.3573333333333333E-2</v>
      </c>
      <c r="AG172" s="207">
        <f>AG173/AG170</f>
        <v>1.4196893203883496E-2</v>
      </c>
      <c r="AH172" s="224">
        <f>AG172+0.0005</f>
        <v>1.4696893203883496E-2</v>
      </c>
      <c r="AI172" s="207">
        <f t="shared" ref="AI172:AO172" si="435">AI173/AI170</f>
        <v>1.4267205537984138E-2</v>
      </c>
      <c r="AJ172" s="207">
        <f t="shared" si="435"/>
        <v>1.4801980198019801E-2</v>
      </c>
      <c r="AK172" s="163">
        <f t="shared" si="435"/>
        <v>1.4491874233588411E-2</v>
      </c>
      <c r="AL172" s="264">
        <f t="shared" si="435"/>
        <v>1.5497343835867374E-2</v>
      </c>
      <c r="AM172" s="264">
        <f t="shared" si="435"/>
        <v>1.5527002154589626E-2</v>
      </c>
      <c r="AN172" s="264">
        <f t="shared" si="435"/>
        <v>1.5310879199897201E-2</v>
      </c>
      <c r="AO172" s="264">
        <f t="shared" si="435"/>
        <v>1.5634908119751316E-2</v>
      </c>
      <c r="AP172" s="163">
        <f>AP173/AP170</f>
        <v>1.5493672204239681E-2</v>
      </c>
      <c r="AQ172" s="264">
        <f>AQ173/AQ170</f>
        <v>1.5800000000000002E-2</v>
      </c>
      <c r="AR172" s="224">
        <v>1.6799999999999999E-2</v>
      </c>
      <c r="AS172" s="264">
        <f t="shared" ref="AS172:AX172" si="436">AS173/AS170</f>
        <v>1.6445627497204296E-2</v>
      </c>
      <c r="AT172" s="264">
        <f t="shared" si="436"/>
        <v>1.6917477320413776E-2</v>
      </c>
      <c r="AU172" s="163">
        <f t="shared" si="436"/>
        <v>1.6500000000000001E-2</v>
      </c>
      <c r="AV172" s="264">
        <f t="shared" si="436"/>
        <v>1.7319705882352942E-2</v>
      </c>
      <c r="AW172" s="264">
        <f t="shared" si="436"/>
        <v>1.7653055555555557E-2</v>
      </c>
      <c r="AX172" s="264">
        <f t="shared" si="436"/>
        <v>1.7639999999999999E-2</v>
      </c>
      <c r="AY172" s="264">
        <f t="shared" ref="AY172" si="437">AY173/AY170</f>
        <v>1.8184324324324323E-2</v>
      </c>
      <c r="AZ172" s="163">
        <f>AZ173/AZ170</f>
        <v>1.7707500000000001E-2</v>
      </c>
      <c r="BA172" s="224">
        <f>+AY172+0.0025%</f>
        <v>1.8209324324324323E-2</v>
      </c>
      <c r="BB172" s="224">
        <f>+BA172+0.0025%</f>
        <v>1.8234324324324324E-2</v>
      </c>
      <c r="BC172" s="224">
        <f t="shared" ref="BC172:BD172" si="438">+BB172+0.0025%</f>
        <v>1.8259324324324325E-2</v>
      </c>
      <c r="BD172" s="224">
        <f t="shared" si="438"/>
        <v>1.8284324324324325E-2</v>
      </c>
      <c r="BE172" s="163">
        <f>BE173/BE170</f>
        <v>1.824769237987988E-2</v>
      </c>
      <c r="BF172" s="284">
        <f t="shared" ref="BF172:BJ172" si="439">MIN(BE172+0.00025,0.029)</f>
        <v>1.8497692379879881E-2</v>
      </c>
      <c r="BG172" s="284">
        <f t="shared" si="439"/>
        <v>1.8747692379879881E-2</v>
      </c>
      <c r="BH172" s="284">
        <f t="shared" si="439"/>
        <v>1.8997692379879881E-2</v>
      </c>
      <c r="BI172" s="284">
        <f t="shared" si="439"/>
        <v>1.9247692379879881E-2</v>
      </c>
      <c r="BJ172" s="284">
        <f t="shared" si="439"/>
        <v>1.9497692379879882E-2</v>
      </c>
      <c r="BL172" s="87"/>
      <c r="BM172" s="87"/>
      <c r="BV172" s="87"/>
      <c r="BW172" s="87"/>
      <c r="BX172" s="87"/>
      <c r="BY172" s="87"/>
      <c r="BZ172" s="87"/>
      <c r="CA172" s="87"/>
    </row>
    <row r="173" spans="2:79">
      <c r="B173" s="45" t="s">
        <v>222</v>
      </c>
      <c r="G173" s="71"/>
      <c r="L173" s="71"/>
      <c r="Q173" s="71"/>
      <c r="R173" s="177">
        <v>2</v>
      </c>
      <c r="S173" s="177">
        <v>2.4</v>
      </c>
      <c r="T173" s="177">
        <v>3</v>
      </c>
      <c r="U173" s="177">
        <v>3.75</v>
      </c>
      <c r="V173" s="54">
        <v>11.1</v>
      </c>
      <c r="W173" s="98">
        <v>5.915</v>
      </c>
      <c r="X173" s="98">
        <v>10.669</v>
      </c>
      <c r="Y173" s="98">
        <v>12.432</v>
      </c>
      <c r="Z173" s="98">
        <v>26.766999999999999</v>
      </c>
      <c r="AA173" s="178">
        <f>SUM(W173:Z173)</f>
        <v>55.783000000000001</v>
      </c>
      <c r="AB173" s="98">
        <v>29.454999999999998</v>
      </c>
      <c r="AC173" s="98">
        <v>32.438000000000002</v>
      </c>
      <c r="AD173" s="98">
        <v>32.29</v>
      </c>
      <c r="AE173" s="98">
        <v>36.121000000000002</v>
      </c>
      <c r="AF173" s="178">
        <f>SUM(AB173:AE173)</f>
        <v>130.304</v>
      </c>
      <c r="AG173" s="98">
        <v>36.557000000000002</v>
      </c>
      <c r="AH173" s="98">
        <v>36.758000000000003</v>
      </c>
      <c r="AI173" s="98">
        <v>36.04</v>
      </c>
      <c r="AJ173" s="112">
        <f>+'Core Growth'!AJ16</f>
        <v>38.869999999999997</v>
      </c>
      <c r="AK173" s="178">
        <f>SUM(AG173:AJ173)</f>
        <v>148.22499999999999</v>
      </c>
      <c r="AL173" s="112">
        <f>+'Core Growth'!AL16</f>
        <v>42.3</v>
      </c>
      <c r="AM173" s="112">
        <f>+'Core Growth'!AM16</f>
        <v>44.5</v>
      </c>
      <c r="AN173" s="112">
        <f>+'Core Growth'!AN16</f>
        <v>44.1</v>
      </c>
      <c r="AO173" s="112">
        <f>+'Core Growth'!AO16</f>
        <v>46.6</v>
      </c>
      <c r="AP173" s="178">
        <f>SUM(AL173:AO173)</f>
        <v>177.5</v>
      </c>
      <c r="AQ173" s="112">
        <f>+'Core Growth'!AQ16</f>
        <v>49.5</v>
      </c>
      <c r="AR173" s="112">
        <f>+'Core Growth'!AR16</f>
        <v>53.9</v>
      </c>
      <c r="AS173" s="112">
        <f>+'Core Growth'!AS16</f>
        <v>54</v>
      </c>
      <c r="AT173" s="112">
        <f>+'Core Growth'!AT16</f>
        <v>57.1</v>
      </c>
      <c r="AU173" s="178">
        <f>SUM(AQ173:AT173)</f>
        <v>214.5</v>
      </c>
      <c r="AV173" s="112">
        <f>+'Core Growth'!AV16</f>
        <v>58.887</v>
      </c>
      <c r="AW173" s="112">
        <f>+'Core Growth'!AW16</f>
        <v>63.551000000000002</v>
      </c>
      <c r="AX173" s="112">
        <f>+'Core Growth'!AX16</f>
        <v>65.268000000000001</v>
      </c>
      <c r="AY173" s="112">
        <f>+'Core Growth'!AY16</f>
        <v>67.281999999999996</v>
      </c>
      <c r="AZ173" s="178">
        <f>SUM(AV173:AY173)</f>
        <v>254.988</v>
      </c>
      <c r="BA173" s="112">
        <f t="shared" ref="BA173:BD173" si="440">+BA170*BA172</f>
        <v>68.102872972972975</v>
      </c>
      <c r="BB173" s="112">
        <f t="shared" si="440"/>
        <v>72.207924324324338</v>
      </c>
      <c r="BC173" s="112">
        <f t="shared" si="440"/>
        <v>74.315450000000013</v>
      </c>
      <c r="BD173" s="112">
        <f t="shared" si="440"/>
        <v>74.417200000000008</v>
      </c>
      <c r="BE173" s="178">
        <f>SUM(BA173:BD173)</f>
        <v>289.04344729729735</v>
      </c>
      <c r="BF173" s="178">
        <f t="shared" ref="BF173:BJ173" si="441">BF170*BF172</f>
        <v>314.97870584459469</v>
      </c>
      <c r="BG173" s="178">
        <f t="shared" si="441"/>
        <v>337.19271429835317</v>
      </c>
      <c r="BH173" s="178">
        <f t="shared" si="441"/>
        <v>356.10418243086178</v>
      </c>
      <c r="BI173" s="178">
        <f t="shared" si="441"/>
        <v>372.20596455673751</v>
      </c>
      <c r="BJ173" s="178">
        <f t="shared" si="441"/>
        <v>385.98773292521565</v>
      </c>
      <c r="BL173" s="87"/>
      <c r="BM173" s="87"/>
      <c r="BV173" s="87"/>
      <c r="BW173" s="87"/>
      <c r="BX173" s="87"/>
      <c r="BY173" s="87"/>
      <c r="BZ173" s="87"/>
      <c r="CA173" s="87"/>
    </row>
    <row r="174" spans="2:79">
      <c r="B174" s="45" t="s">
        <v>172</v>
      </c>
      <c r="G174" s="71"/>
      <c r="L174" s="71"/>
      <c r="Q174" s="71"/>
      <c r="V174" s="54"/>
      <c r="AA174" s="161"/>
      <c r="AD174" s="145"/>
      <c r="AE174" s="145"/>
      <c r="AF174" s="74">
        <f>AF173/AA173-1</f>
        <v>1.3359087894161306</v>
      </c>
      <c r="AG174" s="108">
        <f>+AG173/AB173-1</f>
        <v>0.24111356306229847</v>
      </c>
      <c r="AH174" s="108">
        <f t="shared" ref="AH174:AJ174" si="442">+AH173/AC173-1</f>
        <v>0.13317713792465624</v>
      </c>
      <c r="AI174" s="108">
        <f t="shared" si="442"/>
        <v>0.11613502632393935</v>
      </c>
      <c r="AJ174" s="108">
        <f t="shared" si="442"/>
        <v>7.6105312698983907E-2</v>
      </c>
      <c r="AK174" s="122">
        <f>AK173/AF173-1</f>
        <v>0.13753223231827105</v>
      </c>
      <c r="AL174" s="263">
        <f>+AL173/AG173-1</f>
        <v>0.15709713597942931</v>
      </c>
      <c r="AM174" s="263">
        <f t="shared" ref="AM174" si="443">+AM173/AH173-1</f>
        <v>0.21062081723706405</v>
      </c>
      <c r="AN174" s="263">
        <f t="shared" ref="AN174:AO174" si="444">+AN173/AI173-1</f>
        <v>0.22364039955604897</v>
      </c>
      <c r="AO174" s="263">
        <f t="shared" si="444"/>
        <v>0.19886802161049655</v>
      </c>
      <c r="AP174" s="122">
        <f>AP173/AK173-1</f>
        <v>0.19750379490639225</v>
      </c>
      <c r="AQ174" s="263">
        <f>+AQ173/AL173-1</f>
        <v>0.17021276595744683</v>
      </c>
      <c r="AR174" s="263">
        <f t="shared" ref="AR174" si="445">+AR173/AM173-1</f>
        <v>0.21123595505617976</v>
      </c>
      <c r="AS174" s="263">
        <f t="shared" ref="AS174" si="446">+AS173/AN173-1</f>
        <v>0.22448979591836737</v>
      </c>
      <c r="AT174" s="263">
        <f t="shared" ref="AT174" si="447">+AT173/AO173-1</f>
        <v>0.22532188841201717</v>
      </c>
      <c r="AU174" s="122">
        <f>AU173/AP173-1</f>
        <v>0.20845070422535206</v>
      </c>
      <c r="AV174" s="263">
        <f>+AV173/AQ173-1</f>
        <v>0.1896363636363636</v>
      </c>
      <c r="AW174" s="263">
        <f>+AW173/AR173-1</f>
        <v>0.1790538033395177</v>
      </c>
      <c r="AX174" s="263">
        <f>+AX173/AS173-1</f>
        <v>0.20866666666666678</v>
      </c>
      <c r="AY174" s="263">
        <f>+AY173/AT173-1</f>
        <v>0.17831873905429063</v>
      </c>
      <c r="AZ174" s="122">
        <f>AZ173/AU173-1</f>
        <v>0.18875524475524474</v>
      </c>
      <c r="BA174" s="263">
        <f t="shared" ref="BA174:BD174" si="448">+BA173/AV173-1</f>
        <v>0.15650097598745005</v>
      </c>
      <c r="BB174" s="263">
        <f t="shared" si="448"/>
        <v>0.13622011178933979</v>
      </c>
      <c r="BC174" s="263">
        <f t="shared" si="448"/>
        <v>0.13861999754856913</v>
      </c>
      <c r="BD174" s="263">
        <f t="shared" si="448"/>
        <v>0.10604916619601101</v>
      </c>
      <c r="BE174" s="122">
        <f>BE173/AZ173-1</f>
        <v>0.13355705875295043</v>
      </c>
      <c r="BF174" s="122">
        <f t="shared" ref="BF174:BJ174" si="449">BF173/BE173-1</f>
        <v>8.9727889664357185E-2</v>
      </c>
      <c r="BG174" s="122">
        <f t="shared" si="449"/>
        <v>7.0525429311778742E-2</v>
      </c>
      <c r="BH174" s="122">
        <f t="shared" si="449"/>
        <v>5.6085043746750385E-2</v>
      </c>
      <c r="BI174" s="122">
        <f t="shared" si="449"/>
        <v>4.5216492589221113E-2</v>
      </c>
      <c r="BJ174" s="122">
        <f t="shared" si="449"/>
        <v>3.7027263614356487E-2</v>
      </c>
      <c r="BK174" s="87"/>
      <c r="BL174" s="87"/>
      <c r="BM174" s="87"/>
      <c r="BN174" s="87"/>
      <c r="BO174" s="87"/>
      <c r="BP174" s="87"/>
      <c r="BV174" s="87"/>
      <c r="BW174" s="87"/>
      <c r="BX174" s="87"/>
      <c r="BY174" s="87"/>
      <c r="BZ174" s="87"/>
      <c r="CA174" s="87"/>
    </row>
    <row r="175" spans="2:79" s="87" customFormat="1">
      <c r="C175" s="83"/>
      <c r="D175" s="83"/>
      <c r="E175" s="83"/>
      <c r="F175" s="83"/>
      <c r="G175" s="71"/>
      <c r="H175" s="83"/>
      <c r="I175" s="83"/>
      <c r="J175" s="83"/>
      <c r="K175" s="83"/>
      <c r="L175" s="71"/>
      <c r="M175" s="83"/>
      <c r="N175" s="83"/>
      <c r="O175" s="83"/>
      <c r="P175" s="83"/>
      <c r="Q175" s="71"/>
      <c r="R175" s="83"/>
      <c r="S175" s="83"/>
      <c r="T175" s="83"/>
      <c r="U175" s="83"/>
      <c r="V175" s="71"/>
      <c r="W175" s="83"/>
      <c r="X175" s="83"/>
      <c r="Y175" s="83"/>
      <c r="Z175" s="83"/>
      <c r="AA175" s="71"/>
      <c r="AB175" s="83"/>
      <c r="AC175" s="83"/>
      <c r="AD175" s="137"/>
      <c r="AE175" s="137"/>
      <c r="AF175" s="71"/>
      <c r="AG175" s="83"/>
      <c r="AH175" s="83"/>
      <c r="AI175" s="83"/>
      <c r="AJ175" s="83"/>
      <c r="AK175" s="71"/>
      <c r="AL175" s="83"/>
      <c r="AM175" s="261"/>
      <c r="AN175" s="83"/>
      <c r="AO175" s="83"/>
      <c r="AP175" s="71"/>
      <c r="AQ175" s="261"/>
      <c r="AR175" s="261"/>
      <c r="AS175" s="261"/>
      <c r="AT175" s="261"/>
      <c r="AU175" s="71"/>
      <c r="AV175" s="261"/>
      <c r="AW175" s="261"/>
      <c r="AX175" s="261"/>
      <c r="AY175" s="261"/>
      <c r="AZ175" s="71"/>
      <c r="BA175" s="261"/>
      <c r="BB175" s="261"/>
      <c r="BC175" s="261"/>
      <c r="BD175" s="261"/>
      <c r="BE175" s="71"/>
      <c r="BF175" s="71"/>
      <c r="BG175" s="71"/>
      <c r="BH175" s="71"/>
      <c r="BI175" s="71"/>
      <c r="BJ175" s="71"/>
      <c r="BR175" s="148"/>
      <c r="BV175" s="45"/>
      <c r="BW175" s="45"/>
      <c r="BX175" s="45"/>
      <c r="BY175" s="45"/>
      <c r="BZ175" s="45"/>
      <c r="CA175" s="45"/>
    </row>
    <row r="176" spans="2:79" s="87" customFormat="1">
      <c r="B176" s="77" t="s">
        <v>212</v>
      </c>
      <c r="C176" s="83"/>
      <c r="D176" s="83"/>
      <c r="E176" s="83"/>
      <c r="F176" s="83"/>
      <c r="G176" s="71"/>
      <c r="H176" s="83"/>
      <c r="I176" s="83"/>
      <c r="J176" s="83"/>
      <c r="K176" s="83"/>
      <c r="L176" s="71"/>
      <c r="M176" s="112">
        <f>M164</f>
        <v>17.341000000000001</v>
      </c>
      <c r="N176" s="112">
        <f t="shared" ref="N176:P176" si="450">N164</f>
        <v>19.416</v>
      </c>
      <c r="O176" s="112">
        <f t="shared" si="450"/>
        <v>21.021000000000001</v>
      </c>
      <c r="P176" s="112">
        <f t="shared" si="450"/>
        <v>20.576000000000001</v>
      </c>
      <c r="Q176" s="178">
        <f>Q164-Q173</f>
        <v>78.354000000000013</v>
      </c>
      <c r="R176" s="112">
        <f>R164-R173</f>
        <v>20.925999999999998</v>
      </c>
      <c r="S176" s="112">
        <f t="shared" ref="S176:U176" si="451">S164-S173</f>
        <v>26.007000000000001</v>
      </c>
      <c r="T176" s="112">
        <f t="shared" si="451"/>
        <v>29.03</v>
      </c>
      <c r="U176" s="112">
        <f t="shared" si="451"/>
        <v>29.482999999999997</v>
      </c>
      <c r="V176" s="178">
        <f>V164-V173</f>
        <v>105.49600000000001</v>
      </c>
      <c r="W176" s="214">
        <f>W164-W173</f>
        <v>33.526000000000003</v>
      </c>
      <c r="X176" s="214">
        <f t="shared" ref="X176:Z176" si="452">X164-X173</f>
        <v>35.221000000000004</v>
      </c>
      <c r="Y176" s="214">
        <f t="shared" si="452"/>
        <v>38.751999999999995</v>
      </c>
      <c r="Z176" s="214">
        <f t="shared" si="452"/>
        <v>42.022000000000006</v>
      </c>
      <c r="AA176" s="178">
        <f>AA164-AA173</f>
        <v>149.52099999999996</v>
      </c>
      <c r="AB176" s="214">
        <f>AB164-AB173</f>
        <v>48.221000000000004</v>
      </c>
      <c r="AC176" s="214">
        <f t="shared" ref="AC176:AE176" si="453">AC164-AC173</f>
        <v>48.076999999999998</v>
      </c>
      <c r="AD176" s="214">
        <f t="shared" si="453"/>
        <v>47.204000000000001</v>
      </c>
      <c r="AE176" s="214">
        <f t="shared" si="453"/>
        <v>45.552</v>
      </c>
      <c r="AF176" s="178">
        <f>AF164-AF173</f>
        <v>189.054</v>
      </c>
      <c r="AG176" s="214">
        <f>AG164-AG173</f>
        <v>50.072000000000003</v>
      </c>
      <c r="AH176" s="214">
        <f>AH164-AH173</f>
        <v>50.288999999999994</v>
      </c>
      <c r="AI176" s="214">
        <f>AI164-AI173</f>
        <v>48.699000000000005</v>
      </c>
      <c r="AJ176" s="214">
        <f>AJ164-AJ173</f>
        <v>50.902000000000008</v>
      </c>
      <c r="AK176" s="178">
        <f>+SUM(AG176:AJ176)</f>
        <v>199.96200000000002</v>
      </c>
      <c r="AL176" s="214">
        <f>AL164-AL173</f>
        <v>53.646000000000001</v>
      </c>
      <c r="AM176" s="214">
        <f>AM164-AM173</f>
        <v>58.388000000000005</v>
      </c>
      <c r="AN176" s="214">
        <f>AN164-AN173</f>
        <v>59.106999999999992</v>
      </c>
      <c r="AO176" s="214">
        <f>AO164-AO173</f>
        <v>61.017000000000003</v>
      </c>
      <c r="AP176" s="178">
        <f>+SUM(AL176:AO176)</f>
        <v>232.15799999999999</v>
      </c>
      <c r="AQ176" s="214">
        <f>AQ164-AQ173</f>
        <v>65.983000000000004</v>
      </c>
      <c r="AR176" s="214">
        <f>AR164-AR173</f>
        <v>69.721000000000004</v>
      </c>
      <c r="AS176" s="214">
        <f>AS164-AS173</f>
        <v>71.847999999999999</v>
      </c>
      <c r="AT176" s="214">
        <f>AT164-AT173</f>
        <v>73.623000000000019</v>
      </c>
      <c r="AU176" s="178">
        <f>+SUM(AQ176:AT176)</f>
        <v>281.17500000000007</v>
      </c>
      <c r="AV176" s="214">
        <f>AV164-AV173</f>
        <v>77.087999999999994</v>
      </c>
      <c r="AW176" s="214">
        <f>AW164-AW173</f>
        <v>80.922999999999988</v>
      </c>
      <c r="AX176" s="214">
        <f>AX164-AX173</f>
        <v>83.75200000000001</v>
      </c>
      <c r="AY176" s="214">
        <f>AY164-AY173</f>
        <v>86.566000000000017</v>
      </c>
      <c r="AZ176" s="178">
        <f>+SUM(AV176:AY176)</f>
        <v>328.32900000000001</v>
      </c>
      <c r="BA176" s="56">
        <f>+AV176*(1+BA178)</f>
        <v>88.651199999999989</v>
      </c>
      <c r="BB176" s="56">
        <f>+AW176*(1+BB178)</f>
        <v>93.061449999999979</v>
      </c>
      <c r="BC176" s="56">
        <f>+AX176*(1+BC178)</f>
        <v>96.314800000000005</v>
      </c>
      <c r="BD176" s="56">
        <f>+AY176*(1+BD178)</f>
        <v>99.550900000000013</v>
      </c>
      <c r="BE176" s="178">
        <f>+SUM(BA176:BD176)</f>
        <v>377.57835</v>
      </c>
      <c r="BF176" s="178">
        <f t="shared" ref="BF176:BJ176" si="454">BE176*(1+BF178)</f>
        <v>425.71958962499997</v>
      </c>
      <c r="BG176" s="178">
        <f t="shared" si="454"/>
        <v>471.85695015060929</v>
      </c>
      <c r="BH176" s="178">
        <f t="shared" si="454"/>
        <v>515.3238225772958</v>
      </c>
      <c r="BI176" s="178">
        <f t="shared" si="454"/>
        <v>555.67416100118169</v>
      </c>
      <c r="BJ176" s="178">
        <f t="shared" si="454"/>
        <v>592.65749758946231</v>
      </c>
      <c r="BR176" s="148"/>
    </row>
    <row r="177" spans="2:70" s="87" customFormat="1">
      <c r="B177" s="77" t="s">
        <v>232</v>
      </c>
      <c r="C177" s="83"/>
      <c r="D177" s="83"/>
      <c r="E177" s="83"/>
      <c r="F177" s="83"/>
      <c r="G177" s="71"/>
      <c r="H177" s="83"/>
      <c r="I177" s="83"/>
      <c r="J177" s="83"/>
      <c r="K177" s="83"/>
      <c r="L177" s="71"/>
      <c r="M177" s="83"/>
      <c r="N177" s="83"/>
      <c r="O177" s="83"/>
      <c r="P177" s="83"/>
      <c r="Q177" s="71"/>
      <c r="R177" s="55"/>
      <c r="S177" s="55"/>
      <c r="T177" s="55"/>
      <c r="U177" s="55"/>
      <c r="V177" s="54"/>
      <c r="W177" s="55"/>
      <c r="X177" s="55"/>
      <c r="Y177" s="55"/>
      <c r="Z177" s="55"/>
      <c r="AA177" s="54"/>
      <c r="AB177" s="55"/>
      <c r="AC177" s="55"/>
      <c r="AD177" s="55"/>
      <c r="AE177" s="55"/>
      <c r="AF177" s="122">
        <f>_xlfn.RRI(3,Q176,AF176)</f>
        <v>0.34124536070571598</v>
      </c>
      <c r="AG177" s="162"/>
      <c r="AH177" s="162"/>
      <c r="AI177" s="162"/>
      <c r="AJ177" s="162"/>
      <c r="AK177" s="54"/>
      <c r="AL177" s="162"/>
      <c r="AM177" s="162"/>
      <c r="AN177" s="162"/>
      <c r="AO177" s="162"/>
      <c r="AP177" s="54"/>
      <c r="AQ177" s="162"/>
      <c r="AR177" s="162"/>
      <c r="AS177" s="162"/>
      <c r="AT177" s="162"/>
      <c r="AU177" s="54"/>
      <c r="AV177" s="162"/>
      <c r="AW177" s="162"/>
      <c r="AX177" s="162"/>
      <c r="AY177" s="162"/>
      <c r="AZ177" s="54"/>
      <c r="BA177" s="162"/>
      <c r="BB177" s="162"/>
      <c r="BC177" s="162"/>
      <c r="BD177" s="162"/>
      <c r="BE177" s="54"/>
      <c r="BF177" s="54"/>
      <c r="BG177" s="54"/>
      <c r="BH177" s="54"/>
      <c r="BI177" s="54"/>
      <c r="BJ177" s="54"/>
      <c r="BR177" s="148"/>
    </row>
    <row r="178" spans="2:70" s="87" customFormat="1">
      <c r="B178" s="45" t="s">
        <v>175</v>
      </c>
      <c r="C178" s="83"/>
      <c r="D178" s="83"/>
      <c r="E178" s="83"/>
      <c r="F178" s="83"/>
      <c r="G178" s="71"/>
      <c r="H178" s="83"/>
      <c r="I178" s="83"/>
      <c r="J178" s="83"/>
      <c r="K178" s="83"/>
      <c r="L178" s="71"/>
      <c r="M178" s="83"/>
      <c r="N178" s="83"/>
      <c r="O178" s="83"/>
      <c r="P178" s="83"/>
      <c r="Q178" s="71"/>
      <c r="R178" s="83"/>
      <c r="S178" s="83"/>
      <c r="T178" s="83"/>
      <c r="U178" s="83"/>
      <c r="V178" s="54"/>
      <c r="W178" s="83">
        <f t="shared" ref="W178:AH178" si="455">W176/R176-1</f>
        <v>0.60212176240084125</v>
      </c>
      <c r="X178" s="83">
        <f t="shared" si="455"/>
        <v>0.35428922982274003</v>
      </c>
      <c r="Y178" s="83">
        <f t="shared" si="455"/>
        <v>0.33489493627282108</v>
      </c>
      <c r="Z178" s="83">
        <f t="shared" si="455"/>
        <v>0.42529593324966974</v>
      </c>
      <c r="AA178" s="122">
        <f t="shared" si="455"/>
        <v>0.41731440054599167</v>
      </c>
      <c r="AB178" s="83">
        <f t="shared" si="455"/>
        <v>0.43831653045397601</v>
      </c>
      <c r="AC178" s="83">
        <f t="shared" si="455"/>
        <v>0.36500951137105675</v>
      </c>
      <c r="AD178" s="83">
        <f t="shared" si="455"/>
        <v>0.21810487200660633</v>
      </c>
      <c r="AE178" s="83">
        <f t="shared" si="455"/>
        <v>8.4003617152919707E-2</v>
      </c>
      <c r="AF178" s="122">
        <f t="shared" si="455"/>
        <v>0.26439764314042891</v>
      </c>
      <c r="AG178" s="83">
        <f t="shared" si="455"/>
        <v>3.8385765537836125E-2</v>
      </c>
      <c r="AH178" s="83">
        <f t="shared" si="455"/>
        <v>4.6009526384757748E-2</v>
      </c>
      <c r="AI178" s="83">
        <f t="shared" ref="AI178:AO178" si="456">AI176/AD176-1</f>
        <v>3.1671044826709682E-2</v>
      </c>
      <c r="AJ178" s="83">
        <f t="shared" si="456"/>
        <v>0.11744819107832827</v>
      </c>
      <c r="AK178" s="122">
        <f t="shared" si="456"/>
        <v>5.7697800628391915E-2</v>
      </c>
      <c r="AL178" s="83">
        <f t="shared" si="456"/>
        <v>7.1377216807796628E-2</v>
      </c>
      <c r="AM178" s="83">
        <f t="shared" si="456"/>
        <v>0.16104913599395521</v>
      </c>
      <c r="AN178" s="83">
        <f t="shared" si="456"/>
        <v>0.2137210209655227</v>
      </c>
      <c r="AO178" s="83">
        <f t="shared" si="456"/>
        <v>0.19871517818553275</v>
      </c>
      <c r="AP178" s="122">
        <f t="shared" ref="AP178" si="457">AP176/AK176-1</f>
        <v>0.16101059201248225</v>
      </c>
      <c r="AQ178" s="83">
        <f>AQ176/AL176-1</f>
        <v>0.2299705476643179</v>
      </c>
      <c r="AR178" s="83">
        <f>AR176/AM176-1</f>
        <v>0.19409810234979785</v>
      </c>
      <c r="AS178" s="83">
        <f>AS176/AN176-1</f>
        <v>0.21555822491413901</v>
      </c>
      <c r="AT178" s="83">
        <f>AT176/AO176-1</f>
        <v>0.20659816116819929</v>
      </c>
      <c r="AU178" s="122">
        <f t="shared" ref="AU178" si="458">AU176/AP176-1</f>
        <v>0.21113638125759215</v>
      </c>
      <c r="AV178" s="83">
        <f>AV176/AQ176-1</f>
        <v>0.1683009259960897</v>
      </c>
      <c r="AW178" s="83">
        <f>AW176/AR176-1</f>
        <v>0.16066895196569164</v>
      </c>
      <c r="AX178" s="83">
        <f>AX176/AS176-1</f>
        <v>0.16568310878521331</v>
      </c>
      <c r="AY178" s="83">
        <f>AY176/AT176-1</f>
        <v>0.1758010404357333</v>
      </c>
      <c r="AZ178" s="122">
        <f t="shared" ref="AZ178" si="459">AZ176/AU176-1</f>
        <v>0.16770338757001846</v>
      </c>
      <c r="BA178" s="265">
        <v>0.15</v>
      </c>
      <c r="BB178" s="265">
        <v>0.15</v>
      </c>
      <c r="BC178" s="265">
        <v>0.15</v>
      </c>
      <c r="BD178" s="265">
        <v>0.15</v>
      </c>
      <c r="BE178" s="122">
        <f t="shared" ref="BE178" si="460">BE176/AZ176-1</f>
        <v>0.14999999999999991</v>
      </c>
      <c r="BF178" s="140">
        <f t="shared" ref="BF178:BJ178" si="461">MAX(BE178*0.85, 5%)</f>
        <v>0.12749999999999992</v>
      </c>
      <c r="BG178" s="140">
        <f t="shared" si="461"/>
        <v>0.10837499999999993</v>
      </c>
      <c r="BH178" s="140">
        <f t="shared" si="461"/>
        <v>9.2118749999999944E-2</v>
      </c>
      <c r="BI178" s="140">
        <f t="shared" si="461"/>
        <v>7.8300937499999945E-2</v>
      </c>
      <c r="BJ178" s="140">
        <f t="shared" si="461"/>
        <v>6.6555796874999948E-2</v>
      </c>
      <c r="BR178" s="148"/>
    </row>
    <row r="179" spans="2:70" s="87" customFormat="1">
      <c r="B179" s="87" t="s">
        <v>173</v>
      </c>
      <c r="C179" s="83"/>
      <c r="D179" s="83"/>
      <c r="E179" s="83"/>
      <c r="F179" s="83"/>
      <c r="G179" s="71"/>
      <c r="H179" s="83"/>
      <c r="I179" s="83"/>
      <c r="J179" s="83"/>
      <c r="K179" s="83"/>
      <c r="L179" s="71"/>
      <c r="M179" s="83"/>
      <c r="N179" s="83"/>
      <c r="O179" s="83"/>
      <c r="P179" s="83"/>
      <c r="Q179" s="71"/>
      <c r="R179" s="83"/>
      <c r="S179" s="83"/>
      <c r="T179" s="83"/>
      <c r="U179" s="83"/>
      <c r="V179" s="71"/>
      <c r="W179" s="83"/>
      <c r="X179" s="83"/>
      <c r="Y179" s="83"/>
      <c r="Z179" s="83"/>
      <c r="AA179" s="71">
        <f>AA173/AA164</f>
        <v>0.2717092701554768</v>
      </c>
      <c r="AB179" s="83"/>
      <c r="AC179" s="83"/>
      <c r="AD179" s="83"/>
      <c r="AE179" s="83"/>
      <c r="AF179" s="71">
        <f t="shared" ref="AF179:BJ179" si="462">AF173/AF164</f>
        <v>0.40801858729075208</v>
      </c>
      <c r="AG179" s="108">
        <f t="shared" si="462"/>
        <v>0.42199494395641185</v>
      </c>
      <c r="AH179" s="108">
        <f t="shared" si="462"/>
        <v>0.42227762013624826</v>
      </c>
      <c r="AI179" s="108">
        <f t="shared" ref="AI179" si="463">AI173/AI164</f>
        <v>0.42530593941396522</v>
      </c>
      <c r="AJ179" s="108">
        <f t="shared" si="462"/>
        <v>0.43298578621396422</v>
      </c>
      <c r="AK179" s="71">
        <f t="shared" si="462"/>
        <v>0.42570515269093906</v>
      </c>
      <c r="AL179" s="263">
        <f t="shared" si="462"/>
        <v>0.4408729910574698</v>
      </c>
      <c r="AM179" s="263">
        <f t="shared" si="462"/>
        <v>0.43250913614804443</v>
      </c>
      <c r="AN179" s="263">
        <f t="shared" si="462"/>
        <v>0.4272965980989662</v>
      </c>
      <c r="AO179" s="263">
        <f t="shared" si="462"/>
        <v>0.43301708837823022</v>
      </c>
      <c r="AP179" s="71">
        <f t="shared" si="462"/>
        <v>0.43328825508106761</v>
      </c>
      <c r="AQ179" s="263">
        <f t="shared" si="462"/>
        <v>0.42863451763463017</v>
      </c>
      <c r="AR179" s="263">
        <f t="shared" ref="AR179:AU179" si="464">AR173/AR164</f>
        <v>0.43601006301518352</v>
      </c>
      <c r="AS179" s="263">
        <f t="shared" si="464"/>
        <v>0.4290890598181934</v>
      </c>
      <c r="AT179" s="263">
        <f t="shared" si="464"/>
        <v>0.43680148099416322</v>
      </c>
      <c r="AU179" s="71">
        <f t="shared" si="464"/>
        <v>0.43274322893024658</v>
      </c>
      <c r="AV179" s="263">
        <f t="shared" ref="AV179:AY179" si="465">AV173/AV164</f>
        <v>0.4330722559293988</v>
      </c>
      <c r="AW179" s="263">
        <f t="shared" ref="AW179" si="466">AW173/AW164</f>
        <v>0.43987845563907696</v>
      </c>
      <c r="AX179" s="263">
        <f t="shared" si="465"/>
        <v>0.4379814789961079</v>
      </c>
      <c r="AY179" s="263">
        <f t="shared" si="465"/>
        <v>0.43732775206697516</v>
      </c>
      <c r="AZ179" s="71">
        <f t="shared" si="462"/>
        <v>0.43713452548099918</v>
      </c>
      <c r="BA179" s="263">
        <f t="shared" si="462"/>
        <v>0.43445680026901157</v>
      </c>
      <c r="BB179" s="263">
        <f t="shared" si="462"/>
        <v>0.43691049608878924</v>
      </c>
      <c r="BC179" s="263">
        <f t="shared" si="462"/>
        <v>0.43553502383076859</v>
      </c>
      <c r="BD179" s="263">
        <f t="shared" si="462"/>
        <v>0.42776348077607329</v>
      </c>
      <c r="BE179" s="71">
        <f t="shared" ref="BE179" si="467">BE173/BE164</f>
        <v>0.43359435360375848</v>
      </c>
      <c r="BF179" s="71">
        <f t="shared" si="462"/>
        <v>0.42524561993881949</v>
      </c>
      <c r="BG179" s="71">
        <f t="shared" si="462"/>
        <v>0.416776285950273</v>
      </c>
      <c r="BH179" s="71">
        <f t="shared" si="462"/>
        <v>0.40864440938816077</v>
      </c>
      <c r="BI179" s="71">
        <f t="shared" si="462"/>
        <v>0.40113583027003208</v>
      </c>
      <c r="BJ179" s="71">
        <f t="shared" si="462"/>
        <v>0.39441027339623513</v>
      </c>
      <c r="BR179" s="148"/>
    </row>
    <row r="180" spans="2:70" s="87" customFormat="1">
      <c r="B180" s="87" t="s">
        <v>174</v>
      </c>
      <c r="C180" s="83"/>
      <c r="D180" s="83"/>
      <c r="E180" s="83"/>
      <c r="F180" s="83"/>
      <c r="G180" s="71"/>
      <c r="H180" s="83"/>
      <c r="I180" s="83"/>
      <c r="J180" s="83"/>
      <c r="K180" s="83"/>
      <c r="L180" s="71"/>
      <c r="M180" s="83"/>
      <c r="N180" s="83"/>
      <c r="O180" s="83"/>
      <c r="P180" s="83"/>
      <c r="Q180" s="71"/>
      <c r="R180" s="83"/>
      <c r="S180" s="83"/>
      <c r="T180" s="83"/>
      <c r="U180" s="83"/>
      <c r="V180" s="71">
        <f>V176/V164</f>
        <v>0.90479947854128795</v>
      </c>
      <c r="W180" s="83"/>
      <c r="X180" s="83"/>
      <c r="Y180" s="83"/>
      <c r="Z180" s="83"/>
      <c r="AA180" s="71">
        <f>AA176/AA164</f>
        <v>0.72829072984452314</v>
      </c>
      <c r="AB180" s="83"/>
      <c r="AC180" s="83"/>
      <c r="AD180" s="83"/>
      <c r="AE180" s="83"/>
      <c r="AF180" s="71">
        <f t="shared" ref="AF180:BJ180" si="468">AF176/AF164</f>
        <v>0.59198141270924798</v>
      </c>
      <c r="AG180" s="108">
        <f t="shared" si="468"/>
        <v>0.57800505604358821</v>
      </c>
      <c r="AH180" s="108">
        <f t="shared" si="468"/>
        <v>0.57772237986375174</v>
      </c>
      <c r="AI180" s="108">
        <f t="shared" ref="AI180" si="469">AI176/AI164</f>
        <v>0.57469406058603478</v>
      </c>
      <c r="AJ180" s="108">
        <f t="shared" si="468"/>
        <v>0.56701421378603578</v>
      </c>
      <c r="AK180" s="71">
        <f t="shared" si="468"/>
        <v>0.574294847309061</v>
      </c>
      <c r="AL180" s="263">
        <f t="shared" si="468"/>
        <v>0.5591270089425302</v>
      </c>
      <c r="AM180" s="263">
        <f t="shared" si="468"/>
        <v>0.56749086385195557</v>
      </c>
      <c r="AN180" s="263">
        <f t="shared" si="468"/>
        <v>0.57270340190103386</v>
      </c>
      <c r="AO180" s="263">
        <f t="shared" si="468"/>
        <v>0.56698291162176984</v>
      </c>
      <c r="AP180" s="71">
        <f t="shared" si="468"/>
        <v>0.56671174491893228</v>
      </c>
      <c r="AQ180" s="263">
        <f t="shared" si="468"/>
        <v>0.57136548236536977</v>
      </c>
      <c r="AR180" s="263">
        <f t="shared" ref="AR180:AU180" si="470">AR176/AR164</f>
        <v>0.56398993698481659</v>
      </c>
      <c r="AS180" s="263">
        <f t="shared" si="470"/>
        <v>0.57091094018180666</v>
      </c>
      <c r="AT180" s="263">
        <f t="shared" si="470"/>
        <v>0.56319851900583684</v>
      </c>
      <c r="AU180" s="71">
        <f t="shared" si="470"/>
        <v>0.56725677106975347</v>
      </c>
      <c r="AV180" s="263">
        <f t="shared" ref="AV180:AY180" si="471">AV176/AV164</f>
        <v>0.5669277440706012</v>
      </c>
      <c r="AW180" s="263">
        <f t="shared" ref="AW180" si="472">AW176/AW164</f>
        <v>0.56012154436092298</v>
      </c>
      <c r="AX180" s="263">
        <f t="shared" si="471"/>
        <v>0.56201852100389216</v>
      </c>
      <c r="AY180" s="263">
        <f t="shared" si="471"/>
        <v>0.56267224793302484</v>
      </c>
      <c r="AZ180" s="71">
        <f t="shared" si="468"/>
        <v>0.56286547451900082</v>
      </c>
      <c r="BA180" s="263">
        <f t="shared" si="468"/>
        <v>0.56554319973098854</v>
      </c>
      <c r="BB180" s="263">
        <f t="shared" si="468"/>
        <v>0.56308950391121082</v>
      </c>
      <c r="BC180" s="263">
        <f t="shared" si="468"/>
        <v>0.56446497616923141</v>
      </c>
      <c r="BD180" s="263">
        <f t="shared" si="468"/>
        <v>0.57223651922392671</v>
      </c>
      <c r="BE180" s="71">
        <f t="shared" ref="BE180" si="473">BE176/BE164</f>
        <v>0.56640564639624158</v>
      </c>
      <c r="BF180" s="71">
        <f t="shared" si="468"/>
        <v>0.57475438006118051</v>
      </c>
      <c r="BG180" s="71">
        <f t="shared" si="468"/>
        <v>0.58322371404972706</v>
      </c>
      <c r="BH180" s="71">
        <f t="shared" si="468"/>
        <v>0.59135559061183918</v>
      </c>
      <c r="BI180" s="71">
        <f t="shared" si="468"/>
        <v>0.59886416972996792</v>
      </c>
      <c r="BJ180" s="71">
        <f t="shared" si="468"/>
        <v>0.60558972660376498</v>
      </c>
      <c r="BR180" s="148"/>
    </row>
    <row r="181" spans="2:70" s="87" customFormat="1">
      <c r="C181" s="83"/>
      <c r="D181" s="83"/>
      <c r="E181" s="83"/>
      <c r="F181" s="83"/>
      <c r="G181" s="71"/>
      <c r="H181" s="83"/>
      <c r="I181" s="83"/>
      <c r="J181" s="83"/>
      <c r="K181" s="83"/>
      <c r="L181" s="71"/>
      <c r="M181" s="83"/>
      <c r="N181" s="83"/>
      <c r="O181" s="83"/>
      <c r="P181" s="83"/>
      <c r="Q181" s="71"/>
      <c r="R181" s="83"/>
      <c r="S181" s="83"/>
      <c r="T181" s="83"/>
      <c r="U181" s="83"/>
      <c r="V181" s="71"/>
      <c r="W181" s="83"/>
      <c r="X181" s="83"/>
      <c r="Y181" s="83"/>
      <c r="Z181" s="83"/>
      <c r="AA181" s="71"/>
      <c r="AB181" s="83"/>
      <c r="AC181" s="83"/>
      <c r="AD181" s="83"/>
      <c r="AE181" s="83"/>
      <c r="AF181" s="71"/>
      <c r="AG181" s="83">
        <f>+AG176/W176-1</f>
        <v>0.4935274115611763</v>
      </c>
      <c r="AH181" s="83">
        <f t="shared" ref="AH181:AJ181" si="474">+AH176/X176-1</f>
        <v>0.42781295249992879</v>
      </c>
      <c r="AI181" s="83">
        <f t="shared" si="474"/>
        <v>0.25668352601156097</v>
      </c>
      <c r="AJ181" s="83">
        <f t="shared" si="474"/>
        <v>0.2113178811098948</v>
      </c>
      <c r="AK181" s="71"/>
      <c r="AL181" s="261">
        <f>+AL176/AB176-1</f>
        <v>0.11250285145476036</v>
      </c>
      <c r="AM181" s="261">
        <f t="shared" ref="AM181" si="475">+AM176/AC176-1</f>
        <v>0.21446845685046911</v>
      </c>
      <c r="AN181" s="261">
        <f t="shared" ref="AN181" si="476">+AN176/AD176-1</f>
        <v>0.25216083382764154</v>
      </c>
      <c r="AO181" s="261">
        <f t="shared" ref="AO181" si="477">+AO176/AE176-1</f>
        <v>0.33950210748155962</v>
      </c>
      <c r="AP181" s="71"/>
      <c r="AQ181" s="261">
        <f t="shared" ref="AQ181:AR181" si="478">+AQ176/AG176-1</f>
        <v>0.31776242211215844</v>
      </c>
      <c r="AR181" s="261">
        <f t="shared" si="478"/>
        <v>0.38640657002525436</v>
      </c>
      <c r="AS181" s="261">
        <f t="shared" ref="AS181" si="479">+AS176/AI176-1</f>
        <v>0.47534856978582707</v>
      </c>
      <c r="AT181" s="261">
        <f t="shared" ref="AT181" si="480">+AT176/AJ176-1</f>
        <v>0.44636752976307426</v>
      </c>
      <c r="AU181" s="71"/>
      <c r="AV181" s="261">
        <f t="shared" ref="AV181:BD181" si="481">+AV176/AL176-1</f>
        <v>0.43697572978414034</v>
      </c>
      <c r="AW181" s="261">
        <f t="shared" si="481"/>
        <v>0.38595259299856099</v>
      </c>
      <c r="AX181" s="261">
        <f t="shared" si="481"/>
        <v>0.41695569052734904</v>
      </c>
      <c r="AY181" s="261">
        <f t="shared" si="481"/>
        <v>0.41871937328941145</v>
      </c>
      <c r="AZ181" s="71"/>
      <c r="BA181" s="261">
        <f t="shared" si="481"/>
        <v>0.3435460648955031</v>
      </c>
      <c r="BB181" s="261">
        <f t="shared" si="481"/>
        <v>0.33476929476054518</v>
      </c>
      <c r="BC181" s="261">
        <f t="shared" si="481"/>
        <v>0.34053557510299526</v>
      </c>
      <c r="BD181" s="261">
        <f t="shared" si="481"/>
        <v>0.35217119650109319</v>
      </c>
      <c r="BE181" s="71"/>
      <c r="BF181" s="71"/>
      <c r="BG181" s="71"/>
      <c r="BH181" s="71"/>
      <c r="BI181" s="71"/>
      <c r="BJ181" s="71"/>
      <c r="BR181" s="148"/>
    </row>
    <row r="182" spans="2:70" s="87" customFormat="1">
      <c r="B182" s="81" t="s">
        <v>250</v>
      </c>
      <c r="C182" s="83"/>
      <c r="D182" s="83"/>
      <c r="E182" s="83"/>
      <c r="F182" s="83"/>
      <c r="G182" s="71"/>
      <c r="H182" s="83"/>
      <c r="I182" s="83"/>
      <c r="J182" s="83"/>
      <c r="K182" s="83"/>
      <c r="L182" s="71"/>
      <c r="M182" s="98">
        <v>9.4369999999999994</v>
      </c>
      <c r="N182" s="98">
        <v>9.4320000000000004</v>
      </c>
      <c r="O182" s="98">
        <v>11.33</v>
      </c>
      <c r="P182" s="98">
        <f>11.187-0.132-0.142</f>
        <v>10.913</v>
      </c>
      <c r="Q182" s="178">
        <f>SUM(M182:P182)</f>
        <v>41.111999999999995</v>
      </c>
      <c r="R182" s="98">
        <v>12.763999999999999</v>
      </c>
      <c r="S182" s="98">
        <v>17.013999999999999</v>
      </c>
      <c r="T182" s="98">
        <v>21.370999999999999</v>
      </c>
      <c r="U182" s="98">
        <f>23.815-0.248-1.526</f>
        <v>22.041</v>
      </c>
      <c r="V182" s="178">
        <f>SUM(R182:U182)</f>
        <v>73.19</v>
      </c>
      <c r="W182" s="112">
        <f>W164-W183</f>
        <v>27.495000000000005</v>
      </c>
      <c r="X182" s="112">
        <f>X164-X183</f>
        <v>31.565000000000001</v>
      </c>
      <c r="Y182" s="112">
        <f>Y164-Y183</f>
        <v>35.852999999999994</v>
      </c>
      <c r="Z182" s="112">
        <f>Z164-Z183</f>
        <v>51.893000000000001</v>
      </c>
      <c r="AA182" s="178">
        <f>SUM(W182:Z182)</f>
        <v>146.80599999999998</v>
      </c>
      <c r="AB182" s="112">
        <f>AB164-AB183</f>
        <v>58.907000000000004</v>
      </c>
      <c r="AC182" s="112">
        <f>AC164-AC183</f>
        <v>61.756</v>
      </c>
      <c r="AD182" s="112">
        <f>AD164-AD183</f>
        <v>62.567999999999998</v>
      </c>
      <c r="AE182" s="112">
        <f>AE164-AE183</f>
        <v>66.198999999999998</v>
      </c>
      <c r="AF182" s="178">
        <f>SUM(AB182:AE182)</f>
        <v>249.43</v>
      </c>
      <c r="AG182" s="112">
        <f>AG164-(AG164*AG184)</f>
        <v>68.188000000000002</v>
      </c>
      <c r="AH182" s="112">
        <f>AH164-(AH164*AH184)</f>
        <v>66.84</v>
      </c>
      <c r="AI182" s="112">
        <f>AI164-(AI164*AI184)</f>
        <v>64.147999999999996</v>
      </c>
      <c r="AJ182" s="112">
        <f>AJ164-(AJ164*AJ184)</f>
        <v>68.478000000000009</v>
      </c>
      <c r="AK182" s="178">
        <f>SUM(AG182:AJ182)</f>
        <v>267.654</v>
      </c>
      <c r="AL182" s="112">
        <f>AL164-(AL164*AL184)</f>
        <v>70.215999999999994</v>
      </c>
      <c r="AM182" s="112">
        <f>AM164-(AM164*AM184)</f>
        <v>74.076999999999998</v>
      </c>
      <c r="AN182" s="112">
        <f>AN164-(AN164*AN184)</f>
        <v>74.222999999999985</v>
      </c>
      <c r="AO182" s="112">
        <f>AO164-(AO164*AO184)</f>
        <v>71.667000000000002</v>
      </c>
      <c r="AP182" s="178">
        <f>SUM(AL182:AO182)</f>
        <v>290.18299999999999</v>
      </c>
      <c r="AQ182" s="112">
        <f>AQ164-(AQ164*AQ184)</f>
        <v>80.906000000000006</v>
      </c>
      <c r="AR182" s="112">
        <f>AR164-(AR164*AR184)</f>
        <v>86.97</v>
      </c>
      <c r="AS182" s="112">
        <f>AS164-(AS164*AS184)</f>
        <v>87.44</v>
      </c>
      <c r="AT182" s="112">
        <f>AT164-(AT164*AT184)</f>
        <v>89.314000000000021</v>
      </c>
      <c r="AU182" s="178">
        <f>SUM(AQ182:AT182)</f>
        <v>344.63</v>
      </c>
      <c r="AV182" s="112">
        <f>AV164-(AV164*AV184)</f>
        <v>94.10499999999999</v>
      </c>
      <c r="AW182" s="112">
        <f>AW164-(AW164*AW184)</f>
        <v>97.510999999999996</v>
      </c>
      <c r="AX182" s="112">
        <f>AX164-(AX164*AX184)</f>
        <v>98.867000000000019</v>
      </c>
      <c r="AY182" s="112">
        <f>AY164-(AY164*AY184)</f>
        <v>101.63500000000002</v>
      </c>
      <c r="AZ182" s="178">
        <f>SUM(AV182:AY182)</f>
        <v>392.11800000000005</v>
      </c>
      <c r="BA182" s="112">
        <f>BA164-(BA164*BA184)</f>
        <v>106.91815176610862</v>
      </c>
      <c r="BB182" s="112">
        <f>BB164-(BB164*BB184)</f>
        <v>109.89389567588537</v>
      </c>
      <c r="BC182" s="112">
        <f>BC164-(BC164*BC184)</f>
        <v>111.49797160246948</v>
      </c>
      <c r="BD182" s="112">
        <f>BD164-(BD164*BD184)</f>
        <v>113.18705086196768</v>
      </c>
      <c r="BE182" s="178">
        <f>SUM(BA182:BD182)</f>
        <v>441.49706990643119</v>
      </c>
      <c r="BF182" s="178">
        <f t="shared" ref="BF182:BJ182" si="482">BF164*(1-BF184)</f>
        <v>489.81650889509081</v>
      </c>
      <c r="BG182" s="178">
        <f t="shared" si="482"/>
        <v>534.20754830395128</v>
      </c>
      <c r="BH182" s="178">
        <f t="shared" si="482"/>
        <v>574.52392599452128</v>
      </c>
      <c r="BI182" s="178">
        <f t="shared" si="482"/>
        <v>610.81437456917695</v>
      </c>
      <c r="BJ182" s="178">
        <f t="shared" si="482"/>
        <v>643.25389940180116</v>
      </c>
      <c r="BR182" s="148"/>
    </row>
    <row r="183" spans="2:70" s="87" customFormat="1">
      <c r="B183" s="76" t="s">
        <v>187</v>
      </c>
      <c r="C183" s="83"/>
      <c r="D183" s="83"/>
      <c r="E183" s="83"/>
      <c r="F183" s="83"/>
      <c r="G183" s="71"/>
      <c r="H183" s="83"/>
      <c r="I183" s="83"/>
      <c r="J183" s="83"/>
      <c r="K183" s="83"/>
      <c r="L183" s="71"/>
      <c r="M183" s="112">
        <f>M164-M182</f>
        <v>7.9040000000000017</v>
      </c>
      <c r="N183" s="112">
        <f>N164-N182</f>
        <v>9.984</v>
      </c>
      <c r="O183" s="112">
        <f>O164-O182</f>
        <v>9.6910000000000007</v>
      </c>
      <c r="P183" s="112">
        <f>P164-P182</f>
        <v>9.6630000000000003</v>
      </c>
      <c r="Q183" s="178">
        <f>SUM(M183:P183)</f>
        <v>37.242000000000004</v>
      </c>
      <c r="R183" s="112">
        <f>R164-R182</f>
        <v>10.161999999999999</v>
      </c>
      <c r="S183" s="112">
        <f>S164-S182</f>
        <v>11.393000000000001</v>
      </c>
      <c r="T183" s="112">
        <f>T164-T182</f>
        <v>10.659000000000002</v>
      </c>
      <c r="U183" s="112">
        <f>U164-U182</f>
        <v>11.191999999999997</v>
      </c>
      <c r="V183" s="178">
        <f>SUM(R183:U183)</f>
        <v>43.405999999999992</v>
      </c>
      <c r="W183" s="98">
        <v>11.946</v>
      </c>
      <c r="X183" s="98">
        <v>14.324999999999999</v>
      </c>
      <c r="Y183" s="98">
        <v>15.331</v>
      </c>
      <c r="Z183" s="98">
        <v>16.896000000000001</v>
      </c>
      <c r="AA183" s="178">
        <f>SUM(W183:Z183)</f>
        <v>58.498000000000005</v>
      </c>
      <c r="AB183" s="98">
        <v>18.768999999999998</v>
      </c>
      <c r="AC183" s="98">
        <v>18.759</v>
      </c>
      <c r="AD183" s="98">
        <v>16.925999999999998</v>
      </c>
      <c r="AE183" s="98">
        <v>15.474</v>
      </c>
      <c r="AF183" s="178">
        <f>SUM(AB183:AE183)</f>
        <v>69.927999999999997</v>
      </c>
      <c r="AG183" s="98">
        <v>18.440999999999999</v>
      </c>
      <c r="AH183" s="98">
        <v>20.207000000000001</v>
      </c>
      <c r="AI183" s="98">
        <v>20.591000000000001</v>
      </c>
      <c r="AJ183" s="98">
        <v>21.294</v>
      </c>
      <c r="AK183" s="178">
        <f>SUM(AG183:AJ183)</f>
        <v>80.533000000000001</v>
      </c>
      <c r="AL183" s="98">
        <v>25.73</v>
      </c>
      <c r="AM183" s="98">
        <v>28.811</v>
      </c>
      <c r="AN183" s="98">
        <v>28.984000000000002</v>
      </c>
      <c r="AO183" s="98">
        <v>35.950000000000003</v>
      </c>
      <c r="AP183" s="178">
        <f>SUM(AL183:AO183)</f>
        <v>119.47500000000001</v>
      </c>
      <c r="AQ183" s="98">
        <v>34.576999999999998</v>
      </c>
      <c r="AR183" s="98">
        <v>36.651000000000003</v>
      </c>
      <c r="AS183" s="98">
        <v>38.408000000000001</v>
      </c>
      <c r="AT183" s="98">
        <v>41.408999999999999</v>
      </c>
      <c r="AU183" s="178">
        <f>SUM(AQ183:AT183)</f>
        <v>151.04500000000002</v>
      </c>
      <c r="AV183" s="98">
        <v>41.87</v>
      </c>
      <c r="AW183" s="98">
        <v>46.963000000000001</v>
      </c>
      <c r="AX183" s="98">
        <v>50.152999999999999</v>
      </c>
      <c r="AY183" s="98">
        <v>52.213000000000001</v>
      </c>
      <c r="AZ183" s="178">
        <f>SUM(AV183:AY183)</f>
        <v>191.19899999999998</v>
      </c>
      <c r="BA183" s="112">
        <f>BA164-BA182</f>
        <v>49.835921206864327</v>
      </c>
      <c r="BB183" s="112">
        <f>BB164-BB182</f>
        <v>55.375478648438929</v>
      </c>
      <c r="BC183" s="112">
        <f>BC164-BC182</f>
        <v>59.132278397530541</v>
      </c>
      <c r="BD183" s="112">
        <f>BD164-BD182</f>
        <v>60.781049138032344</v>
      </c>
      <c r="BE183" s="178">
        <f>SUM(BA183:BD183)</f>
        <v>225.12472739086616</v>
      </c>
      <c r="BF183" s="178">
        <f t="shared" ref="BF183:BJ183" si="483">BF164-BF182</f>
        <v>250.88178657450385</v>
      </c>
      <c r="BG183" s="178">
        <f t="shared" si="483"/>
        <v>274.84211614501112</v>
      </c>
      <c r="BH183" s="178">
        <f t="shared" si="483"/>
        <v>296.90407901363631</v>
      </c>
      <c r="BI183" s="178">
        <f t="shared" si="483"/>
        <v>317.06575098874225</v>
      </c>
      <c r="BJ183" s="178">
        <f t="shared" si="483"/>
        <v>335.39133111287674</v>
      </c>
      <c r="BR183" s="148"/>
    </row>
    <row r="184" spans="2:70" s="87" customFormat="1">
      <c r="B184" s="76" t="s">
        <v>242</v>
      </c>
      <c r="C184" s="83"/>
      <c r="D184" s="83"/>
      <c r="E184" s="83"/>
      <c r="F184" s="83"/>
      <c r="G184" s="71"/>
      <c r="H184" s="83"/>
      <c r="I184" s="83"/>
      <c r="J184" s="83"/>
      <c r="K184" s="83"/>
      <c r="L184" s="71"/>
      <c r="M184" s="110">
        <f t="shared" ref="M184:AF184" si="484">M183/M164</f>
        <v>0.45579839686292606</v>
      </c>
      <c r="N184" s="110">
        <f t="shared" si="484"/>
        <v>0.5142150803461063</v>
      </c>
      <c r="O184" s="110">
        <f t="shared" si="484"/>
        <v>0.46101517530088959</v>
      </c>
      <c r="P184" s="83">
        <f t="shared" si="484"/>
        <v>0.46962480559875586</v>
      </c>
      <c r="Q184" s="74">
        <f t="shared" si="484"/>
        <v>0.4753043877785435</v>
      </c>
      <c r="R184" s="110">
        <f t="shared" si="484"/>
        <v>0.44325220273924798</v>
      </c>
      <c r="S184" s="110">
        <f t="shared" si="484"/>
        <v>0.40106311824550289</v>
      </c>
      <c r="T184" s="110">
        <f t="shared" si="484"/>
        <v>0.33278176709335006</v>
      </c>
      <c r="U184" s="110">
        <f t="shared" si="484"/>
        <v>0.33677368880329783</v>
      </c>
      <c r="V184" s="74">
        <f t="shared" si="484"/>
        <v>0.37227692202133855</v>
      </c>
      <c r="W184" s="110">
        <f t="shared" si="484"/>
        <v>0.30288278694759257</v>
      </c>
      <c r="X184" s="110">
        <f t="shared" si="484"/>
        <v>0.31215951187622576</v>
      </c>
      <c r="Y184" s="110">
        <f t="shared" si="484"/>
        <v>0.29952719599874961</v>
      </c>
      <c r="Z184" s="110">
        <f t="shared" si="484"/>
        <v>0.24562066609486982</v>
      </c>
      <c r="AA184" s="74">
        <f t="shared" si="484"/>
        <v>0.2849335619374197</v>
      </c>
      <c r="AB184" s="110">
        <f t="shared" si="484"/>
        <v>0.2416319068953087</v>
      </c>
      <c r="AC184" s="110">
        <f t="shared" si="484"/>
        <v>0.23298764205427561</v>
      </c>
      <c r="AD184" s="110">
        <f t="shared" si="484"/>
        <v>0.21292172994188238</v>
      </c>
      <c r="AE184" s="110">
        <f t="shared" si="484"/>
        <v>0.18946285798244217</v>
      </c>
      <c r="AF184" s="74">
        <f t="shared" si="484"/>
        <v>0.21896429712109919</v>
      </c>
      <c r="AG184" s="110">
        <f t="shared" ref="AG184:AH184" si="485">AG183/AG164</f>
        <v>0.21287328723637577</v>
      </c>
      <c r="AH184" s="110">
        <f t="shared" si="485"/>
        <v>0.23213895941273108</v>
      </c>
      <c r="AI184" s="110">
        <f t="shared" ref="AI184:AM184" si="486">AI183/AI164</f>
        <v>0.24299319085663035</v>
      </c>
      <c r="AJ184" s="110">
        <f t="shared" si="486"/>
        <v>0.23720090896938911</v>
      </c>
      <c r="AK184" s="74">
        <f>AK183/AK164</f>
        <v>0.23129238024394938</v>
      </c>
      <c r="AL184" s="110">
        <f t="shared" si="486"/>
        <v>0.26817167990327895</v>
      </c>
      <c r="AM184" s="110">
        <f t="shared" si="486"/>
        <v>0.28002293756317548</v>
      </c>
      <c r="AN184" s="110">
        <f t="shared" ref="AN184:AO184" si="487">AN183/AN164</f>
        <v>0.28083366438322988</v>
      </c>
      <c r="AO184" s="110">
        <f t="shared" si="487"/>
        <v>0.3340550284806304</v>
      </c>
      <c r="AP184" s="74">
        <f>AP183/AP164</f>
        <v>0.29164571422991864</v>
      </c>
      <c r="AQ184" s="110">
        <f t="shared" ref="AQ184:AS184" si="488">AQ183/AQ164</f>
        <v>0.29941203467176986</v>
      </c>
      <c r="AR184" s="110">
        <f t="shared" si="488"/>
        <v>0.29647875360982362</v>
      </c>
      <c r="AS184" s="110">
        <f t="shared" si="488"/>
        <v>0.30519356684254023</v>
      </c>
      <c r="AT184" s="110">
        <f t="shared" ref="AT184:AV184" si="489">AT183/AT164</f>
        <v>0.3167690459980263</v>
      </c>
      <c r="AU184" s="74">
        <f>AU183/AU164</f>
        <v>0.30472587885207042</v>
      </c>
      <c r="AV184" s="110">
        <f t="shared" si="489"/>
        <v>0.30792425078139363</v>
      </c>
      <c r="AW184" s="110">
        <f t="shared" ref="AW184:AX184" si="490">AW183/AW164</f>
        <v>0.32506194886277118</v>
      </c>
      <c r="AX184" s="110">
        <f t="shared" si="490"/>
        <v>0.33655214065226141</v>
      </c>
      <c r="AY184" s="110">
        <f t="shared" ref="AY184" si="491">AY183/AY164</f>
        <v>0.33938042743487074</v>
      </c>
      <c r="AZ184" s="111">
        <f>AZ183/AZ164</f>
        <v>0.32777889209469291</v>
      </c>
      <c r="BA184" s="165">
        <f>AV184+0.01</f>
        <v>0.31792425078139364</v>
      </c>
      <c r="BB184" s="165">
        <f>AW184+0.01</f>
        <v>0.33506194886277119</v>
      </c>
      <c r="BC184" s="165">
        <f>AX184+0.01</f>
        <v>0.34655214065226142</v>
      </c>
      <c r="BD184" s="165">
        <f>AY184+0.01</f>
        <v>0.34938042743487074</v>
      </c>
      <c r="BE184" s="111">
        <f>BE183/BE164</f>
        <v>0.33770982032630104</v>
      </c>
      <c r="BF184" s="140">
        <f t="shared" ref="BF184:BJ184" si="492">BE184+0.001</f>
        <v>0.33870982032630104</v>
      </c>
      <c r="BG184" s="140">
        <f t="shared" si="492"/>
        <v>0.33970982032630104</v>
      </c>
      <c r="BH184" s="140">
        <f t="shared" si="492"/>
        <v>0.34070982032630104</v>
      </c>
      <c r="BI184" s="140">
        <f t="shared" si="492"/>
        <v>0.34170982032630104</v>
      </c>
      <c r="BJ184" s="140">
        <f t="shared" si="492"/>
        <v>0.34270982032630104</v>
      </c>
      <c r="BL184" s="87" t="s">
        <v>248</v>
      </c>
      <c r="BR184" s="148"/>
    </row>
    <row r="185" spans="2:70" s="87" customFormat="1">
      <c r="B185" s="76" t="s">
        <v>213</v>
      </c>
      <c r="C185" s="83"/>
      <c r="D185" s="83"/>
      <c r="E185" s="83"/>
      <c r="F185" s="83"/>
      <c r="G185" s="71"/>
      <c r="H185" s="83"/>
      <c r="I185" s="83"/>
      <c r="J185" s="83"/>
      <c r="K185" s="83"/>
      <c r="L185" s="71"/>
      <c r="M185" s="110">
        <f t="shared" ref="M185:AO185" si="493">M183/M176</f>
        <v>0.45579839686292606</v>
      </c>
      <c r="N185" s="110">
        <f t="shared" si="493"/>
        <v>0.5142150803461063</v>
      </c>
      <c r="O185" s="110">
        <f t="shared" si="493"/>
        <v>0.46101517530088959</v>
      </c>
      <c r="P185" s="110">
        <f t="shared" si="493"/>
        <v>0.46962480559875586</v>
      </c>
      <c r="Q185" s="74">
        <f t="shared" si="493"/>
        <v>0.4753043877785435</v>
      </c>
      <c r="R185" s="110">
        <f t="shared" si="493"/>
        <v>0.48561598012042434</v>
      </c>
      <c r="S185" s="110">
        <f t="shared" si="493"/>
        <v>0.43807436459414772</v>
      </c>
      <c r="T185" s="110">
        <f t="shared" si="493"/>
        <v>0.36717189114708931</v>
      </c>
      <c r="U185" s="110">
        <f t="shared" si="493"/>
        <v>0.37960858799986424</v>
      </c>
      <c r="V185" s="74">
        <f t="shared" si="493"/>
        <v>0.41144687950254027</v>
      </c>
      <c r="W185" s="110">
        <f t="shared" si="493"/>
        <v>0.35632046769671294</v>
      </c>
      <c r="X185" s="110">
        <f t="shared" si="493"/>
        <v>0.40671758325998686</v>
      </c>
      <c r="Y185" s="110">
        <f t="shared" si="493"/>
        <v>0.39561829066886872</v>
      </c>
      <c r="Z185" s="110">
        <f t="shared" si="493"/>
        <v>0.40207510351720521</v>
      </c>
      <c r="AA185" s="74">
        <f t="shared" si="493"/>
        <v>0.39123601367032068</v>
      </c>
      <c r="AB185" s="110">
        <f t="shared" si="493"/>
        <v>0.38922875925426675</v>
      </c>
      <c r="AC185" s="110">
        <f t="shared" si="493"/>
        <v>0.39018657570147891</v>
      </c>
      <c r="AD185" s="110">
        <f t="shared" si="493"/>
        <v>0.35857130751631217</v>
      </c>
      <c r="AE185" s="110">
        <f t="shared" si="493"/>
        <v>0.33969968387776606</v>
      </c>
      <c r="AF185" s="74">
        <f t="shared" si="493"/>
        <v>0.36988373692172605</v>
      </c>
      <c r="AG185" s="110">
        <f t="shared" ref="AG185" si="494">AG183/AG176</f>
        <v>0.3682896628854449</v>
      </c>
      <c r="AH185" s="110">
        <f t="shared" si="493"/>
        <v>0.401817494879596</v>
      </c>
      <c r="AI185" s="110">
        <f t="shared" ref="AI185" si="495">AI183/AI176</f>
        <v>0.42282182385675271</v>
      </c>
      <c r="AJ185" s="110">
        <f t="shared" si="493"/>
        <v>0.41833326784802161</v>
      </c>
      <c r="AK185" s="74">
        <f t="shared" si="493"/>
        <v>0.40274152088896886</v>
      </c>
      <c r="AL185" s="110">
        <f t="shared" si="493"/>
        <v>0.47962569436677477</v>
      </c>
      <c r="AM185" s="110">
        <f t="shared" si="493"/>
        <v>0.49344043296567786</v>
      </c>
      <c r="AN185" s="110">
        <f t="shared" si="493"/>
        <v>0.49036493139560466</v>
      </c>
      <c r="AO185" s="110">
        <f t="shared" si="493"/>
        <v>0.58918006457216843</v>
      </c>
      <c r="AP185" s="74"/>
      <c r="AQ185" s="110">
        <f t="shared" ref="AQ185" si="496">AQ183/AQ176</f>
        <v>0.52402891653910855</v>
      </c>
      <c r="AR185" s="110">
        <f t="shared" ref="AR185:AT185" si="497">AR183/AR176</f>
        <v>0.52568092827125257</v>
      </c>
      <c r="AS185" s="110">
        <f t="shared" si="497"/>
        <v>0.53457298741788217</v>
      </c>
      <c r="AT185" s="110">
        <f t="shared" si="497"/>
        <v>0.56244651807179802</v>
      </c>
      <c r="AU185" s="74"/>
      <c r="AV185" s="110">
        <f t="shared" ref="AV185" si="498">AV183/AV176</f>
        <v>0.54314549605645501</v>
      </c>
      <c r="AW185" s="110">
        <f t="shared" ref="AW185" si="499">AW183/AW176</f>
        <v>0.58034180640856137</v>
      </c>
      <c r="AX185" s="110">
        <f t="shared" ref="AX185:AY185" si="500">AX183/AX176</f>
        <v>0.59882749068678953</v>
      </c>
      <c r="AY185" s="110">
        <f t="shared" si="500"/>
        <v>0.6031582838527827</v>
      </c>
      <c r="AZ185" s="74"/>
      <c r="BA185" s="110">
        <f t="shared" ref="BA185:BD185" si="501">BA183/BA176</f>
        <v>0.56215732225693882</v>
      </c>
      <c r="BB185" s="110">
        <f t="shared" si="501"/>
        <v>0.59504207863125858</v>
      </c>
      <c r="BC185" s="110">
        <f t="shared" si="501"/>
        <v>0.61394799550568069</v>
      </c>
      <c r="BD185" s="110">
        <f t="shared" si="501"/>
        <v>0.61055248257958827</v>
      </c>
      <c r="BE185" s="74"/>
      <c r="BF185" s="74"/>
      <c r="BG185" s="74"/>
      <c r="BH185" s="74"/>
      <c r="BI185" s="74"/>
      <c r="BJ185" s="74"/>
      <c r="BM185" s="45"/>
      <c r="BR185" s="148"/>
    </row>
    <row r="186" spans="2:70" s="87" customFormat="1">
      <c r="C186" s="83"/>
      <c r="D186" s="83"/>
      <c r="E186" s="83"/>
      <c r="F186" s="83"/>
      <c r="G186" s="71"/>
      <c r="H186" s="83"/>
      <c r="I186" s="83"/>
      <c r="J186" s="83"/>
      <c r="K186" s="83"/>
      <c r="L186" s="71"/>
      <c r="M186" s="83"/>
      <c r="N186" s="83"/>
      <c r="O186" s="83"/>
      <c r="P186" s="83"/>
      <c r="Q186" s="71"/>
      <c r="R186" s="83"/>
      <c r="S186" s="83"/>
      <c r="T186" s="83"/>
      <c r="U186" s="83"/>
      <c r="V186" s="71"/>
      <c r="W186" s="83"/>
      <c r="X186" s="83"/>
      <c r="Y186" s="83"/>
      <c r="Z186" s="83"/>
      <c r="AA186" s="71"/>
      <c r="AB186" s="83"/>
      <c r="AC186" s="83"/>
      <c r="AD186" s="83"/>
      <c r="AE186" s="83"/>
      <c r="AF186" s="71"/>
      <c r="AG186" s="83"/>
      <c r="AH186" s="83"/>
      <c r="AI186" s="83"/>
      <c r="AJ186" s="83"/>
      <c r="AK186" s="71"/>
      <c r="AL186" s="83"/>
      <c r="AM186" s="83"/>
      <c r="AN186" s="83"/>
      <c r="AO186" s="83"/>
      <c r="AP186" s="71"/>
      <c r="AQ186" s="83"/>
      <c r="AR186" s="83"/>
      <c r="AS186" s="83"/>
      <c r="AT186" s="83"/>
      <c r="AU186" s="71"/>
      <c r="AV186" s="83"/>
      <c r="AW186" s="83"/>
      <c r="AX186" s="83"/>
      <c r="AY186" s="83"/>
      <c r="AZ186" s="71"/>
      <c r="BA186" s="83"/>
      <c r="BB186" s="83"/>
      <c r="BC186" s="83"/>
      <c r="BD186" s="83"/>
      <c r="BE186" s="71"/>
      <c r="BF186" s="71"/>
      <c r="BG186" s="71"/>
      <c r="BH186" s="71"/>
      <c r="BI186" s="71"/>
      <c r="BJ186" s="71"/>
      <c r="BL186" s="45"/>
      <c r="BM186" s="45"/>
      <c r="BR186" s="148"/>
    </row>
    <row r="187" spans="2:70" s="87" customFormat="1">
      <c r="B187" s="76" t="s">
        <v>244</v>
      </c>
      <c r="C187" s="83"/>
      <c r="D187" s="83"/>
      <c r="E187" s="83"/>
      <c r="F187" s="83"/>
      <c r="G187" s="71"/>
      <c r="H187" s="83"/>
      <c r="I187" s="83"/>
      <c r="J187" s="83"/>
      <c r="K187" s="83"/>
      <c r="L187" s="71"/>
      <c r="M187" s="216">
        <f>+M183-M190</f>
        <v>0</v>
      </c>
      <c r="N187" s="216">
        <f t="shared" ref="N187:P187" si="502">+N183-N190</f>
        <v>0</v>
      </c>
      <c r="O187" s="216">
        <f t="shared" si="502"/>
        <v>0</v>
      </c>
      <c r="P187" s="216">
        <f t="shared" si="502"/>
        <v>0</v>
      </c>
      <c r="Q187" s="71"/>
      <c r="R187" s="216">
        <f>+R183-R190</f>
        <v>0.54389131804043522</v>
      </c>
      <c r="S187" s="216">
        <f t="shared" ref="S187:U187" si="503">+S183-S190</f>
        <v>-0.30039231920684273</v>
      </c>
      <c r="T187" s="216">
        <f t="shared" si="503"/>
        <v>-2.1033081065318804</v>
      </c>
      <c r="U187" s="216">
        <f t="shared" si="503"/>
        <v>-1.4746281434681201</v>
      </c>
      <c r="V187" s="71"/>
      <c r="W187" s="216">
        <f>+W183-W190</f>
        <v>-2.1223412325038886</v>
      </c>
      <c r="X187" s="216">
        <f t="shared" ref="X187:Z187" si="504">+X183-X190</f>
        <v>-0.10239527799378045</v>
      </c>
      <c r="Y187" s="216">
        <f t="shared" si="504"/>
        <v>-0.15526046656298398</v>
      </c>
      <c r="Z187" s="216">
        <f t="shared" si="504"/>
        <v>0.52318641912908248</v>
      </c>
      <c r="AA187" s="178">
        <f>+SUM(W187:Z187)</f>
        <v>-1.8568105579315706</v>
      </c>
      <c r="AB187" s="216">
        <f>+AB183-AB190</f>
        <v>0.46311224922239447</v>
      </c>
      <c r="AC187" s="216">
        <f t="shared" ref="AC187:AE187" si="505">+AC183-AC190</f>
        <v>0.98854822122861918</v>
      </c>
      <c r="AD187" s="216">
        <f t="shared" si="505"/>
        <v>-4.9729323483667542E-2</v>
      </c>
      <c r="AE187" s="216">
        <f t="shared" si="505"/>
        <v>-0.45210914463452134</v>
      </c>
      <c r="AF187" s="178">
        <f>+SUM(AB187:AE187)</f>
        <v>0.94982200233282477</v>
      </c>
      <c r="AG187" s="216">
        <f>+AG183-AG190</f>
        <v>0.68422673405909862</v>
      </c>
      <c r="AH187" s="216">
        <f t="shared" ref="AH187:AJ187" si="506">+AH183-AH190</f>
        <v>2.1218281512441735</v>
      </c>
      <c r="AI187" s="216">
        <f t="shared" ref="AI187" si="507">+AI183-AI190</f>
        <v>2.8341365921461907</v>
      </c>
      <c r="AJ187" s="216">
        <f t="shared" si="506"/>
        <v>2.4793581454121316</v>
      </c>
      <c r="AK187" s="178">
        <f>+SUM(AG187:AJ187)</f>
        <v>8.1195496228615944</v>
      </c>
      <c r="AL187" s="216">
        <f>+AL183-AL190</f>
        <v>3.2188076788491493</v>
      </c>
      <c r="AM187" s="216">
        <f t="shared" ref="AM187:AO187" si="508">+AM183-AM190</f>
        <v>4.3099468506998448</v>
      </c>
      <c r="AN187" s="216">
        <f t="shared" si="508"/>
        <v>3.5901666154743488</v>
      </c>
      <c r="AO187" s="216">
        <f t="shared" si="508"/>
        <v>9.1254132367807195</v>
      </c>
      <c r="AP187" s="178">
        <f>+SUM(AL187:AO187)</f>
        <v>20.244334381804062</v>
      </c>
      <c r="AQ187" s="216">
        <f t="shared" ref="AQ187" si="509">+AQ183-AQ190</f>
        <v>5.569236452177293</v>
      </c>
      <c r="AR187" s="216">
        <f t="shared" ref="AR187:AT187" si="510">+AR183-AR190</f>
        <v>5.9999189288491515</v>
      </c>
      <c r="AS187" s="216">
        <f t="shared" si="510"/>
        <v>6.103356967340595</v>
      </c>
      <c r="AT187" s="216">
        <f t="shared" si="510"/>
        <v>7.5700429374027891</v>
      </c>
      <c r="AU187" s="178">
        <f>+SUM(AQ187:AT187)</f>
        <v>25.242555285769829</v>
      </c>
      <c r="AV187" s="216">
        <f t="shared" ref="AV187:AY187" si="511">+AV183-AV190</f>
        <v>6.4384429860031105</v>
      </c>
      <c r="AW187" s="216">
        <f t="shared" si="511"/>
        <v>9.7687818565318949</v>
      </c>
      <c r="AX187" s="216">
        <f t="shared" si="511"/>
        <v>10.820983281493</v>
      </c>
      <c r="AY187" s="216">
        <f t="shared" si="511"/>
        <v>10.693799078538099</v>
      </c>
      <c r="AZ187" s="178">
        <f>+SUM(AV187:AY187)</f>
        <v>37.722007202566104</v>
      </c>
      <c r="BA187" s="216">
        <f t="shared" ref="BA187:BD187" si="512">+BA183-BA190</f>
        <v>7.3166066407679082</v>
      </c>
      <c r="BB187" s="216">
        <f t="shared" si="512"/>
        <v>10.740898783450604</v>
      </c>
      <c r="BC187" s="216">
        <f t="shared" si="512"/>
        <v>11.97416317124749</v>
      </c>
      <c r="BD187" s="216">
        <f t="shared" si="512"/>
        <v>11.042950078351154</v>
      </c>
      <c r="BE187" s="178">
        <f>+SUM(BA187:BD187)</f>
        <v>41.074618673817156</v>
      </c>
      <c r="BF187" s="217">
        <f t="shared" ref="BF187:BJ187" si="513">+BF183-BF190</f>
        <v>34.850897203531133</v>
      </c>
      <c r="BG187" s="217">
        <f t="shared" si="513"/>
        <v>25.961740135447059</v>
      </c>
      <c r="BH187" s="217">
        <f t="shared" si="513"/>
        <v>14.79067741499523</v>
      </c>
      <c r="BI187" s="217">
        <f t="shared" si="513"/>
        <v>1.7491223435899883</v>
      </c>
      <c r="BJ187" s="217">
        <f t="shared" si="513"/>
        <v>-12.764596971481296</v>
      </c>
      <c r="BL187" s="45"/>
      <c r="BM187" s="45"/>
      <c r="BR187" s="148"/>
    </row>
    <row r="188" spans="2:70" s="87" customFormat="1">
      <c r="B188" s="76" t="s">
        <v>243</v>
      </c>
      <c r="C188" s="83"/>
      <c r="D188" s="83"/>
      <c r="E188" s="83"/>
      <c r="F188" s="83"/>
      <c r="G188" s="71"/>
      <c r="H188" s="83"/>
      <c r="I188" s="83"/>
      <c r="J188" s="83"/>
      <c r="K188" s="83"/>
      <c r="L188" s="71"/>
      <c r="M188" s="83" t="e">
        <f>+M187/M173</f>
        <v>#DIV/0!</v>
      </c>
      <c r="N188" s="83" t="e">
        <f t="shared" ref="N188:P188" si="514">+N187/N173</f>
        <v>#DIV/0!</v>
      </c>
      <c r="O188" s="83" t="e">
        <f t="shared" si="514"/>
        <v>#DIV/0!</v>
      </c>
      <c r="P188" s="83" t="e">
        <f t="shared" si="514"/>
        <v>#DIV/0!</v>
      </c>
      <c r="Q188" s="71"/>
      <c r="R188" s="83">
        <f>+R187/R173</f>
        <v>0.27194565902021761</v>
      </c>
      <c r="S188" s="83">
        <f t="shared" ref="S188" si="515">+S187/S173</f>
        <v>-0.12516346633618447</v>
      </c>
      <c r="T188" s="83">
        <f t="shared" ref="T188" si="516">+T187/T173</f>
        <v>-0.70110270217729342</v>
      </c>
      <c r="U188" s="83">
        <f t="shared" ref="U188" si="517">+U187/U173</f>
        <v>-0.3932341715914987</v>
      </c>
      <c r="V188" s="71"/>
      <c r="W188" s="83">
        <f>+W187/W173</f>
        <v>-0.3588066327140978</v>
      </c>
      <c r="X188" s="83">
        <f t="shared" ref="X188" si="518">+X187/X173</f>
        <v>-9.5974578680082905E-3</v>
      </c>
      <c r="Y188" s="83">
        <f t="shared" ref="Y188" si="519">+Y187/Y173</f>
        <v>-1.2488776267936291E-2</v>
      </c>
      <c r="Z188" s="83">
        <f t="shared" ref="Z188:AA188" si="520">+Z187/Z173</f>
        <v>1.9545949083912374E-2</v>
      </c>
      <c r="AA188" s="71">
        <f t="shared" si="520"/>
        <v>-3.3286315865614445E-2</v>
      </c>
      <c r="AB188" s="83">
        <f>+AB187/AB173</f>
        <v>1.5722704098536565E-2</v>
      </c>
      <c r="AC188" s="83">
        <f t="shared" ref="AC188" si="521">+AC187/AC173</f>
        <v>3.0475005278642921E-2</v>
      </c>
      <c r="AD188" s="83">
        <f t="shared" ref="AD188" si="522">+AD187/AD173</f>
        <v>-1.5400843444926462E-3</v>
      </c>
      <c r="AE188" s="83">
        <f t="shared" ref="AE188:AF188" si="523">+AE187/AE173</f>
        <v>-1.2516517943426852E-2</v>
      </c>
      <c r="AF188" s="71">
        <f t="shared" si="523"/>
        <v>7.289277400024748E-3</v>
      </c>
      <c r="AG188" s="83">
        <f>+AG187/AG173</f>
        <v>1.8716709086060088E-2</v>
      </c>
      <c r="AH188" s="83">
        <f t="shared" ref="AH188:AI188" si="524">+AH187/AH173</f>
        <v>5.7724254617883816E-2</v>
      </c>
      <c r="AI188" s="83">
        <f t="shared" si="524"/>
        <v>7.8638640181636812E-2</v>
      </c>
      <c r="AJ188" s="83">
        <f t="shared" ref="AJ188:AK188" si="525">+AJ187/AJ173</f>
        <v>6.378590546468052E-2</v>
      </c>
      <c r="AK188" s="71">
        <f t="shared" si="525"/>
        <v>5.4778543584831134E-2</v>
      </c>
      <c r="AL188" s="83">
        <f>+AL187/AL173</f>
        <v>7.6094744180830953E-2</v>
      </c>
      <c r="AM188" s="83">
        <f t="shared" ref="AM188" si="526">+AM187/AM173</f>
        <v>9.6852738217974035E-2</v>
      </c>
      <c r="AN188" s="83">
        <f t="shared" ref="AN188" si="527">+AN187/AN173</f>
        <v>8.1409673820280012E-2</v>
      </c>
      <c r="AO188" s="83">
        <f t="shared" ref="AO188:AQ188" si="528">+AO187/AO173</f>
        <v>0.19582431838585235</v>
      </c>
      <c r="AP188" s="71">
        <f t="shared" si="528"/>
        <v>0.11405258806650176</v>
      </c>
      <c r="AQ188" s="83">
        <f t="shared" si="528"/>
        <v>0.112509827316713</v>
      </c>
      <c r="AR188" s="83">
        <f t="shared" ref="AR188:AU188" si="529">+AR187/AR173</f>
        <v>0.11131575007141283</v>
      </c>
      <c r="AS188" s="83">
        <f t="shared" si="529"/>
        <v>0.11302512902482584</v>
      </c>
      <c r="AT188" s="83">
        <f t="shared" si="529"/>
        <v>0.13257518279164254</v>
      </c>
      <c r="AU188" s="71">
        <f t="shared" si="529"/>
        <v>0.11768091042316936</v>
      </c>
      <c r="AV188" s="83">
        <f t="shared" ref="AV188:AZ188" si="530">+AV187/AV173</f>
        <v>0.10933555769529965</v>
      </c>
      <c r="AW188" s="83">
        <f t="shared" si="530"/>
        <v>0.1537156277089565</v>
      </c>
      <c r="AX188" s="83">
        <f t="shared" si="530"/>
        <v>0.16579308821310595</v>
      </c>
      <c r="AY188" s="83">
        <f t="shared" si="530"/>
        <v>0.15893997025263962</v>
      </c>
      <c r="AZ188" s="71">
        <f t="shared" si="530"/>
        <v>0.14793640172308542</v>
      </c>
      <c r="BA188" s="83">
        <f t="shared" ref="BA188:BE188" si="531">+BA187/BA173</f>
        <v>0.10743462531560961</v>
      </c>
      <c r="BB188" s="83">
        <f t="shared" si="531"/>
        <v>0.14874958508996178</v>
      </c>
      <c r="BC188" s="83">
        <f t="shared" si="531"/>
        <v>0.16112616113133255</v>
      </c>
      <c r="BD188" s="83">
        <f t="shared" si="531"/>
        <v>0.1483924425851974</v>
      </c>
      <c r="BE188" s="71">
        <f t="shared" si="531"/>
        <v>0.14210534456977195</v>
      </c>
      <c r="BF188" s="71">
        <f t="shared" ref="BF188" si="532">+BF187/BF173</f>
        <v>0.11064524857348926</v>
      </c>
      <c r="BG188" s="71">
        <f t="shared" ref="BG188" si="533">+BG187/BG173</f>
        <v>7.6993775471897424E-2</v>
      </c>
      <c r="BH188" s="71">
        <f t="shared" ref="BH188" si="534">+BH187/BH173</f>
        <v>4.1534691656891352E-2</v>
      </c>
      <c r="BI188" s="71">
        <f t="shared" ref="BI188" si="535">+BI187/BI173</f>
        <v>4.6993399089480725E-3</v>
      </c>
      <c r="BJ188" s="71">
        <f t="shared" ref="BJ188" si="536">+BJ187/BJ173</f>
        <v>-3.3069955033919206E-2</v>
      </c>
      <c r="BL188" s="45"/>
      <c r="BM188" s="45"/>
      <c r="BR188" s="148"/>
    </row>
    <row r="189" spans="2:70" s="87" customFormat="1">
      <c r="C189" s="83"/>
      <c r="D189" s="83"/>
      <c r="E189" s="83"/>
      <c r="F189" s="83"/>
      <c r="G189" s="71"/>
      <c r="H189" s="83"/>
      <c r="I189" s="83"/>
      <c r="J189" s="83"/>
      <c r="K189" s="83"/>
      <c r="L189" s="71"/>
      <c r="M189" s="83"/>
      <c r="N189" s="83"/>
      <c r="O189" s="83"/>
      <c r="P189" s="83"/>
      <c r="Q189" s="71"/>
      <c r="R189" s="83"/>
      <c r="S189" s="83"/>
      <c r="T189" s="83"/>
      <c r="U189" s="83"/>
      <c r="V189" s="71"/>
      <c r="W189" s="83"/>
      <c r="X189" s="83"/>
      <c r="Y189" s="83"/>
      <c r="Z189" s="83"/>
      <c r="AA189" s="71"/>
      <c r="AB189" s="83"/>
      <c r="AC189" s="83"/>
      <c r="AD189" s="83"/>
      <c r="AE189" s="83"/>
      <c r="AF189" s="71"/>
      <c r="AG189" s="83"/>
      <c r="AH189" s="83"/>
      <c r="AI189" s="83"/>
      <c r="AJ189" s="83"/>
      <c r="AK189" s="71"/>
      <c r="AL189" s="83"/>
      <c r="AM189" s="83"/>
      <c r="AN189" s="83"/>
      <c r="AO189" s="83"/>
      <c r="AP189" s="71"/>
      <c r="AQ189" s="83"/>
      <c r="AR189" s="83"/>
      <c r="AS189" s="83"/>
      <c r="AT189" s="83"/>
      <c r="AU189" s="71"/>
      <c r="AV189" s="83"/>
      <c r="AW189" s="83"/>
      <c r="AX189" s="83"/>
      <c r="AY189" s="83"/>
      <c r="AZ189" s="71"/>
      <c r="BA189" s="83"/>
      <c r="BB189" s="83"/>
      <c r="BC189" s="83"/>
      <c r="BD189" s="83"/>
      <c r="BE189" s="71"/>
      <c r="BF189" s="71"/>
      <c r="BG189" s="71"/>
      <c r="BH189" s="71"/>
      <c r="BI189" s="71"/>
      <c r="BJ189" s="71"/>
      <c r="BL189" s="45"/>
      <c r="BM189" s="45"/>
      <c r="BR189" s="148"/>
    </row>
    <row r="190" spans="2:70" s="87" customFormat="1">
      <c r="B190" s="76" t="s">
        <v>245</v>
      </c>
      <c r="C190" s="83"/>
      <c r="D190" s="83"/>
      <c r="E190" s="83"/>
      <c r="F190" s="83"/>
      <c r="G190" s="71"/>
      <c r="H190" s="83"/>
      <c r="I190" s="83"/>
      <c r="J190" s="83"/>
      <c r="K190" s="83"/>
      <c r="L190" s="71"/>
      <c r="M190" s="112">
        <f>+M183</f>
        <v>7.9040000000000017</v>
      </c>
      <c r="N190" s="112">
        <f t="shared" ref="N190:P190" si="537">+N183</f>
        <v>9.984</v>
      </c>
      <c r="O190" s="112">
        <f t="shared" si="537"/>
        <v>9.6910000000000007</v>
      </c>
      <c r="P190" s="112">
        <f t="shared" si="537"/>
        <v>9.6630000000000003</v>
      </c>
      <c r="Q190" s="71"/>
      <c r="R190" s="112">
        <f>+R191*R176</f>
        <v>9.6181086819595638</v>
      </c>
      <c r="S190" s="112">
        <f t="shared" ref="S190:U190" si="538">+S191*S176</f>
        <v>11.693392319206843</v>
      </c>
      <c r="T190" s="112">
        <f t="shared" si="538"/>
        <v>12.762308106531883</v>
      </c>
      <c r="U190" s="112">
        <f t="shared" si="538"/>
        <v>12.666628143468117</v>
      </c>
      <c r="V190" s="71"/>
      <c r="W190" s="112">
        <f>+W191*W176</f>
        <v>14.068341232503888</v>
      </c>
      <c r="X190" s="112">
        <f t="shared" ref="X190" si="539">+X191*X176</f>
        <v>14.42739527799378</v>
      </c>
      <c r="Y190" s="112">
        <f t="shared" ref="Y190" si="540">+Y191*Y176</f>
        <v>15.486260466562983</v>
      </c>
      <c r="Z190" s="112">
        <f t="shared" ref="Z190" si="541">+Z191*Z176</f>
        <v>16.372813580870918</v>
      </c>
      <c r="AA190" s="178">
        <f>+SUM(W190:Z190)</f>
        <v>60.354810557931572</v>
      </c>
      <c r="AB190" s="112">
        <f>+AB191*AB176</f>
        <v>18.305887750777604</v>
      </c>
      <c r="AC190" s="112">
        <f t="shared" ref="AC190" si="542">+AC191*AC176</f>
        <v>17.770451778771381</v>
      </c>
      <c r="AD190" s="112">
        <f t="shared" ref="AD190" si="543">+AD191*AD176</f>
        <v>16.975729323483666</v>
      </c>
      <c r="AE190" s="112">
        <f t="shared" ref="AE190" si="544">+AE191*AE176</f>
        <v>15.926109144634522</v>
      </c>
      <c r="AF190" s="178">
        <f>+SUM(AB190:AE190)</f>
        <v>68.978177997667174</v>
      </c>
      <c r="AG190" s="112">
        <f>+AG191*AG176</f>
        <v>17.7567732659409</v>
      </c>
      <c r="AH190" s="112">
        <f t="shared" ref="AH190:AI190" si="545">+AH191*AH176</f>
        <v>18.085171848755827</v>
      </c>
      <c r="AI190" s="112">
        <f t="shared" si="545"/>
        <v>17.75686340785381</v>
      </c>
      <c r="AJ190" s="112">
        <f t="shared" ref="AJ190" si="546">+AJ191*AJ176</f>
        <v>18.814641854587869</v>
      </c>
      <c r="AK190" s="178">
        <f>+SUM(AG190:AJ190)</f>
        <v>72.413450377138417</v>
      </c>
      <c r="AL190" s="112">
        <f>+AL191*AL176</f>
        <v>22.511192321150851</v>
      </c>
      <c r="AM190" s="112">
        <f t="shared" ref="AM190" si="547">+AM191*AM176</f>
        <v>24.501053149300155</v>
      </c>
      <c r="AN190" s="112">
        <f t="shared" ref="AN190" si="548">+AN191*AN176</f>
        <v>25.393833384525653</v>
      </c>
      <c r="AO190" s="112">
        <f t="shared" ref="AO190" si="549">+AO191*AO176</f>
        <v>26.824586763219283</v>
      </c>
      <c r="AP190" s="178">
        <f>+SUM(AL190:AO190)</f>
        <v>99.230665618195943</v>
      </c>
      <c r="AQ190" s="112">
        <f t="shared" ref="AQ190" si="550">+AQ191*AQ176</f>
        <v>29.007763547822705</v>
      </c>
      <c r="AR190" s="112">
        <f t="shared" ref="AR190:AS190" si="551">+AR191*AR176</f>
        <v>30.651081071150852</v>
      </c>
      <c r="AS190" s="112">
        <f t="shared" si="551"/>
        <v>32.304643032659406</v>
      </c>
      <c r="AT190" s="255">
        <f>+AT191*AT176</f>
        <v>33.83895706259721</v>
      </c>
      <c r="AU190" s="178">
        <f>+SUM(AQ190:AT190)</f>
        <v>125.80244471423018</v>
      </c>
      <c r="AV190" s="112">
        <f t="shared" ref="AV190:AX190" si="552">+AV191*AV176</f>
        <v>35.431557013996887</v>
      </c>
      <c r="AW190" s="112">
        <f t="shared" si="552"/>
        <v>37.194218143468106</v>
      </c>
      <c r="AX190" s="112">
        <f t="shared" si="552"/>
        <v>39.332016718506999</v>
      </c>
      <c r="AY190" s="112">
        <f>+AY191*AY176</f>
        <v>41.519200921461902</v>
      </c>
      <c r="AZ190" s="178">
        <f>+SUM(AV190:AY190)</f>
        <v>153.47699279743389</v>
      </c>
      <c r="BA190" s="112">
        <f t="shared" ref="BA190:BD190" si="553">+BA191*BA176</f>
        <v>42.519314566096419</v>
      </c>
      <c r="BB190" s="112">
        <f t="shared" si="553"/>
        <v>44.634579864988325</v>
      </c>
      <c r="BC190" s="112">
        <f t="shared" si="553"/>
        <v>47.158115226283051</v>
      </c>
      <c r="BD190" s="112">
        <f t="shared" si="553"/>
        <v>49.73809905968119</v>
      </c>
      <c r="BE190" s="178">
        <f>+SUM(BA190:BD190)</f>
        <v>184.050108717049</v>
      </c>
      <c r="BF190" s="178">
        <f t="shared" ref="BF190" si="554">+BF191*BF176</f>
        <v>216.03088937097272</v>
      </c>
      <c r="BG190" s="178">
        <f t="shared" ref="BG190" si="555">+BG191*BG176</f>
        <v>248.88037600956406</v>
      </c>
      <c r="BH190" s="178">
        <f t="shared" ref="BH190" si="556">+BH191*BH176</f>
        <v>282.11340159864108</v>
      </c>
      <c r="BI190" s="178">
        <f t="shared" ref="BI190" si="557">+BI191*BI176</f>
        <v>315.31662864515226</v>
      </c>
      <c r="BJ190" s="178">
        <f t="shared" ref="BJ190" si="558">+BJ191*BJ176</f>
        <v>348.15592808435804</v>
      </c>
      <c r="BL190" s="45"/>
      <c r="BM190" s="45"/>
      <c r="BR190" s="148"/>
    </row>
    <row r="191" spans="2:70" s="87" customFormat="1">
      <c r="B191" s="76" t="s">
        <v>246</v>
      </c>
      <c r="C191" s="83"/>
      <c r="D191" s="83"/>
      <c r="E191" s="83"/>
      <c r="F191" s="83"/>
      <c r="G191" s="71"/>
      <c r="H191" s="83"/>
      <c r="I191" s="83"/>
      <c r="J191" s="83"/>
      <c r="K191" s="83"/>
      <c r="L191" s="71"/>
      <c r="M191" s="83">
        <f>+M190/M176</f>
        <v>0.45579839686292606</v>
      </c>
      <c r="N191" s="83">
        <f t="shared" ref="N191:P191" si="559">+N190/N176</f>
        <v>0.5142150803461063</v>
      </c>
      <c r="O191" s="83">
        <f t="shared" si="559"/>
        <v>0.46101517530088959</v>
      </c>
      <c r="P191" s="83">
        <f t="shared" si="559"/>
        <v>0.46962480559875586</v>
      </c>
      <c r="Q191" s="71"/>
      <c r="R191" s="164">
        <f>+P191-1%</f>
        <v>0.45962480559875585</v>
      </c>
      <c r="S191" s="164">
        <f>+R191-1%</f>
        <v>0.44962480559875584</v>
      </c>
      <c r="T191" s="164">
        <f t="shared" ref="T191:U191" si="560">+S191-1%</f>
        <v>0.43962480559875583</v>
      </c>
      <c r="U191" s="164">
        <f t="shared" si="560"/>
        <v>0.42962480559875582</v>
      </c>
      <c r="V191" s="71"/>
      <c r="W191" s="164">
        <f>+U191-1%</f>
        <v>0.41962480559875581</v>
      </c>
      <c r="X191" s="164">
        <f>+W191-1%</f>
        <v>0.4096248055987558</v>
      </c>
      <c r="Y191" s="164">
        <f t="shared" ref="Y191:Z191" si="561">+X191-1%</f>
        <v>0.39962480559875579</v>
      </c>
      <c r="Z191" s="164">
        <f t="shared" si="561"/>
        <v>0.38962480559875579</v>
      </c>
      <c r="AA191" s="71">
        <f>+AA190/AA176</f>
        <v>0.4036544067918994</v>
      </c>
      <c r="AB191" s="164">
        <f>+Z191-1%</f>
        <v>0.37962480559875578</v>
      </c>
      <c r="AC191" s="164">
        <f>+AB191-1%</f>
        <v>0.36962480559875577</v>
      </c>
      <c r="AD191" s="164">
        <f t="shared" ref="AD191:AE191" si="562">+AC191-1%</f>
        <v>0.35962480559875576</v>
      </c>
      <c r="AE191" s="164">
        <f t="shared" si="562"/>
        <v>0.34962480559875575</v>
      </c>
      <c r="AF191" s="71">
        <f>+AF190/AF176</f>
        <v>0.36485965913266671</v>
      </c>
      <c r="AG191" s="164">
        <f>+AE191+0.5%</f>
        <v>0.35462480559875575</v>
      </c>
      <c r="AH191" s="164">
        <f>+AG191+0.5%</f>
        <v>0.35962480559875576</v>
      </c>
      <c r="AI191" s="164">
        <f>+AH191+0.5%</f>
        <v>0.36462480559875576</v>
      </c>
      <c r="AJ191" s="164">
        <f t="shared" ref="AJ191" si="563">+AI191+0.5%</f>
        <v>0.36962480559875577</v>
      </c>
      <c r="AK191" s="71">
        <f>+AK190/AK176</f>
        <v>0.36213605773666202</v>
      </c>
      <c r="AL191" s="164">
        <f>+AJ191+5%</f>
        <v>0.41962480559875576</v>
      </c>
      <c r="AM191" s="164">
        <f>+AL191</f>
        <v>0.41962480559875576</v>
      </c>
      <c r="AN191" s="164">
        <f>+AM191+1%</f>
        <v>0.42962480559875577</v>
      </c>
      <c r="AO191" s="164">
        <f>+AN191+1%</f>
        <v>0.43962480559875577</v>
      </c>
      <c r="AP191" s="71">
        <f>+AP190/AP176</f>
        <v>0.42742729355954112</v>
      </c>
      <c r="AQ191" s="164">
        <f>+AO191</f>
        <v>0.43962480559875577</v>
      </c>
      <c r="AR191" s="164">
        <f>+AQ191</f>
        <v>0.43962480559875577</v>
      </c>
      <c r="AS191" s="164">
        <f>+AR191+1%</f>
        <v>0.44962480559875578</v>
      </c>
      <c r="AT191" s="164">
        <f>+AS191+1%</f>
        <v>0.45962480559875579</v>
      </c>
      <c r="AU191" s="71">
        <f>+AU190/AU176</f>
        <v>0.4474168923774523</v>
      </c>
      <c r="AV191" s="164">
        <f>AQ191+0.02</f>
        <v>0.45962480559875579</v>
      </c>
      <c r="AW191" s="164">
        <f t="shared" ref="AW191:BD191" si="564">AR191+0.02</f>
        <v>0.45962480559875579</v>
      </c>
      <c r="AX191" s="164">
        <f t="shared" si="564"/>
        <v>0.4696248055987558</v>
      </c>
      <c r="AY191" s="164">
        <f t="shared" si="564"/>
        <v>0.47962480559875581</v>
      </c>
      <c r="AZ191" s="71">
        <f>+AZ190/AZ176</f>
        <v>0.46744878703201331</v>
      </c>
      <c r="BA191" s="164">
        <f t="shared" si="564"/>
        <v>0.47962480559875581</v>
      </c>
      <c r="BB191" s="164">
        <f t="shared" si="564"/>
        <v>0.47962480559875581</v>
      </c>
      <c r="BC191" s="164">
        <f t="shared" si="564"/>
        <v>0.48962480559875582</v>
      </c>
      <c r="BD191" s="164">
        <f t="shared" si="564"/>
        <v>0.49962480559875583</v>
      </c>
      <c r="BE191" s="71">
        <f>+BE190/BE176</f>
        <v>0.48744878703201333</v>
      </c>
      <c r="BF191" s="140">
        <f t="shared" ref="BF191:BJ191" si="565">+BE191+2%</f>
        <v>0.50744878703201335</v>
      </c>
      <c r="BG191" s="140">
        <f t="shared" si="565"/>
        <v>0.52744878703201337</v>
      </c>
      <c r="BH191" s="140">
        <f t="shared" si="565"/>
        <v>0.54744878703201338</v>
      </c>
      <c r="BI191" s="140">
        <f t="shared" si="565"/>
        <v>0.5674487870320134</v>
      </c>
      <c r="BJ191" s="140">
        <f t="shared" si="565"/>
        <v>0.58744878703201342</v>
      </c>
      <c r="BL191" s="45"/>
      <c r="BM191" s="45"/>
      <c r="BR191" s="148"/>
    </row>
    <row r="192" spans="2:70" s="87" customFormat="1">
      <c r="C192" s="83"/>
      <c r="D192" s="83"/>
      <c r="E192" s="83"/>
      <c r="F192" s="83"/>
      <c r="G192" s="71"/>
      <c r="H192" s="83"/>
      <c r="I192" s="83"/>
      <c r="J192" s="83"/>
      <c r="K192" s="83"/>
      <c r="L192" s="71"/>
      <c r="M192" s="83"/>
      <c r="N192" s="83"/>
      <c r="O192" s="83"/>
      <c r="P192" s="83"/>
      <c r="Q192" s="71"/>
      <c r="R192" s="83"/>
      <c r="S192" s="83"/>
      <c r="T192" s="83"/>
      <c r="U192" s="83"/>
      <c r="V192" s="71"/>
      <c r="W192" s="83"/>
      <c r="X192" s="83"/>
      <c r="Y192" s="83"/>
      <c r="Z192" s="83"/>
      <c r="AA192" s="71"/>
      <c r="AB192" s="83"/>
      <c r="AC192" s="83"/>
      <c r="AD192" s="83"/>
      <c r="AE192" s="83"/>
      <c r="AF192" s="71"/>
      <c r="AG192" s="83"/>
      <c r="AH192" s="83"/>
      <c r="AI192" s="83"/>
      <c r="AJ192" s="83"/>
      <c r="AK192" s="71"/>
      <c r="AL192" s="83"/>
      <c r="AM192" s="83"/>
      <c r="AN192" s="83"/>
      <c r="AO192" s="83"/>
      <c r="AP192" s="71"/>
      <c r="AQ192" s="83"/>
      <c r="AR192" s="83"/>
      <c r="AS192" s="83"/>
      <c r="AT192" s="83"/>
      <c r="AU192" s="71"/>
      <c r="AV192" s="83"/>
      <c r="AW192" s="83"/>
      <c r="AX192" s="83"/>
      <c r="AY192" s="83"/>
      <c r="AZ192" s="71"/>
      <c r="BA192" s="83"/>
      <c r="BB192" s="83"/>
      <c r="BC192" s="83"/>
      <c r="BD192" s="83"/>
      <c r="BE192" s="71"/>
      <c r="BF192" s="71"/>
      <c r="BG192" s="71"/>
      <c r="BH192" s="71"/>
      <c r="BI192" s="71"/>
      <c r="BJ192" s="71"/>
      <c r="BL192" s="45"/>
      <c r="BM192" s="45"/>
      <c r="BR192" s="148"/>
    </row>
    <row r="193" spans="2:70" s="87" customFormat="1">
      <c r="C193" s="83"/>
      <c r="D193" s="83"/>
      <c r="E193" s="83"/>
      <c r="F193" s="83"/>
      <c r="G193" s="71"/>
      <c r="H193" s="83"/>
      <c r="I193" s="83"/>
      <c r="J193" s="83"/>
      <c r="K193" s="83"/>
      <c r="L193" s="71"/>
      <c r="M193" s="83"/>
      <c r="N193" s="83"/>
      <c r="O193" s="83"/>
      <c r="P193" s="83"/>
      <c r="Q193" s="71"/>
      <c r="R193" s="83"/>
      <c r="S193" s="83"/>
      <c r="T193" s="83"/>
      <c r="U193" s="83"/>
      <c r="V193" s="71"/>
      <c r="W193" s="83"/>
      <c r="X193" s="83"/>
      <c r="Y193" s="83"/>
      <c r="Z193" s="83"/>
      <c r="AA193" s="71"/>
      <c r="AB193" s="83"/>
      <c r="AC193" s="83"/>
      <c r="AD193" s="83"/>
      <c r="AE193" s="83"/>
      <c r="AF193" s="71"/>
      <c r="AG193" s="83"/>
      <c r="AH193" s="83"/>
      <c r="AI193" s="83"/>
      <c r="AJ193" s="83"/>
      <c r="AK193" s="71"/>
      <c r="AL193" s="83"/>
      <c r="AM193" s="83"/>
      <c r="AN193" s="83"/>
      <c r="AO193" s="83"/>
      <c r="AP193" s="71"/>
      <c r="AQ193" s="83"/>
      <c r="AR193" s="83"/>
      <c r="AS193" s="83"/>
      <c r="AT193" s="83"/>
      <c r="AU193" s="71"/>
      <c r="AV193" s="83"/>
      <c r="AW193" s="83"/>
      <c r="AX193" s="83"/>
      <c r="AY193" s="83"/>
      <c r="AZ193" s="71"/>
      <c r="BA193" s="83"/>
      <c r="BB193" s="83"/>
      <c r="BC193" s="83"/>
      <c r="BD193" s="83"/>
      <c r="BE193" s="71"/>
      <c r="BF193" s="71"/>
      <c r="BG193" s="71"/>
      <c r="BH193" s="71"/>
      <c r="BI193" s="71"/>
      <c r="BJ193" s="71"/>
      <c r="BL193" s="45"/>
      <c r="BM193" s="45"/>
      <c r="BR193" s="148"/>
    </row>
    <row r="194" spans="2:70" s="87" customFormat="1">
      <c r="B194" s="76" t="s">
        <v>297</v>
      </c>
      <c r="C194" s="83"/>
      <c r="D194" s="83"/>
      <c r="E194" s="83"/>
      <c r="F194" s="83"/>
      <c r="G194" s="71"/>
      <c r="H194" s="83"/>
      <c r="I194" s="83"/>
      <c r="J194" s="83"/>
      <c r="K194" s="83"/>
      <c r="L194" s="71"/>
      <c r="M194" s="83"/>
      <c r="N194" s="83"/>
      <c r="O194" s="83"/>
      <c r="P194" s="83"/>
      <c r="Q194" s="71"/>
      <c r="R194" s="83"/>
      <c r="S194" s="83"/>
      <c r="T194" s="83"/>
      <c r="U194" s="83"/>
      <c r="V194" s="71"/>
      <c r="W194" s="83"/>
      <c r="X194" s="83"/>
      <c r="Y194" s="83"/>
      <c r="Z194" s="83"/>
      <c r="AA194" s="71"/>
      <c r="AB194" s="83"/>
      <c r="AC194" s="83"/>
      <c r="AD194" s="83"/>
      <c r="AE194" s="83"/>
      <c r="AF194" s="286">
        <v>5972</v>
      </c>
      <c r="AG194" s="83"/>
      <c r="AH194" s="83"/>
      <c r="AI194" s="83"/>
      <c r="AJ194" s="83"/>
      <c r="AK194" s="286">
        <v>6068</v>
      </c>
      <c r="AL194" s="83"/>
      <c r="AM194" s="83"/>
      <c r="AN194" s="83"/>
      <c r="AO194" s="83"/>
      <c r="AP194" s="286">
        <v>6260</v>
      </c>
      <c r="AQ194" s="83"/>
      <c r="AR194" s="83"/>
      <c r="AS194" s="83"/>
      <c r="AT194" s="83"/>
      <c r="AU194" s="71"/>
      <c r="AV194" s="83"/>
      <c r="AW194" s="83"/>
      <c r="AX194" s="83"/>
      <c r="AY194" s="83"/>
      <c r="AZ194" s="71"/>
      <c r="BA194" s="83"/>
      <c r="BB194" s="83"/>
      <c r="BC194" s="83"/>
      <c r="BD194" s="83"/>
      <c r="BE194" s="71"/>
      <c r="BF194" s="71"/>
      <c r="BG194" s="71"/>
      <c r="BH194" s="71"/>
      <c r="BI194" s="71"/>
      <c r="BJ194" s="71"/>
      <c r="BL194" s="45"/>
      <c r="BM194" s="45"/>
      <c r="BR194" s="148"/>
    </row>
    <row r="195" spans="2:70" s="87" customFormat="1">
      <c r="C195" s="83"/>
      <c r="D195" s="83"/>
      <c r="E195" s="83"/>
      <c r="F195" s="83"/>
      <c r="G195" s="71"/>
      <c r="H195" s="83"/>
      <c r="I195" s="83"/>
      <c r="J195" s="83"/>
      <c r="K195" s="83"/>
      <c r="L195" s="71"/>
      <c r="M195" s="83"/>
      <c r="N195" s="83"/>
      <c r="O195" s="83"/>
      <c r="P195" s="83"/>
      <c r="Q195" s="71"/>
      <c r="R195" s="83"/>
      <c r="S195" s="83"/>
      <c r="T195" s="83"/>
      <c r="U195" s="83"/>
      <c r="V195" s="71"/>
      <c r="W195" s="83"/>
      <c r="X195" s="83"/>
      <c r="Y195" s="83"/>
      <c r="Z195" s="83"/>
      <c r="AA195" s="71"/>
      <c r="AB195" s="83"/>
      <c r="AC195" s="83"/>
      <c r="AD195" s="83"/>
      <c r="AE195" s="83"/>
      <c r="AF195" s="71"/>
      <c r="AG195" s="83"/>
      <c r="AH195" s="83"/>
      <c r="AI195" s="83"/>
      <c r="AJ195" s="83"/>
      <c r="AK195" s="71">
        <f>AK194/AF194-1</f>
        <v>1.6075016744809156E-2</v>
      </c>
      <c r="AL195" s="83"/>
      <c r="AM195" s="83"/>
      <c r="AN195" s="83"/>
      <c r="AO195" s="83"/>
      <c r="AP195" s="71">
        <f>AP194/AK194-1</f>
        <v>3.1641397495056012E-2</v>
      </c>
      <c r="AQ195" s="83"/>
      <c r="AR195" s="83"/>
      <c r="AS195" s="83"/>
      <c r="AT195" s="83"/>
      <c r="AU195" s="71"/>
      <c r="AV195" s="83"/>
      <c r="AW195" s="83"/>
      <c r="AX195" s="83"/>
      <c r="AY195" s="83"/>
      <c r="AZ195" s="71"/>
      <c r="BA195" s="83"/>
      <c r="BB195" s="83"/>
      <c r="BC195" s="83"/>
      <c r="BD195" s="83"/>
      <c r="BE195" s="71"/>
      <c r="BF195" s="71"/>
      <c r="BG195" s="71"/>
      <c r="BH195" s="71"/>
      <c r="BI195" s="71"/>
      <c r="BJ195" s="71"/>
      <c r="BL195" s="45"/>
      <c r="BM195" s="45"/>
      <c r="BR195" s="148"/>
    </row>
    <row r="196" spans="2:70" s="87" customFormat="1">
      <c r="C196" s="83"/>
      <c r="D196" s="83"/>
      <c r="E196" s="83"/>
      <c r="F196" s="83"/>
      <c r="G196" s="71"/>
      <c r="H196" s="83"/>
      <c r="I196" s="83"/>
      <c r="J196" s="83"/>
      <c r="K196" s="83"/>
      <c r="L196" s="71"/>
      <c r="M196" s="83"/>
      <c r="N196" s="83"/>
      <c r="O196" s="83"/>
      <c r="P196" s="83"/>
      <c r="Q196" s="71"/>
      <c r="R196" s="83"/>
      <c r="S196" s="83"/>
      <c r="T196" s="83"/>
      <c r="U196" s="83"/>
      <c r="V196" s="71"/>
      <c r="W196" s="83"/>
      <c r="X196" s="83"/>
      <c r="Y196" s="83"/>
      <c r="Z196" s="83"/>
      <c r="AA196" s="71"/>
      <c r="AB196" s="83"/>
      <c r="AC196" s="83"/>
      <c r="AD196" s="83"/>
      <c r="AE196" s="83"/>
      <c r="AF196" s="71"/>
      <c r="AG196" s="83"/>
      <c r="AH196" s="83"/>
      <c r="AI196" s="83"/>
      <c r="AJ196" s="83"/>
      <c r="AK196" s="71"/>
      <c r="AL196" s="83"/>
      <c r="AM196" s="83"/>
      <c r="AN196" s="83"/>
      <c r="AO196" s="83"/>
      <c r="AP196" s="71"/>
      <c r="AQ196" s="83"/>
      <c r="AR196" s="83"/>
      <c r="AS196" s="83"/>
      <c r="AT196" s="83"/>
      <c r="AU196" s="71"/>
      <c r="AV196" s="83"/>
      <c r="AW196" s="83"/>
      <c r="AX196" s="83"/>
      <c r="AY196" s="83"/>
      <c r="AZ196" s="71"/>
      <c r="BA196" s="83"/>
      <c r="BB196" s="83"/>
      <c r="BC196" s="83"/>
      <c r="BD196" s="83"/>
      <c r="BE196" s="71"/>
      <c r="BF196" s="71"/>
      <c r="BG196" s="71"/>
      <c r="BH196" s="71"/>
      <c r="BI196" s="71"/>
      <c r="BJ196" s="71"/>
      <c r="BL196" s="45"/>
      <c r="BM196" s="45"/>
      <c r="BR196" s="148"/>
    </row>
    <row r="197" spans="2:70" s="87" customFormat="1">
      <c r="C197" s="83"/>
      <c r="D197" s="83"/>
      <c r="E197" s="83"/>
      <c r="F197" s="83"/>
      <c r="G197" s="71"/>
      <c r="H197" s="83"/>
      <c r="I197" s="83"/>
      <c r="J197" s="83"/>
      <c r="K197" s="83"/>
      <c r="L197" s="71"/>
      <c r="M197" s="83"/>
      <c r="N197" s="83"/>
      <c r="O197" s="83"/>
      <c r="P197" s="83"/>
      <c r="Q197" s="71"/>
      <c r="R197" s="83"/>
      <c r="S197" s="83"/>
      <c r="T197" s="83"/>
      <c r="U197" s="83"/>
      <c r="V197" s="71"/>
      <c r="W197" s="83"/>
      <c r="X197" s="83"/>
      <c r="Y197" s="83"/>
      <c r="Z197" s="83"/>
      <c r="AA197" s="71"/>
      <c r="AB197" s="83"/>
      <c r="AC197" s="83"/>
      <c r="AD197" s="83"/>
      <c r="AE197" s="83"/>
      <c r="AF197" s="71"/>
      <c r="AG197" s="83"/>
      <c r="AH197" s="83"/>
      <c r="AI197" s="83"/>
      <c r="AJ197" s="83"/>
      <c r="AK197" s="71"/>
      <c r="AL197" s="83"/>
      <c r="AM197" s="83"/>
      <c r="AN197" s="83"/>
      <c r="AO197" s="83"/>
      <c r="AP197" s="71"/>
      <c r="AQ197" s="83"/>
      <c r="AR197" s="83"/>
      <c r="AS197" s="83"/>
      <c r="AT197" s="83"/>
      <c r="AU197" s="71"/>
      <c r="AV197" s="83"/>
      <c r="AW197" s="83"/>
      <c r="AX197" s="83"/>
      <c r="AY197" s="83"/>
      <c r="AZ197" s="71"/>
      <c r="BA197" s="83"/>
      <c r="BB197" s="83"/>
      <c r="BC197" s="83"/>
      <c r="BD197" s="83"/>
      <c r="BE197" s="71"/>
      <c r="BF197" s="71"/>
      <c r="BG197" s="71"/>
      <c r="BH197" s="71"/>
      <c r="BI197" s="71"/>
      <c r="BJ197" s="71"/>
      <c r="BL197" s="45"/>
      <c r="BM197" s="45"/>
      <c r="BR197" s="148"/>
    </row>
    <row r="198" spans="2:70" s="87" customFormat="1">
      <c r="C198" s="83"/>
      <c r="D198" s="83"/>
      <c r="E198" s="83"/>
      <c r="F198" s="83"/>
      <c r="G198" s="71"/>
      <c r="H198" s="83"/>
      <c r="I198" s="83"/>
      <c r="J198" s="83"/>
      <c r="K198" s="83"/>
      <c r="L198" s="71"/>
      <c r="M198" s="83"/>
      <c r="N198" s="83"/>
      <c r="O198" s="83"/>
      <c r="P198" s="83"/>
      <c r="Q198" s="71"/>
      <c r="R198" s="83"/>
      <c r="S198" s="83"/>
      <c r="T198" s="83"/>
      <c r="U198" s="83"/>
      <c r="V198" s="71"/>
      <c r="W198" s="83"/>
      <c r="X198" s="83"/>
      <c r="Y198" s="83"/>
      <c r="Z198" s="83"/>
      <c r="AA198" s="71"/>
      <c r="AB198" s="83"/>
      <c r="AC198" s="83"/>
      <c r="AD198" s="83"/>
      <c r="AE198" s="83"/>
      <c r="AF198" s="71"/>
      <c r="AG198" s="83"/>
      <c r="AH198" s="83"/>
      <c r="AI198" s="83"/>
      <c r="AJ198" s="83"/>
      <c r="AK198" s="71"/>
      <c r="AL198" s="83"/>
      <c r="AM198" s="83"/>
      <c r="AN198" s="83"/>
      <c r="AO198" s="83"/>
      <c r="AP198" s="71"/>
      <c r="AQ198" s="83"/>
      <c r="AR198" s="83"/>
      <c r="AS198" s="83"/>
      <c r="AT198" s="83"/>
      <c r="AU198" s="71"/>
      <c r="AV198" s="83"/>
      <c r="AW198" s="83"/>
      <c r="AX198" s="83"/>
      <c r="AY198" s="83"/>
      <c r="AZ198" s="71"/>
      <c r="BA198" s="83"/>
      <c r="BB198" s="83"/>
      <c r="BC198" s="83"/>
      <c r="BD198" s="83"/>
      <c r="BE198" s="71"/>
      <c r="BF198" s="71"/>
      <c r="BG198" s="71"/>
      <c r="BH198" s="71"/>
      <c r="BI198" s="71"/>
      <c r="BJ198" s="71"/>
      <c r="BL198" s="45"/>
      <c r="BM198" s="45"/>
      <c r="BR198" s="148"/>
    </row>
    <row r="199" spans="2:70" s="87" customFormat="1">
      <c r="C199" s="83"/>
      <c r="D199" s="83"/>
      <c r="E199" s="83"/>
      <c r="F199" s="83"/>
      <c r="G199" s="71"/>
      <c r="H199" s="83"/>
      <c r="I199" s="83"/>
      <c r="J199" s="83"/>
      <c r="K199" s="83"/>
      <c r="L199" s="71"/>
      <c r="M199" s="83"/>
      <c r="N199" s="83"/>
      <c r="O199" s="83"/>
      <c r="P199" s="83"/>
      <c r="Q199" s="71"/>
      <c r="R199" s="83"/>
      <c r="S199" s="83"/>
      <c r="T199" s="83"/>
      <c r="U199" s="83"/>
      <c r="V199" s="71"/>
      <c r="W199" s="83"/>
      <c r="X199" s="83"/>
      <c r="Y199" s="83"/>
      <c r="Z199" s="83"/>
      <c r="AA199" s="71"/>
      <c r="AB199" s="83"/>
      <c r="AC199" s="83"/>
      <c r="AD199" s="83"/>
      <c r="AE199" s="83"/>
      <c r="AF199" s="71"/>
      <c r="AG199" s="83"/>
      <c r="AH199" s="83"/>
      <c r="AI199" s="83"/>
      <c r="AJ199" s="83"/>
      <c r="AK199" s="71"/>
      <c r="AL199" s="83"/>
      <c r="AM199" s="83"/>
      <c r="AN199" s="83"/>
      <c r="AO199" s="83"/>
      <c r="AP199" s="71"/>
      <c r="AQ199" s="83"/>
      <c r="AR199" s="83"/>
      <c r="AS199" s="83"/>
      <c r="AT199" s="83"/>
      <c r="AU199" s="71"/>
      <c r="AV199" s="83"/>
      <c r="AW199" s="83"/>
      <c r="AX199" s="83"/>
      <c r="AY199" s="83"/>
      <c r="AZ199" s="71"/>
      <c r="BA199" s="83"/>
      <c r="BB199" s="83"/>
      <c r="BC199" s="83"/>
      <c r="BD199" s="83"/>
      <c r="BE199" s="71"/>
      <c r="BF199" s="71"/>
      <c r="BG199" s="71"/>
      <c r="BH199" s="71"/>
      <c r="BI199" s="71"/>
      <c r="BJ199" s="71"/>
      <c r="BL199" s="45"/>
      <c r="BM199" s="45"/>
      <c r="BR199" s="148"/>
    </row>
    <row r="200" spans="2:70" s="87" customFormat="1">
      <c r="C200" s="83"/>
      <c r="D200" s="83"/>
      <c r="E200" s="83"/>
      <c r="F200" s="83"/>
      <c r="G200" s="71"/>
      <c r="H200" s="83"/>
      <c r="I200" s="83"/>
      <c r="J200" s="83"/>
      <c r="K200" s="83"/>
      <c r="L200" s="71"/>
      <c r="M200" s="83"/>
      <c r="N200" s="83"/>
      <c r="O200" s="83"/>
      <c r="P200" s="83"/>
      <c r="Q200" s="71"/>
      <c r="R200" s="83"/>
      <c r="S200" s="83"/>
      <c r="T200" s="83"/>
      <c r="U200" s="83"/>
      <c r="V200" s="71"/>
      <c r="W200" s="83"/>
      <c r="X200" s="83"/>
      <c r="Y200" s="83"/>
      <c r="Z200" s="83"/>
      <c r="AA200" s="71"/>
      <c r="AB200" s="83"/>
      <c r="AC200" s="83"/>
      <c r="AD200" s="83"/>
      <c r="AE200" s="83"/>
      <c r="AF200" s="71"/>
      <c r="AG200" s="83"/>
      <c r="AH200" s="83"/>
      <c r="AI200" s="83"/>
      <c r="AJ200" s="83"/>
      <c r="AK200" s="71"/>
      <c r="AL200" s="83"/>
      <c r="AM200" s="83"/>
      <c r="AN200" s="83"/>
      <c r="AO200" s="83"/>
      <c r="AP200" s="71"/>
      <c r="AQ200" s="83"/>
      <c r="AR200" s="83"/>
      <c r="AS200" s="83"/>
      <c r="AT200" s="83"/>
      <c r="AU200" s="71"/>
      <c r="AV200" s="83"/>
      <c r="AW200" s="83"/>
      <c r="AX200" s="83"/>
      <c r="AY200" s="83"/>
      <c r="AZ200" s="71"/>
      <c r="BA200" s="83"/>
      <c r="BB200" s="83"/>
      <c r="BC200" s="83"/>
      <c r="BD200" s="83"/>
      <c r="BE200" s="71"/>
      <c r="BF200" s="71"/>
      <c r="BG200" s="71"/>
      <c r="BH200" s="71"/>
      <c r="BI200" s="71"/>
      <c r="BJ200" s="71"/>
      <c r="BL200" s="45"/>
      <c r="BM200" s="45"/>
      <c r="BR200" s="148"/>
    </row>
    <row r="201" spans="2:70" s="87" customFormat="1">
      <c r="C201" s="83"/>
      <c r="D201" s="83"/>
      <c r="E201" s="83"/>
      <c r="F201" s="83"/>
      <c r="G201" s="71"/>
      <c r="H201" s="83"/>
      <c r="I201" s="83"/>
      <c r="J201" s="83"/>
      <c r="K201" s="83"/>
      <c r="L201" s="71"/>
      <c r="M201" s="83"/>
      <c r="N201" s="83"/>
      <c r="O201" s="83"/>
      <c r="P201" s="83"/>
      <c r="Q201" s="71"/>
      <c r="R201" s="83"/>
      <c r="S201" s="83"/>
      <c r="T201" s="83"/>
      <c r="U201" s="83"/>
      <c r="V201" s="71"/>
      <c r="W201" s="83"/>
      <c r="X201" s="83"/>
      <c r="Y201" s="83"/>
      <c r="Z201" s="83"/>
      <c r="AA201" s="71"/>
      <c r="AB201" s="83"/>
      <c r="AC201" s="83"/>
      <c r="AD201" s="83"/>
      <c r="AE201" s="83"/>
      <c r="AF201" s="71"/>
      <c r="AG201" s="83"/>
      <c r="AH201" s="83"/>
      <c r="AI201" s="83"/>
      <c r="AJ201" s="83"/>
      <c r="AK201" s="71"/>
      <c r="AL201" s="83"/>
      <c r="AM201" s="83"/>
      <c r="AN201" s="83"/>
      <c r="AO201" s="83"/>
      <c r="AP201" s="71"/>
      <c r="AQ201" s="83"/>
      <c r="AR201" s="83"/>
      <c r="AS201" s="83"/>
      <c r="AT201" s="83"/>
      <c r="AU201" s="71"/>
      <c r="AV201" s="83"/>
      <c r="AW201" s="83"/>
      <c r="AX201" s="83"/>
      <c r="AY201" s="83"/>
      <c r="AZ201" s="71"/>
      <c r="BA201" s="83"/>
      <c r="BB201" s="83"/>
      <c r="BC201" s="83"/>
      <c r="BD201" s="83"/>
      <c r="BE201" s="71"/>
      <c r="BF201" s="71"/>
      <c r="BG201" s="71"/>
      <c r="BH201" s="71"/>
      <c r="BI201" s="71"/>
      <c r="BJ201" s="71"/>
      <c r="BL201" s="45"/>
      <c r="BM201" s="45"/>
      <c r="BR201" s="148"/>
    </row>
    <row r="202" spans="2:70" s="87" customFormat="1">
      <c r="C202" s="83"/>
      <c r="D202" s="83"/>
      <c r="E202" s="83"/>
      <c r="F202" s="83"/>
      <c r="G202" s="71"/>
      <c r="H202" s="83"/>
      <c r="I202" s="83"/>
      <c r="J202" s="83"/>
      <c r="K202" s="83"/>
      <c r="L202" s="71"/>
      <c r="M202" s="83"/>
      <c r="N202" s="83"/>
      <c r="O202" s="83"/>
      <c r="P202" s="83"/>
      <c r="Q202" s="71"/>
      <c r="R202" s="83"/>
      <c r="S202" s="83"/>
      <c r="T202" s="83"/>
      <c r="U202" s="83"/>
      <c r="V202" s="71"/>
      <c r="W202" s="83"/>
      <c r="X202" s="83"/>
      <c r="Y202" s="83"/>
      <c r="Z202" s="83"/>
      <c r="AA202" s="71"/>
      <c r="AB202" s="83"/>
      <c r="AC202" s="83"/>
      <c r="AD202" s="83"/>
      <c r="AE202" s="83"/>
      <c r="AF202" s="71"/>
      <c r="AG202" s="83"/>
      <c r="AH202" s="83"/>
      <c r="AI202" s="83"/>
      <c r="AJ202" s="83"/>
      <c r="AK202" s="71"/>
      <c r="AL202" s="83"/>
      <c r="AM202" s="83"/>
      <c r="AN202" s="83"/>
      <c r="AO202" s="83"/>
      <c r="AP202" s="71"/>
      <c r="AQ202" s="83"/>
      <c r="AR202" s="83"/>
      <c r="AS202" s="83"/>
      <c r="AT202" s="83"/>
      <c r="AU202" s="71"/>
      <c r="AV202" s="83"/>
      <c r="AW202" s="83"/>
      <c r="AX202" s="83"/>
      <c r="AY202" s="83"/>
      <c r="AZ202" s="71"/>
      <c r="BA202" s="83"/>
      <c r="BB202" s="83"/>
      <c r="BC202" s="83"/>
      <c r="BD202" s="83"/>
      <c r="BE202" s="71"/>
      <c r="BF202" s="71"/>
      <c r="BG202" s="71"/>
      <c r="BH202" s="71"/>
      <c r="BI202" s="71"/>
      <c r="BJ202" s="71"/>
      <c r="BL202" s="76"/>
      <c r="BM202" s="76"/>
      <c r="BR202" s="148"/>
    </row>
    <row r="203" spans="2:70" s="87" customFormat="1">
      <c r="C203" s="83"/>
      <c r="D203" s="83"/>
      <c r="E203" s="83"/>
      <c r="F203" s="83"/>
      <c r="G203" s="71"/>
      <c r="H203" s="83"/>
      <c r="I203" s="83"/>
      <c r="J203" s="83"/>
      <c r="K203" s="83"/>
      <c r="L203" s="71"/>
      <c r="M203" s="83"/>
      <c r="N203" s="83"/>
      <c r="O203" s="83"/>
      <c r="P203" s="83"/>
      <c r="Q203" s="71"/>
      <c r="R203" s="83"/>
      <c r="S203" s="83"/>
      <c r="T203" s="83"/>
      <c r="U203" s="83"/>
      <c r="V203" s="71"/>
      <c r="W203" s="83"/>
      <c r="X203" s="83"/>
      <c r="Y203" s="83"/>
      <c r="Z203" s="83"/>
      <c r="AA203" s="113"/>
      <c r="AB203" s="83"/>
      <c r="AC203" s="83"/>
      <c r="AD203" s="83"/>
      <c r="AE203" s="83"/>
      <c r="AF203" s="71"/>
      <c r="AG203" s="83"/>
      <c r="AH203" s="83"/>
      <c r="AI203" s="83"/>
      <c r="AJ203" s="83"/>
      <c r="AK203" s="71"/>
      <c r="AL203" s="83"/>
      <c r="AM203" s="83"/>
      <c r="AN203" s="83"/>
      <c r="AO203" s="83"/>
      <c r="AP203" s="71"/>
      <c r="AQ203" s="83"/>
      <c r="AR203" s="83"/>
      <c r="AS203" s="83"/>
      <c r="AT203" s="83"/>
      <c r="AU203" s="71"/>
      <c r="AV203" s="83"/>
      <c r="AW203" s="83"/>
      <c r="AX203" s="83"/>
      <c r="AY203" s="83"/>
      <c r="AZ203" s="71"/>
      <c r="BA203" s="83"/>
      <c r="BB203" s="83"/>
      <c r="BC203" s="83"/>
      <c r="BD203" s="83"/>
      <c r="BE203" s="71"/>
      <c r="BF203" s="71"/>
      <c r="BG203" s="71"/>
      <c r="BH203" s="71"/>
      <c r="BI203" s="71"/>
      <c r="BJ203" s="71"/>
      <c r="BL203" s="76"/>
      <c r="BM203" s="76"/>
      <c r="BR203" s="148"/>
    </row>
    <row r="204" spans="2:70" s="87" customFormat="1">
      <c r="B204" s="76" t="s">
        <v>205</v>
      </c>
      <c r="C204" s="83"/>
      <c r="D204" s="83"/>
      <c r="E204" s="83"/>
      <c r="F204" s="83"/>
      <c r="G204" s="71"/>
      <c r="H204" s="83"/>
      <c r="I204" s="83"/>
      <c r="J204" s="83"/>
      <c r="K204" s="83"/>
      <c r="L204" s="71"/>
      <c r="M204" s="83"/>
      <c r="N204" s="83"/>
      <c r="O204" s="83"/>
      <c r="P204" s="83"/>
      <c r="Q204" s="71"/>
      <c r="R204" s="83"/>
      <c r="S204" s="83"/>
      <c r="T204" s="83"/>
      <c r="U204" s="83"/>
      <c r="V204" s="71"/>
      <c r="W204" s="83"/>
      <c r="X204" s="83"/>
      <c r="Y204" s="83"/>
      <c r="Z204" s="83"/>
      <c r="AA204" s="186">
        <v>146.6</v>
      </c>
      <c r="AB204" s="187"/>
      <c r="AC204" s="187"/>
      <c r="AD204" s="187"/>
      <c r="AE204" s="98">
        <v>73.3</v>
      </c>
      <c r="AF204" s="186">
        <v>256.60000000000002</v>
      </c>
      <c r="AG204" s="83"/>
      <c r="AH204" s="83"/>
      <c r="AI204" s="83"/>
      <c r="AJ204" s="83"/>
      <c r="AK204" s="71"/>
      <c r="AL204" s="83"/>
      <c r="AM204" s="83"/>
      <c r="AN204" s="83"/>
      <c r="AO204" s="83"/>
      <c r="AP204" s="71"/>
      <c r="AQ204" s="83"/>
      <c r="AR204" s="83"/>
      <c r="AS204" s="83"/>
      <c r="AT204" s="83"/>
      <c r="AU204" s="71"/>
      <c r="AV204" s="83"/>
      <c r="AW204" s="83"/>
      <c r="AX204" s="83"/>
      <c r="AY204" s="83"/>
      <c r="AZ204" s="71"/>
      <c r="BA204" s="83"/>
      <c r="BB204" s="83"/>
      <c r="BC204" s="83"/>
      <c r="BD204" s="83"/>
      <c r="BE204" s="71"/>
      <c r="BF204" s="71"/>
      <c r="BG204" s="71"/>
      <c r="BH204" s="71"/>
      <c r="BI204" s="71"/>
      <c r="BJ204" s="71"/>
      <c r="BL204" s="76"/>
      <c r="BM204" s="76"/>
      <c r="BR204" s="148"/>
    </row>
    <row r="205" spans="2:70" s="87" customFormat="1">
      <c r="B205" s="76" t="s">
        <v>206</v>
      </c>
      <c r="C205" s="83"/>
      <c r="D205" s="83"/>
      <c r="E205" s="83"/>
      <c r="F205" s="83"/>
      <c r="G205" s="71"/>
      <c r="H205" s="83"/>
      <c r="I205" s="83"/>
      <c r="J205" s="83"/>
      <c r="K205" s="83"/>
      <c r="L205" s="71"/>
      <c r="M205" s="83"/>
      <c r="N205" s="83"/>
      <c r="O205" s="83"/>
      <c r="P205" s="83"/>
      <c r="Q205" s="71"/>
      <c r="R205" s="83"/>
      <c r="S205" s="83"/>
      <c r="T205" s="83"/>
      <c r="U205" s="83"/>
      <c r="V205" s="71"/>
      <c r="W205" s="83"/>
      <c r="X205" s="83"/>
      <c r="Y205" s="83"/>
      <c r="Z205" s="83"/>
      <c r="AA205" s="113"/>
      <c r="AB205" s="83"/>
      <c r="AC205" s="83"/>
      <c r="AD205" s="83"/>
      <c r="AE205" s="83">
        <f>AE204/AE13</f>
        <v>0.22324283826010685</v>
      </c>
      <c r="AF205" s="71">
        <f>AF204/AF13</f>
        <v>0.20210182750144334</v>
      </c>
      <c r="AG205" s="83"/>
      <c r="AH205" s="83"/>
      <c r="AI205" s="83"/>
      <c r="AJ205" s="83"/>
      <c r="AK205" s="71"/>
      <c r="AL205" s="83"/>
      <c r="AM205" s="83"/>
      <c r="AN205" s="83"/>
      <c r="AO205" s="83"/>
      <c r="AP205" s="71"/>
      <c r="AQ205" s="83"/>
      <c r="AR205" s="83"/>
      <c r="AS205" s="83"/>
      <c r="AT205" s="83"/>
      <c r="AU205" s="71"/>
      <c r="AV205" s="83"/>
      <c r="AW205" s="83"/>
      <c r="AX205" s="83"/>
      <c r="AY205" s="83"/>
      <c r="AZ205" s="71"/>
      <c r="BA205" s="83"/>
      <c r="BB205" s="83"/>
      <c r="BC205" s="83"/>
      <c r="BD205" s="83"/>
      <c r="BE205" s="71"/>
      <c r="BF205" s="71"/>
      <c r="BG205" s="71"/>
      <c r="BH205" s="71"/>
      <c r="BI205" s="71"/>
      <c r="BJ205" s="71"/>
      <c r="BL205" s="76"/>
      <c r="BM205" s="76"/>
      <c r="BR205" s="148"/>
    </row>
    <row r="206" spans="2:70" s="87" customFormat="1">
      <c r="B206" s="76" t="s">
        <v>84</v>
      </c>
      <c r="C206" s="83"/>
      <c r="D206" s="83"/>
      <c r="E206" s="83"/>
      <c r="F206" s="83"/>
      <c r="G206" s="71"/>
      <c r="H206" s="83"/>
      <c r="I206" s="83"/>
      <c r="J206" s="83"/>
      <c r="K206" s="83"/>
      <c r="L206" s="71"/>
      <c r="M206" s="83"/>
      <c r="N206" s="83"/>
      <c r="O206" s="83"/>
      <c r="P206" s="83"/>
      <c r="Q206" s="71"/>
      <c r="R206" s="83"/>
      <c r="S206" s="83"/>
      <c r="T206" s="83"/>
      <c r="U206" s="83"/>
      <c r="V206" s="71"/>
      <c r="W206" s="83"/>
      <c r="X206" s="83"/>
      <c r="Y206" s="83"/>
      <c r="Z206" s="83"/>
      <c r="AA206" s="113"/>
      <c r="AB206" s="83"/>
      <c r="AC206" s="83"/>
      <c r="AD206" s="83"/>
      <c r="AE206" s="83"/>
      <c r="AF206" s="140">
        <v>0.75</v>
      </c>
      <c r="AG206" s="83"/>
      <c r="AH206" s="83"/>
      <c r="AI206" s="83"/>
      <c r="AJ206" s="83"/>
      <c r="AK206" s="71"/>
      <c r="AL206" s="83"/>
      <c r="AM206" s="83"/>
      <c r="AN206" s="83"/>
      <c r="AO206" s="83"/>
      <c r="AP206" s="71"/>
      <c r="AQ206" s="83"/>
      <c r="AR206" s="83"/>
      <c r="AS206" s="83"/>
      <c r="AT206" s="83"/>
      <c r="AU206" s="71"/>
      <c r="AV206" s="83"/>
      <c r="AW206" s="83"/>
      <c r="AX206" s="83"/>
      <c r="AY206" s="83"/>
      <c r="AZ206" s="71"/>
      <c r="BA206" s="83"/>
      <c r="BB206" s="83"/>
      <c r="BC206" s="83"/>
      <c r="BD206" s="83"/>
      <c r="BE206" s="71"/>
      <c r="BF206" s="71"/>
      <c r="BG206" s="71"/>
      <c r="BH206" s="71"/>
      <c r="BI206" s="71"/>
      <c r="BJ206" s="71"/>
      <c r="BL206" s="76"/>
      <c r="BM206" s="76"/>
      <c r="BR206" s="148"/>
    </row>
    <row r="207" spans="2:70" s="87" customFormat="1">
      <c r="B207" s="76" t="s">
        <v>218</v>
      </c>
      <c r="C207" s="83"/>
      <c r="D207" s="83"/>
      <c r="E207" s="83"/>
      <c r="F207" s="83"/>
      <c r="G207" s="71"/>
      <c r="H207" s="83"/>
      <c r="I207" s="83"/>
      <c r="J207" s="83"/>
      <c r="K207" s="83"/>
      <c r="L207" s="71"/>
      <c r="M207" s="83"/>
      <c r="N207" s="83"/>
      <c r="O207" s="83"/>
      <c r="P207" s="83"/>
      <c r="Q207" s="71"/>
      <c r="R207" s="83"/>
      <c r="S207" s="83"/>
      <c r="T207" s="83"/>
      <c r="U207" s="83"/>
      <c r="V207" s="71"/>
      <c r="W207" s="83"/>
      <c r="X207" s="83"/>
      <c r="Y207" s="83"/>
      <c r="Z207" s="83"/>
      <c r="AA207" s="113"/>
      <c r="AB207" s="83"/>
      <c r="AC207" s="83"/>
      <c r="AD207" s="83"/>
      <c r="AE207" s="83"/>
      <c r="AF207" s="140"/>
      <c r="AG207" s="83"/>
      <c r="AH207" s="83"/>
      <c r="AI207" s="83"/>
      <c r="AJ207" s="83"/>
      <c r="AK207" s="71"/>
      <c r="AL207" s="83"/>
      <c r="AM207" s="83"/>
      <c r="AN207" s="83"/>
      <c r="AO207" s="83"/>
      <c r="AP207" s="71"/>
      <c r="AQ207" s="83"/>
      <c r="AR207" s="83"/>
      <c r="AS207" s="83"/>
      <c r="AT207" s="83"/>
      <c r="AU207" s="71"/>
      <c r="AV207" s="83"/>
      <c r="AW207" s="83"/>
      <c r="AX207" s="83"/>
      <c r="AY207" s="83"/>
      <c r="AZ207" s="71"/>
      <c r="BA207" s="83"/>
      <c r="BB207" s="83"/>
      <c r="BC207" s="83"/>
      <c r="BD207" s="83"/>
      <c r="BE207" s="71"/>
      <c r="BF207" s="71"/>
      <c r="BG207" s="71"/>
      <c r="BH207" s="71"/>
      <c r="BI207" s="71"/>
      <c r="BJ207" s="71"/>
      <c r="BL207" s="76"/>
      <c r="BM207" s="76"/>
      <c r="BR207" s="148"/>
    </row>
    <row r="208" spans="2:70" s="87" customFormat="1">
      <c r="B208" s="76" t="s">
        <v>219</v>
      </c>
      <c r="C208" s="83"/>
      <c r="D208" s="83"/>
      <c r="E208" s="83"/>
      <c r="F208" s="83"/>
      <c r="G208" s="71"/>
      <c r="H208" s="83"/>
      <c r="I208" s="83"/>
      <c r="J208" s="83"/>
      <c r="K208" s="83"/>
      <c r="L208" s="71"/>
      <c r="M208" s="83"/>
      <c r="N208" s="83"/>
      <c r="O208" s="83"/>
      <c r="P208" s="83"/>
      <c r="Q208" s="71"/>
      <c r="R208" s="83"/>
      <c r="S208" s="83"/>
      <c r="T208" s="83"/>
      <c r="U208" s="83"/>
      <c r="V208" s="71"/>
      <c r="W208" s="83"/>
      <c r="X208" s="83"/>
      <c r="Y208" s="83"/>
      <c r="Z208" s="83"/>
      <c r="AA208" s="113"/>
      <c r="AB208" s="83"/>
      <c r="AC208" s="83"/>
      <c r="AD208" s="83"/>
      <c r="AE208" s="83"/>
      <c r="AF208" s="140"/>
      <c r="AG208" s="83"/>
      <c r="AH208" s="83"/>
      <c r="AI208" s="83"/>
      <c r="AJ208" s="83"/>
      <c r="AK208" s="71"/>
      <c r="AL208" s="83"/>
      <c r="AM208" s="83"/>
      <c r="AN208" s="83"/>
      <c r="AO208" s="83"/>
      <c r="AP208" s="71"/>
      <c r="AQ208" s="83"/>
      <c r="AR208" s="83"/>
      <c r="AS208" s="83"/>
      <c r="AT208" s="83"/>
      <c r="AU208" s="71"/>
      <c r="AV208" s="83"/>
      <c r="AW208" s="83"/>
      <c r="AX208" s="83"/>
      <c r="AY208" s="83"/>
      <c r="AZ208" s="71"/>
      <c r="BA208" s="83"/>
      <c r="BB208" s="83"/>
      <c r="BC208" s="83"/>
      <c r="BD208" s="83"/>
      <c r="BE208" s="71"/>
      <c r="BF208" s="71"/>
      <c r="BG208" s="71"/>
      <c r="BH208" s="71"/>
      <c r="BI208" s="71"/>
      <c r="BJ208" s="71"/>
      <c r="BL208" s="76"/>
      <c r="BM208" s="76"/>
      <c r="BR208" s="148"/>
    </row>
    <row r="209" spans="2:79" s="87" customFormat="1">
      <c r="B209" s="76"/>
      <c r="C209" s="83"/>
      <c r="D209" s="83"/>
      <c r="E209" s="83"/>
      <c r="F209" s="83"/>
      <c r="G209" s="71"/>
      <c r="H209" s="83"/>
      <c r="I209" s="83"/>
      <c r="J209" s="83"/>
      <c r="K209" s="83"/>
      <c r="L209" s="71"/>
      <c r="M209" s="83"/>
      <c r="N209" s="83"/>
      <c r="O209" s="83"/>
      <c r="P209" s="83"/>
      <c r="Q209" s="71"/>
      <c r="R209" s="83"/>
      <c r="S209" s="83"/>
      <c r="T209" s="83"/>
      <c r="U209" s="83"/>
      <c r="V209" s="71"/>
      <c r="W209" s="83"/>
      <c r="X209" s="83"/>
      <c r="Y209" s="83"/>
      <c r="Z209" s="83"/>
      <c r="AA209" s="113"/>
      <c r="AB209" s="83"/>
      <c r="AC209" s="83"/>
      <c r="AD209" s="83"/>
      <c r="AE209" s="83"/>
      <c r="AF209" s="140"/>
      <c r="AG209" s="83"/>
      <c r="AH209" s="83"/>
      <c r="AI209" s="83"/>
      <c r="AJ209" s="83"/>
      <c r="AK209" s="71"/>
      <c r="AL209" s="83"/>
      <c r="AM209" s="83"/>
      <c r="AN209" s="83"/>
      <c r="AO209" s="83"/>
      <c r="AP209" s="71"/>
      <c r="AQ209" s="83"/>
      <c r="AR209" s="83"/>
      <c r="AS209" s="83"/>
      <c r="AT209" s="83"/>
      <c r="AU209" s="71"/>
      <c r="AV209" s="83"/>
      <c r="AW209" s="83"/>
      <c r="AX209" s="83"/>
      <c r="AY209" s="83"/>
      <c r="AZ209" s="71"/>
      <c r="BA209" s="83"/>
      <c r="BB209" s="83"/>
      <c r="BC209" s="83"/>
      <c r="BD209" s="83"/>
      <c r="BE209" s="71"/>
      <c r="BF209" s="71"/>
      <c r="BG209" s="71"/>
      <c r="BH209" s="71"/>
      <c r="BI209" s="71"/>
      <c r="BJ209" s="71"/>
      <c r="BL209" s="76"/>
      <c r="BM209" s="76"/>
      <c r="BR209" s="148"/>
    </row>
    <row r="210" spans="2:79" s="87" customFormat="1">
      <c r="B210" s="76"/>
      <c r="C210" s="83"/>
      <c r="D210" s="83"/>
      <c r="E210" s="83"/>
      <c r="F210" s="83"/>
      <c r="G210" s="71"/>
      <c r="H210" s="83"/>
      <c r="I210" s="83"/>
      <c r="J210" s="83"/>
      <c r="K210" s="83"/>
      <c r="L210" s="71"/>
      <c r="M210" s="83"/>
      <c r="N210" s="83"/>
      <c r="O210" s="83"/>
      <c r="P210" s="83"/>
      <c r="Q210" s="71"/>
      <c r="R210" s="83"/>
      <c r="S210" s="83"/>
      <c r="T210" s="83"/>
      <c r="U210" s="83"/>
      <c r="V210" s="71"/>
      <c r="W210" s="83"/>
      <c r="X210" s="83"/>
      <c r="Y210" s="83"/>
      <c r="Z210" s="83"/>
      <c r="AA210" s="113"/>
      <c r="AB210" s="83"/>
      <c r="AC210" s="83"/>
      <c r="AD210" s="83"/>
      <c r="AE210" s="83"/>
      <c r="AF210" s="140"/>
      <c r="AG210" s="83"/>
      <c r="AH210" s="83"/>
      <c r="AI210" s="83"/>
      <c r="AJ210" s="83"/>
      <c r="AK210" s="71"/>
      <c r="AL210" s="83"/>
      <c r="AM210" s="83"/>
      <c r="AN210" s="83"/>
      <c r="AO210" s="83"/>
      <c r="AP210" s="71"/>
      <c r="AQ210" s="83"/>
      <c r="AR210" s="83"/>
      <c r="AS210" s="83"/>
      <c r="AT210" s="83"/>
      <c r="AU210" s="71"/>
      <c r="AV210" s="83"/>
      <c r="AW210" s="83"/>
      <c r="AX210" s="83"/>
      <c r="AY210" s="83"/>
      <c r="AZ210" s="71"/>
      <c r="BA210" s="83"/>
      <c r="BB210" s="83"/>
      <c r="BC210" s="83"/>
      <c r="BD210" s="83"/>
      <c r="BE210" s="71"/>
      <c r="BF210" s="71"/>
      <c r="BG210" s="71"/>
      <c r="BH210" s="71"/>
      <c r="BI210" s="71"/>
      <c r="BJ210" s="71"/>
      <c r="BL210" s="76"/>
      <c r="BM210" s="76"/>
      <c r="BR210" s="148"/>
    </row>
    <row r="211" spans="2:79" s="87" customFormat="1">
      <c r="B211" s="76"/>
      <c r="C211" s="83"/>
      <c r="D211" s="83"/>
      <c r="E211" s="83"/>
      <c r="F211" s="83"/>
      <c r="G211" s="71"/>
      <c r="H211" s="83"/>
      <c r="I211" s="83"/>
      <c r="J211" s="83"/>
      <c r="K211" s="83"/>
      <c r="L211" s="71"/>
      <c r="M211" s="83"/>
      <c r="N211" s="83"/>
      <c r="O211" s="83"/>
      <c r="P211" s="83"/>
      <c r="Q211" s="71"/>
      <c r="R211" s="83"/>
      <c r="S211" s="83"/>
      <c r="T211" s="83"/>
      <c r="U211" s="83"/>
      <c r="V211" s="71"/>
      <c r="W211" s="83"/>
      <c r="X211" s="83"/>
      <c r="Y211" s="83"/>
      <c r="Z211" s="83"/>
      <c r="AA211" s="113"/>
      <c r="AB211" s="83"/>
      <c r="AC211" s="83"/>
      <c r="AD211" s="83"/>
      <c r="AE211" s="83"/>
      <c r="AF211" s="140"/>
      <c r="AG211" s="83"/>
      <c r="AH211" s="83"/>
      <c r="AI211" s="83"/>
      <c r="AJ211" s="83"/>
      <c r="AK211" s="71"/>
      <c r="AL211" s="83"/>
      <c r="AM211" s="83"/>
      <c r="AN211" s="83"/>
      <c r="AO211" s="83"/>
      <c r="AP211" s="71"/>
      <c r="AQ211" s="83"/>
      <c r="AR211" s="83"/>
      <c r="AS211" s="83"/>
      <c r="AT211" s="83"/>
      <c r="AU211" s="71"/>
      <c r="AV211" s="83"/>
      <c r="AW211" s="83"/>
      <c r="AX211" s="83"/>
      <c r="AY211" s="83"/>
      <c r="AZ211" s="71"/>
      <c r="BA211" s="83"/>
      <c r="BB211" s="83"/>
      <c r="BC211" s="83"/>
      <c r="BD211" s="83"/>
      <c r="BE211" s="71"/>
      <c r="BF211" s="71"/>
      <c r="BG211" s="71"/>
      <c r="BH211" s="71"/>
      <c r="BI211" s="71"/>
      <c r="BJ211" s="71"/>
      <c r="BL211" s="76"/>
      <c r="BM211" s="76"/>
      <c r="BR211" s="148"/>
    </row>
    <row r="212" spans="2:79" s="87" customFormat="1">
      <c r="B212" s="76"/>
      <c r="C212" s="83"/>
      <c r="D212" s="83"/>
      <c r="E212" s="83"/>
      <c r="F212" s="83"/>
      <c r="G212" s="71"/>
      <c r="H212" s="83"/>
      <c r="I212" s="83"/>
      <c r="J212" s="83"/>
      <c r="K212" s="83"/>
      <c r="L212" s="71"/>
      <c r="M212" s="83"/>
      <c r="N212" s="83"/>
      <c r="O212" s="83"/>
      <c r="P212" s="83"/>
      <c r="Q212" s="71"/>
      <c r="R212" s="83"/>
      <c r="S212" s="83"/>
      <c r="T212" s="83"/>
      <c r="U212" s="83"/>
      <c r="V212" s="71"/>
      <c r="W212" s="83"/>
      <c r="X212" s="83"/>
      <c r="Y212" s="83"/>
      <c r="Z212" s="83"/>
      <c r="AA212" s="113"/>
      <c r="AB212" s="83"/>
      <c r="AC212" s="83"/>
      <c r="AD212" s="83"/>
      <c r="AE212" s="83"/>
      <c r="AF212" s="140"/>
      <c r="AG212" s="83"/>
      <c r="AH212" s="83"/>
      <c r="AI212" s="83"/>
      <c r="AJ212" s="83"/>
      <c r="AK212" s="71"/>
      <c r="AL212" s="83"/>
      <c r="AM212" s="83"/>
      <c r="AN212" s="83"/>
      <c r="AO212" s="83"/>
      <c r="AP212" s="71"/>
      <c r="AQ212" s="83"/>
      <c r="AR212" s="83"/>
      <c r="AS212" s="83"/>
      <c r="AT212" s="83"/>
      <c r="AU212" s="71"/>
      <c r="AV212" s="83"/>
      <c r="AW212" s="83"/>
      <c r="AX212" s="83"/>
      <c r="AY212" s="83"/>
      <c r="AZ212" s="71"/>
      <c r="BA212" s="83"/>
      <c r="BB212" s="83"/>
      <c r="BC212" s="83"/>
      <c r="BD212" s="83"/>
      <c r="BE212" s="71"/>
      <c r="BF212" s="71"/>
      <c r="BG212" s="71"/>
      <c r="BH212" s="71"/>
      <c r="BI212" s="71"/>
      <c r="BJ212" s="71"/>
      <c r="BL212" s="76"/>
      <c r="BM212" s="76"/>
      <c r="BR212" s="148"/>
    </row>
    <row r="213" spans="2:79" s="87" customFormat="1">
      <c r="B213" s="76"/>
      <c r="C213" s="83"/>
      <c r="D213" s="83"/>
      <c r="E213" s="83"/>
      <c r="F213" s="83"/>
      <c r="G213" s="71"/>
      <c r="H213" s="83"/>
      <c r="I213" s="83"/>
      <c r="J213" s="83"/>
      <c r="K213" s="83"/>
      <c r="L213" s="71"/>
      <c r="M213" s="83"/>
      <c r="N213" s="83"/>
      <c r="O213" s="83"/>
      <c r="P213" s="83"/>
      <c r="Q213" s="71"/>
      <c r="R213" s="83"/>
      <c r="S213" s="83"/>
      <c r="T213" s="83"/>
      <c r="U213" s="83"/>
      <c r="V213" s="71"/>
      <c r="W213" s="83"/>
      <c r="X213" s="83"/>
      <c r="Y213" s="83"/>
      <c r="Z213" s="83"/>
      <c r="AA213" s="113"/>
      <c r="AB213" s="83"/>
      <c r="AC213" s="83"/>
      <c r="AD213" s="83"/>
      <c r="AE213" s="83"/>
      <c r="AF213" s="140"/>
      <c r="AG213" s="83"/>
      <c r="AH213" s="83"/>
      <c r="AI213" s="83"/>
      <c r="AJ213" s="83"/>
      <c r="AK213" s="71"/>
      <c r="AL213" s="83"/>
      <c r="AM213" s="83"/>
      <c r="AN213" s="83"/>
      <c r="AO213" s="83"/>
      <c r="AP213" s="71"/>
      <c r="AQ213" s="83"/>
      <c r="AR213" s="83"/>
      <c r="AS213" s="83"/>
      <c r="AT213" s="83"/>
      <c r="AU213" s="71"/>
      <c r="AV213" s="83"/>
      <c r="AW213" s="83"/>
      <c r="AX213" s="83"/>
      <c r="AY213" s="83"/>
      <c r="AZ213" s="71"/>
      <c r="BA213" s="83"/>
      <c r="BB213" s="83"/>
      <c r="BC213" s="83"/>
      <c r="BD213" s="83"/>
      <c r="BE213" s="71"/>
      <c r="BF213" s="71"/>
      <c r="BG213" s="71"/>
      <c r="BH213" s="71"/>
      <c r="BI213" s="71"/>
      <c r="BJ213" s="71"/>
      <c r="BK213" s="45"/>
      <c r="BL213" s="76"/>
      <c r="BM213" s="76"/>
      <c r="BN213" s="45"/>
      <c r="BO213" s="45"/>
      <c r="BP213" s="45"/>
      <c r="BR213" s="148"/>
    </row>
    <row r="214" spans="2:79">
      <c r="G214" s="71"/>
      <c r="L214" s="71"/>
      <c r="Q214" s="71"/>
      <c r="V214" s="71"/>
      <c r="AA214" s="113"/>
      <c r="AF214" s="71"/>
      <c r="AK214" s="71"/>
      <c r="AP214" s="54"/>
      <c r="AU214" s="54"/>
      <c r="AZ214" s="71"/>
      <c r="BE214" s="71"/>
      <c r="BF214" s="71"/>
      <c r="BG214" s="71"/>
      <c r="BH214" s="71"/>
      <c r="BI214" s="71"/>
      <c r="BJ214" s="71"/>
      <c r="BK214" s="76"/>
      <c r="BL214" s="76"/>
      <c r="BM214" s="76"/>
      <c r="BN214" s="76"/>
      <c r="BO214" s="76"/>
      <c r="BP214" s="76"/>
      <c r="BV214" s="87"/>
      <c r="BW214" s="87"/>
      <c r="BX214" s="87"/>
      <c r="BY214" s="87"/>
      <c r="BZ214" s="87"/>
      <c r="CA214" s="87"/>
    </row>
    <row r="215" spans="2:79" s="76" customFormat="1">
      <c r="B215" s="76" t="s">
        <v>109</v>
      </c>
      <c r="G215" s="63"/>
      <c r="L215" s="63"/>
      <c r="Q215" s="63"/>
      <c r="V215" s="71"/>
      <c r="W215" s="114"/>
      <c r="AA215" s="113"/>
      <c r="AB215" s="114"/>
      <c r="AF215" s="71"/>
      <c r="AG215" s="114"/>
      <c r="AK215" s="71"/>
      <c r="AL215" s="114"/>
      <c r="AP215" s="54"/>
      <c r="AU215" s="54"/>
      <c r="AZ215" s="71"/>
      <c r="BE215" s="71"/>
      <c r="BF215" s="71"/>
      <c r="BG215" s="71"/>
      <c r="BH215" s="71"/>
      <c r="BI215" s="71"/>
      <c r="BJ215" s="71"/>
      <c r="BR215" s="147"/>
      <c r="BV215" s="87"/>
      <c r="BW215" s="87"/>
      <c r="BX215" s="87"/>
      <c r="BY215" s="87"/>
      <c r="BZ215" s="87"/>
      <c r="CA215" s="87"/>
    </row>
    <row r="216" spans="2:79" s="76" customFormat="1">
      <c r="B216" s="76" t="s">
        <v>110</v>
      </c>
      <c r="C216" s="115">
        <v>0.5</v>
      </c>
      <c r="D216" s="115">
        <v>0.5</v>
      </c>
      <c r="E216" s="115">
        <v>0.5</v>
      </c>
      <c r="F216" s="115">
        <v>0.51</v>
      </c>
      <c r="G216" s="116">
        <f>+G222/G$226</f>
        <v>0.5029016579917962</v>
      </c>
      <c r="H216" s="115">
        <v>0.51</v>
      </c>
      <c r="I216" s="115">
        <v>0.51</v>
      </c>
      <c r="J216" s="115">
        <v>0.51</v>
      </c>
      <c r="K216" s="115">
        <v>0.52449999999999997</v>
      </c>
      <c r="L216" s="116">
        <f>+L222/L$226</f>
        <v>0.51418152169156617</v>
      </c>
      <c r="M216" s="115">
        <v>0.52</v>
      </c>
      <c r="N216" s="115">
        <v>0.52</v>
      </c>
      <c r="O216" s="115">
        <v>0.53</v>
      </c>
      <c r="P216" s="115">
        <v>0.52</v>
      </c>
      <c r="Q216" s="116">
        <f>+Q222/Q$226</f>
        <v>0.52257742204789093</v>
      </c>
      <c r="R216" s="115">
        <v>0.53</v>
      </c>
      <c r="S216" s="115">
        <v>0.53</v>
      </c>
      <c r="T216" s="115">
        <v>0.55000000000000004</v>
      </c>
      <c r="U216" s="115">
        <v>0.55000000000000004</v>
      </c>
      <c r="V216" s="63"/>
      <c r="W216" s="115">
        <v>0.56000000000000005</v>
      </c>
      <c r="X216" s="115">
        <v>0.56999999999999995</v>
      </c>
      <c r="Y216" s="115">
        <v>0.56999999999999995</v>
      </c>
      <c r="Z216" s="115">
        <v>0.56999999999999995</v>
      </c>
      <c r="AA216" s="113"/>
      <c r="AB216" s="115">
        <v>0.56999999999999995</v>
      </c>
      <c r="AC216" s="115">
        <v>0.57999999999999996</v>
      </c>
      <c r="AD216" s="115">
        <v>0.57999999999999996</v>
      </c>
      <c r="AE216" s="115">
        <v>0.56000000000000005</v>
      </c>
      <c r="AF216" s="113"/>
      <c r="AG216" s="115">
        <v>0.57999999999999996</v>
      </c>
      <c r="AH216" s="115">
        <v>0.57999999999999996</v>
      </c>
      <c r="AI216" s="115">
        <v>0.59</v>
      </c>
      <c r="AJ216" s="115"/>
      <c r="AK216" s="113"/>
      <c r="AL216" s="115"/>
      <c r="AM216" s="115"/>
      <c r="AN216" s="115"/>
      <c r="AO216" s="115"/>
      <c r="AP216" s="54"/>
      <c r="AQ216" s="115"/>
      <c r="AR216" s="115"/>
      <c r="AS216" s="115"/>
      <c r="AT216" s="115"/>
      <c r="AU216" s="54"/>
      <c r="AV216" s="115"/>
      <c r="AW216" s="115"/>
      <c r="AX216" s="115"/>
      <c r="AY216" s="115"/>
      <c r="AZ216" s="71"/>
      <c r="BA216" s="115"/>
      <c r="BB216" s="115"/>
      <c r="BC216" s="115"/>
      <c r="BD216" s="115"/>
      <c r="BE216" s="71"/>
      <c r="BF216" s="71"/>
      <c r="BG216" s="71"/>
      <c r="BH216" s="71"/>
      <c r="BI216" s="71"/>
      <c r="BJ216" s="71"/>
      <c r="BR216" s="147"/>
      <c r="BV216" s="87"/>
      <c r="BW216" s="87"/>
      <c r="BX216" s="87"/>
      <c r="BY216" s="87"/>
      <c r="BZ216" s="87"/>
      <c r="CA216" s="87"/>
    </row>
    <row r="217" spans="2:79" s="76" customFormat="1">
      <c r="B217" s="76" t="s">
        <v>111</v>
      </c>
      <c r="C217" s="115">
        <v>0.27</v>
      </c>
      <c r="D217" s="115">
        <v>0.27</v>
      </c>
      <c r="E217" s="115">
        <v>0.27</v>
      </c>
      <c r="F217" s="115">
        <v>0.27</v>
      </c>
      <c r="G217" s="116">
        <f>+G223/G$226</f>
        <v>0.27</v>
      </c>
      <c r="H217" s="115">
        <v>0.27</v>
      </c>
      <c r="I217" s="115">
        <v>0.27</v>
      </c>
      <c r="J217" s="115">
        <v>0.27</v>
      </c>
      <c r="K217" s="115">
        <v>0.2545</v>
      </c>
      <c r="L217" s="116">
        <f>+L223/L$226</f>
        <v>0.26575719018237487</v>
      </c>
      <c r="M217" s="115">
        <v>0.25</v>
      </c>
      <c r="N217" s="115">
        <v>0.25</v>
      </c>
      <c r="O217" s="115">
        <v>0.26</v>
      </c>
      <c r="P217" s="115">
        <v>0.26</v>
      </c>
      <c r="Q217" s="116">
        <f>+Q223/Q$226</f>
        <v>0.25529724832036899</v>
      </c>
      <c r="R217" s="115">
        <v>0.27</v>
      </c>
      <c r="S217" s="115">
        <v>0.27</v>
      </c>
      <c r="T217" s="115">
        <v>0.25</v>
      </c>
      <c r="U217" s="115">
        <v>0.26</v>
      </c>
      <c r="V217" s="63"/>
      <c r="W217" s="115">
        <v>0.25</v>
      </c>
      <c r="X217" s="115">
        <v>0.25</v>
      </c>
      <c r="Y217" s="115">
        <v>0.25</v>
      </c>
      <c r="Z217" s="115">
        <v>0.26</v>
      </c>
      <c r="AA217" s="113"/>
      <c r="AB217" s="115">
        <v>0.27</v>
      </c>
      <c r="AC217" s="115">
        <v>0.25</v>
      </c>
      <c r="AD217" s="115">
        <v>0.25</v>
      </c>
      <c r="AE217" s="115">
        <v>0.27</v>
      </c>
      <c r="AF217" s="113"/>
      <c r="AG217" s="115">
        <v>0.26</v>
      </c>
      <c r="AH217" s="115">
        <v>0.26</v>
      </c>
      <c r="AI217" s="115">
        <v>0.26</v>
      </c>
      <c r="AJ217" s="115"/>
      <c r="AK217" s="113"/>
      <c r="AL217" s="115"/>
      <c r="AM217" s="115"/>
      <c r="AN217" s="115"/>
      <c r="AO217" s="115"/>
      <c r="AP217" s="54"/>
      <c r="AQ217" s="115"/>
      <c r="AR217" s="115"/>
      <c r="AS217" s="115"/>
      <c r="AT217" s="115"/>
      <c r="AU217" s="54"/>
      <c r="AV217" s="115"/>
      <c r="AW217" s="115"/>
      <c r="AX217" s="115"/>
      <c r="AY217" s="115"/>
      <c r="AZ217" s="71"/>
      <c r="BA217" s="115"/>
      <c r="BB217" s="115"/>
      <c r="BC217" s="115"/>
      <c r="BD217" s="115"/>
      <c r="BE217" s="71"/>
      <c r="BF217" s="71"/>
      <c r="BG217" s="71"/>
      <c r="BH217" s="71"/>
      <c r="BI217" s="71"/>
      <c r="BJ217" s="71"/>
      <c r="BR217" s="147"/>
      <c r="BV217" s="87"/>
      <c r="BW217" s="87"/>
      <c r="BX217" s="87"/>
      <c r="BY217" s="87"/>
      <c r="BZ217" s="87"/>
      <c r="CA217" s="87"/>
    </row>
    <row r="218" spans="2:79" s="76" customFormat="1">
      <c r="B218" s="76" t="s">
        <v>112</v>
      </c>
      <c r="C218" s="115">
        <v>0.1</v>
      </c>
      <c r="D218" s="115">
        <v>0.1</v>
      </c>
      <c r="E218" s="115">
        <v>0.09</v>
      </c>
      <c r="F218" s="115">
        <v>0.08</v>
      </c>
      <c r="G218" s="116">
        <f>+G224/G$226</f>
        <v>9.1590431215745755E-2</v>
      </c>
      <c r="H218" s="115">
        <v>0.08</v>
      </c>
      <c r="I218" s="115">
        <v>0.08</v>
      </c>
      <c r="J218" s="115">
        <v>0.08</v>
      </c>
      <c r="K218" s="115">
        <v>0.08</v>
      </c>
      <c r="L218" s="116">
        <f>+L224/L$226</f>
        <v>8.0022286591294137E-2</v>
      </c>
      <c r="M218" s="115">
        <v>0.09</v>
      </c>
      <c r="N218" s="115">
        <v>0.09</v>
      </c>
      <c r="O218" s="115">
        <v>0.08</v>
      </c>
      <c r="P218" s="115">
        <v>0.08</v>
      </c>
      <c r="Q218" s="116">
        <f>+Q224/Q$226</f>
        <v>8.4702751679631066E-2</v>
      </c>
      <c r="R218" s="115">
        <v>7.0000000000000007E-2</v>
      </c>
      <c r="S218" s="115">
        <v>7.0000000000000007E-2</v>
      </c>
      <c r="T218" s="115">
        <v>7.0000000000000007E-2</v>
      </c>
      <c r="U218" s="115">
        <v>0.06</v>
      </c>
      <c r="V218" s="63"/>
      <c r="W218" s="115">
        <v>0.06</v>
      </c>
      <c r="X218" s="115">
        <v>0.05</v>
      </c>
      <c r="Y218" s="115">
        <v>0.06</v>
      </c>
      <c r="Z218" s="115">
        <v>0.05</v>
      </c>
      <c r="AA218" s="113"/>
      <c r="AB218" s="115">
        <v>0.04</v>
      </c>
      <c r="AC218" s="115">
        <v>0.05</v>
      </c>
      <c r="AD218" s="115">
        <v>0.04</v>
      </c>
      <c r="AE218" s="115">
        <v>0.04</v>
      </c>
      <c r="AF218" s="113"/>
      <c r="AG218" s="115">
        <v>0.04</v>
      </c>
      <c r="AH218" s="115">
        <v>0.04</v>
      </c>
      <c r="AI218" s="115">
        <v>0.04</v>
      </c>
      <c r="AJ218" s="115"/>
      <c r="AK218" s="113"/>
      <c r="AL218" s="115"/>
      <c r="AM218" s="115"/>
      <c r="AN218" s="115"/>
      <c r="AO218" s="115"/>
      <c r="AP218" s="54"/>
      <c r="AQ218" s="115"/>
      <c r="AR218" s="115"/>
      <c r="AS218" s="115"/>
      <c r="AT218" s="115"/>
      <c r="AU218" s="54"/>
      <c r="AV218" s="115"/>
      <c r="AW218" s="115"/>
      <c r="AX218" s="115"/>
      <c r="AY218" s="115"/>
      <c r="AZ218" s="71"/>
      <c r="BA218" s="115"/>
      <c r="BB218" s="115"/>
      <c r="BC218" s="115"/>
      <c r="BD218" s="115"/>
      <c r="BE218" s="71"/>
      <c r="BF218" s="71"/>
      <c r="BG218" s="71"/>
      <c r="BH218" s="71"/>
      <c r="BI218" s="71"/>
      <c r="BJ218" s="71"/>
      <c r="BR218" s="147"/>
      <c r="BV218" s="45"/>
      <c r="BW218" s="45"/>
      <c r="BX218" s="45"/>
      <c r="BY218" s="45"/>
      <c r="BZ218" s="45"/>
      <c r="CA218" s="45"/>
    </row>
    <row r="219" spans="2:79" s="76" customFormat="1">
      <c r="B219" s="76" t="s">
        <v>113</v>
      </c>
      <c r="C219" s="115">
        <v>0.13</v>
      </c>
      <c r="D219" s="115">
        <v>0.13</v>
      </c>
      <c r="E219" s="115">
        <v>0.14000000000000001</v>
      </c>
      <c r="F219" s="115">
        <v>0.14000000000000001</v>
      </c>
      <c r="G219" s="116">
        <f>+G225/G$226</f>
        <v>0.13550791079245805</v>
      </c>
      <c r="H219" s="115">
        <v>0.14000000000000001</v>
      </c>
      <c r="I219" s="115">
        <v>0.14000000000000001</v>
      </c>
      <c r="J219" s="115">
        <v>0.14000000000000001</v>
      </c>
      <c r="K219" s="115">
        <v>0.14000000000000001</v>
      </c>
      <c r="L219" s="116">
        <f>+L225/L$226</f>
        <v>0.14003900153476476</v>
      </c>
      <c r="M219" s="115">
        <v>0.14000000000000001</v>
      </c>
      <c r="N219" s="115">
        <v>0.14000000000000001</v>
      </c>
      <c r="O219" s="115">
        <v>0.13</v>
      </c>
      <c r="P219" s="115">
        <v>0.14000000000000001</v>
      </c>
      <c r="Q219" s="116">
        <f>+Q225/Q$226</f>
        <v>0.13742257795210899</v>
      </c>
      <c r="R219" s="115">
        <v>0.13</v>
      </c>
      <c r="S219" s="115">
        <v>0.13</v>
      </c>
      <c r="T219" s="115">
        <v>0.13</v>
      </c>
      <c r="U219" s="115">
        <v>0.13</v>
      </c>
      <c r="V219" s="63"/>
      <c r="W219" s="115">
        <v>0.13</v>
      </c>
      <c r="X219" s="115">
        <v>0.13</v>
      </c>
      <c r="Y219" s="115">
        <v>0.12</v>
      </c>
      <c r="Z219" s="115">
        <v>0.12</v>
      </c>
      <c r="AA219" s="63"/>
      <c r="AB219" s="115">
        <v>0.12</v>
      </c>
      <c r="AC219" s="115">
        <v>0.12</v>
      </c>
      <c r="AD219" s="115">
        <v>0.13</v>
      </c>
      <c r="AE219" s="115">
        <v>0.13</v>
      </c>
      <c r="AF219" s="63"/>
      <c r="AG219" s="115">
        <v>0.12</v>
      </c>
      <c r="AH219" s="115">
        <v>0.12</v>
      </c>
      <c r="AI219" s="115">
        <v>0.11</v>
      </c>
      <c r="AJ219" s="115"/>
      <c r="AK219" s="63"/>
      <c r="AL219" s="115"/>
      <c r="AM219" s="115"/>
      <c r="AN219" s="115"/>
      <c r="AO219" s="115"/>
      <c r="AP219" s="63"/>
      <c r="AQ219" s="115"/>
      <c r="AR219" s="115"/>
      <c r="AS219" s="115"/>
      <c r="AT219" s="115"/>
      <c r="AU219" s="63"/>
      <c r="AV219" s="115"/>
      <c r="AW219" s="115"/>
      <c r="AX219" s="115"/>
      <c r="AY219" s="115"/>
      <c r="AZ219" s="63"/>
      <c r="BA219" s="115"/>
      <c r="BB219" s="115"/>
      <c r="BC219" s="115"/>
      <c r="BD219" s="115"/>
      <c r="BE219" s="63"/>
      <c r="BF219" s="63"/>
      <c r="BG219" s="63"/>
      <c r="BH219" s="63"/>
      <c r="BI219" s="63"/>
      <c r="BJ219" s="63"/>
      <c r="BR219" s="147"/>
    </row>
    <row r="220" spans="2:79" s="76" customFormat="1">
      <c r="B220" s="76" t="s">
        <v>114</v>
      </c>
      <c r="C220" s="117">
        <f t="shared" ref="C220:T220" si="566">+SUM(C216:C219)</f>
        <v>1</v>
      </c>
      <c r="D220" s="117">
        <f t="shared" si="566"/>
        <v>1</v>
      </c>
      <c r="E220" s="117">
        <f t="shared" si="566"/>
        <v>1</v>
      </c>
      <c r="F220" s="117">
        <f t="shared" si="566"/>
        <v>1</v>
      </c>
      <c r="G220" s="118">
        <f t="shared" si="566"/>
        <v>1</v>
      </c>
      <c r="H220" s="117">
        <f t="shared" si="566"/>
        <v>1</v>
      </c>
      <c r="I220" s="117">
        <f t="shared" si="566"/>
        <v>1</v>
      </c>
      <c r="J220" s="117">
        <f t="shared" si="566"/>
        <v>1</v>
      </c>
      <c r="K220" s="117">
        <f t="shared" si="566"/>
        <v>0.99899999999999989</v>
      </c>
      <c r="L220" s="118">
        <f t="shared" si="566"/>
        <v>1</v>
      </c>
      <c r="M220" s="117">
        <f t="shared" si="566"/>
        <v>1</v>
      </c>
      <c r="N220" s="117">
        <f t="shared" si="566"/>
        <v>1</v>
      </c>
      <c r="O220" s="117">
        <f t="shared" si="566"/>
        <v>1</v>
      </c>
      <c r="P220" s="117">
        <f t="shared" si="566"/>
        <v>1</v>
      </c>
      <c r="Q220" s="118">
        <f t="shared" si="566"/>
        <v>1</v>
      </c>
      <c r="R220" s="117">
        <f t="shared" si="566"/>
        <v>1</v>
      </c>
      <c r="S220" s="117">
        <f t="shared" si="566"/>
        <v>1</v>
      </c>
      <c r="T220" s="117">
        <f t="shared" si="566"/>
        <v>1</v>
      </c>
      <c r="U220" s="117">
        <f>+SUM(U216:U219)</f>
        <v>1</v>
      </c>
      <c r="V220" s="63"/>
      <c r="W220" s="117">
        <f>+SUM(W216:W219)</f>
        <v>1</v>
      </c>
      <c r="X220" s="117">
        <f>+SUM(X216:X219)</f>
        <v>1</v>
      </c>
      <c r="Y220" s="117">
        <f>+SUM(Y216:Y219)</f>
        <v>0.99999999999999989</v>
      </c>
      <c r="Z220" s="117">
        <f>+SUM(Z216:Z219)</f>
        <v>1</v>
      </c>
      <c r="AA220" s="63"/>
      <c r="AB220" s="117">
        <f>+SUM(AB216:AB219)</f>
        <v>1</v>
      </c>
      <c r="AC220" s="117">
        <f>+SUM(AC216:AC219)</f>
        <v>1</v>
      </c>
      <c r="AD220" s="117">
        <f>+SUM(AD216:AD219)</f>
        <v>1</v>
      </c>
      <c r="AE220" s="117">
        <f>+SUM(AE216:AE219)</f>
        <v>1</v>
      </c>
      <c r="AF220" s="63"/>
      <c r="AG220" s="117"/>
      <c r="AH220" s="117">
        <f>+SUM(AH216:AH219)</f>
        <v>1</v>
      </c>
      <c r="AI220" s="117">
        <f>+SUM(AI216:AI219)</f>
        <v>1</v>
      </c>
      <c r="AJ220" s="117"/>
      <c r="AK220" s="63"/>
      <c r="AL220" s="117"/>
      <c r="AM220" s="117"/>
      <c r="AN220" s="117"/>
      <c r="AO220" s="117"/>
      <c r="AP220" s="63"/>
      <c r="AQ220" s="117"/>
      <c r="AR220" s="117"/>
      <c r="AS220" s="117"/>
      <c r="AT220" s="117"/>
      <c r="AU220" s="63"/>
      <c r="AV220" s="117"/>
      <c r="AW220" s="117"/>
      <c r="AX220" s="117"/>
      <c r="AY220" s="117"/>
      <c r="AZ220" s="63"/>
      <c r="BA220" s="117"/>
      <c r="BB220" s="117"/>
      <c r="BC220" s="117"/>
      <c r="BD220" s="117"/>
      <c r="BE220" s="63"/>
      <c r="BF220" s="63"/>
      <c r="BG220" s="63"/>
      <c r="BH220" s="63"/>
      <c r="BI220" s="63"/>
      <c r="BJ220" s="63"/>
      <c r="BR220" s="147"/>
    </row>
    <row r="221" spans="2:79" s="76" customFormat="1">
      <c r="C221" s="117"/>
      <c r="D221" s="117"/>
      <c r="E221" s="117"/>
      <c r="F221" s="117"/>
      <c r="G221" s="63"/>
      <c r="H221" s="117"/>
      <c r="I221" s="117"/>
      <c r="J221" s="117"/>
      <c r="K221" s="117"/>
      <c r="L221" s="63"/>
      <c r="M221" s="117"/>
      <c r="N221" s="117"/>
      <c r="O221" s="117"/>
      <c r="P221" s="117"/>
      <c r="Q221" s="63"/>
      <c r="R221" s="117"/>
      <c r="S221" s="117"/>
      <c r="T221" s="117"/>
      <c r="U221" s="117"/>
      <c r="V221" s="63"/>
      <c r="AA221" s="63"/>
      <c r="AF221" s="63"/>
      <c r="AK221" s="63"/>
      <c r="AP221" s="63"/>
      <c r="AU221" s="63"/>
      <c r="AZ221" s="63"/>
      <c r="BE221" s="63"/>
      <c r="BF221" s="63"/>
      <c r="BG221" s="63"/>
      <c r="BH221" s="63"/>
      <c r="BI221" s="63"/>
      <c r="BJ221" s="63"/>
      <c r="BR221" s="147"/>
    </row>
    <row r="222" spans="2:79" s="76" customFormat="1">
      <c r="B222" s="76" t="str">
        <f>+B216</f>
        <v>North America</v>
      </c>
      <c r="C222" s="119">
        <f>+C216*C$13</f>
        <v>30.795000000000002</v>
      </c>
      <c r="D222" s="119">
        <f>+D216*D$13</f>
        <v>34.365000000000002</v>
      </c>
      <c r="E222" s="119">
        <f>+E216*E$13</f>
        <v>37.805</v>
      </c>
      <c r="F222" s="119">
        <f>+F216*F$13</f>
        <v>42.931800000000003</v>
      </c>
      <c r="G222" s="120">
        <f>+SUM(C222:F222)</f>
        <v>145.89680000000001</v>
      </c>
      <c r="H222" s="119">
        <f t="shared" ref="H222:K226" si="567">+H216*H$13</f>
        <v>47.195400000000006</v>
      </c>
      <c r="I222" s="119">
        <f t="shared" si="567"/>
        <v>52.795200000000001</v>
      </c>
      <c r="J222" s="119">
        <f t="shared" si="567"/>
        <v>56.625300000000003</v>
      </c>
      <c r="K222" s="119">
        <f t="shared" si="567"/>
        <v>62.174230000000001</v>
      </c>
      <c r="L222" s="120">
        <f>+SUM(H222:K222)</f>
        <v>218.79013</v>
      </c>
      <c r="M222" s="119">
        <f t="shared" ref="M222:P226" si="568">+M216*M$13</f>
        <v>71.643000000000001</v>
      </c>
      <c r="N222" s="119">
        <f t="shared" si="568"/>
        <v>75.988640000000004</v>
      </c>
      <c r="O222" s="119">
        <f t="shared" si="568"/>
        <v>82.468000000000018</v>
      </c>
      <c r="P222" s="119">
        <f t="shared" si="568"/>
        <v>85.382440000000003</v>
      </c>
      <c r="Q222" s="120">
        <f>+SUM(M222:P222)</f>
        <v>315.48208</v>
      </c>
      <c r="R222" s="119">
        <f t="shared" ref="R222:T226" si="569">+R216*R$13</f>
        <v>92.373699999999999</v>
      </c>
      <c r="S222" s="119">
        <f t="shared" si="569"/>
        <v>98.272070000000014</v>
      </c>
      <c r="T222" s="119">
        <f t="shared" si="569"/>
        <v>108.23505</v>
      </c>
      <c r="U222" s="119">
        <f>+U216*U$13</f>
        <v>112.52340000000001</v>
      </c>
      <c r="V222" s="74"/>
      <c r="W222" s="119">
        <f t="shared" ref="W222:X226" si="570">+W216*W$13</f>
        <v>120.95272000000001</v>
      </c>
      <c r="X222" s="119">
        <f t="shared" si="570"/>
        <v>134.55363</v>
      </c>
      <c r="Y222" s="119">
        <f t="shared" ref="Y222:Z222" si="571">+Y216*Y$13</f>
        <v>144.8826</v>
      </c>
      <c r="Z222" s="119">
        <f t="shared" si="571"/>
        <v>161.04437999999999</v>
      </c>
      <c r="AA222" s="63"/>
      <c r="AB222" s="119">
        <f t="shared" ref="AB222:AC222" si="572">+AB216*AB$13</f>
        <v>173.34384</v>
      </c>
      <c r="AC222" s="119">
        <f t="shared" si="572"/>
        <v>183.51548</v>
      </c>
      <c r="AD222" s="119">
        <f t="shared" ref="AD222:AE222" si="573">+AD216*AD$13</f>
        <v>186.06226000000001</v>
      </c>
      <c r="AE222" s="119">
        <f t="shared" si="573"/>
        <v>183.87152</v>
      </c>
      <c r="AF222" s="63"/>
      <c r="AK222" s="63"/>
      <c r="AP222" s="63"/>
      <c r="AU222" s="63"/>
      <c r="AZ222" s="63"/>
      <c r="BE222" s="63"/>
      <c r="BF222" s="63"/>
      <c r="BG222" s="63"/>
      <c r="BH222" s="63"/>
      <c r="BI222" s="63"/>
      <c r="BJ222" s="63"/>
      <c r="BR222" s="147"/>
    </row>
    <row r="223" spans="2:79" s="76" customFormat="1">
      <c r="B223" s="76" t="str">
        <f>+B217</f>
        <v>Europe</v>
      </c>
      <c r="C223" s="119">
        <f t="shared" ref="C223:F226" si="574">+C217*C$13</f>
        <v>16.629300000000001</v>
      </c>
      <c r="D223" s="119">
        <f t="shared" si="574"/>
        <v>18.557100000000002</v>
      </c>
      <c r="E223" s="119">
        <f t="shared" si="574"/>
        <v>20.4147</v>
      </c>
      <c r="F223" s="119">
        <f t="shared" si="574"/>
        <v>22.728600000000004</v>
      </c>
      <c r="G223" s="120">
        <f>+SUM(C223:F223)</f>
        <v>78.329700000000003</v>
      </c>
      <c r="H223" s="119">
        <f t="shared" si="567"/>
        <v>24.985800000000005</v>
      </c>
      <c r="I223" s="119">
        <f t="shared" si="567"/>
        <v>27.950400000000002</v>
      </c>
      <c r="J223" s="119">
        <f t="shared" si="567"/>
        <v>29.978100000000001</v>
      </c>
      <c r="K223" s="119">
        <f t="shared" si="567"/>
        <v>30.168430000000001</v>
      </c>
      <c r="L223" s="120">
        <f>+SUM(H223:K223)</f>
        <v>113.08273000000001</v>
      </c>
      <c r="M223" s="119">
        <f t="shared" si="568"/>
        <v>34.443750000000001</v>
      </c>
      <c r="N223" s="119">
        <f t="shared" si="568"/>
        <v>36.533000000000001</v>
      </c>
      <c r="O223" s="119">
        <f t="shared" si="568"/>
        <v>40.45600000000001</v>
      </c>
      <c r="P223" s="119">
        <f t="shared" si="568"/>
        <v>42.691220000000001</v>
      </c>
      <c r="Q223" s="120">
        <f>+SUM(M223:P223)</f>
        <v>154.12397000000004</v>
      </c>
      <c r="R223" s="119">
        <f t="shared" si="569"/>
        <v>47.058300000000003</v>
      </c>
      <c r="S223" s="119">
        <f t="shared" si="569"/>
        <v>50.063130000000008</v>
      </c>
      <c r="T223" s="119">
        <f t="shared" si="569"/>
        <v>49.197749999999999</v>
      </c>
      <c r="U223" s="119">
        <f>+U217*U$13</f>
        <v>53.192880000000002</v>
      </c>
      <c r="V223" s="63"/>
      <c r="W223" s="119">
        <f t="shared" si="570"/>
        <v>53.996749999999999</v>
      </c>
      <c r="X223" s="119">
        <f t="shared" si="570"/>
        <v>59.014750000000006</v>
      </c>
      <c r="Y223" s="119">
        <f t="shared" ref="Y223:Z223" si="575">+Y217*Y$13</f>
        <v>63.545000000000002</v>
      </c>
      <c r="Z223" s="119">
        <f t="shared" si="575"/>
        <v>73.458839999999995</v>
      </c>
      <c r="AA223" s="63"/>
      <c r="AB223" s="119">
        <f t="shared" ref="AB223:AC223" si="576">+AB217*AB$13</f>
        <v>82.110240000000005</v>
      </c>
      <c r="AC223" s="119">
        <f t="shared" si="576"/>
        <v>79.101500000000001</v>
      </c>
      <c r="AD223" s="119">
        <f t="shared" ref="AD223:AE223" si="577">+AD217*AD$13</f>
        <v>80.199250000000006</v>
      </c>
      <c r="AE223" s="119">
        <f t="shared" si="577"/>
        <v>88.652339999999995</v>
      </c>
      <c r="AF223" s="63"/>
      <c r="AK223" s="63"/>
      <c r="AP223" s="63"/>
      <c r="AU223" s="63"/>
      <c r="AZ223" s="63"/>
      <c r="BE223" s="63"/>
      <c r="BF223" s="63"/>
      <c r="BG223" s="63"/>
      <c r="BH223" s="63"/>
      <c r="BI223" s="63"/>
      <c r="BJ223" s="63"/>
      <c r="BR223" s="147"/>
    </row>
    <row r="224" spans="2:79" s="76" customFormat="1">
      <c r="B224" s="76" t="str">
        <f>+B218</f>
        <v>Latin America</v>
      </c>
      <c r="C224" s="119">
        <f t="shared" si="574"/>
        <v>6.1590000000000007</v>
      </c>
      <c r="D224" s="119">
        <f t="shared" si="574"/>
        <v>6.8730000000000011</v>
      </c>
      <c r="E224" s="119">
        <f t="shared" si="574"/>
        <v>6.8048999999999999</v>
      </c>
      <c r="F224" s="119">
        <f t="shared" si="574"/>
        <v>6.7344000000000008</v>
      </c>
      <c r="G224" s="120">
        <f>+SUM(C224:F224)</f>
        <v>26.571300000000001</v>
      </c>
      <c r="H224" s="119">
        <f t="shared" si="567"/>
        <v>7.4032000000000009</v>
      </c>
      <c r="I224" s="119">
        <f t="shared" si="567"/>
        <v>8.2815999999999992</v>
      </c>
      <c r="J224" s="119">
        <f t="shared" si="567"/>
        <v>8.8824000000000005</v>
      </c>
      <c r="K224" s="119">
        <f t="shared" si="567"/>
        <v>9.4832000000000001</v>
      </c>
      <c r="L224" s="120">
        <f>+SUM(H224:K224)</f>
        <v>34.050399999999996</v>
      </c>
      <c r="M224" s="119">
        <f t="shared" si="568"/>
        <v>12.399750000000001</v>
      </c>
      <c r="N224" s="119">
        <f t="shared" si="568"/>
        <v>13.15188</v>
      </c>
      <c r="O224" s="119">
        <f t="shared" si="568"/>
        <v>12.448000000000002</v>
      </c>
      <c r="P224" s="119">
        <f t="shared" si="568"/>
        <v>13.135760000000001</v>
      </c>
      <c r="Q224" s="120">
        <f>+SUM(M224:P224)</f>
        <v>51.135390000000001</v>
      </c>
      <c r="R224" s="119">
        <f t="shared" si="569"/>
        <v>12.2003</v>
      </c>
      <c r="S224" s="119">
        <f t="shared" si="569"/>
        <v>12.979330000000003</v>
      </c>
      <c r="T224" s="119">
        <f t="shared" si="569"/>
        <v>13.775370000000001</v>
      </c>
      <c r="U224" s="119">
        <f>+U218*U$13</f>
        <v>12.275279999999999</v>
      </c>
      <c r="V224" s="63"/>
      <c r="W224" s="119">
        <f t="shared" si="570"/>
        <v>12.959219999999998</v>
      </c>
      <c r="X224" s="119">
        <f t="shared" si="570"/>
        <v>11.802950000000003</v>
      </c>
      <c r="Y224" s="119">
        <f t="shared" ref="Y224:Z224" si="578">+Y218*Y$13</f>
        <v>15.2508</v>
      </c>
      <c r="Z224" s="119">
        <f t="shared" si="578"/>
        <v>14.1267</v>
      </c>
      <c r="AA224" s="63"/>
      <c r="AB224" s="119">
        <f t="shared" ref="AB224:AC224" si="579">+AB218*AB$13</f>
        <v>12.164480000000001</v>
      </c>
      <c r="AC224" s="119">
        <f t="shared" si="579"/>
        <v>15.820300000000001</v>
      </c>
      <c r="AD224" s="119">
        <f t="shared" ref="AD224:AE224" si="580">+AD218*AD$13</f>
        <v>12.831880000000002</v>
      </c>
      <c r="AE224" s="119">
        <f t="shared" si="580"/>
        <v>13.13368</v>
      </c>
      <c r="AF224" s="63"/>
      <c r="AK224" s="63"/>
      <c r="AP224" s="63"/>
      <c r="AU224" s="63"/>
      <c r="AZ224" s="63"/>
      <c r="BE224" s="63"/>
      <c r="BF224" s="63"/>
      <c r="BG224" s="63"/>
      <c r="BH224" s="63"/>
      <c r="BI224" s="63"/>
      <c r="BJ224" s="63"/>
      <c r="BR224" s="147"/>
    </row>
    <row r="225" spans="1:79" s="76" customFormat="1">
      <c r="B225" s="76" t="str">
        <f>+B219</f>
        <v>Asia and Others</v>
      </c>
      <c r="C225" s="119">
        <f t="shared" si="574"/>
        <v>8.0067000000000004</v>
      </c>
      <c r="D225" s="119">
        <f t="shared" si="574"/>
        <v>8.9349000000000007</v>
      </c>
      <c r="E225" s="119">
        <f t="shared" si="574"/>
        <v>10.585400000000002</v>
      </c>
      <c r="F225" s="119">
        <f t="shared" si="574"/>
        <v>11.785200000000001</v>
      </c>
      <c r="G225" s="120">
        <f>+SUM(C225:F225)</f>
        <v>39.312200000000004</v>
      </c>
      <c r="H225" s="119">
        <f t="shared" si="567"/>
        <v>12.955600000000002</v>
      </c>
      <c r="I225" s="119">
        <f t="shared" si="567"/>
        <v>14.492800000000001</v>
      </c>
      <c r="J225" s="119">
        <f t="shared" si="567"/>
        <v>15.544200000000002</v>
      </c>
      <c r="K225" s="119">
        <f t="shared" si="567"/>
        <v>16.595600000000001</v>
      </c>
      <c r="L225" s="120">
        <f>+SUM(H225:K225)</f>
        <v>59.588200000000001</v>
      </c>
      <c r="M225" s="119">
        <f t="shared" si="568"/>
        <v>19.288500000000003</v>
      </c>
      <c r="N225" s="119">
        <f t="shared" si="568"/>
        <v>20.458480000000002</v>
      </c>
      <c r="O225" s="119">
        <f t="shared" si="568"/>
        <v>20.228000000000005</v>
      </c>
      <c r="P225" s="119">
        <f t="shared" si="568"/>
        <v>22.987580000000001</v>
      </c>
      <c r="Q225" s="120">
        <f>+SUM(M225:P225)</f>
        <v>82.962560000000025</v>
      </c>
      <c r="R225" s="119">
        <f t="shared" si="569"/>
        <v>22.657699999999998</v>
      </c>
      <c r="S225" s="119">
        <f t="shared" si="569"/>
        <v>24.104470000000003</v>
      </c>
      <c r="T225" s="119">
        <f t="shared" si="569"/>
        <v>25.582830000000001</v>
      </c>
      <c r="U225" s="119">
        <f>+U219*U$13</f>
        <v>26.596440000000001</v>
      </c>
      <c r="V225" s="63"/>
      <c r="W225" s="119">
        <f t="shared" si="570"/>
        <v>28.078310000000002</v>
      </c>
      <c r="X225" s="119">
        <f t="shared" si="570"/>
        <v>30.687670000000004</v>
      </c>
      <c r="Y225" s="119">
        <f t="shared" ref="Y225:Z225" si="581">+Y219*Y$13</f>
        <v>30.5016</v>
      </c>
      <c r="Z225" s="119">
        <f t="shared" si="581"/>
        <v>33.90408</v>
      </c>
      <c r="AA225" s="63"/>
      <c r="AB225" s="119">
        <f t="shared" ref="AB225:AC225" si="582">+AB219*AB$13</f>
        <v>36.49344</v>
      </c>
      <c r="AC225" s="119">
        <f t="shared" si="582"/>
        <v>37.968719999999998</v>
      </c>
      <c r="AD225" s="119">
        <f t="shared" ref="AD225:AE225" si="583">+AD219*AD$13</f>
        <v>41.703610000000005</v>
      </c>
      <c r="AE225" s="119">
        <f t="shared" si="583"/>
        <v>42.684460000000001</v>
      </c>
      <c r="AF225" s="63"/>
      <c r="AK225" s="63"/>
      <c r="AP225" s="63"/>
      <c r="AU225" s="63"/>
      <c r="AZ225" s="63"/>
      <c r="BE225" s="63"/>
      <c r="BF225" s="63"/>
      <c r="BG225" s="63"/>
      <c r="BH225" s="63"/>
      <c r="BI225" s="63"/>
      <c r="BJ225" s="63"/>
      <c r="BR225" s="147"/>
    </row>
    <row r="226" spans="1:79" s="76" customFormat="1">
      <c r="B226" s="76" t="str">
        <f>+B220</f>
        <v>Total</v>
      </c>
      <c r="C226" s="119">
        <f t="shared" si="574"/>
        <v>61.59</v>
      </c>
      <c r="D226" s="119">
        <f t="shared" si="574"/>
        <v>68.73</v>
      </c>
      <c r="E226" s="119">
        <f t="shared" si="574"/>
        <v>75.61</v>
      </c>
      <c r="F226" s="119">
        <f t="shared" si="574"/>
        <v>84.18</v>
      </c>
      <c r="G226" s="120">
        <f>+SUM(C226:F226)</f>
        <v>290.11</v>
      </c>
      <c r="H226" s="119">
        <f t="shared" si="567"/>
        <v>92.54</v>
      </c>
      <c r="I226" s="119">
        <f t="shared" si="567"/>
        <v>103.52</v>
      </c>
      <c r="J226" s="119">
        <f t="shared" si="567"/>
        <v>111.03</v>
      </c>
      <c r="K226" s="119">
        <f t="shared" si="567"/>
        <v>118.42146</v>
      </c>
      <c r="L226" s="120">
        <f>+SUM(H226:K226)</f>
        <v>425.51146000000006</v>
      </c>
      <c r="M226" s="119">
        <f t="shared" si="568"/>
        <v>137.77500000000001</v>
      </c>
      <c r="N226" s="119">
        <f t="shared" si="568"/>
        <v>146.13200000000001</v>
      </c>
      <c r="O226" s="119">
        <f t="shared" si="568"/>
        <v>155.60000000000002</v>
      </c>
      <c r="P226" s="119">
        <f t="shared" si="568"/>
        <v>164.197</v>
      </c>
      <c r="Q226" s="120">
        <f>+SUM(M226:P226)</f>
        <v>603.70400000000006</v>
      </c>
      <c r="R226" s="119">
        <f t="shared" si="569"/>
        <v>174.29</v>
      </c>
      <c r="S226" s="119">
        <f t="shared" si="569"/>
        <v>185.41900000000001</v>
      </c>
      <c r="T226" s="119">
        <f t="shared" si="569"/>
        <v>196.791</v>
      </c>
      <c r="U226" s="119">
        <f>+U220*U$13</f>
        <v>204.58799999999999</v>
      </c>
      <c r="V226" s="63"/>
      <c r="W226" s="119">
        <f t="shared" si="570"/>
        <v>215.98699999999999</v>
      </c>
      <c r="X226" s="119">
        <f t="shared" si="570"/>
        <v>236.05900000000003</v>
      </c>
      <c r="Y226" s="119">
        <f t="shared" ref="Y226:Z226" si="584">+Y220*Y$13</f>
        <v>254.17999999999998</v>
      </c>
      <c r="Z226" s="119">
        <f t="shared" si="584"/>
        <v>282.53399999999999</v>
      </c>
      <c r="AA226" s="63"/>
      <c r="AB226" s="119">
        <f t="shared" ref="AB226:AC226" si="585">+AB220*AB$13</f>
        <v>304.11200000000002</v>
      </c>
      <c r="AC226" s="119">
        <f t="shared" si="585"/>
        <v>316.40600000000001</v>
      </c>
      <c r="AD226" s="119">
        <f t="shared" ref="AD226:AE226" si="586">+AD220*AD$13</f>
        <v>320.79700000000003</v>
      </c>
      <c r="AE226" s="119">
        <f t="shared" si="586"/>
        <v>328.34199999999998</v>
      </c>
      <c r="AF226" s="63"/>
      <c r="AK226" s="63"/>
      <c r="AP226" s="63"/>
      <c r="AU226" s="63"/>
      <c r="AZ226" s="63"/>
      <c r="BE226" s="63"/>
      <c r="BF226" s="63"/>
      <c r="BG226" s="63"/>
      <c r="BH226" s="63"/>
      <c r="BI226" s="63"/>
      <c r="BJ226" s="63"/>
      <c r="BL226" s="77"/>
      <c r="BM226" s="77"/>
      <c r="BR226" s="147"/>
    </row>
    <row r="227" spans="1:79" s="76" customFormat="1">
      <c r="C227" s="119"/>
      <c r="D227" s="119"/>
      <c r="E227" s="119"/>
      <c r="F227" s="119"/>
      <c r="G227" s="120"/>
      <c r="H227" s="119"/>
      <c r="I227" s="119"/>
      <c r="J227" s="119"/>
      <c r="K227" s="119"/>
      <c r="L227" s="120"/>
      <c r="M227" s="119"/>
      <c r="N227" s="119"/>
      <c r="O227" s="119"/>
      <c r="P227" s="119"/>
      <c r="Q227" s="120"/>
      <c r="R227" s="119"/>
      <c r="S227" s="119"/>
      <c r="T227" s="119"/>
      <c r="U227" s="119"/>
      <c r="V227" s="63"/>
      <c r="AA227" s="63"/>
      <c r="AF227" s="63"/>
      <c r="AK227" s="63"/>
      <c r="AP227" s="63"/>
      <c r="AU227" s="63"/>
      <c r="AZ227" s="63"/>
      <c r="BE227" s="63"/>
      <c r="BF227" s="63"/>
      <c r="BG227" s="63"/>
      <c r="BH227" s="63"/>
      <c r="BI227" s="63"/>
      <c r="BJ227" s="63"/>
      <c r="BR227" s="147"/>
    </row>
    <row r="228" spans="1:79" s="76" customFormat="1">
      <c r="B228" s="76" t="str">
        <f>+CONCATENATE(B222," y/y")</f>
        <v>North America y/y</v>
      </c>
      <c r="C228" s="119"/>
      <c r="D228" s="119"/>
      <c r="E228" s="119"/>
      <c r="F228" s="119"/>
      <c r="G228" s="120"/>
      <c r="H228" s="121">
        <f t="shared" ref="H228:U228" si="587">+H222/C222-1</f>
        <v>0.53256697515830509</v>
      </c>
      <c r="I228" s="121">
        <f t="shared" si="587"/>
        <v>0.5363072893932781</v>
      </c>
      <c r="J228" s="121">
        <f t="shared" si="587"/>
        <v>0.49782568443327602</v>
      </c>
      <c r="K228" s="121">
        <f t="shared" si="587"/>
        <v>0.44820925281492974</v>
      </c>
      <c r="L228" s="122">
        <f t="shared" si="587"/>
        <v>0.49962254141283413</v>
      </c>
      <c r="M228" s="121">
        <f t="shared" si="587"/>
        <v>0.51800811095996635</v>
      </c>
      <c r="N228" s="121">
        <f t="shared" si="587"/>
        <v>0.43930963420917046</v>
      </c>
      <c r="O228" s="121">
        <f t="shared" si="587"/>
        <v>0.45638080504650769</v>
      </c>
      <c r="P228" s="121">
        <f t="shared" si="587"/>
        <v>0.37327699916830492</v>
      </c>
      <c r="Q228" s="122">
        <f t="shared" si="587"/>
        <v>0.44193926846700071</v>
      </c>
      <c r="R228" s="121">
        <f t="shared" si="587"/>
        <v>0.28936113786413187</v>
      </c>
      <c r="S228" s="121">
        <f t="shared" si="587"/>
        <v>0.29324685900418812</v>
      </c>
      <c r="T228" s="121">
        <f t="shared" si="587"/>
        <v>0.31244907115487197</v>
      </c>
      <c r="U228" s="121">
        <f t="shared" si="587"/>
        <v>0.31787519775729067</v>
      </c>
      <c r="V228" s="63"/>
      <c r="W228" s="121">
        <f t="shared" ref="W228:W231" si="588">+W222/R222-1</f>
        <v>0.30938481407586815</v>
      </c>
      <c r="X228" s="121">
        <f>+X222/S222-1</f>
        <v>0.3691950317114514</v>
      </c>
      <c r="Y228" s="121">
        <f t="shared" ref="Y228:Y232" si="589">+Y222/T222-1</f>
        <v>0.33859225823797368</v>
      </c>
      <c r="Z228" s="121">
        <f t="shared" ref="Z228:AE232" si="590">+Z222/U222-1</f>
        <v>0.43120790875497872</v>
      </c>
      <c r="AA228" s="63"/>
      <c r="AB228" s="121">
        <f t="shared" si="590"/>
        <v>0.43315371493919264</v>
      </c>
      <c r="AC228" s="121">
        <f t="shared" si="590"/>
        <v>0.36388353105003568</v>
      </c>
      <c r="AD228" s="121">
        <f t="shared" si="590"/>
        <v>0.2842277816659835</v>
      </c>
      <c r="AE228" s="121">
        <f t="shared" si="590"/>
        <v>0.14174440610718619</v>
      </c>
      <c r="AF228" s="63"/>
      <c r="AK228" s="63"/>
      <c r="AP228" s="63"/>
      <c r="AU228" s="63"/>
      <c r="AZ228" s="63"/>
      <c r="BE228" s="63"/>
      <c r="BF228" s="63"/>
      <c r="BG228" s="63"/>
      <c r="BH228" s="63"/>
      <c r="BI228" s="63"/>
      <c r="BJ228" s="63"/>
      <c r="BL228" s="77"/>
      <c r="BM228" s="77"/>
      <c r="BR228" s="147"/>
    </row>
    <row r="229" spans="1:79" s="76" customFormat="1">
      <c r="B229" s="76" t="str">
        <f>+CONCATENATE(B223," y/y")</f>
        <v>Europe y/y</v>
      </c>
      <c r="C229" s="119"/>
      <c r="D229" s="119"/>
      <c r="E229" s="119"/>
      <c r="F229" s="119"/>
      <c r="G229" s="120"/>
      <c r="H229" s="121">
        <f t="shared" ref="H229:J232" si="591">+H223/C223-1</f>
        <v>0.50251664231206394</v>
      </c>
      <c r="I229" s="121">
        <f t="shared" si="591"/>
        <v>0.50618361705223336</v>
      </c>
      <c r="J229" s="121">
        <f t="shared" si="591"/>
        <v>0.46845655336595704</v>
      </c>
      <c r="K229" s="121">
        <f t="shared" ref="K229:L231" si="592">+K223/F223-1</f>
        <v>0.32733340372922193</v>
      </c>
      <c r="L229" s="122">
        <f t="shared" si="592"/>
        <v>0.44367628115516866</v>
      </c>
      <c r="M229" s="121">
        <f t="shared" ref="M229:U232" si="593">+M223/H223-1</f>
        <v>0.37853300674783252</v>
      </c>
      <c r="N229" s="121">
        <f t="shared" si="593"/>
        <v>0.30706537294636216</v>
      </c>
      <c r="O229" s="121">
        <f t="shared" si="593"/>
        <v>0.34951848182506584</v>
      </c>
      <c r="P229" s="121">
        <f t="shared" si="593"/>
        <v>0.41509584688364631</v>
      </c>
      <c r="Q229" s="122">
        <f t="shared" si="593"/>
        <v>0.36293110362652214</v>
      </c>
      <c r="R229" s="121">
        <f t="shared" si="593"/>
        <v>0.36623625476320099</v>
      </c>
      <c r="S229" s="121">
        <f t="shared" si="593"/>
        <v>0.37035365286179633</v>
      </c>
      <c r="T229" s="121">
        <f t="shared" si="593"/>
        <v>0.21608043306308056</v>
      </c>
      <c r="U229" s="121">
        <f t="shared" si="593"/>
        <v>0.24599109606143843</v>
      </c>
      <c r="V229" s="63"/>
      <c r="W229" s="121">
        <f t="shared" si="588"/>
        <v>0.14744370281119368</v>
      </c>
      <c r="X229" s="121">
        <f t="shared" ref="X229:X230" si="594">+X223/S223-1</f>
        <v>0.17880663873792946</v>
      </c>
      <c r="Y229" s="121">
        <f t="shared" si="589"/>
        <v>0.29162410882611511</v>
      </c>
      <c r="Z229" s="121">
        <f t="shared" si="590"/>
        <v>0.38099008739515505</v>
      </c>
      <c r="AA229" s="63"/>
      <c r="AB229" s="121">
        <f>+AB223/W223-1</f>
        <v>0.52065152069337528</v>
      </c>
      <c r="AC229" s="121">
        <f>+AC223/X223-1</f>
        <v>0.34036829775606936</v>
      </c>
      <c r="AD229" s="121">
        <f>+AD223/Y223-1</f>
        <v>0.26208592336139747</v>
      </c>
      <c r="AE229" s="121">
        <f>+AE223/Z223-1</f>
        <v>0.20683011057620848</v>
      </c>
      <c r="AF229" s="63"/>
      <c r="AK229" s="63"/>
      <c r="AP229" s="63"/>
      <c r="AU229" s="63"/>
      <c r="AZ229" s="63"/>
      <c r="BE229" s="63"/>
      <c r="BF229" s="63"/>
      <c r="BG229" s="63"/>
      <c r="BH229" s="63"/>
      <c r="BI229" s="63"/>
      <c r="BJ229" s="63"/>
      <c r="BL229" s="77"/>
      <c r="BM229" s="77"/>
      <c r="BR229" s="147"/>
    </row>
    <row r="230" spans="1:79" s="76" customFormat="1">
      <c r="B230" s="76" t="str">
        <f>+CONCATENATE(B224," y/y")</f>
        <v>Latin America y/y</v>
      </c>
      <c r="C230" s="119"/>
      <c r="D230" s="119"/>
      <c r="E230" s="119"/>
      <c r="F230" s="119"/>
      <c r="G230" s="120"/>
      <c r="H230" s="121">
        <f t="shared" si="591"/>
        <v>0.20201331384965093</v>
      </c>
      <c r="I230" s="121">
        <f t="shared" si="591"/>
        <v>0.20494689364178642</v>
      </c>
      <c r="J230" s="121">
        <f t="shared" si="591"/>
        <v>0.30529471410307285</v>
      </c>
      <c r="K230" s="121">
        <f t="shared" si="592"/>
        <v>0.40817296269897829</v>
      </c>
      <c r="L230" s="122">
        <f t="shared" si="592"/>
        <v>0.28147286734183097</v>
      </c>
      <c r="M230" s="121">
        <f t="shared" si="593"/>
        <v>0.67491760319861682</v>
      </c>
      <c r="N230" s="121">
        <f t="shared" si="593"/>
        <v>0.58808442812983008</v>
      </c>
      <c r="O230" s="121">
        <f t="shared" si="593"/>
        <v>0.40142303881833752</v>
      </c>
      <c r="P230" s="121">
        <f t="shared" si="593"/>
        <v>0.38516112704572314</v>
      </c>
      <c r="Q230" s="122">
        <f t="shared" si="593"/>
        <v>0.50175592650893996</v>
      </c>
      <c r="R230" s="121">
        <f t="shared" si="593"/>
        <v>-1.6085001713744274E-2</v>
      </c>
      <c r="S230" s="121">
        <f t="shared" si="593"/>
        <v>-1.3119797321751503E-2</v>
      </c>
      <c r="T230" s="121">
        <f t="shared" si="593"/>
        <v>0.10663319408740346</v>
      </c>
      <c r="U230" s="121">
        <f t="shared" si="593"/>
        <v>-6.5506677953921399E-2</v>
      </c>
      <c r="V230" s="63"/>
      <c r="W230" s="121">
        <f t="shared" si="588"/>
        <v>6.2205027745219299E-2</v>
      </c>
      <c r="X230" s="121">
        <f t="shared" si="594"/>
        <v>-9.0634878687882892E-2</v>
      </c>
      <c r="Y230" s="121">
        <f t="shared" si="589"/>
        <v>0.10710637899381292</v>
      </c>
      <c r="Z230" s="121">
        <f t="shared" si="590"/>
        <v>0.15082507282929614</v>
      </c>
      <c r="AA230" s="63"/>
      <c r="AB230" s="121">
        <f t="shared" si="590"/>
        <v>-6.1326221794212765E-2</v>
      </c>
      <c r="AC230" s="121">
        <f t="shared" si="590"/>
        <v>0.34036829775606936</v>
      </c>
      <c r="AD230" s="121">
        <f t="shared" si="590"/>
        <v>-0.15860938442573491</v>
      </c>
      <c r="AE230" s="121">
        <f t="shared" si="590"/>
        <v>-7.0293840741291302E-2</v>
      </c>
      <c r="AF230" s="63"/>
      <c r="AK230" s="63"/>
      <c r="AP230" s="63"/>
      <c r="AU230" s="63"/>
      <c r="AZ230" s="63"/>
      <c r="BE230" s="63"/>
      <c r="BF230" s="63"/>
      <c r="BG230" s="63"/>
      <c r="BH230" s="63"/>
      <c r="BI230" s="63"/>
      <c r="BJ230" s="63"/>
      <c r="BL230" s="77"/>
      <c r="BM230" s="77"/>
      <c r="BR230" s="147"/>
    </row>
    <row r="231" spans="1:79" s="76" customFormat="1">
      <c r="B231" s="76" t="str">
        <f>+CONCATENATE(B225," y/y")</f>
        <v>Asia and Others y/y</v>
      </c>
      <c r="C231" s="119"/>
      <c r="D231" s="119"/>
      <c r="E231" s="119"/>
      <c r="F231" s="119"/>
      <c r="G231" s="120"/>
      <c r="H231" s="121">
        <f t="shared" si="591"/>
        <v>0.61809484556683802</v>
      </c>
      <c r="I231" s="121">
        <f t="shared" si="591"/>
        <v>0.62204389528702042</v>
      </c>
      <c r="J231" s="121">
        <f t="shared" si="591"/>
        <v>0.46845655336595682</v>
      </c>
      <c r="K231" s="121">
        <f t="shared" si="592"/>
        <v>0.40817296269897829</v>
      </c>
      <c r="L231" s="122">
        <f t="shared" si="592"/>
        <v>0.51576864179567661</v>
      </c>
      <c r="M231" s="121">
        <f t="shared" si="593"/>
        <v>0.48881564728765925</v>
      </c>
      <c r="N231" s="121">
        <f t="shared" si="593"/>
        <v>0.41163060278207109</v>
      </c>
      <c r="O231" s="121">
        <f t="shared" si="593"/>
        <v>0.30132139318845641</v>
      </c>
      <c r="P231" s="121">
        <f t="shared" si="593"/>
        <v>0.38516112704572292</v>
      </c>
      <c r="Q231" s="122">
        <f t="shared" si="593"/>
        <v>0.39226491150932619</v>
      </c>
      <c r="R231" s="121">
        <f t="shared" si="593"/>
        <v>0.17467402856624381</v>
      </c>
      <c r="S231" s="121">
        <f t="shared" si="593"/>
        <v>0.17821411952403121</v>
      </c>
      <c r="T231" s="121">
        <f t="shared" si="593"/>
        <v>0.26472365038560386</v>
      </c>
      <c r="U231" s="121">
        <f t="shared" si="593"/>
        <v>0.15699173205704997</v>
      </c>
      <c r="V231" s="63"/>
      <c r="W231" s="121">
        <f t="shared" si="588"/>
        <v>0.23923919903608937</v>
      </c>
      <c r="X231" s="121">
        <f>+X225/S225-1</f>
        <v>0.27311116983696393</v>
      </c>
      <c r="Y231" s="121">
        <f t="shared" si="589"/>
        <v>0.19226840814718305</v>
      </c>
      <c r="Z231" s="121">
        <f t="shared" si="590"/>
        <v>0.27476008067245083</v>
      </c>
      <c r="AA231" s="63"/>
      <c r="AB231" s="121">
        <f t="shared" si="590"/>
        <v>0.2997021544387819</v>
      </c>
      <c r="AC231" s="121">
        <f t="shared" si="590"/>
        <v>0.23726304408252541</v>
      </c>
      <c r="AD231" s="121">
        <f t="shared" si="590"/>
        <v>0.3672597503081807</v>
      </c>
      <c r="AE231" s="121">
        <f t="shared" si="590"/>
        <v>0.25897709066283481</v>
      </c>
      <c r="AF231" s="63"/>
      <c r="AK231" s="63"/>
      <c r="AP231" s="63"/>
      <c r="AU231" s="63"/>
      <c r="AZ231" s="63"/>
      <c r="BE231" s="63"/>
      <c r="BF231" s="63"/>
      <c r="BG231" s="63"/>
      <c r="BH231" s="63"/>
      <c r="BI231" s="63"/>
      <c r="BJ231" s="63"/>
      <c r="BK231" s="77"/>
      <c r="BL231" s="51"/>
      <c r="BM231" s="51"/>
      <c r="BN231" s="77"/>
      <c r="BO231" s="77"/>
      <c r="BP231" s="77"/>
      <c r="BR231" s="147"/>
    </row>
    <row r="232" spans="1:79" s="77" customFormat="1">
      <c r="B232" s="76" t="str">
        <f>+CONCATENATE(B226," y/y")</f>
        <v>Total y/y</v>
      </c>
      <c r="C232" s="119"/>
      <c r="D232" s="119"/>
      <c r="E232" s="119"/>
      <c r="F232" s="119"/>
      <c r="G232" s="120"/>
      <c r="H232" s="121">
        <f t="shared" si="591"/>
        <v>0.50251664231206372</v>
      </c>
      <c r="I232" s="121">
        <f t="shared" si="591"/>
        <v>0.50618361705223314</v>
      </c>
      <c r="J232" s="121">
        <f t="shared" si="591"/>
        <v>0.46845655336595682</v>
      </c>
      <c r="K232" s="121">
        <f>+K226/F226-1</f>
        <v>0.40676478973627916</v>
      </c>
      <c r="L232" s="122">
        <f>+L226/G226-1</f>
        <v>0.46672455275585145</v>
      </c>
      <c r="M232" s="121">
        <f t="shared" si="593"/>
        <v>0.48881564728765925</v>
      </c>
      <c r="N232" s="121">
        <f t="shared" si="593"/>
        <v>0.41163060278207131</v>
      </c>
      <c r="O232" s="121">
        <f t="shared" si="593"/>
        <v>0.40142303881833752</v>
      </c>
      <c r="P232" s="121">
        <f t="shared" si="593"/>
        <v>0.38654767472044349</v>
      </c>
      <c r="Q232" s="122">
        <f t="shared" si="593"/>
        <v>0.41877259898006036</v>
      </c>
      <c r="R232" s="121">
        <f t="shared" si="593"/>
        <v>0.26503356922518595</v>
      </c>
      <c r="S232" s="121">
        <f t="shared" si="593"/>
        <v>0.26884597487203354</v>
      </c>
      <c r="T232" s="121">
        <f t="shared" si="593"/>
        <v>0.26472365038560386</v>
      </c>
      <c r="U232" s="121">
        <f t="shared" si="593"/>
        <v>0.24599109606143843</v>
      </c>
      <c r="V232" s="63"/>
      <c r="W232" s="121">
        <f>+W226/R226-1</f>
        <v>0.23923919903608937</v>
      </c>
      <c r="X232" s="121">
        <f>+X226/S226-1</f>
        <v>0.27311116983696393</v>
      </c>
      <c r="Y232" s="121">
        <f t="shared" si="589"/>
        <v>0.29162410882611489</v>
      </c>
      <c r="Z232" s="121">
        <f t="shared" si="590"/>
        <v>0.38099008739515505</v>
      </c>
      <c r="AA232" s="63"/>
      <c r="AB232" s="121">
        <f t="shared" si="590"/>
        <v>0.40801066730868074</v>
      </c>
      <c r="AC232" s="121">
        <f t="shared" si="590"/>
        <v>0.34036829775606936</v>
      </c>
      <c r="AD232" s="121">
        <f t="shared" si="590"/>
        <v>0.26208592336139769</v>
      </c>
      <c r="AE232" s="121">
        <f t="shared" si="590"/>
        <v>0.16213269907338579</v>
      </c>
      <c r="AF232" s="63"/>
      <c r="AG232" s="76"/>
      <c r="AH232" s="76"/>
      <c r="AI232" s="76"/>
      <c r="AJ232" s="76"/>
      <c r="AK232" s="63"/>
      <c r="AL232" s="76"/>
      <c r="AM232" s="76"/>
      <c r="AN232" s="76"/>
      <c r="AO232" s="76"/>
      <c r="AP232" s="63"/>
      <c r="AQ232" s="76"/>
      <c r="AR232" s="76"/>
      <c r="AS232" s="76"/>
      <c r="AT232" s="76"/>
      <c r="AU232" s="63"/>
      <c r="AV232" s="76"/>
      <c r="AW232" s="76"/>
      <c r="AX232" s="76"/>
      <c r="AY232" s="76"/>
      <c r="AZ232" s="63"/>
      <c r="BA232" s="76"/>
      <c r="BB232" s="76"/>
      <c r="BC232" s="76"/>
      <c r="BD232" s="76"/>
      <c r="BE232" s="63"/>
      <c r="BF232" s="63"/>
      <c r="BG232" s="63"/>
      <c r="BH232" s="63"/>
      <c r="BI232" s="63"/>
      <c r="BJ232" s="63"/>
      <c r="BK232" s="45"/>
      <c r="BN232" s="45"/>
      <c r="BO232" s="45"/>
      <c r="BP232" s="45"/>
      <c r="BR232" s="150"/>
      <c r="BV232" s="76"/>
      <c r="BW232" s="76"/>
      <c r="BX232" s="76"/>
      <c r="BY232" s="76"/>
      <c r="BZ232" s="76"/>
      <c r="CA232" s="76"/>
    </row>
    <row r="233" spans="1:79">
      <c r="A233" s="76"/>
      <c r="B233" s="76"/>
      <c r="C233" s="76"/>
      <c r="D233" s="76"/>
      <c r="E233" s="76"/>
      <c r="F233" s="76"/>
      <c r="G233" s="63"/>
      <c r="H233" s="76"/>
      <c r="I233" s="76"/>
      <c r="J233" s="76"/>
      <c r="K233" s="76"/>
      <c r="L233" s="63"/>
      <c r="M233" s="76"/>
      <c r="N233" s="76"/>
      <c r="O233" s="76"/>
      <c r="P233" s="76"/>
      <c r="Q233" s="63"/>
      <c r="R233" s="76"/>
      <c r="S233" s="76"/>
      <c r="T233" s="76"/>
      <c r="U233" s="76"/>
      <c r="V233" s="63"/>
      <c r="W233" s="76"/>
      <c r="X233" s="76"/>
      <c r="Y233" s="76"/>
      <c r="Z233" s="76"/>
      <c r="AA233" s="63"/>
      <c r="AF233" s="63"/>
      <c r="AK233" s="63"/>
      <c r="AP233" s="63"/>
      <c r="AU233" s="63"/>
      <c r="AZ233" s="63"/>
      <c r="BE233" s="63"/>
      <c r="BF233" s="63"/>
      <c r="BG233" s="63"/>
      <c r="BH233" s="63"/>
      <c r="BI233" s="63"/>
      <c r="BJ233" s="63"/>
      <c r="BK233" s="77"/>
      <c r="BL233" s="76"/>
      <c r="BM233" s="76"/>
      <c r="BN233" s="77"/>
      <c r="BO233" s="77"/>
      <c r="BP233" s="77"/>
      <c r="BV233" s="76"/>
      <c r="BW233" s="76"/>
      <c r="BX233" s="76"/>
      <c r="BY233" s="76"/>
      <c r="BZ233" s="76"/>
      <c r="CA233" s="76"/>
    </row>
    <row r="234" spans="1:79" s="77" customFormat="1" hidden="1" outlineLevel="1">
      <c r="B234" s="76" t="s">
        <v>105</v>
      </c>
      <c r="C234" s="123">
        <f>1-C235</f>
        <v>0.77</v>
      </c>
      <c r="D234" s="123">
        <f>1-D235</f>
        <v>0.75</v>
      </c>
      <c r="E234" s="123">
        <f>1-E235</f>
        <v>0.65</v>
      </c>
      <c r="F234" s="123">
        <f>1-F235</f>
        <v>0.7</v>
      </c>
      <c r="G234" s="124"/>
      <c r="H234" s="123">
        <f>1-H235</f>
        <v>0.65</v>
      </c>
      <c r="I234" s="123">
        <f>1-I235</f>
        <v>0.66999999999999993</v>
      </c>
      <c r="J234" s="123">
        <f>1-J235</f>
        <v>0.64</v>
      </c>
      <c r="K234" s="123">
        <f>1-K235</f>
        <v>0.67999999999999994</v>
      </c>
      <c r="L234" s="124"/>
      <c r="M234" s="123">
        <f>1-M235</f>
        <v>0.66999999999999993</v>
      </c>
      <c r="N234" s="123">
        <f>1-N235</f>
        <v>0.66999999999999993</v>
      </c>
      <c r="O234" s="123">
        <f>1-O235</f>
        <v>0.65999999999999992</v>
      </c>
      <c r="P234" s="123">
        <f>1-P235</f>
        <v>0.69</v>
      </c>
      <c r="Q234" s="124"/>
      <c r="R234" s="123">
        <f>1-R235</f>
        <v>0.66999999999999993</v>
      </c>
      <c r="S234" s="123">
        <f>1-S235</f>
        <v>0.66999999999999993</v>
      </c>
      <c r="T234" s="123">
        <f>1-T235</f>
        <v>0.66999999999999993</v>
      </c>
      <c r="U234" s="123"/>
      <c r="V234" s="124"/>
      <c r="W234" s="125"/>
      <c r="X234" s="125"/>
      <c r="Y234" s="125"/>
      <c r="Z234" s="125"/>
      <c r="AA234" s="63"/>
      <c r="AB234" s="125"/>
      <c r="AC234" s="125"/>
      <c r="AD234" s="125"/>
      <c r="AE234" s="125"/>
      <c r="AF234" s="63"/>
      <c r="AG234" s="125"/>
      <c r="AH234" s="125"/>
      <c r="AI234" s="125"/>
      <c r="AJ234" s="125"/>
      <c r="AK234" s="63"/>
      <c r="AL234" s="125"/>
      <c r="AM234" s="125"/>
      <c r="AN234" s="125"/>
      <c r="AO234" s="125"/>
      <c r="AP234" s="63"/>
      <c r="AQ234" s="125"/>
      <c r="AR234" s="125"/>
      <c r="AS234" s="125"/>
      <c r="AT234" s="125"/>
      <c r="AU234" s="63"/>
      <c r="AV234" s="125"/>
      <c r="AW234" s="125"/>
      <c r="AX234" s="125"/>
      <c r="AY234" s="125"/>
      <c r="AZ234" s="63"/>
      <c r="BA234" s="125"/>
      <c r="BB234" s="125"/>
      <c r="BC234" s="125"/>
      <c r="BD234" s="125"/>
      <c r="BE234" s="63"/>
      <c r="BF234" s="63"/>
      <c r="BG234" s="63"/>
      <c r="BH234" s="63"/>
      <c r="BI234" s="63"/>
      <c r="BJ234" s="63"/>
      <c r="BL234" s="76"/>
      <c r="BM234" s="76"/>
      <c r="BR234" s="150"/>
      <c r="BV234" s="76"/>
      <c r="BW234" s="76"/>
      <c r="BX234" s="76"/>
      <c r="BY234" s="76"/>
      <c r="BZ234" s="76"/>
      <c r="CA234" s="76"/>
    </row>
    <row r="235" spans="1:79" s="77" customFormat="1" hidden="1" outlineLevel="1">
      <c r="B235" s="76" t="s">
        <v>106</v>
      </c>
      <c r="C235" s="115">
        <v>0.23</v>
      </c>
      <c r="D235" s="115">
        <v>0.25</v>
      </c>
      <c r="E235" s="115">
        <v>0.35</v>
      </c>
      <c r="F235" s="115">
        <v>0.3</v>
      </c>
      <c r="G235" s="124"/>
      <c r="H235" s="115">
        <v>0.35</v>
      </c>
      <c r="I235" s="115">
        <v>0.33</v>
      </c>
      <c r="J235" s="115">
        <v>0.36</v>
      </c>
      <c r="K235" s="115">
        <v>0.32</v>
      </c>
      <c r="L235" s="124"/>
      <c r="M235" s="115">
        <v>0.33</v>
      </c>
      <c r="N235" s="115">
        <v>0.33</v>
      </c>
      <c r="O235" s="115">
        <v>0.34</v>
      </c>
      <c r="P235" s="115">
        <v>0.31</v>
      </c>
      <c r="Q235" s="124"/>
      <c r="R235" s="115">
        <v>0.33</v>
      </c>
      <c r="S235" s="115">
        <v>0.33</v>
      </c>
      <c r="T235" s="115">
        <v>0.33</v>
      </c>
      <c r="U235" s="125"/>
      <c r="V235" s="126"/>
      <c r="W235" s="125"/>
      <c r="X235" s="125"/>
      <c r="Y235" s="125"/>
      <c r="Z235" s="125"/>
      <c r="AA235" s="126"/>
      <c r="AB235" s="125"/>
      <c r="AC235" s="125"/>
      <c r="AD235" s="125"/>
      <c r="AE235" s="125"/>
      <c r="AF235" s="63"/>
      <c r="AG235" s="125"/>
      <c r="AH235" s="125"/>
      <c r="AI235" s="125"/>
      <c r="AJ235" s="125"/>
      <c r="AK235" s="63"/>
      <c r="AL235" s="125"/>
      <c r="AM235" s="125"/>
      <c r="AN235" s="125"/>
      <c r="AO235" s="125"/>
      <c r="AP235" s="63"/>
      <c r="AQ235" s="125"/>
      <c r="AR235" s="125"/>
      <c r="AS235" s="125"/>
      <c r="AT235" s="125"/>
      <c r="AU235" s="63"/>
      <c r="AV235" s="125"/>
      <c r="AW235" s="125"/>
      <c r="AX235" s="125"/>
      <c r="AY235" s="125"/>
      <c r="AZ235" s="63"/>
      <c r="BA235" s="125"/>
      <c r="BB235" s="125"/>
      <c r="BC235" s="125"/>
      <c r="BD235" s="125"/>
      <c r="BE235" s="63"/>
      <c r="BF235" s="63"/>
      <c r="BG235" s="63"/>
      <c r="BH235" s="63"/>
      <c r="BI235" s="63"/>
      <c r="BJ235" s="63"/>
      <c r="BL235" s="76"/>
      <c r="BM235" s="76"/>
      <c r="BR235" s="150"/>
      <c r="BV235" s="76"/>
      <c r="BW235" s="76"/>
      <c r="BX235" s="76"/>
      <c r="BY235" s="76"/>
      <c r="BZ235" s="76"/>
      <c r="CA235" s="76"/>
    </row>
    <row r="236" spans="1:79" s="77" customFormat="1" hidden="1" outlineLevel="1">
      <c r="B236" s="76"/>
      <c r="C236" s="95"/>
      <c r="D236" s="95"/>
      <c r="E236" s="95"/>
      <c r="F236" s="95"/>
      <c r="G236" s="127"/>
      <c r="H236" s="95"/>
      <c r="I236" s="95"/>
      <c r="J236" s="95"/>
      <c r="K236" s="95"/>
      <c r="L236" s="127"/>
      <c r="M236" s="95"/>
      <c r="N236" s="95"/>
      <c r="O236" s="76"/>
      <c r="P236" s="76"/>
      <c r="Q236" s="127"/>
      <c r="R236" s="95"/>
      <c r="S236" s="76"/>
      <c r="T236" s="76"/>
      <c r="U236" s="76"/>
      <c r="V236" s="127"/>
      <c r="W236" s="76"/>
      <c r="X236" s="76"/>
      <c r="Y236" s="76"/>
      <c r="Z236" s="76"/>
      <c r="AA236" s="127"/>
      <c r="AB236" s="76"/>
      <c r="AC236" s="76"/>
      <c r="AD236" s="76"/>
      <c r="AE236" s="76"/>
      <c r="AF236" s="127"/>
      <c r="AG236" s="76"/>
      <c r="AH236" s="76"/>
      <c r="AI236" s="76"/>
      <c r="AJ236" s="76"/>
      <c r="AK236" s="63"/>
      <c r="AL236" s="76"/>
      <c r="AM236" s="76"/>
      <c r="AN236" s="76"/>
      <c r="AO236" s="76"/>
      <c r="AP236" s="63"/>
      <c r="AQ236" s="76"/>
      <c r="AR236" s="76"/>
      <c r="AS236" s="76"/>
      <c r="AT236" s="76"/>
      <c r="AU236" s="63"/>
      <c r="AV236" s="76"/>
      <c r="AW236" s="76"/>
      <c r="AX236" s="76"/>
      <c r="AY236" s="76"/>
      <c r="AZ236" s="63"/>
      <c r="BA236" s="76"/>
      <c r="BB236" s="76"/>
      <c r="BC236" s="76"/>
      <c r="BD236" s="76"/>
      <c r="BE236" s="63"/>
      <c r="BF236" s="63"/>
      <c r="BG236" s="63"/>
      <c r="BH236" s="63"/>
      <c r="BI236" s="63"/>
      <c r="BJ236" s="63"/>
      <c r="BL236" s="76"/>
      <c r="BM236" s="76"/>
      <c r="BR236" s="150"/>
    </row>
    <row r="237" spans="1:79" s="77" customFormat="1" hidden="1" outlineLevel="1">
      <c r="B237" s="76" t="s">
        <v>108</v>
      </c>
      <c r="C237" s="123">
        <f>1-C238</f>
        <v>0.6</v>
      </c>
      <c r="D237" s="123">
        <f>1-D238</f>
        <v>0.62</v>
      </c>
      <c r="E237" s="123">
        <f>1-E238</f>
        <v>0.6</v>
      </c>
      <c r="F237" s="123">
        <f>1-F238</f>
        <v>0.63</v>
      </c>
      <c r="G237" s="124"/>
      <c r="H237" s="123">
        <f>1-H238</f>
        <v>0.59000000000000008</v>
      </c>
      <c r="I237" s="123">
        <f>1-I238</f>
        <v>0.63</v>
      </c>
      <c r="J237" s="123">
        <f>1-J238</f>
        <v>0.6</v>
      </c>
      <c r="K237" s="123">
        <f>1-K238</f>
        <v>0.62</v>
      </c>
      <c r="L237" s="124"/>
      <c r="M237" s="123">
        <f>1-M238</f>
        <v>0.59000000000000008</v>
      </c>
      <c r="N237" s="123">
        <f>1-N238</f>
        <v>0.61</v>
      </c>
      <c r="O237" s="123">
        <f>1-O238</f>
        <v>0.61</v>
      </c>
      <c r="P237" s="123">
        <f>1-P238</f>
        <v>0.63</v>
      </c>
      <c r="Q237" s="127"/>
      <c r="R237" s="123">
        <f>1-R238</f>
        <v>0.6</v>
      </c>
      <c r="S237" s="123">
        <f>1-S238</f>
        <v>0.63</v>
      </c>
      <c r="T237" s="123">
        <f>1-T238</f>
        <v>0.63</v>
      </c>
      <c r="U237" s="123"/>
      <c r="V237" s="124"/>
      <c r="W237" s="125"/>
      <c r="X237" s="125"/>
      <c r="Y237" s="125"/>
      <c r="Z237" s="125"/>
      <c r="AA237" s="124"/>
      <c r="AB237" s="125"/>
      <c r="AC237" s="125"/>
      <c r="AD237" s="125"/>
      <c r="AE237" s="125"/>
      <c r="AF237" s="124"/>
      <c r="AG237" s="125"/>
      <c r="AH237" s="125"/>
      <c r="AI237" s="125"/>
      <c r="AJ237" s="125"/>
      <c r="AK237" s="124"/>
      <c r="AL237" s="125"/>
      <c r="AM237" s="125"/>
      <c r="AN237" s="125"/>
      <c r="AO237" s="125"/>
      <c r="AP237" s="124"/>
      <c r="AQ237" s="125"/>
      <c r="AR237" s="125"/>
      <c r="AS237" s="125"/>
      <c r="AT237" s="125"/>
      <c r="AU237" s="124"/>
      <c r="AV237" s="125"/>
      <c r="AW237" s="125"/>
      <c r="AX237" s="125"/>
      <c r="AY237" s="125"/>
      <c r="AZ237" s="124"/>
      <c r="BA237" s="125"/>
      <c r="BB237" s="125"/>
      <c r="BC237" s="125"/>
      <c r="BD237" s="125"/>
      <c r="BE237" s="124"/>
      <c r="BF237" s="124"/>
      <c r="BG237" s="124"/>
      <c r="BH237" s="124"/>
      <c r="BI237" s="124"/>
      <c r="BJ237" s="124"/>
      <c r="BL237" s="76"/>
      <c r="BM237" s="76"/>
      <c r="BR237" s="150"/>
      <c r="BV237" s="45"/>
      <c r="BW237" s="45"/>
      <c r="BX237" s="45"/>
      <c r="BY237" s="45"/>
      <c r="BZ237" s="45"/>
      <c r="CA237" s="45"/>
    </row>
    <row r="238" spans="1:79" s="77" customFormat="1" hidden="1" outlineLevel="1">
      <c r="B238" s="76" t="s">
        <v>107</v>
      </c>
      <c r="C238" s="115">
        <v>0.4</v>
      </c>
      <c r="D238" s="115">
        <v>0.38</v>
      </c>
      <c r="E238" s="115">
        <v>0.4</v>
      </c>
      <c r="F238" s="115">
        <v>0.37</v>
      </c>
      <c r="G238" s="124"/>
      <c r="H238" s="115">
        <v>0.41</v>
      </c>
      <c r="I238" s="115">
        <v>0.37</v>
      </c>
      <c r="J238" s="115">
        <v>0.4</v>
      </c>
      <c r="K238" s="115">
        <v>0.38</v>
      </c>
      <c r="L238" s="124"/>
      <c r="M238" s="115">
        <v>0.41</v>
      </c>
      <c r="N238" s="115">
        <v>0.39</v>
      </c>
      <c r="O238" s="115">
        <v>0.39</v>
      </c>
      <c r="P238" s="115">
        <v>0.37</v>
      </c>
      <c r="Q238" s="127"/>
      <c r="R238" s="115">
        <v>0.4</v>
      </c>
      <c r="S238" s="115">
        <v>0.37</v>
      </c>
      <c r="T238" s="115">
        <v>0.37</v>
      </c>
      <c r="U238" s="76"/>
      <c r="V238" s="124"/>
      <c r="W238" s="76"/>
      <c r="X238" s="76"/>
      <c r="Y238" s="76"/>
      <c r="Z238" s="76"/>
      <c r="AA238" s="124"/>
      <c r="AB238" s="76"/>
      <c r="AC238" s="76"/>
      <c r="AD238" s="76"/>
      <c r="AE238" s="76"/>
      <c r="AF238" s="127"/>
      <c r="AG238" s="76"/>
      <c r="AH238" s="76"/>
      <c r="AI238" s="76"/>
      <c r="AJ238" s="76"/>
      <c r="AK238" s="127"/>
      <c r="AL238" s="76"/>
      <c r="AM238" s="76"/>
      <c r="AN238" s="76"/>
      <c r="AO238" s="76"/>
      <c r="AP238" s="127"/>
      <c r="AQ238" s="76"/>
      <c r="AR238" s="76"/>
      <c r="AS238" s="76"/>
      <c r="AT238" s="76"/>
      <c r="AU238" s="127"/>
      <c r="AV238" s="76"/>
      <c r="AW238" s="76"/>
      <c r="AX238" s="76"/>
      <c r="AY238" s="76"/>
      <c r="AZ238" s="127"/>
      <c r="BA238" s="76"/>
      <c r="BB238" s="76"/>
      <c r="BC238" s="76"/>
      <c r="BD238" s="76"/>
      <c r="BE238" s="127"/>
      <c r="BF238" s="127"/>
      <c r="BG238" s="127"/>
      <c r="BH238" s="127"/>
      <c r="BI238" s="127"/>
      <c r="BJ238" s="127"/>
      <c r="BK238" s="76"/>
      <c r="BN238" s="76"/>
      <c r="BO238" s="76"/>
      <c r="BP238" s="76"/>
      <c r="BR238" s="150"/>
    </row>
    <row r="239" spans="1:79" s="76" customFormat="1" hidden="1" outlineLevel="1">
      <c r="B239" s="128"/>
      <c r="C239" s="83"/>
      <c r="D239" s="83"/>
      <c r="E239" s="83"/>
      <c r="F239" s="83"/>
      <c r="G239" s="124"/>
      <c r="H239" s="83"/>
      <c r="I239" s="83"/>
      <c r="J239" s="83"/>
      <c r="K239" s="83"/>
      <c r="L239" s="124"/>
      <c r="M239" s="83"/>
      <c r="N239" s="83"/>
      <c r="Q239" s="127"/>
      <c r="R239" s="83"/>
      <c r="V239" s="124"/>
      <c r="AA239" s="124"/>
      <c r="AF239" s="127"/>
      <c r="AK239" s="127"/>
      <c r="AP239" s="127"/>
      <c r="AU239" s="127"/>
      <c r="AZ239" s="127"/>
      <c r="BE239" s="127"/>
      <c r="BF239" s="127"/>
      <c r="BG239" s="127"/>
      <c r="BH239" s="127"/>
      <c r="BI239" s="127"/>
      <c r="BJ239" s="127"/>
      <c r="BL239" s="91"/>
      <c r="BM239" s="91"/>
      <c r="BR239" s="147"/>
      <c r="BV239" s="77"/>
      <c r="BW239" s="77"/>
      <c r="BX239" s="77"/>
      <c r="BY239" s="77"/>
      <c r="BZ239" s="77"/>
      <c r="CA239" s="77"/>
    </row>
    <row r="240" spans="1:79" s="76" customFormat="1" hidden="1" outlineLevel="1">
      <c r="G240" s="124"/>
      <c r="L240" s="124"/>
      <c r="Q240" s="127"/>
      <c r="V240" s="124"/>
      <c r="AA240" s="124"/>
      <c r="AF240" s="127"/>
      <c r="AK240" s="127"/>
      <c r="AP240" s="127"/>
      <c r="AU240" s="127"/>
      <c r="AZ240" s="127"/>
      <c r="BE240" s="127"/>
      <c r="BF240" s="127"/>
      <c r="BG240" s="127"/>
      <c r="BH240" s="127"/>
      <c r="BI240" s="127"/>
      <c r="BJ240" s="127"/>
      <c r="BL240" s="87"/>
      <c r="BM240" s="87"/>
      <c r="BR240" s="147"/>
      <c r="BV240" s="77"/>
      <c r="BW240" s="77"/>
      <c r="BX240" s="77"/>
      <c r="BY240" s="77"/>
      <c r="BZ240" s="77"/>
      <c r="CA240" s="77"/>
    </row>
    <row r="241" spans="2:79" s="76" customFormat="1" hidden="1" outlineLevel="1">
      <c r="G241" s="124"/>
      <c r="L241" s="124"/>
      <c r="Q241" s="127"/>
      <c r="V241" s="124"/>
      <c r="AA241" s="124"/>
      <c r="AF241" s="127"/>
      <c r="AK241" s="127"/>
      <c r="AP241" s="127"/>
      <c r="AU241" s="127"/>
      <c r="AZ241" s="127"/>
      <c r="BE241" s="127"/>
      <c r="BF241" s="127"/>
      <c r="BG241" s="127"/>
      <c r="BH241" s="127"/>
      <c r="BI241" s="127"/>
      <c r="BJ241" s="127"/>
      <c r="BL241" s="92"/>
      <c r="BM241" s="87"/>
      <c r="BR241" s="147"/>
      <c r="BV241" s="77"/>
      <c r="BW241" s="77"/>
      <c r="BX241" s="77"/>
      <c r="BY241" s="77"/>
      <c r="BZ241" s="77"/>
      <c r="CA241" s="77"/>
    </row>
    <row r="242" spans="2:79" s="76" customFormat="1" hidden="1" outlineLevel="1">
      <c r="B242" s="129" t="s">
        <v>181</v>
      </c>
      <c r="G242" s="124"/>
      <c r="L242" s="124"/>
      <c r="Q242" s="127"/>
      <c r="R242" s="129"/>
      <c r="S242" s="129"/>
      <c r="T242" s="129"/>
      <c r="U242" s="129"/>
      <c r="V242" s="129"/>
      <c r="W242" s="129"/>
      <c r="X242" s="129"/>
      <c r="Y242" s="129"/>
      <c r="Z242" s="129"/>
      <c r="AA242" s="129"/>
      <c r="AB242" s="129"/>
      <c r="AC242" s="129"/>
      <c r="AD242" s="129"/>
      <c r="AE242" s="129"/>
      <c r="AF242" s="129"/>
      <c r="AG242" s="129"/>
      <c r="AH242" s="129"/>
      <c r="AI242" s="129"/>
      <c r="AJ242" s="129"/>
      <c r="AK242" s="129"/>
      <c r="AL242" s="129"/>
      <c r="AM242" s="129"/>
      <c r="AN242" s="129"/>
      <c r="AO242" s="129"/>
      <c r="AP242" s="129"/>
      <c r="AQ242" s="129"/>
      <c r="AR242" s="129"/>
      <c r="AS242" s="129"/>
      <c r="AT242" s="129"/>
      <c r="AU242" s="129"/>
      <c r="AV242" s="129"/>
      <c r="AW242" s="129"/>
      <c r="AX242" s="129"/>
      <c r="AY242" s="129"/>
      <c r="AZ242" s="129"/>
      <c r="BA242" s="129"/>
      <c r="BB242" s="129"/>
      <c r="BC242" s="129"/>
      <c r="BD242" s="129"/>
      <c r="BE242" s="129"/>
      <c r="BF242" s="129"/>
      <c r="BG242" s="129"/>
      <c r="BH242" s="129"/>
      <c r="BI242" s="129"/>
      <c r="BJ242" s="129"/>
      <c r="BK242" s="83"/>
      <c r="BL242" s="94"/>
      <c r="BM242" s="77"/>
      <c r="BR242" s="147"/>
      <c r="BV242" s="77"/>
      <c r="BW242" s="77"/>
      <c r="BX242" s="77"/>
      <c r="BY242" s="77"/>
      <c r="BZ242" s="77"/>
      <c r="CA242" s="77"/>
    </row>
    <row r="243" spans="2:79" s="76" customFormat="1" hidden="1" outlineLevel="1">
      <c r="B243" s="81" t="s">
        <v>78</v>
      </c>
      <c r="C243" s="69"/>
      <c r="D243" s="69"/>
      <c r="E243" s="69"/>
      <c r="F243" s="69"/>
      <c r="G243" s="68"/>
      <c r="H243" s="69"/>
      <c r="I243" s="69"/>
      <c r="J243" s="69"/>
      <c r="K243" s="69"/>
      <c r="L243" s="68"/>
      <c r="M243" s="69"/>
      <c r="N243" s="69"/>
      <c r="O243" s="82"/>
      <c r="P243" s="82"/>
      <c r="Q243" s="68"/>
      <c r="R243" s="69"/>
      <c r="S243" s="82"/>
      <c r="T243" s="82"/>
      <c r="U243" s="82"/>
      <c r="V243" s="68"/>
      <c r="W243" s="82"/>
      <c r="X243" s="82"/>
      <c r="Y243" s="82"/>
      <c r="Z243" s="82"/>
      <c r="AA243" s="68"/>
      <c r="AB243" s="82"/>
      <c r="AC243" s="82"/>
      <c r="AD243" s="82"/>
      <c r="AE243" s="82"/>
      <c r="AF243" s="68"/>
      <c r="AG243" s="82"/>
      <c r="AH243" s="82"/>
      <c r="AI243" s="82"/>
      <c r="AJ243" s="82"/>
      <c r="AK243" s="68"/>
      <c r="AL243" s="82"/>
      <c r="AM243" s="82"/>
      <c r="AN243" s="82"/>
      <c r="AO243" s="82"/>
      <c r="AP243" s="68"/>
      <c r="AQ243" s="82"/>
      <c r="AR243" s="82"/>
      <c r="AS243" s="82"/>
      <c r="AT243" s="82"/>
      <c r="AU243" s="68"/>
      <c r="AV243" s="82"/>
      <c r="AW243" s="82"/>
      <c r="AX243" s="82"/>
      <c r="AY243" s="82"/>
      <c r="AZ243" s="68"/>
      <c r="BA243" s="82"/>
      <c r="BB243" s="82"/>
      <c r="BC243" s="82"/>
      <c r="BD243" s="82"/>
      <c r="BE243" s="68"/>
      <c r="BF243" s="68"/>
      <c r="BG243" s="68"/>
      <c r="BH243" s="68"/>
      <c r="BI243" s="68"/>
      <c r="BJ243" s="68"/>
      <c r="BK243" s="77"/>
      <c r="BL243" s="94"/>
      <c r="BM243" s="77"/>
      <c r="BN243" s="77"/>
      <c r="BO243" s="77"/>
      <c r="BP243" s="77"/>
      <c r="BR243" s="147"/>
    </row>
    <row r="244" spans="2:79" s="77" customFormat="1" hidden="1" outlineLevel="1">
      <c r="B244" s="76" t="s">
        <v>86</v>
      </c>
      <c r="C244" s="84">
        <v>82271</v>
      </c>
      <c r="D244" s="84">
        <v>87405</v>
      </c>
      <c r="E244" s="84">
        <v>92374</v>
      </c>
      <c r="F244" s="84">
        <v>97359</v>
      </c>
      <c r="G244" s="85">
        <f>+F244</f>
        <v>97359</v>
      </c>
      <c r="H244" s="84">
        <v>103234</v>
      </c>
      <c r="I244" s="84">
        <v>108739</v>
      </c>
      <c r="J244" s="84">
        <v>113923</v>
      </c>
      <c r="K244" s="84">
        <v>119264</v>
      </c>
      <c r="L244" s="85">
        <f>+K244</f>
        <v>119264</v>
      </c>
      <c r="M244" s="84">
        <v>125189</v>
      </c>
      <c r="N244" s="84">
        <v>131027</v>
      </c>
      <c r="O244" s="84">
        <v>136538</v>
      </c>
      <c r="P244" s="84">
        <v>142439</v>
      </c>
      <c r="Q244" s="85">
        <f>+P244</f>
        <v>142439</v>
      </c>
      <c r="R244" s="84">
        <v>148363</v>
      </c>
      <c r="S244" s="84">
        <v>154039</v>
      </c>
      <c r="T244" s="84">
        <v>159543</v>
      </c>
      <c r="U244" s="84">
        <v>165341</v>
      </c>
      <c r="V244" s="85">
        <f>+U244</f>
        <v>165341</v>
      </c>
      <c r="W244" s="84">
        <v>172254</v>
      </c>
      <c r="X244" s="84">
        <v>181585</v>
      </c>
      <c r="Y244" s="84">
        <v>189390</v>
      </c>
      <c r="Z244" s="84">
        <v>196747</v>
      </c>
      <c r="AA244" s="85">
        <f>+Z244</f>
        <v>196747</v>
      </c>
      <c r="AB244" s="86"/>
      <c r="AC244" s="86"/>
      <c r="AD244" s="86"/>
      <c r="AE244" s="86"/>
      <c r="AF244" s="127">
        <v>221800</v>
      </c>
      <c r="AG244" s="86">
        <f>+AE244+AG245</f>
        <v>0</v>
      </c>
      <c r="AH244" s="86">
        <f>+AG244+AH245</f>
        <v>0</v>
      </c>
      <c r="AI244" s="86">
        <f>+AH244+AI245</f>
        <v>0</v>
      </c>
      <c r="AJ244" s="86">
        <f>+AI244+AJ245</f>
        <v>0</v>
      </c>
      <c r="AK244" s="85">
        <f>+AJ244</f>
        <v>0</v>
      </c>
      <c r="AL244" s="86">
        <f>+AJ244+AL245</f>
        <v>0</v>
      </c>
      <c r="AM244" s="86">
        <f>+AL244+AM245</f>
        <v>0</v>
      </c>
      <c r="AN244" s="86">
        <f>+AM244+AN245</f>
        <v>0</v>
      </c>
      <c r="AO244" s="86">
        <f>+AN244+AO245</f>
        <v>0</v>
      </c>
      <c r="AP244" s="85"/>
      <c r="AQ244" s="86">
        <f>+AO244+AQ245</f>
        <v>0</v>
      </c>
      <c r="AR244" s="86">
        <f>+AQ244+AR245</f>
        <v>0</v>
      </c>
      <c r="AS244" s="86">
        <f>+AR244+AS245</f>
        <v>0</v>
      </c>
      <c r="AT244" s="86">
        <f>+AS244+AT245</f>
        <v>0</v>
      </c>
      <c r="AU244" s="85"/>
      <c r="AV244" s="86">
        <f>+AT244+AV245</f>
        <v>0</v>
      </c>
      <c r="AW244" s="86">
        <f>+AV244+AW245</f>
        <v>0</v>
      </c>
      <c r="AX244" s="86">
        <f>+AW244+AX245</f>
        <v>0</v>
      </c>
      <c r="AY244" s="86">
        <f>+AX244+AY245</f>
        <v>0</v>
      </c>
      <c r="AZ244" s="85"/>
      <c r="BA244" s="86">
        <f>+AY244+BA245</f>
        <v>0</v>
      </c>
      <c r="BB244" s="86">
        <f>+BA244+BB245</f>
        <v>0</v>
      </c>
      <c r="BC244" s="86">
        <f>+BB244+BC245</f>
        <v>0</v>
      </c>
      <c r="BD244" s="86">
        <f>+BC244+BD245</f>
        <v>0</v>
      </c>
      <c r="BE244" s="85"/>
      <c r="BF244" s="85"/>
      <c r="BG244" s="85"/>
      <c r="BH244" s="85"/>
      <c r="BI244" s="85"/>
      <c r="BJ244" s="85"/>
      <c r="BK244" s="91"/>
      <c r="BL244" s="91"/>
      <c r="BM244" s="91"/>
      <c r="BN244" s="91"/>
      <c r="BO244" s="91"/>
      <c r="BP244" s="91"/>
      <c r="BR244" s="150"/>
      <c r="BV244" s="76"/>
      <c r="BW244" s="76"/>
      <c r="BX244" s="76"/>
      <c r="BY244" s="76"/>
      <c r="BZ244" s="76"/>
      <c r="CA244" s="76"/>
    </row>
    <row r="245" spans="2:79" s="91" customFormat="1" hidden="1" outlineLevel="1">
      <c r="B245" s="87" t="s">
        <v>104</v>
      </c>
      <c r="C245" s="88">
        <f>+C244-77000</f>
        <v>5271</v>
      </c>
      <c r="D245" s="88">
        <f>+D244-C244</f>
        <v>5134</v>
      </c>
      <c r="E245" s="88">
        <f>+E244-D244</f>
        <v>4969</v>
      </c>
      <c r="F245" s="88">
        <f>+F244-E244</f>
        <v>4985</v>
      </c>
      <c r="G245" s="89" t="e">
        <f>+G244-#REF!</f>
        <v>#REF!</v>
      </c>
      <c r="H245" s="88">
        <f>+H244-F244</f>
        <v>5875</v>
      </c>
      <c r="I245" s="88">
        <f>+I244-H244</f>
        <v>5505</v>
      </c>
      <c r="J245" s="88">
        <f>+J244-I244</f>
        <v>5184</v>
      </c>
      <c r="K245" s="88">
        <f>+K244-J244</f>
        <v>5341</v>
      </c>
      <c r="L245" s="89">
        <f>+L244-G244</f>
        <v>21905</v>
      </c>
      <c r="M245" s="88">
        <f>+M244-K244</f>
        <v>5925</v>
      </c>
      <c r="N245" s="88">
        <f>+N244-M244</f>
        <v>5838</v>
      </c>
      <c r="O245" s="88">
        <f>+O244-N244</f>
        <v>5511</v>
      </c>
      <c r="P245" s="88">
        <f>+P244-O244</f>
        <v>5901</v>
      </c>
      <c r="Q245" s="89">
        <f>+Q244-L244</f>
        <v>23175</v>
      </c>
      <c r="R245" s="88">
        <f>+R244-P244</f>
        <v>5924</v>
      </c>
      <c r="S245" s="88">
        <f>+S244-R244</f>
        <v>5676</v>
      </c>
      <c r="T245" s="88">
        <f>+T244-S244</f>
        <v>5504</v>
      </c>
      <c r="U245" s="88">
        <f>+U244-T244</f>
        <v>5798</v>
      </c>
      <c r="V245" s="89">
        <f>+V244-Q244</f>
        <v>22902</v>
      </c>
      <c r="W245" s="88">
        <f>+W244-V244</f>
        <v>6913</v>
      </c>
      <c r="X245" s="88">
        <f>+X244-W244</f>
        <v>9331</v>
      </c>
      <c r="Y245" s="88">
        <f>+Y244-X244</f>
        <v>7805</v>
      </c>
      <c r="Z245" s="88">
        <f>+Z244-Y244</f>
        <v>7357</v>
      </c>
      <c r="AA245" s="89">
        <f>+AA244-V244</f>
        <v>31406</v>
      </c>
      <c r="AB245" s="146"/>
      <c r="AC245" s="90"/>
      <c r="AD245" s="90"/>
      <c r="AE245" s="90"/>
      <c r="AF245" s="89">
        <f>+AF244-AA244</f>
        <v>25053</v>
      </c>
      <c r="AG245" s="90"/>
      <c r="AH245" s="90"/>
      <c r="AI245" s="90"/>
      <c r="AJ245" s="90"/>
      <c r="AK245" s="89">
        <f>+AK244-AF244</f>
        <v>-221800</v>
      </c>
      <c r="AL245" s="90"/>
      <c r="AM245" s="90"/>
      <c r="AN245" s="90"/>
      <c r="AO245" s="90"/>
      <c r="AP245" s="89"/>
      <c r="AQ245" s="90"/>
      <c r="AR245" s="90"/>
      <c r="AS245" s="90"/>
      <c r="AT245" s="90"/>
      <c r="AU245" s="89"/>
      <c r="AV245" s="90"/>
      <c r="AW245" s="90"/>
      <c r="AX245" s="90"/>
      <c r="AY245" s="90"/>
      <c r="AZ245" s="89"/>
      <c r="BA245" s="90"/>
      <c r="BB245" s="90"/>
      <c r="BC245" s="90"/>
      <c r="BD245" s="90"/>
      <c r="BE245" s="89"/>
      <c r="BF245" s="89"/>
      <c r="BG245" s="89"/>
      <c r="BH245" s="89"/>
      <c r="BI245" s="89"/>
      <c r="BJ245" s="89"/>
      <c r="BK245" s="87"/>
      <c r="BL245" s="87"/>
      <c r="BM245" s="87"/>
      <c r="BN245" s="87"/>
      <c r="BO245" s="87"/>
      <c r="BP245" s="87"/>
      <c r="BR245" s="151"/>
      <c r="BV245" s="76"/>
      <c r="BW245" s="76"/>
      <c r="BX245" s="76"/>
      <c r="BY245" s="76"/>
      <c r="BZ245" s="76"/>
      <c r="CA245" s="76"/>
    </row>
    <row r="246" spans="2:79" s="87" customFormat="1" hidden="1" outlineLevel="1">
      <c r="B246" s="87" t="s">
        <v>84</v>
      </c>
      <c r="C246" s="83"/>
      <c r="D246" s="83"/>
      <c r="E246" s="83"/>
      <c r="F246" s="83"/>
      <c r="G246" s="71"/>
      <c r="H246" s="83">
        <f t="shared" ref="H246:AA246" si="595">+H244/C244-1</f>
        <v>0.25480424450900063</v>
      </c>
      <c r="I246" s="83">
        <f t="shared" si="595"/>
        <v>0.24408214633030156</v>
      </c>
      <c r="J246" s="83">
        <f t="shared" si="595"/>
        <v>0.23327992725225721</v>
      </c>
      <c r="K246" s="83">
        <f t="shared" si="595"/>
        <v>0.22499203977033444</v>
      </c>
      <c r="L246" s="71">
        <f t="shared" si="595"/>
        <v>0.22499203977033444</v>
      </c>
      <c r="M246" s="83">
        <f t="shared" si="595"/>
        <v>0.21267218164558188</v>
      </c>
      <c r="N246" s="83">
        <f t="shared" si="595"/>
        <v>0.20496785881790336</v>
      </c>
      <c r="O246" s="83">
        <f t="shared" si="595"/>
        <v>0.19851127515953748</v>
      </c>
      <c r="P246" s="83">
        <f t="shared" si="595"/>
        <v>0.19431680976656818</v>
      </c>
      <c r="Q246" s="71">
        <f t="shared" si="595"/>
        <v>0.19431680976656818</v>
      </c>
      <c r="R246" s="83">
        <f t="shared" si="595"/>
        <v>0.18511211048894083</v>
      </c>
      <c r="S246" s="83">
        <f t="shared" si="595"/>
        <v>0.17562792401566085</v>
      </c>
      <c r="T246" s="83">
        <f t="shared" si="595"/>
        <v>0.16848789348020321</v>
      </c>
      <c r="U246" s="83">
        <f t="shared" si="595"/>
        <v>0.16078461657270826</v>
      </c>
      <c r="V246" s="71">
        <f t="shared" si="595"/>
        <v>0.16078461657270826</v>
      </c>
      <c r="W246" s="83">
        <f t="shared" si="595"/>
        <v>0.16103071520527346</v>
      </c>
      <c r="X246" s="83">
        <f t="shared" si="595"/>
        <v>0.17882484305922519</v>
      </c>
      <c r="Y246" s="83">
        <f t="shared" si="595"/>
        <v>0.18707809179970281</v>
      </c>
      <c r="Z246" s="83">
        <f t="shared" si="595"/>
        <v>0.1899468371426325</v>
      </c>
      <c r="AA246" s="71">
        <f t="shared" si="595"/>
        <v>0.1899468371426325</v>
      </c>
      <c r="AB246" s="83"/>
      <c r="AC246" s="83"/>
      <c r="AD246" s="83"/>
      <c r="AE246" s="83"/>
      <c r="AF246" s="71">
        <f t="shared" ref="AF246:AK246" si="596">+AF244/AA244-1</f>
        <v>0.12733612202473221</v>
      </c>
      <c r="AG246" s="83" t="e">
        <f t="shared" si="596"/>
        <v>#DIV/0!</v>
      </c>
      <c r="AH246" s="83" t="e">
        <f t="shared" si="596"/>
        <v>#DIV/0!</v>
      </c>
      <c r="AI246" s="83" t="e">
        <f t="shared" si="596"/>
        <v>#DIV/0!</v>
      </c>
      <c r="AJ246" s="83" t="e">
        <f t="shared" si="596"/>
        <v>#DIV/0!</v>
      </c>
      <c r="AK246" s="71">
        <f t="shared" si="596"/>
        <v>-1</v>
      </c>
      <c r="AL246" s="83" t="e">
        <f t="shared" ref="AL246" si="597">+AL244/AG244-1</f>
        <v>#DIV/0!</v>
      </c>
      <c r="AM246" s="83" t="e">
        <f t="shared" ref="AM246" si="598">+AM244/AH244-1</f>
        <v>#DIV/0!</v>
      </c>
      <c r="AN246" s="83" t="e">
        <f t="shared" ref="AN246" si="599">+AN244/AI244-1</f>
        <v>#DIV/0!</v>
      </c>
      <c r="AO246" s="83" t="e">
        <f t="shared" ref="AO246" si="600">+AO244/AJ244-1</f>
        <v>#DIV/0!</v>
      </c>
      <c r="AP246" s="71"/>
      <c r="AQ246" s="83" t="e">
        <f t="shared" ref="AQ246:AR246" si="601">+AQ244/AL244-1</f>
        <v>#DIV/0!</v>
      </c>
      <c r="AR246" s="83" t="e">
        <f t="shared" si="601"/>
        <v>#DIV/0!</v>
      </c>
      <c r="AS246" s="83" t="e">
        <f t="shared" ref="AS246" si="602">+AS244/AN244-1</f>
        <v>#DIV/0!</v>
      </c>
      <c r="AT246" s="83" t="e">
        <f t="shared" ref="AT246" si="603">+AT244/AO244-1</f>
        <v>#DIV/0!</v>
      </c>
      <c r="AU246" s="71"/>
      <c r="AV246" s="83" t="e">
        <f t="shared" ref="AV246:BD246" si="604">+AV244/AQ244-1</f>
        <v>#DIV/0!</v>
      </c>
      <c r="AW246" s="83" t="e">
        <f t="shared" si="604"/>
        <v>#DIV/0!</v>
      </c>
      <c r="AX246" s="83" t="e">
        <f t="shared" si="604"/>
        <v>#DIV/0!</v>
      </c>
      <c r="AY246" s="83" t="e">
        <f t="shared" si="604"/>
        <v>#DIV/0!</v>
      </c>
      <c r="AZ246" s="71"/>
      <c r="BA246" s="83" t="e">
        <f t="shared" si="604"/>
        <v>#DIV/0!</v>
      </c>
      <c r="BB246" s="83" t="e">
        <f t="shared" si="604"/>
        <v>#DIV/0!</v>
      </c>
      <c r="BC246" s="83" t="e">
        <f t="shared" si="604"/>
        <v>#DIV/0!</v>
      </c>
      <c r="BD246" s="83" t="e">
        <f t="shared" si="604"/>
        <v>#DIV/0!</v>
      </c>
      <c r="BE246" s="71"/>
      <c r="BF246" s="71"/>
      <c r="BG246" s="71"/>
      <c r="BH246" s="71"/>
      <c r="BI246" s="71"/>
      <c r="BJ246" s="71"/>
      <c r="BR246" s="148"/>
      <c r="BV246" s="76"/>
      <c r="BW246" s="76"/>
      <c r="BX246" s="76"/>
      <c r="BY246" s="76"/>
      <c r="BZ246" s="76"/>
      <c r="CA246" s="76"/>
    </row>
    <row r="247" spans="2:79" s="87" customFormat="1" hidden="1" outlineLevel="1">
      <c r="B247" s="87" t="s">
        <v>85</v>
      </c>
      <c r="C247" s="83"/>
      <c r="D247" s="83">
        <f>+D244/C244-1</f>
        <v>6.2403520073902152E-2</v>
      </c>
      <c r="E247" s="83">
        <f>+E244/D244-1</f>
        <v>5.6850294605571783E-2</v>
      </c>
      <c r="F247" s="83">
        <f>+F244/E244-1</f>
        <v>5.3965401519908252E-2</v>
      </c>
      <c r="G247" s="71"/>
      <c r="H247" s="83">
        <f>+H244/F244-1</f>
        <v>6.0343676496266374E-2</v>
      </c>
      <c r="I247" s="83">
        <f>+I244/H244-1</f>
        <v>5.3325454792025884E-2</v>
      </c>
      <c r="J247" s="83">
        <f>+J244/I244-1</f>
        <v>4.7673787693467862E-2</v>
      </c>
      <c r="K247" s="83">
        <f>+K244/J244-1</f>
        <v>4.6882543472345439E-2</v>
      </c>
      <c r="L247" s="71"/>
      <c r="M247" s="83">
        <f>+M244/K244-1</f>
        <v>4.9679702173329732E-2</v>
      </c>
      <c r="N247" s="83">
        <f>+N244/M244-1</f>
        <v>4.663349016287377E-2</v>
      </c>
      <c r="O247" s="83">
        <f>+O244/N244-1</f>
        <v>4.2060033428224619E-2</v>
      </c>
      <c r="P247" s="83">
        <f>+P244/O244-1</f>
        <v>4.3218737640803306E-2</v>
      </c>
      <c r="Q247" s="71"/>
      <c r="R247" s="83">
        <f>+R244/P244-1</f>
        <v>4.1589733148926999E-2</v>
      </c>
      <c r="S247" s="83">
        <f>+S244/R244-1</f>
        <v>3.8257517035918731E-2</v>
      </c>
      <c r="T247" s="83">
        <f>+T244/S244-1</f>
        <v>3.5731210927102852E-2</v>
      </c>
      <c r="U247" s="83">
        <f>+U244/T244-1</f>
        <v>3.6341299837661323E-2</v>
      </c>
      <c r="V247" s="71"/>
      <c r="W247" s="83">
        <f>+W244/U244-1</f>
        <v>4.18105612038151E-2</v>
      </c>
      <c r="X247" s="83">
        <f>+X244/W244-1</f>
        <v>5.4170004760411894E-2</v>
      </c>
      <c r="Y247" s="83">
        <f>+Y244/X244-1</f>
        <v>4.2982625216840598E-2</v>
      </c>
      <c r="Z247" s="83">
        <f>+Z244/Y244-1</f>
        <v>3.8845767991974256E-2</v>
      </c>
      <c r="AA247" s="71"/>
      <c r="AB247" s="83"/>
      <c r="AC247" s="83"/>
      <c r="AD247" s="83"/>
      <c r="AE247" s="83"/>
      <c r="AF247" s="71"/>
      <c r="AG247" s="83" t="e">
        <f>+AG244/AE244-1</f>
        <v>#DIV/0!</v>
      </c>
      <c r="AH247" s="83" t="e">
        <f>+AH244/AG244-1</f>
        <v>#DIV/0!</v>
      </c>
      <c r="AI247" s="83" t="e">
        <f>+AI244/AH244-1</f>
        <v>#DIV/0!</v>
      </c>
      <c r="AJ247" s="83" t="e">
        <f>+AJ244/AI244-1</f>
        <v>#DIV/0!</v>
      </c>
      <c r="AK247" s="71"/>
      <c r="AL247" s="83" t="e">
        <f>+AL244/AJ244-1</f>
        <v>#DIV/0!</v>
      </c>
      <c r="AM247" s="83" t="e">
        <f>+AM244/AL244-1</f>
        <v>#DIV/0!</v>
      </c>
      <c r="AN247" s="83" t="e">
        <f>+AN244/AM244-1</f>
        <v>#DIV/0!</v>
      </c>
      <c r="AO247" s="83" t="e">
        <f>+AO244/AN244-1</f>
        <v>#DIV/0!</v>
      </c>
      <c r="AP247" s="71"/>
      <c r="AQ247" s="83" t="e">
        <f>+AQ244/AO244-1</f>
        <v>#DIV/0!</v>
      </c>
      <c r="AR247" s="83" t="e">
        <f>+AR244/AQ244-1</f>
        <v>#DIV/0!</v>
      </c>
      <c r="AS247" s="83" t="e">
        <f>+AS244/AR244-1</f>
        <v>#DIV/0!</v>
      </c>
      <c r="AT247" s="83" t="e">
        <f>+AT244/AS244-1</f>
        <v>#DIV/0!</v>
      </c>
      <c r="AU247" s="71"/>
      <c r="AV247" s="83" t="e">
        <f>+AV244/AT244-1</f>
        <v>#DIV/0!</v>
      </c>
      <c r="AW247" s="83" t="e">
        <f>+AW244/AV244-1</f>
        <v>#DIV/0!</v>
      </c>
      <c r="AX247" s="83" t="e">
        <f>+AX244/AW244-1</f>
        <v>#DIV/0!</v>
      </c>
      <c r="AY247" s="83" t="e">
        <f>+AY244/AX244-1</f>
        <v>#DIV/0!</v>
      </c>
      <c r="AZ247" s="71"/>
      <c r="BA247" s="83" t="e">
        <f>+BA244/AY244-1</f>
        <v>#DIV/0!</v>
      </c>
      <c r="BB247" s="83" t="e">
        <f>+BB244/BA244-1</f>
        <v>#DIV/0!</v>
      </c>
      <c r="BC247" s="83" t="e">
        <f>+BC244/BB244-1</f>
        <v>#DIV/0!</v>
      </c>
      <c r="BD247" s="83" t="e">
        <f>+BD244/BC244-1</f>
        <v>#DIV/0!</v>
      </c>
      <c r="BE247" s="71"/>
      <c r="BF247" s="71"/>
      <c r="BG247" s="71"/>
      <c r="BH247" s="71"/>
      <c r="BI247" s="71"/>
      <c r="BJ247" s="71"/>
      <c r="BK247" s="77"/>
      <c r="BN247" s="77"/>
      <c r="BO247" s="77"/>
      <c r="BP247" s="77"/>
      <c r="BR247" s="148"/>
      <c r="BV247" s="76"/>
      <c r="BW247" s="76"/>
      <c r="BX247" s="76"/>
      <c r="BY247" s="76"/>
      <c r="BZ247" s="76"/>
      <c r="CA247" s="76"/>
    </row>
    <row r="248" spans="2:79" s="77" customFormat="1" hidden="1" outlineLevel="1">
      <c r="B248" s="76"/>
      <c r="C248" s="86">
        <f>AVERAGE(C249:F249)</f>
        <v>2204.5</v>
      </c>
      <c r="D248" s="86">
        <f>G13*1000/C248</f>
        <v>131.59900204127919</v>
      </c>
      <c r="E248" s="93">
        <f>D248/12</f>
        <v>10.966583503439933</v>
      </c>
      <c r="F248" s="86"/>
      <c r="G248" s="85"/>
      <c r="H248" s="86"/>
      <c r="I248" s="86"/>
      <c r="J248" s="86"/>
      <c r="K248" s="86"/>
      <c r="L248" s="85"/>
      <c r="M248" s="86"/>
      <c r="N248" s="86"/>
      <c r="O248" s="86"/>
      <c r="P248" s="86"/>
      <c r="Q248" s="85"/>
      <c r="R248" s="86"/>
      <c r="S248" s="86"/>
      <c r="T248" s="86"/>
      <c r="U248" s="86">
        <f>(U4*100000)/U244</f>
        <v>137.1002957524147</v>
      </c>
      <c r="V248" s="85"/>
      <c r="W248" s="86"/>
      <c r="X248" s="93"/>
      <c r="Y248" s="86"/>
      <c r="Z248" s="86"/>
      <c r="AA248" s="85"/>
      <c r="AB248" s="86"/>
      <c r="AC248" s="86"/>
      <c r="AD248" s="86"/>
      <c r="AE248" s="86"/>
      <c r="AF248" s="85"/>
      <c r="AG248" s="86"/>
      <c r="AH248" s="86"/>
      <c r="AI248" s="86"/>
      <c r="AJ248" s="86"/>
      <c r="AK248" s="85"/>
      <c r="AL248" s="86"/>
      <c r="AM248" s="86"/>
      <c r="AN248" s="86"/>
      <c r="AO248" s="86"/>
      <c r="AP248" s="85"/>
      <c r="AQ248" s="86"/>
      <c r="AR248" s="86"/>
      <c r="AS248" s="86"/>
      <c r="AT248" s="86"/>
      <c r="AU248" s="85"/>
      <c r="AV248" s="86"/>
      <c r="AW248" s="86"/>
      <c r="AX248" s="86"/>
      <c r="AY248" s="86"/>
      <c r="AZ248" s="85"/>
      <c r="BA248" s="86"/>
      <c r="BB248" s="86"/>
      <c r="BC248" s="86"/>
      <c r="BD248" s="86"/>
      <c r="BE248" s="85"/>
      <c r="BF248" s="85"/>
      <c r="BG248" s="85"/>
      <c r="BH248" s="85"/>
      <c r="BI248" s="85"/>
      <c r="BJ248" s="85"/>
      <c r="BL248" s="87"/>
      <c r="BM248" s="87"/>
      <c r="BR248" s="150"/>
    </row>
    <row r="249" spans="2:79" s="77" customFormat="1" hidden="1" outlineLevel="1">
      <c r="B249" s="76" t="s">
        <v>87</v>
      </c>
      <c r="C249" s="95">
        <v>1938</v>
      </c>
      <c r="D249" s="95">
        <v>2121</v>
      </c>
      <c r="E249" s="95">
        <v>2294</v>
      </c>
      <c r="F249" s="95">
        <v>2465</v>
      </c>
      <c r="G249" s="85">
        <f>+F249</f>
        <v>2465</v>
      </c>
      <c r="H249" s="95">
        <v>2673</v>
      </c>
      <c r="I249" s="95">
        <v>2865</v>
      </c>
      <c r="J249" s="95">
        <v>3053</v>
      </c>
      <c r="K249" s="95">
        <v>3223</v>
      </c>
      <c r="L249" s="85">
        <f>+K249</f>
        <v>3223</v>
      </c>
      <c r="M249" s="95">
        <v>3454</v>
      </c>
      <c r="N249" s="95">
        <v>3659</v>
      </c>
      <c r="O249" s="95">
        <v>3836</v>
      </c>
      <c r="P249" s="95">
        <v>3983</v>
      </c>
      <c r="Q249" s="85">
        <f>+P249</f>
        <v>3983</v>
      </c>
      <c r="R249" s="95">
        <v>4164</v>
      </c>
      <c r="S249" s="95">
        <v>4295</v>
      </c>
      <c r="T249" s="95">
        <v>4410</v>
      </c>
      <c r="U249" s="84">
        <v>4499</v>
      </c>
      <c r="V249" s="85">
        <f>+U249</f>
        <v>4499</v>
      </c>
      <c r="W249" s="84">
        <v>4661</v>
      </c>
      <c r="X249" s="84">
        <v>5007</v>
      </c>
      <c r="Y249" s="84">
        <v>5309</v>
      </c>
      <c r="Z249" s="84">
        <v>5494</v>
      </c>
      <c r="AA249" s="85">
        <f>+Z249</f>
        <v>5494</v>
      </c>
      <c r="AB249" s="86"/>
      <c r="AC249" s="86"/>
      <c r="AD249" s="86"/>
      <c r="AE249" s="86"/>
      <c r="AF249" s="127">
        <v>6000</v>
      </c>
      <c r="AG249" s="86">
        <f>+AE249+AG250</f>
        <v>0</v>
      </c>
      <c r="AH249" s="86">
        <f>+AG249+AH250</f>
        <v>0</v>
      </c>
      <c r="AI249" s="86">
        <f>+AH249+AI250</f>
        <v>0</v>
      </c>
      <c r="AJ249" s="86">
        <f>+AI249+AJ250</f>
        <v>0</v>
      </c>
      <c r="AK249" s="85">
        <f>+AJ249</f>
        <v>0</v>
      </c>
      <c r="AL249" s="86">
        <f>+AJ249+AL250</f>
        <v>0</v>
      </c>
      <c r="AM249" s="86">
        <f>+AL249+AM250</f>
        <v>0</v>
      </c>
      <c r="AN249" s="86">
        <f>+AM249+AN250</f>
        <v>0</v>
      </c>
      <c r="AO249" s="86">
        <f>+AN249+AO250</f>
        <v>0</v>
      </c>
      <c r="AP249" s="85">
        <f>AK249*(1+AP251)</f>
        <v>0</v>
      </c>
      <c r="AQ249" s="86">
        <f>+AO249+AQ250</f>
        <v>0</v>
      </c>
      <c r="AR249" s="86">
        <f>+AQ249+AR250</f>
        <v>0</v>
      </c>
      <c r="AS249" s="86">
        <f>+AR249+AS250</f>
        <v>0</v>
      </c>
      <c r="AT249" s="86">
        <f>+AS249+AT250</f>
        <v>0</v>
      </c>
      <c r="AU249" s="85">
        <f>AP249*(1+AU251)</f>
        <v>0</v>
      </c>
      <c r="AV249" s="86">
        <f>+AT249+AV250</f>
        <v>0</v>
      </c>
      <c r="AW249" s="86">
        <f>+AV249+AW250</f>
        <v>0</v>
      </c>
      <c r="AX249" s="86">
        <f>+AW249+AX250</f>
        <v>0</v>
      </c>
      <c r="AY249" s="86">
        <f>+AX249+AY250</f>
        <v>0</v>
      </c>
      <c r="AZ249" s="85">
        <f>AU249*(1+AZ251)</f>
        <v>0</v>
      </c>
      <c r="BA249" s="86">
        <f>+AY249+BA250</f>
        <v>0</v>
      </c>
      <c r="BB249" s="86">
        <f>+BA249+BB250</f>
        <v>0</v>
      </c>
      <c r="BC249" s="86">
        <f>+BB249+BC250</f>
        <v>0</v>
      </c>
      <c r="BD249" s="86">
        <f>+BC249+BD250</f>
        <v>0</v>
      </c>
      <c r="BE249" s="85">
        <f>AZ249*(1+BE251)</f>
        <v>0</v>
      </c>
      <c r="BF249" s="85">
        <f t="shared" ref="BF249:BJ249" si="605">BE249*(1+BF251)</f>
        <v>0</v>
      </c>
      <c r="BG249" s="85">
        <f t="shared" si="605"/>
        <v>0</v>
      </c>
      <c r="BH249" s="85">
        <f t="shared" si="605"/>
        <v>0</v>
      </c>
      <c r="BI249" s="85">
        <f t="shared" si="605"/>
        <v>0</v>
      </c>
      <c r="BJ249" s="85">
        <f t="shared" si="605"/>
        <v>0</v>
      </c>
      <c r="BK249" s="91"/>
      <c r="BL249" s="87"/>
      <c r="BM249" s="87"/>
      <c r="BN249" s="91"/>
      <c r="BO249" s="91"/>
      <c r="BP249" s="91"/>
      <c r="BR249" s="150"/>
      <c r="BV249" s="91"/>
      <c r="BW249" s="91"/>
      <c r="BX249" s="91"/>
      <c r="BY249" s="91"/>
      <c r="BZ249" s="91"/>
      <c r="CA249" s="91"/>
    </row>
    <row r="250" spans="2:79" s="91" customFormat="1" hidden="1" outlineLevel="1">
      <c r="B250" s="87" t="s">
        <v>104</v>
      </c>
      <c r="C250" s="88">
        <f>+C249-1770</f>
        <v>168</v>
      </c>
      <c r="D250" s="88">
        <f>+D249-C249</f>
        <v>183</v>
      </c>
      <c r="E250" s="88">
        <f>+E249-D249</f>
        <v>173</v>
      </c>
      <c r="F250" s="88">
        <f>+F249-E249</f>
        <v>171</v>
      </c>
      <c r="G250" s="89">
        <f>+SUM(C250:F250)</f>
        <v>695</v>
      </c>
      <c r="H250" s="88">
        <f>+H249-F249</f>
        <v>208</v>
      </c>
      <c r="I250" s="88">
        <f>+I249-H249</f>
        <v>192</v>
      </c>
      <c r="J250" s="88">
        <f>+J249-I249</f>
        <v>188</v>
      </c>
      <c r="K250" s="88">
        <f>+K249-J249</f>
        <v>170</v>
      </c>
      <c r="L250" s="89">
        <f>+L249-G249</f>
        <v>758</v>
      </c>
      <c r="M250" s="88">
        <f>+M249-K249</f>
        <v>231</v>
      </c>
      <c r="N250" s="88">
        <f>+N249-M249</f>
        <v>205</v>
      </c>
      <c r="O250" s="88">
        <f>+O249-N249</f>
        <v>177</v>
      </c>
      <c r="P250" s="88">
        <f>+P249-O249</f>
        <v>147</v>
      </c>
      <c r="Q250" s="89">
        <f>+Q249-L249</f>
        <v>760</v>
      </c>
      <c r="R250" s="88">
        <f>+R249-P249</f>
        <v>181</v>
      </c>
      <c r="S250" s="88">
        <f>+S249-R249</f>
        <v>131</v>
      </c>
      <c r="T250" s="88">
        <f>+T249-S249</f>
        <v>115</v>
      </c>
      <c r="U250" s="88">
        <f>+U249-T249</f>
        <v>89</v>
      </c>
      <c r="V250" s="89">
        <f>+V249-Q249</f>
        <v>516</v>
      </c>
      <c r="W250" s="88">
        <f>+W249-U249</f>
        <v>162</v>
      </c>
      <c r="X250" s="88">
        <f>+X249-W249</f>
        <v>346</v>
      </c>
      <c r="Y250" s="88">
        <f>+Y249-X249</f>
        <v>302</v>
      </c>
      <c r="Z250" s="88">
        <f>+Z249-Y249</f>
        <v>185</v>
      </c>
      <c r="AA250" s="89">
        <f>+AA249-V249</f>
        <v>995</v>
      </c>
      <c r="AB250" s="146"/>
      <c r="AC250" s="90"/>
      <c r="AD250" s="90"/>
      <c r="AE250" s="90"/>
      <c r="AF250" s="89">
        <f>+AF249-AA249</f>
        <v>506</v>
      </c>
      <c r="AG250" s="90"/>
      <c r="AH250" s="90"/>
      <c r="AI250" s="90"/>
      <c r="AJ250" s="90"/>
      <c r="AK250" s="89">
        <f>+AK249-AF249</f>
        <v>-6000</v>
      </c>
      <c r="AL250" s="90"/>
      <c r="AM250" s="90"/>
      <c r="AN250" s="90"/>
      <c r="AO250" s="90"/>
      <c r="AP250" s="89">
        <f>AP249-AK249</f>
        <v>0</v>
      </c>
      <c r="AQ250" s="90"/>
      <c r="AR250" s="90"/>
      <c r="AS250" s="90"/>
      <c r="AT250" s="90"/>
      <c r="AU250" s="89">
        <f>AU249-AP249</f>
        <v>0</v>
      </c>
      <c r="AV250" s="90"/>
      <c r="AW250" s="90"/>
      <c r="AX250" s="90"/>
      <c r="AY250" s="90"/>
      <c r="AZ250" s="89">
        <f>AZ249-AU249</f>
        <v>0</v>
      </c>
      <c r="BA250" s="90"/>
      <c r="BB250" s="90"/>
      <c r="BC250" s="90"/>
      <c r="BD250" s="90"/>
      <c r="BE250" s="89">
        <f>BE249-AZ249</f>
        <v>0</v>
      </c>
      <c r="BF250" s="89">
        <f t="shared" ref="BF250:BJ250" si="606">BF249-BE249</f>
        <v>0</v>
      </c>
      <c r="BG250" s="89">
        <f t="shared" si="606"/>
        <v>0</v>
      </c>
      <c r="BH250" s="89">
        <f t="shared" si="606"/>
        <v>0</v>
      </c>
      <c r="BI250" s="89">
        <f t="shared" si="606"/>
        <v>0</v>
      </c>
      <c r="BJ250" s="89">
        <f t="shared" si="606"/>
        <v>0</v>
      </c>
      <c r="BK250" s="87"/>
      <c r="BL250" s="87"/>
      <c r="BM250" s="87"/>
      <c r="BN250" s="87"/>
      <c r="BO250" s="87"/>
      <c r="BP250" s="87"/>
      <c r="BR250" s="151"/>
      <c r="BV250" s="87"/>
      <c r="BW250" s="87"/>
      <c r="BX250" s="87"/>
      <c r="BY250" s="87"/>
      <c r="BZ250" s="87"/>
      <c r="CA250" s="87"/>
    </row>
    <row r="251" spans="2:79" s="87" customFormat="1" hidden="1" outlineLevel="1">
      <c r="B251" s="87" t="s">
        <v>84</v>
      </c>
      <c r="C251" s="83"/>
      <c r="D251" s="83"/>
      <c r="E251" s="83"/>
      <c r="F251" s="83"/>
      <c r="G251" s="71"/>
      <c r="H251" s="83">
        <f t="shared" ref="H251:AA251" si="607">+H249/C249-1</f>
        <v>0.37925696594427238</v>
      </c>
      <c r="I251" s="83">
        <f t="shared" si="607"/>
        <v>0.35077793493635068</v>
      </c>
      <c r="J251" s="83">
        <f t="shared" si="607"/>
        <v>0.33086312118570183</v>
      </c>
      <c r="K251" s="83">
        <f t="shared" si="607"/>
        <v>0.30750507099391489</v>
      </c>
      <c r="L251" s="71">
        <f t="shared" si="607"/>
        <v>0.30750507099391489</v>
      </c>
      <c r="M251" s="83">
        <f t="shared" si="607"/>
        <v>0.29218106995884763</v>
      </c>
      <c r="N251" s="83">
        <f t="shared" si="607"/>
        <v>0.2771378708551484</v>
      </c>
      <c r="O251" s="83">
        <f t="shared" si="607"/>
        <v>0.2564690468391746</v>
      </c>
      <c r="P251" s="83">
        <f t="shared" si="607"/>
        <v>0.23580515048091844</v>
      </c>
      <c r="Q251" s="71">
        <f t="shared" si="607"/>
        <v>0.23580515048091844</v>
      </c>
      <c r="R251" s="83">
        <f t="shared" si="607"/>
        <v>0.20555877243775322</v>
      </c>
      <c r="S251" s="83">
        <f t="shared" si="607"/>
        <v>0.17381798305547957</v>
      </c>
      <c r="T251" s="83">
        <f t="shared" si="607"/>
        <v>0.14963503649635035</v>
      </c>
      <c r="U251" s="83">
        <f t="shared" si="607"/>
        <v>0.129550590007532</v>
      </c>
      <c r="V251" s="71">
        <f t="shared" si="607"/>
        <v>0.129550590007532</v>
      </c>
      <c r="W251" s="83">
        <f t="shared" si="607"/>
        <v>0.11935638808837656</v>
      </c>
      <c r="X251" s="83">
        <f t="shared" si="607"/>
        <v>0.1657741559953434</v>
      </c>
      <c r="Y251" s="83">
        <f t="shared" si="607"/>
        <v>0.20385487528344681</v>
      </c>
      <c r="Z251" s="83">
        <f t="shared" si="607"/>
        <v>0.22116025783507443</v>
      </c>
      <c r="AA251" s="71">
        <f t="shared" si="607"/>
        <v>0.22116025783507443</v>
      </c>
      <c r="AB251" s="83"/>
      <c r="AC251" s="83"/>
      <c r="AD251" s="83"/>
      <c r="AE251" s="83"/>
      <c r="AF251" s="71">
        <f t="shared" ref="AF251:AK251" si="608">+AF249/AA249-1</f>
        <v>9.2100473243538428E-2</v>
      </c>
      <c r="AG251" s="83" t="e">
        <f t="shared" si="608"/>
        <v>#DIV/0!</v>
      </c>
      <c r="AH251" s="83" t="e">
        <f t="shared" si="608"/>
        <v>#DIV/0!</v>
      </c>
      <c r="AI251" s="83" t="e">
        <f t="shared" si="608"/>
        <v>#DIV/0!</v>
      </c>
      <c r="AJ251" s="83" t="e">
        <f t="shared" si="608"/>
        <v>#DIV/0!</v>
      </c>
      <c r="AK251" s="71">
        <f t="shared" si="608"/>
        <v>-1</v>
      </c>
      <c r="AL251" s="83" t="e">
        <f t="shared" ref="AL251" si="609">+AL249/AG249-1</f>
        <v>#DIV/0!</v>
      </c>
      <c r="AM251" s="83" t="e">
        <f t="shared" ref="AM251" si="610">+AM249/AH249-1</f>
        <v>#DIV/0!</v>
      </c>
      <c r="AN251" s="83" t="e">
        <f t="shared" ref="AN251" si="611">+AN249/AI249-1</f>
        <v>#DIV/0!</v>
      </c>
      <c r="AO251" s="83" t="e">
        <f t="shared" ref="AO251" si="612">+AO249/AJ249-1</f>
        <v>#DIV/0!</v>
      </c>
      <c r="AP251" s="71">
        <f>MAX(AK251-0.01,0.03)</f>
        <v>0.03</v>
      </c>
      <c r="AQ251" s="83" t="e">
        <f t="shared" ref="AQ251:AR251" si="613">+AQ249/AL249-1</f>
        <v>#DIV/0!</v>
      </c>
      <c r="AR251" s="83" t="e">
        <f t="shared" si="613"/>
        <v>#DIV/0!</v>
      </c>
      <c r="AS251" s="83" t="e">
        <f t="shared" ref="AS251" si="614">+AS249/AN249-1</f>
        <v>#DIV/0!</v>
      </c>
      <c r="AT251" s="83" t="e">
        <f t="shared" ref="AT251" si="615">+AT249/AO249-1</f>
        <v>#DIV/0!</v>
      </c>
      <c r="AU251" s="71">
        <f>MAX(AP251-0.01,0.03)</f>
        <v>0.03</v>
      </c>
      <c r="AV251" s="83" t="e">
        <f t="shared" ref="AV251:BD251" si="616">+AV249/AQ249-1</f>
        <v>#DIV/0!</v>
      </c>
      <c r="AW251" s="83" t="e">
        <f t="shared" si="616"/>
        <v>#DIV/0!</v>
      </c>
      <c r="AX251" s="83" t="e">
        <f t="shared" si="616"/>
        <v>#DIV/0!</v>
      </c>
      <c r="AY251" s="83" t="e">
        <f t="shared" si="616"/>
        <v>#DIV/0!</v>
      </c>
      <c r="AZ251" s="71">
        <f>MAX(AU251-0.01,0.03)</f>
        <v>0.03</v>
      </c>
      <c r="BA251" s="83" t="e">
        <f t="shared" si="616"/>
        <v>#DIV/0!</v>
      </c>
      <c r="BB251" s="83" t="e">
        <f t="shared" si="616"/>
        <v>#DIV/0!</v>
      </c>
      <c r="BC251" s="83" t="e">
        <f t="shared" si="616"/>
        <v>#DIV/0!</v>
      </c>
      <c r="BD251" s="83" t="e">
        <f t="shared" si="616"/>
        <v>#DIV/0!</v>
      </c>
      <c r="BE251" s="71">
        <f>MAX(AZ251-0.01,0.03)</f>
        <v>0.03</v>
      </c>
      <c r="BF251" s="71">
        <f t="shared" ref="BF251:BJ251" si="617">MAX(BE251-0.01,0.03)</f>
        <v>0.03</v>
      </c>
      <c r="BG251" s="71">
        <f t="shared" si="617"/>
        <v>0.03</v>
      </c>
      <c r="BH251" s="71">
        <f t="shared" si="617"/>
        <v>0.03</v>
      </c>
      <c r="BI251" s="71">
        <f t="shared" si="617"/>
        <v>0.03</v>
      </c>
      <c r="BJ251" s="71">
        <f t="shared" si="617"/>
        <v>0.03</v>
      </c>
      <c r="BR251" s="148"/>
    </row>
    <row r="252" spans="2:79" s="87" customFormat="1" hidden="1" outlineLevel="1">
      <c r="B252" s="87" t="s">
        <v>85</v>
      </c>
      <c r="C252" s="83"/>
      <c r="D252" s="83">
        <f>+D249/C249-1</f>
        <v>9.4427244582043324E-2</v>
      </c>
      <c r="E252" s="83">
        <f>+E249/D249-1</f>
        <v>8.1565299387081458E-2</v>
      </c>
      <c r="F252" s="83">
        <f>+F249/E249-1</f>
        <v>7.4542284219703658E-2</v>
      </c>
      <c r="G252" s="71"/>
      <c r="H252" s="83">
        <f>+H249/F249-1</f>
        <v>8.4381338742393508E-2</v>
      </c>
      <c r="I252" s="83">
        <f>+I249/H249-1</f>
        <v>7.1829405162738391E-2</v>
      </c>
      <c r="J252" s="83">
        <f>+J249/I249-1</f>
        <v>6.5619546247818406E-2</v>
      </c>
      <c r="K252" s="83">
        <f>+K249/J249-1</f>
        <v>5.5682934818211516E-2</v>
      </c>
      <c r="L252" s="71"/>
      <c r="M252" s="83">
        <f>+M249/K249-1</f>
        <v>7.1672354948805417E-2</v>
      </c>
      <c r="N252" s="83">
        <f>+N249/M249-1</f>
        <v>5.9351476548928694E-2</v>
      </c>
      <c r="O252" s="83">
        <f>+O249/N249-1</f>
        <v>4.8373872642798688E-2</v>
      </c>
      <c r="P252" s="83">
        <f>+P249/O249-1</f>
        <v>3.8321167883211604E-2</v>
      </c>
      <c r="Q252" s="71"/>
      <c r="R252" s="83">
        <f>+R249/P249-1</f>
        <v>4.5443133316595441E-2</v>
      </c>
      <c r="S252" s="83">
        <f>+S249/R249-1</f>
        <v>3.146013448607099E-2</v>
      </c>
      <c r="T252" s="83">
        <f>+T249/S249-1</f>
        <v>2.6775320139697412E-2</v>
      </c>
      <c r="U252" s="83">
        <f>+U249/T249-1</f>
        <v>2.0181405895691507E-2</v>
      </c>
      <c r="V252" s="71"/>
      <c r="W252" s="83">
        <f>+W249/U249-1</f>
        <v>3.6008001778172982E-2</v>
      </c>
      <c r="X252" s="83">
        <f>+X249/W249-1</f>
        <v>7.4232997210899043E-2</v>
      </c>
      <c r="Y252" s="83">
        <f>+Y249/X249-1</f>
        <v>6.0315558218494214E-2</v>
      </c>
      <c r="Z252" s="83">
        <f>+Z249/Y249-1</f>
        <v>3.4846487097381695E-2</v>
      </c>
      <c r="AA252" s="71"/>
      <c r="AB252" s="83"/>
      <c r="AC252" s="83"/>
      <c r="AD252" s="83"/>
      <c r="AE252" s="83"/>
      <c r="AF252" s="71"/>
      <c r="AG252" s="83" t="e">
        <f>+AG249/AE249-1</f>
        <v>#DIV/0!</v>
      </c>
      <c r="AH252" s="83" t="e">
        <f>+AH249/AG249-1</f>
        <v>#DIV/0!</v>
      </c>
      <c r="AI252" s="83" t="e">
        <f>+AI249/AH249-1</f>
        <v>#DIV/0!</v>
      </c>
      <c r="AJ252" s="83" t="e">
        <f>+AJ249/AI249-1</f>
        <v>#DIV/0!</v>
      </c>
      <c r="AK252" s="71"/>
      <c r="AL252" s="83" t="e">
        <f>+AL249/AJ249-1</f>
        <v>#DIV/0!</v>
      </c>
      <c r="AM252" s="83" t="e">
        <f>+AM249/AL249-1</f>
        <v>#DIV/0!</v>
      </c>
      <c r="AN252" s="83" t="e">
        <f>+AN249/AM249-1</f>
        <v>#DIV/0!</v>
      </c>
      <c r="AO252" s="83" t="e">
        <f>+AO249/AN249-1</f>
        <v>#DIV/0!</v>
      </c>
      <c r="AP252" s="71"/>
      <c r="AQ252" s="83" t="e">
        <f>+AQ249/AO249-1</f>
        <v>#DIV/0!</v>
      </c>
      <c r="AR252" s="83" t="e">
        <f>+AR249/AQ249-1</f>
        <v>#DIV/0!</v>
      </c>
      <c r="AS252" s="83" t="e">
        <f>+AS249/AR249-1</f>
        <v>#DIV/0!</v>
      </c>
      <c r="AT252" s="83" t="e">
        <f>+AT249/AS249-1</f>
        <v>#DIV/0!</v>
      </c>
      <c r="AU252" s="71"/>
      <c r="AV252" s="83" t="e">
        <f>+AV249/AT249-1</f>
        <v>#DIV/0!</v>
      </c>
      <c r="AW252" s="83" t="e">
        <f>+AW249/AV249-1</f>
        <v>#DIV/0!</v>
      </c>
      <c r="AX252" s="83" t="e">
        <f>+AX249/AW249-1</f>
        <v>#DIV/0!</v>
      </c>
      <c r="AY252" s="83" t="e">
        <f>+AY249/AX249-1</f>
        <v>#DIV/0!</v>
      </c>
      <c r="AZ252" s="71"/>
      <c r="BA252" s="83" t="e">
        <f>+BA249/AY249-1</f>
        <v>#DIV/0!</v>
      </c>
      <c r="BB252" s="83" t="e">
        <f>+BB249/BA249-1</f>
        <v>#DIV/0!</v>
      </c>
      <c r="BC252" s="83" t="e">
        <f>+BC249/BB249-1</f>
        <v>#DIV/0!</v>
      </c>
      <c r="BD252" s="83" t="e">
        <f>+BD249/BC249-1</f>
        <v>#DIV/0!</v>
      </c>
      <c r="BE252" s="71"/>
      <c r="BF252" s="71"/>
      <c r="BG252" s="71"/>
      <c r="BH252" s="71"/>
      <c r="BI252" s="71"/>
      <c r="BJ252" s="71"/>
      <c r="BR252" s="148"/>
      <c r="BV252" s="77"/>
      <c r="BW252" s="77"/>
      <c r="BX252" s="77"/>
      <c r="BY252" s="77"/>
      <c r="BZ252" s="77"/>
      <c r="CA252" s="77"/>
    </row>
    <row r="253" spans="2:79" s="87" customFormat="1" hidden="1" outlineLevel="1">
      <c r="B253" s="87" t="s">
        <v>116</v>
      </c>
      <c r="C253" s="83">
        <f>+C249/C244</f>
        <v>2.3556295657035892E-2</v>
      </c>
      <c r="D253" s="83">
        <f>+D249/D244</f>
        <v>2.4266346318860477E-2</v>
      </c>
      <c r="E253" s="83">
        <f>+E249/E244</f>
        <v>2.4833827700435188E-2</v>
      </c>
      <c r="F253" s="83">
        <f>+F249/F244</f>
        <v>2.5318665968220709E-2</v>
      </c>
      <c r="G253" s="71"/>
      <c r="H253" s="83">
        <f>+H249/H244</f>
        <v>2.5892632272313386E-2</v>
      </c>
      <c r="I253" s="83">
        <f>+I249/I244</f>
        <v>2.6347492619943166E-2</v>
      </c>
      <c r="J253" s="83">
        <f>+J249/J244</f>
        <v>2.6798802700069346E-2</v>
      </c>
      <c r="K253" s="83">
        <f>+K249/K244</f>
        <v>2.7024081030319291E-2</v>
      </c>
      <c r="L253" s="71"/>
      <c r="M253" s="83">
        <f>+M249/M244</f>
        <v>2.7590283491361063E-2</v>
      </c>
      <c r="N253" s="83">
        <f>+N249/N244</f>
        <v>2.7925542063849437E-2</v>
      </c>
      <c r="O253" s="83">
        <f>+O249/O244</f>
        <v>2.8094742855468806E-2</v>
      </c>
      <c r="P253" s="83">
        <f>+P249/P244</f>
        <v>2.7962847253912199E-2</v>
      </c>
      <c r="Q253" s="71"/>
      <c r="R253" s="96">
        <f>+R249/R244</f>
        <v>2.8066296852988951E-2</v>
      </c>
      <c r="S253" s="96">
        <f>+S249/S244</f>
        <v>2.788254922454703E-2</v>
      </c>
      <c r="T253" s="96">
        <f>+T249/T244</f>
        <v>2.7641450894116321E-2</v>
      </c>
      <c r="U253" s="96">
        <f>+U249/U244</f>
        <v>2.7210431774333046E-2</v>
      </c>
      <c r="V253" s="71"/>
      <c r="W253" s="96">
        <f>+W249/W244</f>
        <v>2.7058878168286369E-2</v>
      </c>
      <c r="X253" s="96">
        <f>+X249/X244</f>
        <v>2.7573863479912988E-2</v>
      </c>
      <c r="Y253" s="96">
        <f>+Y249/Y244</f>
        <v>2.803210306774381E-2</v>
      </c>
      <c r="Z253" s="96">
        <f>+Z249/Z244</f>
        <v>2.7924186899927317E-2</v>
      </c>
      <c r="AA253" s="71"/>
      <c r="AB253" s="96"/>
      <c r="AC253" s="96"/>
      <c r="AD253" s="96"/>
      <c r="AE253" s="96"/>
      <c r="AF253" s="71"/>
      <c r="AG253" s="96" t="e">
        <f>+AG249/AG244</f>
        <v>#DIV/0!</v>
      </c>
      <c r="AH253" s="96" t="e">
        <f>+AH249/AH244</f>
        <v>#DIV/0!</v>
      </c>
      <c r="AI253" s="96" t="e">
        <f>+AI249/AI244</f>
        <v>#DIV/0!</v>
      </c>
      <c r="AJ253" s="96" t="e">
        <f>+AJ249/AJ244</f>
        <v>#DIV/0!</v>
      </c>
      <c r="AK253" s="71"/>
      <c r="AL253" s="96" t="e">
        <f>+AL249/AL244</f>
        <v>#DIV/0!</v>
      </c>
      <c r="AM253" s="96" t="e">
        <f>+AM249/AM244</f>
        <v>#DIV/0!</v>
      </c>
      <c r="AN253" s="96" t="e">
        <f>+AN249/AN244</f>
        <v>#DIV/0!</v>
      </c>
      <c r="AO253" s="96" t="e">
        <f>+AO249/AO244</f>
        <v>#DIV/0!</v>
      </c>
      <c r="AP253" s="71"/>
      <c r="AQ253" s="96" t="e">
        <f>+AQ249/AQ244</f>
        <v>#DIV/0!</v>
      </c>
      <c r="AR253" s="96" t="e">
        <f>+AR249/AR244</f>
        <v>#DIV/0!</v>
      </c>
      <c r="AS253" s="96" t="e">
        <f>+AS249/AS244</f>
        <v>#DIV/0!</v>
      </c>
      <c r="AT253" s="96" t="e">
        <f>+AT249/AT244</f>
        <v>#DIV/0!</v>
      </c>
      <c r="AU253" s="71"/>
      <c r="AV253" s="96" t="e">
        <f>+AV249/AV244</f>
        <v>#DIV/0!</v>
      </c>
      <c r="AW253" s="96" t="e">
        <f>+AW249/AW244</f>
        <v>#DIV/0!</v>
      </c>
      <c r="AX253" s="96" t="e">
        <f>+AX249/AX244</f>
        <v>#DIV/0!</v>
      </c>
      <c r="AY253" s="96" t="e">
        <f>+AY249/AY244</f>
        <v>#DIV/0!</v>
      </c>
      <c r="AZ253" s="71"/>
      <c r="BA253" s="96" t="e">
        <f>+BA249/BA244</f>
        <v>#DIV/0!</v>
      </c>
      <c r="BB253" s="96" t="e">
        <f>+BB249/BB244</f>
        <v>#DIV/0!</v>
      </c>
      <c r="BC253" s="96" t="e">
        <f>+BC249/BC244</f>
        <v>#DIV/0!</v>
      </c>
      <c r="BD253" s="96" t="e">
        <f>+BD249/BD244</f>
        <v>#DIV/0!</v>
      </c>
      <c r="BE253" s="71"/>
      <c r="BF253" s="71"/>
      <c r="BG253" s="71"/>
      <c r="BH253" s="71"/>
      <c r="BI253" s="71"/>
      <c r="BJ253" s="71"/>
      <c r="BL253" s="45"/>
      <c r="BM253" s="45"/>
      <c r="BR253" s="148"/>
      <c r="BV253" s="77"/>
      <c r="BW253" s="77"/>
      <c r="BX253" s="77"/>
      <c r="BY253" s="77"/>
      <c r="BZ253" s="77"/>
      <c r="CA253" s="77"/>
    </row>
    <row r="254" spans="2:79" s="87" customFormat="1" hidden="1" outlineLevel="1">
      <c r="C254" s="83"/>
      <c r="D254" s="83"/>
      <c r="E254" s="83"/>
      <c r="F254" s="83"/>
      <c r="G254" s="71"/>
      <c r="H254" s="83"/>
      <c r="I254" s="83"/>
      <c r="J254" s="83"/>
      <c r="K254" s="83"/>
      <c r="L254" s="71"/>
      <c r="M254" s="83"/>
      <c r="N254" s="83"/>
      <c r="O254" s="83"/>
      <c r="P254" s="83"/>
      <c r="Q254" s="71"/>
      <c r="R254" s="83"/>
      <c r="S254" s="83"/>
      <c r="T254" s="83"/>
      <c r="U254" s="83"/>
      <c r="V254" s="71"/>
      <c r="W254" s="83"/>
      <c r="X254" s="83"/>
      <c r="Y254" s="83"/>
      <c r="Z254" s="83"/>
      <c r="AA254" s="71"/>
      <c r="AB254" s="83"/>
      <c r="AC254" s="83"/>
      <c r="AD254" s="83"/>
      <c r="AE254" s="83"/>
      <c r="AF254" s="71"/>
      <c r="AG254" s="83"/>
      <c r="AH254" s="83"/>
      <c r="AI254" s="83"/>
      <c r="AJ254" s="83"/>
      <c r="AK254" s="71"/>
      <c r="AL254" s="83"/>
      <c r="AM254" s="83"/>
      <c r="AN254" s="83"/>
      <c r="AO254" s="83"/>
      <c r="AP254" s="71"/>
      <c r="AQ254" s="83"/>
      <c r="AR254" s="83"/>
      <c r="AS254" s="83"/>
      <c r="AT254" s="83"/>
      <c r="AU254" s="71"/>
      <c r="AV254" s="83"/>
      <c r="AW254" s="83"/>
      <c r="AX254" s="83"/>
      <c r="AY254" s="83"/>
      <c r="AZ254" s="71"/>
      <c r="BA254" s="83"/>
      <c r="BB254" s="83"/>
      <c r="BC254" s="83"/>
      <c r="BD254" s="83"/>
      <c r="BE254" s="71"/>
      <c r="BF254" s="71"/>
      <c r="BG254" s="71"/>
      <c r="BH254" s="71"/>
      <c r="BI254" s="71"/>
      <c r="BJ254" s="71"/>
      <c r="BL254" s="45"/>
      <c r="BM254" s="45"/>
      <c r="BR254" s="148"/>
      <c r="BV254" s="91"/>
      <c r="BW254" s="91"/>
      <c r="BX254" s="91"/>
      <c r="BY254" s="91"/>
      <c r="BZ254" s="91"/>
      <c r="CA254" s="91"/>
    </row>
    <row r="255" spans="2:79" s="87" customFormat="1" hidden="1" outlineLevel="1">
      <c r="B255" s="76" t="s">
        <v>133</v>
      </c>
      <c r="C255" s="83"/>
      <c r="D255" s="86">
        <f>D244-C244</f>
        <v>5134</v>
      </c>
      <c r="E255" s="86">
        <f>E244-D244</f>
        <v>4969</v>
      </c>
      <c r="F255" s="86">
        <f>F244-E244</f>
        <v>4985</v>
      </c>
      <c r="G255" s="71"/>
      <c r="H255" s="86">
        <f>H244-G244</f>
        <v>5875</v>
      </c>
      <c r="I255" s="86">
        <f>I244-H244</f>
        <v>5505</v>
      </c>
      <c r="J255" s="86">
        <f>J244-I244</f>
        <v>5184</v>
      </c>
      <c r="K255" s="86">
        <f>K244-J244</f>
        <v>5341</v>
      </c>
      <c r="L255" s="71"/>
      <c r="M255" s="86">
        <f>M244-L244</f>
        <v>5925</v>
      </c>
      <c r="N255" s="86">
        <f>N244-M244</f>
        <v>5838</v>
      </c>
      <c r="O255" s="86">
        <f>O244-N244</f>
        <v>5511</v>
      </c>
      <c r="P255" s="86">
        <f>P244-O244</f>
        <v>5901</v>
      </c>
      <c r="Q255" s="71"/>
      <c r="R255" s="86">
        <f>R244-Q244</f>
        <v>5924</v>
      </c>
      <c r="S255" s="86">
        <f>S244-R244</f>
        <v>5676</v>
      </c>
      <c r="T255" s="86">
        <f>T244-S244</f>
        <v>5504</v>
      </c>
      <c r="U255" s="86">
        <f>U244-T244</f>
        <v>5798</v>
      </c>
      <c r="V255" s="71"/>
      <c r="W255" s="86">
        <f>W244-U244</f>
        <v>6913</v>
      </c>
      <c r="X255" s="86">
        <f>X244-W244</f>
        <v>9331</v>
      </c>
      <c r="Y255" s="86">
        <f>Y244-X244</f>
        <v>7805</v>
      </c>
      <c r="Z255" s="86">
        <f>Z244-Y244</f>
        <v>7357</v>
      </c>
      <c r="AA255" s="71"/>
      <c r="AB255" s="86"/>
      <c r="AC255" s="86"/>
      <c r="AD255" s="86"/>
      <c r="AE255" s="86"/>
      <c r="AF255" s="71"/>
      <c r="AG255" s="96"/>
      <c r="AH255" s="83"/>
      <c r="AI255" s="83"/>
      <c r="AJ255" s="83"/>
      <c r="AK255" s="71"/>
      <c r="AL255" s="96"/>
      <c r="AM255" s="83"/>
      <c r="AN255" s="83"/>
      <c r="AO255" s="83"/>
      <c r="AP255" s="71"/>
      <c r="AQ255" s="83"/>
      <c r="AR255" s="83"/>
      <c r="AS255" s="83"/>
      <c r="AT255" s="83"/>
      <c r="AU255" s="71"/>
      <c r="AV255" s="83"/>
      <c r="AW255" s="83"/>
      <c r="AX255" s="83"/>
      <c r="AY255" s="83"/>
      <c r="AZ255" s="71"/>
      <c r="BA255" s="83"/>
      <c r="BB255" s="83"/>
      <c r="BC255" s="83"/>
      <c r="BD255" s="83"/>
      <c r="BE255" s="71"/>
      <c r="BF255" s="71"/>
      <c r="BG255" s="71"/>
      <c r="BH255" s="71"/>
      <c r="BI255" s="71"/>
      <c r="BJ255" s="71"/>
      <c r="BL255" s="45"/>
      <c r="BM255" s="45"/>
      <c r="BR255" s="148"/>
    </row>
    <row r="256" spans="2:79" s="87" customFormat="1" hidden="1" outlineLevel="1">
      <c r="B256" s="76" t="s">
        <v>132</v>
      </c>
      <c r="C256" s="86"/>
      <c r="D256" s="86">
        <f>D249-C249</f>
        <v>183</v>
      </c>
      <c r="E256" s="86">
        <f>E249-D249</f>
        <v>173</v>
      </c>
      <c r="F256" s="86">
        <f>F249-E249</f>
        <v>171</v>
      </c>
      <c r="G256" s="71"/>
      <c r="H256" s="86">
        <f>H249-G249</f>
        <v>208</v>
      </c>
      <c r="I256" s="86">
        <f>I249-H249</f>
        <v>192</v>
      </c>
      <c r="J256" s="86">
        <f>J249-I249</f>
        <v>188</v>
      </c>
      <c r="K256" s="86">
        <f>K249-J249</f>
        <v>170</v>
      </c>
      <c r="L256" s="71"/>
      <c r="M256" s="86">
        <f>M249-L249</f>
        <v>231</v>
      </c>
      <c r="N256" s="86">
        <f>N249-M249</f>
        <v>205</v>
      </c>
      <c r="O256" s="86">
        <f>O249-N249</f>
        <v>177</v>
      </c>
      <c r="P256" s="86">
        <f>P249-O249</f>
        <v>147</v>
      </c>
      <c r="Q256" s="71"/>
      <c r="R256" s="86">
        <f>R249-Q249</f>
        <v>181</v>
      </c>
      <c r="S256" s="86">
        <f>S249-R249</f>
        <v>131</v>
      </c>
      <c r="T256" s="86">
        <f>T249-S249</f>
        <v>115</v>
      </c>
      <c r="U256" s="86">
        <f>U249-T249</f>
        <v>89</v>
      </c>
      <c r="V256" s="71"/>
      <c r="W256" s="86">
        <f>W249-U249</f>
        <v>162</v>
      </c>
      <c r="X256" s="86">
        <f>X249-W249</f>
        <v>346</v>
      </c>
      <c r="Y256" s="86">
        <f>Y249-X249</f>
        <v>302</v>
      </c>
      <c r="Z256" s="86">
        <f>Z249-Y249</f>
        <v>185</v>
      </c>
      <c r="AA256" s="71"/>
      <c r="AB256" s="83"/>
      <c r="AC256" s="83"/>
      <c r="AD256" s="83"/>
      <c r="AE256" s="83"/>
      <c r="AF256" s="71"/>
      <c r="AG256" s="83"/>
      <c r="AH256" s="83"/>
      <c r="AI256" s="83"/>
      <c r="AJ256" s="83"/>
      <c r="AK256" s="71"/>
      <c r="AL256" s="83"/>
      <c r="AM256" s="83"/>
      <c r="AN256" s="83"/>
      <c r="AO256" s="83"/>
      <c r="AP256" s="71"/>
      <c r="AQ256" s="83"/>
      <c r="AR256" s="83"/>
      <c r="AS256" s="83"/>
      <c r="AT256" s="83"/>
      <c r="AU256" s="71"/>
      <c r="AV256" s="83"/>
      <c r="AW256" s="83"/>
      <c r="AX256" s="83"/>
      <c r="AY256" s="83"/>
      <c r="AZ256" s="71"/>
      <c r="BA256" s="83"/>
      <c r="BB256" s="83"/>
      <c r="BC256" s="83"/>
      <c r="BD256" s="83"/>
      <c r="BE256" s="71"/>
      <c r="BF256" s="71"/>
      <c r="BG256" s="71"/>
      <c r="BH256" s="71"/>
      <c r="BI256" s="71"/>
      <c r="BJ256" s="71"/>
      <c r="BL256" s="45"/>
      <c r="BM256" s="45"/>
      <c r="BR256" s="148"/>
    </row>
    <row r="257" spans="2:79" s="87" customFormat="1" hidden="1" outlineLevel="1">
      <c r="B257" s="76" t="s">
        <v>134</v>
      </c>
      <c r="C257" s="83"/>
      <c r="D257" s="96">
        <f>D256/D255</f>
        <v>3.5644721464744837E-2</v>
      </c>
      <c r="E257" s="96">
        <f>E256/E255</f>
        <v>3.4815858321593882E-2</v>
      </c>
      <c r="F257" s="96">
        <f>F256/F255</f>
        <v>3.4302908726178534E-2</v>
      </c>
      <c r="G257" s="71"/>
      <c r="H257" s="96">
        <f>H256/H255</f>
        <v>3.5404255319148939E-2</v>
      </c>
      <c r="I257" s="96">
        <f>I256/I255</f>
        <v>3.4877384196185288E-2</v>
      </c>
      <c r="J257" s="96">
        <f>J256/J255</f>
        <v>3.6265432098765434E-2</v>
      </c>
      <c r="K257" s="96">
        <f>K256/K255</f>
        <v>3.1829245459651753E-2</v>
      </c>
      <c r="L257" s="71"/>
      <c r="M257" s="96">
        <f>M256/M255</f>
        <v>3.89873417721519E-2</v>
      </c>
      <c r="N257" s="96">
        <f>N256/N255</f>
        <v>3.511476533059267E-2</v>
      </c>
      <c r="O257" s="96">
        <f>O256/O255</f>
        <v>3.2117583015786606E-2</v>
      </c>
      <c r="P257" s="96">
        <f>P256/P255</f>
        <v>2.491103202846975E-2</v>
      </c>
      <c r="Q257" s="71"/>
      <c r="R257" s="96">
        <f>R256/R255</f>
        <v>3.0553679945982445E-2</v>
      </c>
      <c r="S257" s="96">
        <f>S256/S255</f>
        <v>2.3079633544749824E-2</v>
      </c>
      <c r="T257" s="96">
        <f>T256/T255</f>
        <v>2.0893895348837208E-2</v>
      </c>
      <c r="U257" s="96">
        <f>U256/U255</f>
        <v>1.5350120731286651E-2</v>
      </c>
      <c r="V257" s="71"/>
      <c r="W257" s="96">
        <f>W256/W255</f>
        <v>2.3434109648488355E-2</v>
      </c>
      <c r="X257" s="96">
        <f>X256/X255</f>
        <v>3.7080698746115102E-2</v>
      </c>
      <c r="Y257" s="96">
        <f>Y256/Y255</f>
        <v>3.8693145419602816E-2</v>
      </c>
      <c r="Z257" s="96">
        <f>Z256/Z255</f>
        <v>2.5146119342123147E-2</v>
      </c>
      <c r="AA257" s="71"/>
      <c r="AB257" s="83"/>
      <c r="AC257" s="83"/>
      <c r="AD257" s="83"/>
      <c r="AE257" s="83"/>
      <c r="AF257" s="71"/>
      <c r="AG257" s="83"/>
      <c r="AH257" s="83"/>
      <c r="AI257" s="83"/>
      <c r="AJ257" s="83"/>
      <c r="AK257" s="71"/>
      <c r="AL257" s="83"/>
      <c r="AM257" s="83"/>
      <c r="AN257" s="83"/>
      <c r="AO257" s="83"/>
      <c r="AP257" s="71"/>
      <c r="AQ257" s="83"/>
      <c r="AR257" s="83"/>
      <c r="AS257" s="83"/>
      <c r="AT257" s="83"/>
      <c r="AU257" s="71"/>
      <c r="AV257" s="83"/>
      <c r="AW257" s="83"/>
      <c r="AX257" s="83"/>
      <c r="AY257" s="83"/>
      <c r="AZ257" s="71"/>
      <c r="BA257" s="83"/>
      <c r="BB257" s="83"/>
      <c r="BC257" s="83"/>
      <c r="BD257" s="83"/>
      <c r="BE257" s="71"/>
      <c r="BF257" s="71"/>
      <c r="BG257" s="71"/>
      <c r="BH257" s="71"/>
      <c r="BI257" s="71"/>
      <c r="BJ257" s="71"/>
      <c r="BL257" s="45"/>
      <c r="BM257" s="45"/>
      <c r="BR257" s="148"/>
    </row>
    <row r="258" spans="2:79" s="87" customFormat="1" hidden="1" outlineLevel="1">
      <c r="C258" s="83"/>
      <c r="D258" s="83"/>
      <c r="E258" s="83"/>
      <c r="F258" s="83"/>
      <c r="G258" s="71"/>
      <c r="H258" s="83"/>
      <c r="I258" s="83"/>
      <c r="J258" s="83"/>
      <c r="K258" s="83"/>
      <c r="L258" s="71"/>
      <c r="M258" s="83"/>
      <c r="N258" s="83"/>
      <c r="O258" s="83"/>
      <c r="P258" s="83"/>
      <c r="Q258" s="71"/>
      <c r="R258" s="83"/>
      <c r="S258" s="83"/>
      <c r="T258" s="83"/>
      <c r="U258" s="83"/>
      <c r="V258" s="71"/>
      <c r="W258" s="83"/>
      <c r="X258" s="83"/>
      <c r="Y258" s="97"/>
      <c r="Z258" s="83"/>
      <c r="AA258" s="71"/>
      <c r="AB258" s="55"/>
      <c r="AC258" s="55"/>
      <c r="AD258" s="55"/>
      <c r="AE258" s="55"/>
      <c r="AF258" s="71"/>
      <c r="AG258" s="83"/>
      <c r="AH258" s="83"/>
      <c r="AI258" s="83"/>
      <c r="AJ258" s="97"/>
      <c r="AK258" s="54"/>
      <c r="AL258" s="83"/>
      <c r="AM258" s="83"/>
      <c r="AN258" s="83"/>
      <c r="AO258" s="97"/>
      <c r="AP258" s="54"/>
      <c r="AQ258" s="83"/>
      <c r="AR258" s="83"/>
      <c r="AS258" s="83"/>
      <c r="AT258" s="97"/>
      <c r="AU258" s="54"/>
      <c r="AV258" s="83"/>
      <c r="AW258" s="83"/>
      <c r="AX258" s="83"/>
      <c r="AY258" s="83"/>
      <c r="AZ258" s="54"/>
      <c r="BA258" s="83"/>
      <c r="BB258" s="83"/>
      <c r="BC258" s="83"/>
      <c r="BD258" s="83"/>
      <c r="BE258" s="54"/>
      <c r="BF258" s="54"/>
      <c r="BG258" s="54"/>
      <c r="BH258" s="54"/>
      <c r="BI258" s="54"/>
      <c r="BJ258" s="54"/>
      <c r="BK258" s="45"/>
      <c r="BL258" s="76"/>
      <c r="BM258" s="76"/>
      <c r="BN258" s="45"/>
      <c r="BO258" s="45"/>
      <c r="BP258" s="45"/>
      <c r="BR258" s="148"/>
    </row>
    <row r="259" spans="2:79" hidden="1" outlineLevel="1">
      <c r="B259" s="45" t="s">
        <v>170</v>
      </c>
      <c r="G259" s="71"/>
      <c r="L259" s="71"/>
      <c r="M259" s="130">
        <f>((M136*1000)/M249)/3</f>
        <v>13.699575371549892</v>
      </c>
      <c r="N259" s="130">
        <f>((N136*1000)/N249)/3</f>
        <v>12.813245877744373</v>
      </c>
      <c r="O259" s="130">
        <f>((O136*1000)/O249)/3</f>
        <v>12.325773375043449</v>
      </c>
      <c r="P259" s="130">
        <f>((P136*1000)/P249)/3</f>
        <v>13.027701062850447</v>
      </c>
      <c r="Q259" s="71"/>
      <c r="R259" s="130">
        <f>((R136*1000)/R249)/3</f>
        <v>14.160502721741915</v>
      </c>
      <c r="S259" s="130">
        <f>((S136*1000)/S249)/3</f>
        <v>13.231897555296856</v>
      </c>
      <c r="T259" s="130">
        <f>((T136*1000)/T249)/3</f>
        <v>13.119501133786848</v>
      </c>
      <c r="U259" s="130">
        <f>((U136*1000)/U249)/3</f>
        <v>14.136845224864786</v>
      </c>
      <c r="V259" s="71"/>
      <c r="W259" s="130">
        <f>((W136*1000)/W249)/3</f>
        <v>14.932203389830507</v>
      </c>
      <c r="X259" s="130">
        <f>((X136*1000)/X249)/3</f>
        <v>14.49277677917582</v>
      </c>
      <c r="Y259" s="130">
        <f>((Y136*1000)/Y249)/3</f>
        <v>14.335844791862876</v>
      </c>
      <c r="Z259" s="130">
        <f>((Z136*1000)/Z249)/3</f>
        <v>14.344132993568742</v>
      </c>
      <c r="AA259" s="71"/>
      <c r="AB259" s="130"/>
      <c r="AC259" s="130"/>
      <c r="AD259" s="130"/>
      <c r="AE259" s="130"/>
      <c r="AF259" s="71"/>
      <c r="AG259" s="130" t="e">
        <f>((AG136*1000)/AG249)/3</f>
        <v>#DIV/0!</v>
      </c>
      <c r="AH259" s="130" t="e">
        <f>((AH136*1000)/AH249)/3</f>
        <v>#DIV/0!</v>
      </c>
      <c r="AI259" s="130" t="e">
        <f>((AI136*1000)/AI249)/3</f>
        <v>#DIV/0!</v>
      </c>
      <c r="AJ259" s="130" t="e">
        <f>((AJ136*1000)/AJ249)/3</f>
        <v>#DIV/0!</v>
      </c>
      <c r="AK259" s="54"/>
      <c r="AL259" s="130" t="e">
        <f>((AL136*1000)/AL249)/3</f>
        <v>#DIV/0!</v>
      </c>
      <c r="AM259" s="130" t="e">
        <f>((AM136*1000)/AM249)/3</f>
        <v>#DIV/0!</v>
      </c>
      <c r="AN259" s="130" t="e">
        <f>((AN136*1000)/AN249)/3</f>
        <v>#DIV/0!</v>
      </c>
      <c r="AO259" s="130" t="e">
        <f>((AO136*1000)/AO249)/3</f>
        <v>#DIV/0!</v>
      </c>
      <c r="AP259" s="54"/>
      <c r="AQ259" s="130" t="e">
        <f>((AQ136*1000)/AQ249)/3</f>
        <v>#DIV/0!</v>
      </c>
      <c r="AR259" s="130" t="e">
        <f>((AR136*1000)/AR249)/3</f>
        <v>#DIV/0!</v>
      </c>
      <c r="AS259" s="130" t="e">
        <f>((AS136*1000)/AS249)/3</f>
        <v>#DIV/0!</v>
      </c>
      <c r="AT259" s="130" t="e">
        <f>((AT136*1000)/AT249)/3</f>
        <v>#DIV/0!</v>
      </c>
      <c r="AU259" s="54"/>
      <c r="AV259" s="130" t="e">
        <f>((AV136*1000)/AV249)/3</f>
        <v>#DIV/0!</v>
      </c>
      <c r="AW259" s="130" t="e">
        <f>((AW136*1000)/AW249)/3</f>
        <v>#DIV/0!</v>
      </c>
      <c r="AX259" s="130" t="e">
        <f>((AX136*1000)/AX249)/3</f>
        <v>#DIV/0!</v>
      </c>
      <c r="AY259" s="130" t="e">
        <f>((AY136*1000)/AY249)/3</f>
        <v>#DIV/0!</v>
      </c>
      <c r="AZ259" s="54"/>
      <c r="BA259" s="130" t="e">
        <f>((BA136*1000)/BA249)/3</f>
        <v>#DIV/0!</v>
      </c>
      <c r="BB259" s="130" t="e">
        <f>((BB136*1000)/BB249)/3</f>
        <v>#DIV/0!</v>
      </c>
      <c r="BC259" s="130" t="e">
        <f>((BC136*1000)/BC249)/3</f>
        <v>#DIV/0!</v>
      </c>
      <c r="BD259" s="130" t="e">
        <f>((BD136*1000)/BD249)/3</f>
        <v>#DIV/0!</v>
      </c>
      <c r="BE259" s="54"/>
      <c r="BF259" s="54"/>
      <c r="BG259" s="54"/>
      <c r="BH259" s="54"/>
      <c r="BI259" s="54"/>
      <c r="BJ259" s="54"/>
      <c r="BL259" s="100"/>
      <c r="BM259" s="77"/>
      <c r="BV259" s="87"/>
      <c r="BW259" s="87"/>
      <c r="BX259" s="87"/>
      <c r="BY259" s="87"/>
      <c r="BZ259" s="87"/>
      <c r="CA259" s="87"/>
    </row>
    <row r="260" spans="2:79" hidden="1" outlineLevel="1">
      <c r="B260" s="45" t="s">
        <v>84</v>
      </c>
      <c r="G260" s="71"/>
      <c r="L260" s="71"/>
      <c r="Q260" s="71"/>
      <c r="R260" s="53">
        <f>R259/M259-1</f>
        <v>3.3645374961711383E-2</v>
      </c>
      <c r="S260" s="53">
        <f t="shared" ref="S260" si="618">S259/N259-1</f>
        <v>3.2673350807982837E-2</v>
      </c>
      <c r="T260" s="53">
        <f t="shared" ref="T260" si="619">T259/O259-1</f>
        <v>6.4395777416327959E-2</v>
      </c>
      <c r="U260" s="53">
        <f t="shared" ref="U260" si="620">U259/P259-1</f>
        <v>8.5137366651523383E-2</v>
      </c>
      <c r="V260" s="71"/>
      <c r="W260" s="53">
        <f>W259/R259-1</f>
        <v>5.4496699958521244E-2</v>
      </c>
      <c r="X260" s="53">
        <f t="shared" ref="X260:Z260" si="621">X259/S259-1</f>
        <v>9.5290884667877718E-2</v>
      </c>
      <c r="Y260" s="53">
        <f t="shared" si="621"/>
        <v>9.2712645524574144E-2</v>
      </c>
      <c r="Z260" s="53">
        <f t="shared" si="621"/>
        <v>1.4662943917598037E-2</v>
      </c>
      <c r="AA260" s="71"/>
      <c r="AB260" s="53"/>
      <c r="AC260" s="53"/>
      <c r="AD260" s="53"/>
      <c r="AE260" s="53"/>
      <c r="AF260" s="71"/>
      <c r="AG260" s="53" t="e">
        <f>AG259/AB259-1</f>
        <v>#DIV/0!</v>
      </c>
      <c r="AH260" s="53" t="e">
        <f t="shared" ref="AH260" si="622">AH259/AC259-1</f>
        <v>#DIV/0!</v>
      </c>
      <c r="AI260" s="53" t="e">
        <f t="shared" ref="AI260" si="623">AI259/AD259-1</f>
        <v>#DIV/0!</v>
      </c>
      <c r="AJ260" s="53" t="e">
        <f t="shared" ref="AJ260" si="624">AJ259/AE259-1</f>
        <v>#DIV/0!</v>
      </c>
      <c r="AK260" s="54"/>
      <c r="AL260" s="53" t="e">
        <f>AL259/AG259-1</f>
        <v>#DIV/0!</v>
      </c>
      <c r="AM260" s="53" t="e">
        <f t="shared" ref="AM260" si="625">AM259/AH259-1</f>
        <v>#DIV/0!</v>
      </c>
      <c r="AN260" s="53" t="e">
        <f t="shared" ref="AN260" si="626">AN259/AI259-1</f>
        <v>#DIV/0!</v>
      </c>
      <c r="AO260" s="53" t="e">
        <f t="shared" ref="AO260" si="627">AO259/AJ259-1</f>
        <v>#DIV/0!</v>
      </c>
      <c r="AP260" s="54"/>
      <c r="AQ260" s="53" t="e">
        <f t="shared" ref="AQ260:AR260" si="628">AQ259/AL259-1</f>
        <v>#DIV/0!</v>
      </c>
      <c r="AR260" s="53" t="e">
        <f t="shared" si="628"/>
        <v>#DIV/0!</v>
      </c>
      <c r="AS260" s="53" t="e">
        <f t="shared" ref="AS260" si="629">AS259/AN259-1</f>
        <v>#DIV/0!</v>
      </c>
      <c r="AT260" s="53" t="e">
        <f t="shared" ref="AT260" si="630">AT259/AO259-1</f>
        <v>#DIV/0!</v>
      </c>
      <c r="AU260" s="54"/>
      <c r="AV260" s="53" t="e">
        <f t="shared" ref="AV260:BD260" si="631">AV259/AQ259-1</f>
        <v>#DIV/0!</v>
      </c>
      <c r="AW260" s="53" t="e">
        <f t="shared" si="631"/>
        <v>#DIV/0!</v>
      </c>
      <c r="AX260" s="53" t="e">
        <f t="shared" si="631"/>
        <v>#DIV/0!</v>
      </c>
      <c r="AY260" s="53" t="e">
        <f t="shared" si="631"/>
        <v>#DIV/0!</v>
      </c>
      <c r="AZ260" s="54"/>
      <c r="BA260" s="53" t="e">
        <f t="shared" si="631"/>
        <v>#DIV/0!</v>
      </c>
      <c r="BB260" s="53" t="e">
        <f t="shared" si="631"/>
        <v>#DIV/0!</v>
      </c>
      <c r="BC260" s="53" t="e">
        <f t="shared" si="631"/>
        <v>#DIV/0!</v>
      </c>
      <c r="BD260" s="53" t="e">
        <f t="shared" si="631"/>
        <v>#DIV/0!</v>
      </c>
      <c r="BE260" s="54"/>
      <c r="BF260" s="54"/>
      <c r="BG260" s="54"/>
      <c r="BH260" s="54"/>
      <c r="BI260" s="54"/>
      <c r="BJ260" s="54"/>
      <c r="BL260" s="87"/>
      <c r="BM260" s="87"/>
      <c r="BV260" s="87"/>
      <c r="BW260" s="87"/>
      <c r="BX260" s="87"/>
      <c r="BY260" s="87"/>
      <c r="BZ260" s="87"/>
      <c r="CA260" s="87"/>
    </row>
    <row r="261" spans="2:79" hidden="1" outlineLevel="1">
      <c r="B261" s="45" t="s">
        <v>169</v>
      </c>
      <c r="G261" s="71"/>
      <c r="L261" s="71"/>
      <c r="M261" s="130">
        <f>((M157*1000)/M249)/3</f>
        <v>1.70816444701795</v>
      </c>
      <c r="N261" s="130">
        <f>((N157*1000)/N249)/3</f>
        <v>1.7531201603352464</v>
      </c>
      <c r="O261" s="130">
        <f>((O157*1000)/O249)/3</f>
        <v>1.8189085853319431</v>
      </c>
      <c r="P261" s="130">
        <f>((P157*1000)/P249)/3</f>
        <v>1.7064189471922335</v>
      </c>
      <c r="Q261" s="71"/>
      <c r="R261" s="130">
        <f>((R157*1000)/R249)/3</f>
        <v>1.8800832532821004</v>
      </c>
      <c r="S261" s="130">
        <f>((S157*1000)/S249)/3</f>
        <v>2.2561117578579744</v>
      </c>
      <c r="T261" s="130">
        <f>((T157*1000)/T249)/3</f>
        <v>2.440589569160998</v>
      </c>
      <c r="U261" s="130">
        <f>((U157*1000)/U249)/3</f>
        <v>2.6582203452619102</v>
      </c>
      <c r="V261" s="71"/>
      <c r="W261" s="130">
        <f>((W157*1000)/W249)/3</f>
        <v>2.8649789029535864</v>
      </c>
      <c r="X261" s="130">
        <f>((X157*1000)/X249)/3</f>
        <v>3.2058451501231606</v>
      </c>
      <c r="Y261" s="130">
        <f>((Y157*1000)/Y249)/3</f>
        <v>3.3034469768317951</v>
      </c>
      <c r="Z261" s="130">
        <f>((Z157*1000)/Z249)/3</f>
        <v>4.2446911782550663</v>
      </c>
      <c r="AA261" s="71"/>
      <c r="AB261" s="130"/>
      <c r="AC261" s="130"/>
      <c r="AD261" s="130"/>
      <c r="AE261" s="130"/>
      <c r="AF261" s="71"/>
      <c r="AG261" s="130" t="e">
        <f>((AG157*1000)/AG249)/3</f>
        <v>#DIV/0!</v>
      </c>
      <c r="AH261" s="130" t="e">
        <f>((AH157*1000)/AH249)/3</f>
        <v>#DIV/0!</v>
      </c>
      <c r="AI261" s="130" t="e">
        <f>((AI157*1000)/AI249)/3</f>
        <v>#DIV/0!</v>
      </c>
      <c r="AJ261" s="130" t="e">
        <f>((AJ157*1000)/AJ249)/3</f>
        <v>#DIV/0!</v>
      </c>
      <c r="AK261" s="54"/>
      <c r="AL261" s="130" t="e">
        <f>((AL157*1000)/AL249)/3</f>
        <v>#DIV/0!</v>
      </c>
      <c r="AM261" s="130" t="e">
        <f>((AM157*1000)/AM249)/3</f>
        <v>#DIV/0!</v>
      </c>
      <c r="AN261" s="130" t="e">
        <f>((AN157*1000)/AN249)/3</f>
        <v>#DIV/0!</v>
      </c>
      <c r="AO261" s="130" t="e">
        <f>((AO157*1000)/AO249)/3</f>
        <v>#DIV/0!</v>
      </c>
      <c r="AP261" s="54"/>
      <c r="AQ261" s="130" t="e">
        <f>((AQ157*1000)/AQ249)/3</f>
        <v>#DIV/0!</v>
      </c>
      <c r="AR261" s="130" t="e">
        <f>((AR157*1000)/AR249)/3</f>
        <v>#DIV/0!</v>
      </c>
      <c r="AS261" s="130" t="e">
        <f>((AS157*1000)/AS249)/3</f>
        <v>#DIV/0!</v>
      </c>
      <c r="AT261" s="130" t="e">
        <f>((AT157*1000)/AT249)/3</f>
        <v>#DIV/0!</v>
      </c>
      <c r="AU261" s="54"/>
      <c r="AV261" s="130" t="e">
        <f>((AV157*1000)/AV249)/3</f>
        <v>#DIV/0!</v>
      </c>
      <c r="AW261" s="130" t="e">
        <f>((AW157*1000)/AW249)/3</f>
        <v>#DIV/0!</v>
      </c>
      <c r="AX261" s="130" t="e">
        <f>((AX157*1000)/AX249)/3</f>
        <v>#DIV/0!</v>
      </c>
      <c r="AY261" s="130" t="e">
        <f>((AY157*1000)/AY249)/3</f>
        <v>#DIV/0!</v>
      </c>
      <c r="AZ261" s="54"/>
      <c r="BA261" s="130" t="e">
        <f>((BA157*1000)/BA249)/3</f>
        <v>#DIV/0!</v>
      </c>
      <c r="BB261" s="130" t="e">
        <f>((BB157*1000)/BB249)/3</f>
        <v>#DIV/0!</v>
      </c>
      <c r="BC261" s="130" t="e">
        <f>((BC157*1000)/BC249)/3</f>
        <v>#DIV/0!</v>
      </c>
      <c r="BD261" s="130" t="e">
        <f>((BD157*1000)/BD249)/3</f>
        <v>#DIV/0!</v>
      </c>
      <c r="BE261" s="54"/>
      <c r="BF261" s="54"/>
      <c r="BG261" s="54"/>
      <c r="BH261" s="54"/>
      <c r="BI261" s="54"/>
      <c r="BJ261" s="54"/>
      <c r="BL261" s="87"/>
      <c r="BM261" s="87"/>
      <c r="BV261" s="87"/>
      <c r="BW261" s="87"/>
      <c r="BX261" s="87"/>
      <c r="BY261" s="87"/>
      <c r="BZ261" s="87"/>
      <c r="CA261" s="87"/>
    </row>
    <row r="262" spans="2:79" hidden="1" outlineLevel="1">
      <c r="B262" s="45" t="s">
        <v>84</v>
      </c>
      <c r="G262" s="71"/>
      <c r="L262" s="71"/>
      <c r="Q262" s="71"/>
      <c r="R262" s="130"/>
      <c r="S262" s="130"/>
      <c r="T262" s="130"/>
      <c r="U262" s="130"/>
      <c r="V262" s="71"/>
      <c r="W262" s="53">
        <f>W261/R261-1</f>
        <v>0.52385746639258302</v>
      </c>
      <c r="X262" s="53">
        <f t="shared" ref="X262:Z262" si="632">X261/S261-1</f>
        <v>0.42096026003911002</v>
      </c>
      <c r="Y262" s="53">
        <f t="shared" si="632"/>
        <v>0.35354465927977463</v>
      </c>
      <c r="Z262" s="53">
        <f t="shared" si="632"/>
        <v>0.59681690263974096</v>
      </c>
      <c r="AA262" s="71"/>
      <c r="AB262" s="53"/>
      <c r="AC262" s="53"/>
      <c r="AD262" s="53"/>
      <c r="AE262" s="53"/>
      <c r="AF262" s="71"/>
      <c r="AG262" s="53" t="e">
        <f>AG261/AB261-1</f>
        <v>#DIV/0!</v>
      </c>
      <c r="AH262" s="53" t="e">
        <f t="shared" ref="AH262" si="633">AH261/AC261-1</f>
        <v>#DIV/0!</v>
      </c>
      <c r="AI262" s="53" t="e">
        <f t="shared" ref="AI262" si="634">AI261/AD261-1</f>
        <v>#DIV/0!</v>
      </c>
      <c r="AJ262" s="53" t="e">
        <f t="shared" ref="AJ262" si="635">AJ261/AE261-1</f>
        <v>#DIV/0!</v>
      </c>
      <c r="AK262" s="54"/>
      <c r="AL262" s="53" t="e">
        <f>AL261/AG261-1</f>
        <v>#DIV/0!</v>
      </c>
      <c r="AM262" s="53" t="e">
        <f t="shared" ref="AM262" si="636">AM261/AH261-1</f>
        <v>#DIV/0!</v>
      </c>
      <c r="AN262" s="53" t="e">
        <f t="shared" ref="AN262" si="637">AN261/AI261-1</f>
        <v>#DIV/0!</v>
      </c>
      <c r="AO262" s="53" t="e">
        <f t="shared" ref="AO262" si="638">AO261/AJ261-1</f>
        <v>#DIV/0!</v>
      </c>
      <c r="AP262" s="54"/>
      <c r="AQ262" s="53" t="e">
        <f t="shared" ref="AQ262:AR262" si="639">AQ261/AL261-1</f>
        <v>#DIV/0!</v>
      </c>
      <c r="AR262" s="53" t="e">
        <f t="shared" si="639"/>
        <v>#DIV/0!</v>
      </c>
      <c r="AS262" s="53" t="e">
        <f t="shared" ref="AS262" si="640">AS261/AN261-1</f>
        <v>#DIV/0!</v>
      </c>
      <c r="AT262" s="53" t="e">
        <f t="shared" ref="AT262" si="641">AT261/AO261-1</f>
        <v>#DIV/0!</v>
      </c>
      <c r="AU262" s="54"/>
      <c r="AV262" s="53" t="e">
        <f t="shared" ref="AV262:BD262" si="642">AV261/AQ261-1</f>
        <v>#DIV/0!</v>
      </c>
      <c r="AW262" s="53" t="e">
        <f t="shared" si="642"/>
        <v>#DIV/0!</v>
      </c>
      <c r="AX262" s="53" t="e">
        <f t="shared" si="642"/>
        <v>#DIV/0!</v>
      </c>
      <c r="AY262" s="53" t="e">
        <f t="shared" si="642"/>
        <v>#DIV/0!</v>
      </c>
      <c r="AZ262" s="54"/>
      <c r="BA262" s="53" t="e">
        <f t="shared" si="642"/>
        <v>#DIV/0!</v>
      </c>
      <c r="BB262" s="53" t="e">
        <f t="shared" si="642"/>
        <v>#DIV/0!</v>
      </c>
      <c r="BC262" s="53" t="e">
        <f t="shared" si="642"/>
        <v>#DIV/0!</v>
      </c>
      <c r="BD262" s="53" t="e">
        <f t="shared" si="642"/>
        <v>#DIV/0!</v>
      </c>
      <c r="BE262" s="54"/>
      <c r="BF262" s="54"/>
      <c r="BG262" s="54"/>
      <c r="BH262" s="54"/>
      <c r="BI262" s="54"/>
      <c r="BJ262" s="54"/>
      <c r="BL262" s="87"/>
      <c r="BM262" s="87"/>
      <c r="BV262" s="87"/>
      <c r="BW262" s="87"/>
      <c r="BX262" s="87"/>
      <c r="BY262" s="87"/>
      <c r="BZ262" s="87"/>
      <c r="CA262" s="87"/>
    </row>
    <row r="263" spans="2:79" hidden="1" outlineLevel="1">
      <c r="G263" s="71"/>
      <c r="L263" s="71"/>
      <c r="Q263" s="71"/>
      <c r="V263" s="71"/>
      <c r="AA263" s="71"/>
      <c r="AF263" s="71"/>
      <c r="AK263" s="54"/>
      <c r="AP263" s="54"/>
      <c r="AU263" s="54"/>
      <c r="AZ263" s="54"/>
      <c r="BE263" s="54"/>
      <c r="BF263" s="54"/>
      <c r="BG263" s="54"/>
      <c r="BH263" s="54"/>
      <c r="BI263" s="54"/>
      <c r="BJ263" s="54"/>
      <c r="BK263" s="76"/>
      <c r="BL263" s="87"/>
      <c r="BM263" s="87"/>
      <c r="BN263" s="76"/>
      <c r="BO263" s="76"/>
      <c r="BP263" s="76"/>
    </row>
    <row r="264" spans="2:79" s="76" customFormat="1" hidden="1" outlineLevel="1">
      <c r="B264" s="129" t="s">
        <v>167</v>
      </c>
      <c r="G264" s="71"/>
      <c r="L264" s="71"/>
      <c r="Q264" s="71"/>
      <c r="R264" s="129"/>
      <c r="S264" s="129"/>
      <c r="T264" s="129"/>
      <c r="U264" s="129"/>
      <c r="V264" s="129"/>
      <c r="W264" s="129"/>
      <c r="X264" s="129"/>
      <c r="Y264" s="129"/>
      <c r="Z264" s="129"/>
      <c r="AA264" s="129"/>
      <c r="AB264" s="129"/>
      <c r="AC264" s="129"/>
      <c r="AD264" s="129"/>
      <c r="AE264" s="129"/>
      <c r="AF264" s="129"/>
      <c r="AG264" s="129"/>
      <c r="AH264" s="129"/>
      <c r="AI264" s="129"/>
      <c r="AJ264" s="129"/>
      <c r="AK264" s="129"/>
      <c r="AL264" s="129"/>
      <c r="AM264" s="129"/>
      <c r="AN264" s="129"/>
      <c r="AO264" s="129"/>
      <c r="AP264" s="129"/>
      <c r="AQ264" s="129"/>
      <c r="AR264" s="129"/>
      <c r="AS264" s="129"/>
      <c r="AT264" s="129"/>
      <c r="AU264" s="129"/>
      <c r="AV264" s="129"/>
      <c r="AW264" s="129"/>
      <c r="AX264" s="129"/>
      <c r="AY264" s="129"/>
      <c r="AZ264" s="129"/>
      <c r="BA264" s="129"/>
      <c r="BB264" s="129"/>
      <c r="BC264" s="129"/>
      <c r="BD264" s="129"/>
      <c r="BE264" s="129"/>
      <c r="BF264" s="129"/>
      <c r="BG264" s="129"/>
      <c r="BH264" s="129"/>
      <c r="BI264" s="129"/>
      <c r="BJ264" s="129"/>
      <c r="BK264" s="77"/>
      <c r="BL264" s="100"/>
      <c r="BM264" s="77"/>
      <c r="BN264" s="77"/>
      <c r="BO264" s="77"/>
      <c r="BP264" s="77"/>
      <c r="BR264" s="147"/>
      <c r="BV264" s="45"/>
      <c r="BW264" s="45"/>
      <c r="BX264" s="45"/>
      <c r="BY264" s="45"/>
      <c r="BZ264" s="45"/>
      <c r="CA264" s="45"/>
    </row>
    <row r="265" spans="2:79" s="77" customFormat="1" hidden="1" outlineLevel="1">
      <c r="B265" s="76" t="s">
        <v>115</v>
      </c>
      <c r="C265" s="98">
        <v>133</v>
      </c>
      <c r="D265" s="98">
        <v>133</v>
      </c>
      <c r="E265" s="98">
        <v>133</v>
      </c>
      <c r="F265" s="98">
        <v>137</v>
      </c>
      <c r="G265" s="71"/>
      <c r="H265" s="98">
        <v>139</v>
      </c>
      <c r="I265" s="98">
        <v>143</v>
      </c>
      <c r="J265" s="98">
        <v>146</v>
      </c>
      <c r="K265" s="98">
        <v>150</v>
      </c>
      <c r="L265" s="71"/>
      <c r="M265" s="98">
        <v>154</v>
      </c>
      <c r="N265" s="98">
        <v>157</v>
      </c>
      <c r="O265" s="98">
        <v>162</v>
      </c>
      <c r="P265" s="98">
        <v>168</v>
      </c>
      <c r="Q265" s="71"/>
      <c r="R265" s="98">
        <v>168</v>
      </c>
      <c r="S265" s="98">
        <v>171</v>
      </c>
      <c r="T265" s="98">
        <v>175</v>
      </c>
      <c r="U265" s="98">
        <v>179</v>
      </c>
      <c r="V265" s="58"/>
      <c r="W265" s="56">
        <f>+R265*(1+W266)</f>
        <v>183.12</v>
      </c>
      <c r="X265" s="56">
        <f>+S265*(1+X266)</f>
        <v>186.39000000000001</v>
      </c>
      <c r="Y265" s="56">
        <f>+T265*(1+Y266)</f>
        <v>189</v>
      </c>
      <c r="Z265" s="56">
        <f>+U265*(1+Z266)</f>
        <v>193.32000000000002</v>
      </c>
      <c r="AA265" s="58"/>
      <c r="AB265" s="56"/>
      <c r="AC265" s="56"/>
      <c r="AD265" s="56"/>
      <c r="AE265" s="56"/>
      <c r="AF265" s="71"/>
      <c r="AG265" s="56">
        <f>+AB265*(1+AG266)</f>
        <v>0</v>
      </c>
      <c r="AH265" s="56">
        <f>+AC265*(1+AH266)</f>
        <v>0</v>
      </c>
      <c r="AI265" s="56">
        <f>+AD265*(1+AI266)</f>
        <v>0</v>
      </c>
      <c r="AJ265" s="56"/>
      <c r="AK265" s="58"/>
      <c r="AL265" s="56">
        <f>+AG265*(1+AL266)</f>
        <v>0</v>
      </c>
      <c r="AM265" s="56">
        <f>+AH265*(1+AM266)</f>
        <v>0</v>
      </c>
      <c r="AN265" s="56">
        <f>+AI265*(1+AN266)</f>
        <v>0</v>
      </c>
      <c r="AO265" s="56"/>
      <c r="AP265" s="58"/>
      <c r="AQ265" s="56">
        <f>+AL265*(1+AQ266)</f>
        <v>0</v>
      </c>
      <c r="AR265" s="56">
        <f>+AM265*(1+AR266)</f>
        <v>0</v>
      </c>
      <c r="AS265" s="56">
        <f>+AN265*(1+AS266)</f>
        <v>0</v>
      </c>
      <c r="AT265" s="56"/>
      <c r="AU265" s="58"/>
      <c r="AV265" s="56">
        <f>+AQ265*(1+AV266)</f>
        <v>0</v>
      </c>
      <c r="AW265" s="56">
        <f>+AR265*(1+AW266)</f>
        <v>0</v>
      </c>
      <c r="AX265" s="56">
        <f>+AS265*(1+AX266)</f>
        <v>0</v>
      </c>
      <c r="AY265" s="56">
        <f>+AT265*(1+AY266)</f>
        <v>0</v>
      </c>
      <c r="AZ265" s="58"/>
      <c r="BA265" s="56">
        <f>+AV265*(1+BA266)</f>
        <v>0</v>
      </c>
      <c r="BB265" s="56">
        <f>+AW265*(1+BB266)</f>
        <v>0</v>
      </c>
      <c r="BC265" s="56">
        <f>+AX265*(1+BC266)</f>
        <v>0</v>
      </c>
      <c r="BD265" s="56">
        <f>+AY265*(1+BD266)</f>
        <v>0</v>
      </c>
      <c r="BE265" s="58"/>
      <c r="BF265" s="58"/>
      <c r="BG265" s="58"/>
      <c r="BH265" s="58"/>
      <c r="BI265" s="58"/>
      <c r="BJ265" s="58"/>
      <c r="BK265" s="87"/>
      <c r="BL265" s="87"/>
      <c r="BM265" s="87"/>
      <c r="BN265" s="87"/>
      <c r="BO265" s="87"/>
      <c r="BP265" s="87"/>
      <c r="BR265" s="150"/>
      <c r="BV265" s="45"/>
      <c r="BW265" s="45"/>
      <c r="BX265" s="45"/>
      <c r="BY265" s="45"/>
      <c r="BZ265" s="45"/>
      <c r="CA265" s="45"/>
    </row>
    <row r="266" spans="2:79" s="87" customFormat="1" hidden="1" outlineLevel="1">
      <c r="B266" s="87" t="s">
        <v>84</v>
      </c>
      <c r="C266" s="83"/>
      <c r="D266" s="83"/>
      <c r="E266" s="83"/>
      <c r="F266" s="83"/>
      <c r="G266" s="71"/>
      <c r="H266" s="83">
        <f>+H265/C265-1</f>
        <v>4.5112781954887327E-2</v>
      </c>
      <c r="I266" s="83">
        <f>+I265/D265-1</f>
        <v>7.5187969924812137E-2</v>
      </c>
      <c r="J266" s="83">
        <f>+J265/E265-1</f>
        <v>9.7744360902255689E-2</v>
      </c>
      <c r="K266" s="83">
        <f>+K265/F265-1</f>
        <v>9.4890510948905105E-2</v>
      </c>
      <c r="L266" s="71"/>
      <c r="M266" s="83">
        <f>+M265/H265-1</f>
        <v>0.1079136690647482</v>
      </c>
      <c r="N266" s="83">
        <f>+N265/I265-1</f>
        <v>9.7902097902097918E-2</v>
      </c>
      <c r="O266" s="83">
        <f>+O265/J265-1</f>
        <v>0.1095890410958904</v>
      </c>
      <c r="P266" s="83">
        <f>+P265/K265-1</f>
        <v>0.12000000000000011</v>
      </c>
      <c r="Q266" s="71"/>
      <c r="R266" s="83">
        <f>+R265/M265-1</f>
        <v>9.0909090909090828E-2</v>
      </c>
      <c r="S266" s="83">
        <f>+S265/N265-1</f>
        <v>8.9171974522292974E-2</v>
      </c>
      <c r="T266" s="83">
        <f>+T265/O265-1</f>
        <v>8.0246913580246826E-2</v>
      </c>
      <c r="U266" s="83">
        <f>+U265/P265-1</f>
        <v>6.5476190476190466E-2</v>
      </c>
      <c r="V266" s="71"/>
      <c r="W266" s="83">
        <v>0.09</v>
      </c>
      <c r="X266" s="83">
        <v>0.09</v>
      </c>
      <c r="Y266" s="101">
        <v>0.08</v>
      </c>
      <c r="Z266" s="101">
        <v>0.08</v>
      </c>
      <c r="AA266" s="71"/>
      <c r="AB266" s="101"/>
      <c r="AC266" s="101"/>
      <c r="AD266" s="101"/>
      <c r="AE266" s="101"/>
      <c r="AF266" s="71"/>
      <c r="AG266" s="101">
        <v>0.09</v>
      </c>
      <c r="AH266" s="101">
        <v>0.09</v>
      </c>
      <c r="AI266" s="101">
        <v>0.08</v>
      </c>
      <c r="AJ266" s="101"/>
      <c r="AK266" s="71"/>
      <c r="AL266" s="101">
        <v>0.09</v>
      </c>
      <c r="AM266" s="101">
        <v>0.09</v>
      </c>
      <c r="AN266" s="101">
        <v>0.08</v>
      </c>
      <c r="AO266" s="101"/>
      <c r="AP266" s="71"/>
      <c r="AQ266" s="101">
        <v>0.09</v>
      </c>
      <c r="AR266" s="101">
        <v>0.09</v>
      </c>
      <c r="AS266" s="101">
        <v>0.08</v>
      </c>
      <c r="AT266" s="101"/>
      <c r="AU266" s="71"/>
      <c r="AV266" s="101">
        <v>0.08</v>
      </c>
      <c r="AW266" s="101">
        <v>0.08</v>
      </c>
      <c r="AX266" s="101">
        <v>0.08</v>
      </c>
      <c r="AY266" s="101">
        <v>0.08</v>
      </c>
      <c r="AZ266" s="71"/>
      <c r="BA266" s="101">
        <v>0.08</v>
      </c>
      <c r="BB266" s="101">
        <v>0.08</v>
      </c>
      <c r="BC266" s="101">
        <v>0.08</v>
      </c>
      <c r="BD266" s="101">
        <v>0.08</v>
      </c>
      <c r="BE266" s="71"/>
      <c r="BF266" s="71"/>
      <c r="BG266" s="71"/>
      <c r="BH266" s="71"/>
      <c r="BI266" s="71"/>
      <c r="BJ266" s="71"/>
      <c r="BR266" s="148"/>
      <c r="BV266" s="45"/>
      <c r="BW266" s="45"/>
      <c r="BX266" s="45"/>
      <c r="BY266" s="45"/>
      <c r="BZ266" s="45"/>
      <c r="CA266" s="45"/>
    </row>
    <row r="267" spans="2:79" s="87" customFormat="1" hidden="1" outlineLevel="1">
      <c r="B267" s="87" t="s">
        <v>85</v>
      </c>
      <c r="C267" s="83"/>
      <c r="D267" s="83">
        <f>+D265/C265-1</f>
        <v>0</v>
      </c>
      <c r="E267" s="83">
        <f>+E265/D265-1</f>
        <v>0</v>
      </c>
      <c r="F267" s="83">
        <f>+F265/E265-1</f>
        <v>3.007518796992481E-2</v>
      </c>
      <c r="G267" s="71"/>
      <c r="H267" s="83">
        <f>+H265/F265-1</f>
        <v>1.4598540145985384E-2</v>
      </c>
      <c r="I267" s="83">
        <f>+I265/H265-1</f>
        <v>2.877697841726623E-2</v>
      </c>
      <c r="J267" s="83">
        <f>+J265/I265-1</f>
        <v>2.0979020979021046E-2</v>
      </c>
      <c r="K267" s="83">
        <f>+K265/J265-1</f>
        <v>2.7397260273972712E-2</v>
      </c>
      <c r="L267" s="71"/>
      <c r="M267" s="83">
        <f>+M265/K265-1</f>
        <v>2.6666666666666616E-2</v>
      </c>
      <c r="N267" s="83">
        <f>+N265/M265-1</f>
        <v>1.9480519480519431E-2</v>
      </c>
      <c r="O267" s="83">
        <f>+O265/N265-1</f>
        <v>3.1847133757961776E-2</v>
      </c>
      <c r="P267" s="83">
        <f>+P265/O265-1</f>
        <v>3.7037037037036979E-2</v>
      </c>
      <c r="Q267" s="71"/>
      <c r="R267" s="83">
        <f>+R265/P265-1</f>
        <v>0</v>
      </c>
      <c r="S267" s="83">
        <f>+S265/R265-1</f>
        <v>1.7857142857142794E-2</v>
      </c>
      <c r="T267" s="83">
        <f>+T265/S265-1</f>
        <v>2.3391812865497075E-2</v>
      </c>
      <c r="U267" s="83">
        <f>+U265/T265-1</f>
        <v>2.2857142857142909E-2</v>
      </c>
      <c r="V267" s="71"/>
      <c r="W267" s="83">
        <f>+W265/U265-1</f>
        <v>2.3016759776536277E-2</v>
      </c>
      <c r="X267" s="83">
        <f>+X265/W265-1</f>
        <v>1.7857142857143016E-2</v>
      </c>
      <c r="Y267" s="83">
        <f>+Y265/X265-1</f>
        <v>1.4002897151134563E-2</v>
      </c>
      <c r="Z267" s="83">
        <f>+Z265/Y265-1</f>
        <v>2.2857142857142909E-2</v>
      </c>
      <c r="AA267" s="71"/>
      <c r="AB267" s="83"/>
      <c r="AC267" s="83"/>
      <c r="AD267" s="83"/>
      <c r="AE267" s="83"/>
      <c r="AF267" s="71"/>
      <c r="AG267" s="83" t="e">
        <f>+AG265/AE265-1</f>
        <v>#DIV/0!</v>
      </c>
      <c r="AH267" s="83" t="e">
        <f>+AH265/AG265-1</f>
        <v>#DIV/0!</v>
      </c>
      <c r="AI267" s="83" t="e">
        <f>+AI265/AH265-1</f>
        <v>#DIV/0!</v>
      </c>
      <c r="AJ267" s="83"/>
      <c r="AK267" s="71"/>
      <c r="AL267" s="83" t="e">
        <f>+AL265/AJ265-1</f>
        <v>#DIV/0!</v>
      </c>
      <c r="AM267" s="83" t="e">
        <f>+AM265/AL265-1</f>
        <v>#DIV/0!</v>
      </c>
      <c r="AN267" s="83" t="e">
        <f>+AN265/AM265-1</f>
        <v>#DIV/0!</v>
      </c>
      <c r="AO267" s="83"/>
      <c r="AP267" s="71"/>
      <c r="AQ267" s="83" t="e">
        <f>+AQ265/AO265-1</f>
        <v>#DIV/0!</v>
      </c>
      <c r="AR267" s="83" t="e">
        <f>+AR265/AQ265-1</f>
        <v>#DIV/0!</v>
      </c>
      <c r="AS267" s="83" t="e">
        <f>+AS265/AR265-1</f>
        <v>#DIV/0!</v>
      </c>
      <c r="AT267" s="83"/>
      <c r="AU267" s="71"/>
      <c r="AV267" s="83" t="e">
        <f>+AV265/AT265-1</f>
        <v>#DIV/0!</v>
      </c>
      <c r="AW267" s="83" t="e">
        <f>+AW265/AV265-1</f>
        <v>#DIV/0!</v>
      </c>
      <c r="AX267" s="83" t="e">
        <f>+AX265/AW265-1</f>
        <v>#DIV/0!</v>
      </c>
      <c r="AY267" s="83" t="e">
        <f>+AY265/AX265-1</f>
        <v>#DIV/0!</v>
      </c>
      <c r="AZ267" s="71"/>
      <c r="BA267" s="83" t="e">
        <f>+BA265/AY265-1</f>
        <v>#DIV/0!</v>
      </c>
      <c r="BB267" s="83" t="e">
        <f>+BB265/BA265-1</f>
        <v>#DIV/0!</v>
      </c>
      <c r="BC267" s="83" t="e">
        <f>+BC265/BB265-1</f>
        <v>#DIV/0!</v>
      </c>
      <c r="BD267" s="83" t="e">
        <f>+BD265/BC265-1</f>
        <v>#DIV/0!</v>
      </c>
      <c r="BE267" s="71"/>
      <c r="BF267" s="71"/>
      <c r="BG267" s="71"/>
      <c r="BH267" s="71"/>
      <c r="BI267" s="71"/>
      <c r="BJ267" s="71"/>
      <c r="BR267" s="148"/>
      <c r="BV267" s="45"/>
      <c r="BW267" s="45"/>
      <c r="BX267" s="45"/>
      <c r="BY267" s="45"/>
      <c r="BZ267" s="45"/>
      <c r="CA267" s="45"/>
    </row>
    <row r="268" spans="2:79" s="87" customFormat="1" hidden="1" outlineLevel="1">
      <c r="B268" s="87" t="s">
        <v>129</v>
      </c>
      <c r="C268" s="102">
        <f>+C265/12</f>
        <v>11.083333333333334</v>
      </c>
      <c r="D268" s="102">
        <f>+D265/12</f>
        <v>11.083333333333334</v>
      </c>
      <c r="E268" s="102">
        <f>+E265/12</f>
        <v>11.083333333333334</v>
      </c>
      <c r="F268" s="102">
        <f>+F265/12</f>
        <v>11.416666666666666</v>
      </c>
      <c r="G268" s="71"/>
      <c r="H268" s="103">
        <f>+H265/12</f>
        <v>11.583333333333334</v>
      </c>
      <c r="I268" s="103">
        <f>+I265/12</f>
        <v>11.916666666666666</v>
      </c>
      <c r="J268" s="103">
        <f>+J265/12</f>
        <v>12.166666666666666</v>
      </c>
      <c r="K268" s="103">
        <f>+K265/12</f>
        <v>12.5</v>
      </c>
      <c r="L268" s="104"/>
      <c r="M268" s="103">
        <f>+M265/12</f>
        <v>12.833333333333334</v>
      </c>
      <c r="N268" s="103">
        <f>+N265/12</f>
        <v>13.083333333333334</v>
      </c>
      <c r="O268" s="103">
        <f>+O265/12</f>
        <v>13.5</v>
      </c>
      <c r="P268" s="103">
        <f>+P265/12</f>
        <v>14</v>
      </c>
      <c r="Q268" s="104"/>
      <c r="R268" s="103">
        <f>+R265/12</f>
        <v>14</v>
      </c>
      <c r="S268" s="103">
        <f>+S265/12</f>
        <v>14.25</v>
      </c>
      <c r="T268" s="103">
        <f>+T265/12</f>
        <v>14.583333333333334</v>
      </c>
      <c r="U268" s="103">
        <f>+U265/12</f>
        <v>14.916666666666666</v>
      </c>
      <c r="V268" s="104"/>
      <c r="W268" s="103">
        <f>+W265/12</f>
        <v>15.26</v>
      </c>
      <c r="X268" s="103">
        <f>+X265/12</f>
        <v>15.532500000000001</v>
      </c>
      <c r="Y268" s="103">
        <f>+Y265/12</f>
        <v>15.75</v>
      </c>
      <c r="Z268" s="103">
        <f>+Z265/12</f>
        <v>16.110000000000003</v>
      </c>
      <c r="AA268" s="71"/>
      <c r="AB268" s="103"/>
      <c r="AC268" s="103"/>
      <c r="AD268" s="103"/>
      <c r="AE268" s="103"/>
      <c r="AF268" s="71"/>
      <c r="AG268" s="103">
        <f>+AG265/12</f>
        <v>0</v>
      </c>
      <c r="AH268" s="103">
        <f>+AH265/12</f>
        <v>0</v>
      </c>
      <c r="AI268" s="103">
        <f>+AI265/12</f>
        <v>0</v>
      </c>
      <c r="AJ268" s="103"/>
      <c r="AK268" s="71"/>
      <c r="AL268" s="103">
        <f>+AL265/12</f>
        <v>0</v>
      </c>
      <c r="AM268" s="103">
        <f>+AM265/12</f>
        <v>0</v>
      </c>
      <c r="AN268" s="103">
        <f>+AN265/12</f>
        <v>0</v>
      </c>
      <c r="AO268" s="103"/>
      <c r="AP268" s="71"/>
      <c r="AQ268" s="103">
        <f>+AQ265/12</f>
        <v>0</v>
      </c>
      <c r="AR268" s="103">
        <f>+AR265/12</f>
        <v>0</v>
      </c>
      <c r="AS268" s="103">
        <f>+AS265/12</f>
        <v>0</v>
      </c>
      <c r="AT268" s="103"/>
      <c r="AU268" s="71"/>
      <c r="AV268" s="103">
        <f>+AV265/12</f>
        <v>0</v>
      </c>
      <c r="AW268" s="103">
        <f>+AW265/12</f>
        <v>0</v>
      </c>
      <c r="AX268" s="103">
        <f>+AX265/12</f>
        <v>0</v>
      </c>
      <c r="AY268" s="103">
        <f>+AY265/12</f>
        <v>0</v>
      </c>
      <c r="AZ268" s="71"/>
      <c r="BA268" s="103">
        <f>+BA265/12</f>
        <v>0</v>
      </c>
      <c r="BB268" s="103">
        <f>+BB265/12</f>
        <v>0</v>
      </c>
      <c r="BC268" s="103">
        <f>+BC265/12</f>
        <v>0</v>
      </c>
      <c r="BD268" s="103">
        <f>+BD265/12</f>
        <v>0</v>
      </c>
      <c r="BE268" s="71"/>
      <c r="BF268" s="71"/>
      <c r="BG268" s="71"/>
      <c r="BH268" s="71"/>
      <c r="BI268" s="71"/>
      <c r="BJ268" s="71"/>
      <c r="BR268" s="148"/>
      <c r="BV268" s="76"/>
      <c r="BW268" s="76"/>
      <c r="BX268" s="76"/>
      <c r="BY268" s="76"/>
      <c r="BZ268" s="76"/>
      <c r="CA268" s="76"/>
    </row>
    <row r="269" spans="2:79" s="87" customFormat="1" hidden="1" outlineLevel="1">
      <c r="C269" s="83"/>
      <c r="D269" s="83"/>
      <c r="E269" s="83"/>
      <c r="F269" s="83"/>
      <c r="G269" s="71"/>
      <c r="H269" s="83"/>
      <c r="I269" s="83"/>
      <c r="J269" s="83"/>
      <c r="K269" s="83"/>
      <c r="L269" s="71"/>
      <c r="M269" s="83"/>
      <c r="N269" s="83"/>
      <c r="O269" s="83"/>
      <c r="P269" s="83"/>
      <c r="Q269" s="71"/>
      <c r="R269" s="83"/>
      <c r="S269" s="83"/>
      <c r="T269" s="83"/>
      <c r="U269" s="83"/>
      <c r="V269" s="71"/>
      <c r="W269" s="83"/>
      <c r="X269" s="83"/>
      <c r="Y269" s="83"/>
      <c r="Z269" s="83"/>
      <c r="AA269" s="71"/>
      <c r="AB269" s="83"/>
      <c r="AC269" s="83"/>
      <c r="AD269" s="83"/>
      <c r="AE269" s="83"/>
      <c r="AF269" s="71"/>
      <c r="AG269" s="83"/>
      <c r="AH269" s="83"/>
      <c r="AI269" s="83"/>
      <c r="AJ269" s="83"/>
      <c r="AK269" s="71"/>
      <c r="AL269" s="83"/>
      <c r="AM269" s="83"/>
      <c r="AN269" s="83"/>
      <c r="AO269" s="83"/>
      <c r="AP269" s="71"/>
      <c r="AQ269" s="83"/>
      <c r="AR269" s="83"/>
      <c r="AS269" s="83"/>
      <c r="AT269" s="83"/>
      <c r="AU269" s="71"/>
      <c r="AV269" s="83"/>
      <c r="AW269" s="83"/>
      <c r="AX269" s="83"/>
      <c r="AY269" s="83"/>
      <c r="AZ269" s="71"/>
      <c r="BA269" s="83"/>
      <c r="BB269" s="83"/>
      <c r="BC269" s="83"/>
      <c r="BD269" s="83"/>
      <c r="BE269" s="71"/>
      <c r="BF269" s="71"/>
      <c r="BG269" s="71"/>
      <c r="BH269" s="71"/>
      <c r="BI269" s="71"/>
      <c r="BJ269" s="71"/>
      <c r="BK269" s="77"/>
      <c r="BN269" s="77"/>
      <c r="BO269" s="77"/>
      <c r="BP269" s="77"/>
      <c r="BR269" s="148"/>
      <c r="BV269" s="77"/>
      <c r="BW269" s="77"/>
      <c r="BX269" s="77"/>
      <c r="BY269" s="77"/>
      <c r="BZ269" s="77"/>
      <c r="CA269" s="77"/>
    </row>
    <row r="270" spans="2:79" s="77" customFormat="1" hidden="1" outlineLevel="1">
      <c r="B270" s="76" t="s">
        <v>126</v>
      </c>
      <c r="C270" s="98"/>
      <c r="D270" s="98"/>
      <c r="E270" s="98"/>
      <c r="F270" s="98"/>
      <c r="G270" s="99"/>
      <c r="H270" s="98"/>
      <c r="I270" s="98"/>
      <c r="J270" s="98"/>
      <c r="K270" s="98">
        <v>164</v>
      </c>
      <c r="L270" s="99"/>
      <c r="M270" s="98">
        <v>174</v>
      </c>
      <c r="N270" s="98">
        <v>176</v>
      </c>
      <c r="O270" s="98">
        <v>178</v>
      </c>
      <c r="P270" s="98">
        <v>200</v>
      </c>
      <c r="Q270" s="99"/>
      <c r="R270" s="98">
        <v>217</v>
      </c>
      <c r="S270" s="98">
        <v>228</v>
      </c>
      <c r="T270" s="98">
        <v>247</v>
      </c>
      <c r="U270" s="98"/>
      <c r="V270" s="58"/>
      <c r="W270" s="56"/>
      <c r="X270" s="56"/>
      <c r="Y270" s="56"/>
      <c r="Z270" s="56"/>
      <c r="AA270" s="58"/>
      <c r="AB270" s="56"/>
      <c r="AC270" s="56"/>
      <c r="AD270" s="56"/>
      <c r="AE270" s="56"/>
      <c r="AF270" s="71"/>
      <c r="AG270" s="56"/>
      <c r="AH270" s="56"/>
      <c r="AI270" s="56"/>
      <c r="AJ270" s="56"/>
      <c r="AK270" s="58"/>
      <c r="AL270" s="56"/>
      <c r="AM270" s="56"/>
      <c r="AN270" s="56"/>
      <c r="AO270" s="56"/>
      <c r="AP270" s="58"/>
      <c r="AQ270" s="56"/>
      <c r="AR270" s="56"/>
      <c r="AS270" s="56"/>
      <c r="AT270" s="56"/>
      <c r="AU270" s="58"/>
      <c r="AV270" s="56"/>
      <c r="AW270" s="56"/>
      <c r="AX270" s="56"/>
      <c r="AY270" s="56"/>
      <c r="AZ270" s="58"/>
      <c r="BA270" s="56"/>
      <c r="BB270" s="56"/>
      <c r="BC270" s="56"/>
      <c r="BD270" s="56"/>
      <c r="BE270" s="58"/>
      <c r="BF270" s="58"/>
      <c r="BG270" s="58"/>
      <c r="BH270" s="58"/>
      <c r="BI270" s="58"/>
      <c r="BJ270" s="58"/>
      <c r="BK270" s="87"/>
      <c r="BL270" s="87"/>
      <c r="BM270" s="87"/>
      <c r="BN270" s="87"/>
      <c r="BO270" s="87"/>
      <c r="BP270" s="87"/>
      <c r="BR270" s="150"/>
      <c r="BV270" s="87"/>
      <c r="BW270" s="87"/>
      <c r="BX270" s="87"/>
      <c r="BY270" s="87"/>
      <c r="BZ270" s="87"/>
      <c r="CA270" s="87"/>
    </row>
    <row r="271" spans="2:79" s="87" customFormat="1" hidden="1" outlineLevel="1">
      <c r="B271" s="76" t="str">
        <f>+B266</f>
        <v>y/y</v>
      </c>
      <c r="C271" s="83"/>
      <c r="D271" s="83"/>
      <c r="E271" s="83"/>
      <c r="F271" s="83"/>
      <c r="G271" s="71"/>
      <c r="H271" s="83"/>
      <c r="I271" s="83"/>
      <c r="J271" s="83"/>
      <c r="K271" s="83"/>
      <c r="L271" s="71"/>
      <c r="M271" s="83"/>
      <c r="N271" s="83"/>
      <c r="O271" s="83"/>
      <c r="P271" s="83">
        <f>+P270/K270-1</f>
        <v>0.21951219512195119</v>
      </c>
      <c r="Q271" s="71"/>
      <c r="R271" s="83">
        <f>+R270/M270-1</f>
        <v>0.24712643678160928</v>
      </c>
      <c r="S271" s="83">
        <f>+S270/N270-1</f>
        <v>0.29545454545454541</v>
      </c>
      <c r="T271" s="83">
        <f>+T270/O270-1</f>
        <v>0.38764044943820219</v>
      </c>
      <c r="U271" s="83">
        <f>+U270/P270-1</f>
        <v>-1</v>
      </c>
      <c r="V271" s="71"/>
      <c r="W271" s="101"/>
      <c r="X271" s="101"/>
      <c r="Y271" s="101"/>
      <c r="Z271" s="101"/>
      <c r="AA271" s="71"/>
      <c r="AB271" s="101"/>
      <c r="AC271" s="101"/>
      <c r="AD271" s="101"/>
      <c r="AE271" s="101"/>
      <c r="AF271" s="71"/>
      <c r="AG271" s="101"/>
      <c r="AH271" s="101"/>
      <c r="AI271" s="101"/>
      <c r="AJ271" s="101"/>
      <c r="AK271" s="71"/>
      <c r="AL271" s="101"/>
      <c r="AM271" s="101"/>
      <c r="AN271" s="101"/>
      <c r="AO271" s="101"/>
      <c r="AP271" s="71"/>
      <c r="AQ271" s="101"/>
      <c r="AR271" s="101"/>
      <c r="AS271" s="101"/>
      <c r="AT271" s="101"/>
      <c r="AU271" s="71"/>
      <c r="AV271" s="101"/>
      <c r="AW271" s="101"/>
      <c r="AX271" s="101"/>
      <c r="AY271" s="101"/>
      <c r="AZ271" s="71"/>
      <c r="BA271" s="101"/>
      <c r="BB271" s="101"/>
      <c r="BC271" s="101"/>
      <c r="BD271" s="101"/>
      <c r="BE271" s="71"/>
      <c r="BF271" s="71"/>
      <c r="BG271" s="71"/>
      <c r="BH271" s="71"/>
      <c r="BI271" s="71"/>
      <c r="BJ271" s="71"/>
      <c r="BL271" s="45"/>
      <c r="BM271" s="45"/>
      <c r="BR271" s="148"/>
    </row>
    <row r="272" spans="2:79" s="87" customFormat="1" hidden="1" outlineLevel="1">
      <c r="B272" s="76" t="str">
        <f>+B267</f>
        <v>q/q</v>
      </c>
      <c r="C272" s="83"/>
      <c r="D272" s="83"/>
      <c r="E272" s="83"/>
      <c r="F272" s="83"/>
      <c r="G272" s="71"/>
      <c r="H272" s="83"/>
      <c r="I272" s="83"/>
      <c r="J272" s="83"/>
      <c r="K272" s="83"/>
      <c r="L272" s="71"/>
      <c r="M272" s="83">
        <f>+M270/K270-1</f>
        <v>6.0975609756097615E-2</v>
      </c>
      <c r="N272" s="83">
        <f>+N270/M270-1</f>
        <v>1.1494252873563315E-2</v>
      </c>
      <c r="O272" s="83">
        <f>+O270/N270-1</f>
        <v>1.1363636363636465E-2</v>
      </c>
      <c r="P272" s="83">
        <f>+P270/O270-1</f>
        <v>0.12359550561797761</v>
      </c>
      <c r="Q272" s="71"/>
      <c r="R272" s="83">
        <f>+R270/P270-1</f>
        <v>8.4999999999999964E-2</v>
      </c>
      <c r="S272" s="83">
        <f>+S270/R270-1</f>
        <v>5.0691244239631228E-2</v>
      </c>
      <c r="T272" s="83">
        <f>+T270/S270-1</f>
        <v>8.3333333333333259E-2</v>
      </c>
      <c r="U272" s="83">
        <f>+U270/T270-1</f>
        <v>-1</v>
      </c>
      <c r="V272" s="71"/>
      <c r="W272" s="83"/>
      <c r="X272" s="83"/>
      <c r="Y272" s="83"/>
      <c r="Z272" s="83"/>
      <c r="AA272" s="71"/>
      <c r="AB272" s="83"/>
      <c r="AC272" s="83"/>
      <c r="AD272" s="83"/>
      <c r="AE272" s="83"/>
      <c r="AF272" s="71"/>
      <c r="AG272" s="83"/>
      <c r="AH272" s="83"/>
      <c r="AI272" s="83"/>
      <c r="AJ272" s="83"/>
      <c r="AK272" s="71"/>
      <c r="AL272" s="83"/>
      <c r="AM272" s="83"/>
      <c r="AN272" s="83"/>
      <c r="AO272" s="83"/>
      <c r="AP272" s="71"/>
      <c r="AQ272" s="83"/>
      <c r="AR272" s="83"/>
      <c r="AS272" s="83"/>
      <c r="AT272" s="83"/>
      <c r="AU272" s="71"/>
      <c r="AV272" s="83"/>
      <c r="AW272" s="83"/>
      <c r="AX272" s="83"/>
      <c r="AY272" s="83"/>
      <c r="AZ272" s="71"/>
      <c r="BA272" s="83"/>
      <c r="BB272" s="83"/>
      <c r="BC272" s="83"/>
      <c r="BD272" s="83"/>
      <c r="BE272" s="71"/>
      <c r="BF272" s="71"/>
      <c r="BG272" s="71"/>
      <c r="BH272" s="71"/>
      <c r="BI272" s="71"/>
      <c r="BJ272" s="71"/>
      <c r="BR272" s="148"/>
    </row>
    <row r="273" spans="2:79" s="87" customFormat="1" hidden="1" outlineLevel="1">
      <c r="B273" s="87" t="s">
        <v>129</v>
      </c>
      <c r="C273" s="102">
        <f>+C270/12</f>
        <v>0</v>
      </c>
      <c r="D273" s="102">
        <f>+D270/12</f>
        <v>0</v>
      </c>
      <c r="E273" s="102">
        <f>+E270/12</f>
        <v>0</v>
      </c>
      <c r="F273" s="102">
        <f>+F270/12</f>
        <v>0</v>
      </c>
      <c r="G273" s="71"/>
      <c r="H273" s="103"/>
      <c r="I273" s="103"/>
      <c r="J273" s="103"/>
      <c r="K273" s="103">
        <f>+K270/12</f>
        <v>13.666666666666666</v>
      </c>
      <c r="L273" s="104"/>
      <c r="M273" s="103">
        <f>+M270/12</f>
        <v>14.5</v>
      </c>
      <c r="N273" s="103">
        <f>+N270/12</f>
        <v>14.666666666666666</v>
      </c>
      <c r="O273" s="103">
        <f>+O270/12</f>
        <v>14.833333333333334</v>
      </c>
      <c r="P273" s="103">
        <f>+P270/12</f>
        <v>16.666666666666668</v>
      </c>
      <c r="Q273" s="104"/>
      <c r="R273" s="103">
        <f>+R270/12</f>
        <v>18.083333333333332</v>
      </c>
      <c r="S273" s="103">
        <f>+S270/12</f>
        <v>19</v>
      </c>
      <c r="T273" s="103">
        <f>+T270/12</f>
        <v>20.583333333333332</v>
      </c>
      <c r="U273" s="103">
        <f>+U270/12</f>
        <v>0</v>
      </c>
      <c r="V273" s="71"/>
      <c r="W273" s="102"/>
      <c r="X273" s="102"/>
      <c r="Y273" s="102"/>
      <c r="Z273" s="102"/>
      <c r="AA273" s="71"/>
      <c r="AB273" s="102"/>
      <c r="AC273" s="102"/>
      <c r="AD273" s="102"/>
      <c r="AE273" s="102"/>
      <c r="AF273" s="71"/>
      <c r="AG273" s="102"/>
      <c r="AH273" s="102"/>
      <c r="AI273" s="102"/>
      <c r="AJ273" s="102"/>
      <c r="AK273" s="71"/>
      <c r="AL273" s="102"/>
      <c r="AM273" s="102"/>
      <c r="AN273" s="102"/>
      <c r="AO273" s="102"/>
      <c r="AP273" s="71"/>
      <c r="AQ273" s="102"/>
      <c r="AR273" s="102"/>
      <c r="AS273" s="102"/>
      <c r="AT273" s="102"/>
      <c r="AU273" s="71"/>
      <c r="AV273" s="102"/>
      <c r="AW273" s="102"/>
      <c r="AX273" s="102"/>
      <c r="AY273" s="102"/>
      <c r="AZ273" s="71"/>
      <c r="BA273" s="102"/>
      <c r="BB273" s="102"/>
      <c r="BC273" s="102"/>
      <c r="BD273" s="102"/>
      <c r="BE273" s="71"/>
      <c r="BF273" s="71"/>
      <c r="BG273" s="71"/>
      <c r="BH273" s="71"/>
      <c r="BI273" s="71"/>
      <c r="BJ273" s="71"/>
      <c r="BR273" s="148"/>
    </row>
    <row r="274" spans="2:79" s="87" customFormat="1" hidden="1" outlineLevel="1">
      <c r="C274" s="102"/>
      <c r="D274" s="102"/>
      <c r="E274" s="102"/>
      <c r="F274" s="102"/>
      <c r="G274" s="71"/>
      <c r="H274" s="103"/>
      <c r="I274" s="103"/>
      <c r="J274" s="103"/>
      <c r="K274" s="103"/>
      <c r="L274" s="104"/>
      <c r="M274" s="103"/>
      <c r="N274" s="103"/>
      <c r="O274" s="103"/>
      <c r="P274" s="103"/>
      <c r="Q274" s="104"/>
      <c r="R274" s="103"/>
      <c r="S274" s="103"/>
      <c r="T274" s="103"/>
      <c r="U274" s="103"/>
      <c r="V274" s="71"/>
      <c r="W274" s="102"/>
      <c r="X274" s="102"/>
      <c r="Y274" s="105"/>
      <c r="Z274" s="55"/>
      <c r="AA274" s="54"/>
      <c r="AB274" s="55"/>
      <c r="AC274" s="55"/>
      <c r="AD274" s="55"/>
      <c r="AE274" s="55"/>
      <c r="AF274" s="71"/>
      <c r="AG274" s="55"/>
      <c r="AH274" s="55"/>
      <c r="AI274" s="55"/>
      <c r="AJ274" s="55"/>
      <c r="AK274" s="54"/>
      <c r="AL274" s="55"/>
      <c r="AM274" s="55"/>
      <c r="AN274" s="55"/>
      <c r="AO274" s="55"/>
      <c r="AP274" s="54"/>
      <c r="AQ274" s="55"/>
      <c r="AR274" s="55"/>
      <c r="AS274" s="55"/>
      <c r="AT274" s="55"/>
      <c r="AU274" s="54"/>
      <c r="AV274" s="55"/>
      <c r="AW274" s="55"/>
      <c r="AX274" s="55"/>
      <c r="AY274" s="55"/>
      <c r="AZ274" s="54"/>
      <c r="BA274" s="55"/>
      <c r="BB274" s="55"/>
      <c r="BC274" s="55"/>
      <c r="BD274" s="55"/>
      <c r="BE274" s="54"/>
      <c r="BF274" s="54"/>
      <c r="BG274" s="54"/>
      <c r="BH274" s="54"/>
      <c r="BI274" s="54"/>
      <c r="BJ274" s="54"/>
      <c r="BR274" s="148"/>
      <c r="BV274" s="77"/>
      <c r="BW274" s="77"/>
      <c r="BX274" s="77"/>
      <c r="BY274" s="77"/>
      <c r="BZ274" s="77"/>
      <c r="CA274" s="77"/>
    </row>
    <row r="275" spans="2:79" s="87" customFormat="1" hidden="1" outlineLevel="1">
      <c r="B275" s="87" t="s">
        <v>145</v>
      </c>
      <c r="C275" s="102"/>
      <c r="D275" s="102"/>
      <c r="E275" s="102"/>
      <c r="F275" s="102"/>
      <c r="G275" s="71"/>
      <c r="H275" s="103"/>
      <c r="I275" s="103"/>
      <c r="J275" s="103"/>
      <c r="K275" s="103"/>
      <c r="L275" s="104"/>
      <c r="M275" s="55">
        <f>M4</f>
        <v>159.655</v>
      </c>
      <c r="N275" s="55">
        <f>N4</f>
        <v>159.89500000000001</v>
      </c>
      <c r="O275" s="55">
        <f>O4</f>
        <v>162.77699999999999</v>
      </c>
      <c r="P275" s="55">
        <f>P4</f>
        <v>176.05799999999999</v>
      </c>
      <c r="Q275" s="54">
        <f>SUM(M275:P275)</f>
        <v>658.38499999999999</v>
      </c>
      <c r="R275" s="55">
        <f>R4</f>
        <v>200.37899999999999</v>
      </c>
      <c r="S275" s="55">
        <f>S4</f>
        <v>199.56299999999999</v>
      </c>
      <c r="T275" s="55">
        <f>T4</f>
        <v>205.86</v>
      </c>
      <c r="U275" s="55">
        <f>U4</f>
        <v>226.68299999999999</v>
      </c>
      <c r="V275" s="54">
        <f>SUM(R275:U275)</f>
        <v>832.48500000000001</v>
      </c>
      <c r="W275" s="55">
        <f>W4</f>
        <v>248.858</v>
      </c>
      <c r="X275" s="55">
        <f>X4</f>
        <v>265.851</v>
      </c>
      <c r="Y275" s="55">
        <f>Y4</f>
        <v>280.94099999999997</v>
      </c>
      <c r="Z275" s="55">
        <f>Z4</f>
        <v>306.38099999999997</v>
      </c>
      <c r="AA275" s="54">
        <f>SUM(W275:Z275)</f>
        <v>1102.0309999999999</v>
      </c>
      <c r="AB275" s="55"/>
      <c r="AC275" s="55"/>
      <c r="AD275" s="55"/>
      <c r="AE275" s="55"/>
      <c r="AF275" s="71"/>
      <c r="AG275" s="55">
        <f>AG4</f>
        <v>393.24799999999999</v>
      </c>
      <c r="AH275" s="55">
        <f>AH4</f>
        <v>354.59399999999999</v>
      </c>
      <c r="AI275" s="55">
        <f>AI4</f>
        <v>352.464</v>
      </c>
      <c r="AJ275" s="55"/>
      <c r="AK275" s="54">
        <f>SUM(AG275:AJ275)</f>
        <v>1100.306</v>
      </c>
      <c r="AL275" s="55">
        <f>AL4</f>
        <v>414.90499999999997</v>
      </c>
      <c r="AM275" s="55">
        <f>AM4</f>
        <v>398.49599999999998</v>
      </c>
      <c r="AN275" s="55">
        <f>AN4</f>
        <v>389.09499999999997</v>
      </c>
      <c r="AO275" s="55"/>
      <c r="AP275" s="54"/>
      <c r="AQ275" s="55">
        <f>AQ4</f>
        <v>457.28100000000001</v>
      </c>
      <c r="AR275" s="55">
        <f>AR4</f>
        <v>458.399</v>
      </c>
      <c r="AS275" s="55">
        <f>AS4</f>
        <v>452.48599999999999</v>
      </c>
      <c r="AT275" s="55"/>
      <c r="AU275" s="54"/>
      <c r="AV275" s="55">
        <f>AV4</f>
        <v>510.90499999999997</v>
      </c>
      <c r="AW275" s="55">
        <f>AW4</f>
        <v>509.92399999999998</v>
      </c>
      <c r="AX275" s="55">
        <f>AX4</f>
        <v>514.54300000000001</v>
      </c>
      <c r="AY275" s="55">
        <f>AY4</f>
        <v>529.09699999999998</v>
      </c>
      <c r="AZ275" s="54"/>
      <c r="BA275" s="55">
        <f>BA4</f>
        <v>576.79462472297303</v>
      </c>
      <c r="BB275" s="55">
        <f>BB4</f>
        <v>584.69784284932427</v>
      </c>
      <c r="BC275" s="55">
        <f>BC4</f>
        <v>597.71404867500007</v>
      </c>
      <c r="BD275" s="55">
        <f>BD4</f>
        <v>612.69679687500002</v>
      </c>
      <c r="BE275" s="54"/>
      <c r="BF275" s="54"/>
      <c r="BG275" s="54"/>
      <c r="BH275" s="54"/>
      <c r="BI275" s="54"/>
      <c r="BJ275" s="54"/>
      <c r="BL275" s="45"/>
      <c r="BM275" s="45"/>
      <c r="BR275" s="148"/>
    </row>
    <row r="276" spans="2:79" s="87" customFormat="1" hidden="1" outlineLevel="1">
      <c r="B276" s="87" t="s">
        <v>146</v>
      </c>
      <c r="C276" s="83"/>
      <c r="D276" s="83"/>
      <c r="E276" s="83"/>
      <c r="F276" s="83"/>
      <c r="G276" s="71"/>
      <c r="H276" s="83"/>
      <c r="I276" s="83"/>
      <c r="J276" s="83"/>
      <c r="K276" s="83"/>
      <c r="L276" s="71"/>
      <c r="M276" s="55">
        <f>M13</f>
        <v>137.77500000000001</v>
      </c>
      <c r="N276" s="55">
        <f>N13</f>
        <v>146.13200000000001</v>
      </c>
      <c r="O276" s="55">
        <f>O13</f>
        <v>155.60000000000002</v>
      </c>
      <c r="P276" s="55">
        <f>P13</f>
        <v>164.197</v>
      </c>
      <c r="Q276" s="54">
        <f>SUM(M276:P276)</f>
        <v>603.70400000000006</v>
      </c>
      <c r="R276" s="55">
        <f>R13</f>
        <v>174.29</v>
      </c>
      <c r="S276" s="55">
        <f>S13</f>
        <v>185.41900000000001</v>
      </c>
      <c r="T276" s="55">
        <f>T13</f>
        <v>196.791</v>
      </c>
      <c r="U276" s="55">
        <f>U13</f>
        <v>204.58799999999999</v>
      </c>
      <c r="V276" s="54">
        <f>SUM(R276:U276)</f>
        <v>761.08799999999997</v>
      </c>
      <c r="W276" s="55">
        <f>W13</f>
        <v>215.98699999999999</v>
      </c>
      <c r="X276" s="55">
        <f>X13</f>
        <v>236.05900000000003</v>
      </c>
      <c r="Y276" s="55">
        <f>Y13</f>
        <v>254.18</v>
      </c>
      <c r="Z276" s="55">
        <f>Z13</f>
        <v>282.53399999999999</v>
      </c>
      <c r="AA276" s="54">
        <f>SUM(W276:Z276)</f>
        <v>988.7600000000001</v>
      </c>
      <c r="AB276" s="55"/>
      <c r="AC276" s="55"/>
      <c r="AD276" s="55"/>
      <c r="AE276" s="55"/>
      <c r="AF276" s="71"/>
      <c r="AG276" s="55">
        <f>AG13</f>
        <v>341.59699999999998</v>
      </c>
      <c r="AH276" s="55">
        <f>AH13</f>
        <v>345.22400000000005</v>
      </c>
      <c r="AI276" s="55">
        <f>AI13</f>
        <v>345.80499999999995</v>
      </c>
      <c r="AJ276" s="55"/>
      <c r="AK276" s="54">
        <f>SUM(AG276:AJ276)</f>
        <v>1032.626</v>
      </c>
      <c r="AL276" s="55">
        <f>AL13</f>
        <v>374.07600000000002</v>
      </c>
      <c r="AM276" s="55">
        <f>AM13</f>
        <v>389.97699999999998</v>
      </c>
      <c r="AN276" s="55">
        <f>AN13</f>
        <v>393.84100000000001</v>
      </c>
      <c r="AO276" s="55"/>
      <c r="AP276" s="54"/>
      <c r="AQ276" s="55">
        <f>AQ13</f>
        <v>419.77600000000001</v>
      </c>
      <c r="AR276" s="55">
        <f>AR13</f>
        <v>435.74599999999998</v>
      </c>
      <c r="AS276" s="55">
        <f>AS13</f>
        <v>444.673</v>
      </c>
      <c r="AT276" s="55"/>
      <c r="AU276" s="54"/>
      <c r="AV276" s="55">
        <f>AV13</f>
        <v>473.65099999999995</v>
      </c>
      <c r="AW276" s="55">
        <f>AW13</f>
        <v>489.93</v>
      </c>
      <c r="AX276" s="55">
        <f>AX13</f>
        <v>505.19399999999996</v>
      </c>
      <c r="AY276" s="55">
        <f>AY13</f>
        <v>524.26900000000001</v>
      </c>
      <c r="AZ276" s="54"/>
      <c r="BA276" s="55">
        <f>BA13</f>
        <v>541.82232472297301</v>
      </c>
      <c r="BB276" s="55">
        <f>BB13</f>
        <v>563.34134284932429</v>
      </c>
      <c r="BC276" s="55">
        <f>BC13</f>
        <v>586.52044867500001</v>
      </c>
      <c r="BD276" s="55">
        <f>BD13</f>
        <v>612.69679687500002</v>
      </c>
      <c r="BE276" s="54"/>
      <c r="BF276" s="54"/>
      <c r="BG276" s="54"/>
      <c r="BH276" s="54"/>
      <c r="BI276" s="54"/>
      <c r="BJ276" s="54"/>
      <c r="BK276" s="45"/>
      <c r="BL276" s="45"/>
      <c r="BM276" s="45"/>
      <c r="BN276" s="45"/>
      <c r="BO276" s="45"/>
      <c r="BP276" s="45"/>
      <c r="BR276" s="148"/>
    </row>
    <row r="277" spans="2:79" hidden="1" outlineLevel="1">
      <c r="BK277" s="87"/>
      <c r="BN277" s="87"/>
      <c r="BO277" s="87"/>
      <c r="BP277" s="87"/>
      <c r="BV277" s="87"/>
      <c r="BW277" s="87"/>
      <c r="BX277" s="87"/>
      <c r="BY277" s="87"/>
      <c r="BZ277" s="87"/>
      <c r="CA277" s="87"/>
    </row>
    <row r="278" spans="2:79" s="87" customFormat="1" hidden="1" outlineLevel="1">
      <c r="B278" s="76" t="s">
        <v>141</v>
      </c>
      <c r="C278" s="83"/>
      <c r="D278" s="83"/>
      <c r="E278" s="83"/>
      <c r="F278" s="83"/>
      <c r="G278" s="71"/>
      <c r="H278" s="83"/>
      <c r="I278" s="83"/>
      <c r="J278" s="83"/>
      <c r="K278" s="83"/>
      <c r="L278" s="71"/>
      <c r="M278" s="98"/>
      <c r="N278" s="98">
        <v>129</v>
      </c>
      <c r="O278" s="98">
        <v>136</v>
      </c>
      <c r="P278" s="98">
        <v>143</v>
      </c>
      <c r="Q278" s="71"/>
      <c r="R278" s="98">
        <v>151</v>
      </c>
      <c r="S278" s="98">
        <v>159</v>
      </c>
      <c r="T278" s="98">
        <v>166</v>
      </c>
      <c r="U278" s="98">
        <v>173</v>
      </c>
      <c r="V278" s="71"/>
      <c r="W278" s="112">
        <f>R278*(1+W279)</f>
        <v>183.465</v>
      </c>
      <c r="X278" s="112">
        <f>S278*(1+X279)</f>
        <v>192.39</v>
      </c>
      <c r="Y278" s="112">
        <f>T278*(1+Y279)</f>
        <v>200.03</v>
      </c>
      <c r="Z278" s="112">
        <f>U278*(1+Z279)</f>
        <v>207.6</v>
      </c>
      <c r="AA278" s="71"/>
      <c r="AB278" s="112">
        <f>W278*(1+AB279)</f>
        <v>219.24067500000001</v>
      </c>
      <c r="AC278" s="112">
        <f>X278*(1+AC279)</f>
        <v>229.90604999999999</v>
      </c>
      <c r="AD278" s="112">
        <f>Y278*(1+AD279)</f>
        <v>238.03569999999999</v>
      </c>
      <c r="AE278" s="112">
        <f>Z278*(1+AE279)</f>
        <v>247.04399999999998</v>
      </c>
      <c r="AF278" s="71"/>
      <c r="AG278" s="112">
        <f>AB278*(1+AG279)</f>
        <v>261.99260662500001</v>
      </c>
      <c r="AH278" s="112">
        <f>AC278*(1+AH279)</f>
        <v>274.73772975000003</v>
      </c>
      <c r="AI278" s="112">
        <f>AD278*(1+AI279)</f>
        <v>283.26248299999997</v>
      </c>
      <c r="AJ278" s="112">
        <f>AE278*(1+AJ279)</f>
        <v>293.98235999999997</v>
      </c>
      <c r="AK278" s="71"/>
      <c r="AL278" s="112">
        <f>AG278*(1+AL279)</f>
        <v>313.08116491687503</v>
      </c>
      <c r="AM278" s="112">
        <f>AH278*(1+AM279)</f>
        <v>328.31158705125006</v>
      </c>
      <c r="AN278" s="112">
        <f>AI278*(1+AN279)</f>
        <v>337.08235476999994</v>
      </c>
      <c r="AO278" s="112">
        <f>AJ278*(1+AO279)</f>
        <v>349.83900839999995</v>
      </c>
      <c r="AP278" s="71"/>
      <c r="AQ278" s="112">
        <f>AL278*(1+AQ279)</f>
        <v>374.13199207566566</v>
      </c>
      <c r="AR278" s="112">
        <f>AM278*(1+AR279)</f>
        <v>392.33234652624384</v>
      </c>
      <c r="AS278" s="112">
        <f>AN278*(1+AS279)</f>
        <v>401.1280021762999</v>
      </c>
      <c r="AT278" s="112">
        <f>AO278*(1+AT279)</f>
        <v>416.30841999599994</v>
      </c>
      <c r="AU278" s="71"/>
      <c r="AV278" s="112">
        <f>AQ278*(1+AV279)</f>
        <v>445.2170705700421</v>
      </c>
      <c r="AW278" s="112">
        <f>AR278*(1+AW279)</f>
        <v>466.87549236623016</v>
      </c>
      <c r="AX278" s="112">
        <f>AS278*(1+AX279)</f>
        <v>477.34232258979688</v>
      </c>
      <c r="AY278" s="112">
        <f>AT278*(1+AY279)</f>
        <v>495.40701979523993</v>
      </c>
      <c r="AZ278" s="71"/>
      <c r="BA278" s="112">
        <f>AV278*(1+BA279)</f>
        <v>529.80831397835004</v>
      </c>
      <c r="BB278" s="112">
        <f>AW278*(1+BB279)</f>
        <v>555.58183591581383</v>
      </c>
      <c r="BC278" s="112">
        <f>AX278*(1+BC279)</f>
        <v>568.03736388185825</v>
      </c>
      <c r="BD278" s="112">
        <f>AY278*(1+BD279)</f>
        <v>589.53435355633553</v>
      </c>
      <c r="BE278" s="71"/>
      <c r="BF278" s="71"/>
      <c r="BG278" s="71"/>
      <c r="BH278" s="71"/>
      <c r="BI278" s="71"/>
      <c r="BJ278" s="71"/>
      <c r="BL278" s="45"/>
      <c r="BM278" s="45"/>
      <c r="BR278" s="148"/>
    </row>
    <row r="279" spans="2:79" s="87" customFormat="1" hidden="1" outlineLevel="1">
      <c r="C279" s="83"/>
      <c r="D279" s="83"/>
      <c r="E279" s="83"/>
      <c r="F279" s="83"/>
      <c r="G279" s="71"/>
      <c r="H279" s="83"/>
      <c r="I279" s="83"/>
      <c r="J279" s="83"/>
      <c r="K279" s="83"/>
      <c r="L279" s="71"/>
      <c r="M279" s="83"/>
      <c r="N279" s="83"/>
      <c r="O279" s="83"/>
      <c r="P279" s="83"/>
      <c r="Q279" s="71"/>
      <c r="R279" s="83"/>
      <c r="S279" s="83">
        <f>S278/N278-1</f>
        <v>0.23255813953488369</v>
      </c>
      <c r="T279" s="83">
        <f>T278/O278-1</f>
        <v>0.22058823529411775</v>
      </c>
      <c r="U279" s="83">
        <f>U278/P278-1</f>
        <v>0.20979020979020979</v>
      </c>
      <c r="V279" s="71"/>
      <c r="W279" s="106">
        <v>0.215</v>
      </c>
      <c r="X279" s="106">
        <v>0.21</v>
      </c>
      <c r="Y279" s="106">
        <v>0.20499999999999999</v>
      </c>
      <c r="Z279" s="106">
        <v>0.2</v>
      </c>
      <c r="AA279" s="113"/>
      <c r="AB279" s="106">
        <v>0.19500000000000001</v>
      </c>
      <c r="AC279" s="106">
        <v>0.19500000000000001</v>
      </c>
      <c r="AD279" s="106">
        <v>0.19</v>
      </c>
      <c r="AE279" s="106">
        <v>0.19</v>
      </c>
      <c r="AF279" s="71"/>
      <c r="AG279" s="106">
        <v>0.19500000000000001</v>
      </c>
      <c r="AH279" s="106">
        <v>0.19500000000000001</v>
      </c>
      <c r="AI279" s="106">
        <v>0.19</v>
      </c>
      <c r="AJ279" s="106">
        <v>0.19</v>
      </c>
      <c r="AK279" s="71"/>
      <c r="AL279" s="106">
        <v>0.19500000000000001</v>
      </c>
      <c r="AM279" s="106">
        <v>0.19500000000000001</v>
      </c>
      <c r="AN279" s="106">
        <v>0.19</v>
      </c>
      <c r="AO279" s="106">
        <v>0.19</v>
      </c>
      <c r="AP279" s="71"/>
      <c r="AQ279" s="106">
        <v>0.19500000000000001</v>
      </c>
      <c r="AR279" s="106">
        <v>0.19500000000000001</v>
      </c>
      <c r="AS279" s="106">
        <v>0.19</v>
      </c>
      <c r="AT279" s="106">
        <v>0.19</v>
      </c>
      <c r="AU279" s="71"/>
      <c r="AV279" s="106">
        <v>0.19</v>
      </c>
      <c r="AW279" s="106">
        <v>0.19</v>
      </c>
      <c r="AX279" s="106">
        <v>0.19</v>
      </c>
      <c r="AY279" s="106">
        <v>0.19</v>
      </c>
      <c r="AZ279" s="71"/>
      <c r="BA279" s="106">
        <v>0.19</v>
      </c>
      <c r="BB279" s="106">
        <v>0.19</v>
      </c>
      <c r="BC279" s="106">
        <v>0.19</v>
      </c>
      <c r="BD279" s="106">
        <v>0.19</v>
      </c>
      <c r="BE279" s="71"/>
      <c r="BF279" s="71"/>
      <c r="BG279" s="71"/>
      <c r="BH279" s="71"/>
      <c r="BI279" s="71"/>
      <c r="BJ279" s="71"/>
      <c r="BL279" s="45"/>
      <c r="BM279" s="45"/>
      <c r="BR279" s="148"/>
    </row>
    <row r="280" spans="2:79" s="87" customFormat="1" hidden="1" outlineLevel="1">
      <c r="C280" s="83"/>
      <c r="D280" s="83"/>
      <c r="E280" s="83"/>
      <c r="F280" s="83"/>
      <c r="G280" s="71"/>
      <c r="H280" s="83"/>
      <c r="I280" s="83"/>
      <c r="J280" s="83"/>
      <c r="K280" s="83"/>
      <c r="L280" s="71"/>
      <c r="M280" s="83"/>
      <c r="N280" s="83"/>
      <c r="O280" s="83">
        <f>O278/N278-1</f>
        <v>5.4263565891472965E-2</v>
      </c>
      <c r="P280" s="83">
        <f>P278/O278-1</f>
        <v>5.1470588235294157E-2</v>
      </c>
      <c r="Q280" s="71"/>
      <c r="R280" s="83">
        <f>R278/P278-1</f>
        <v>5.5944055944056048E-2</v>
      </c>
      <c r="S280" s="83">
        <f>S278/R278-1</f>
        <v>5.2980132450331174E-2</v>
      </c>
      <c r="T280" s="83">
        <f>T278/S278-1</f>
        <v>4.4025157232704393E-2</v>
      </c>
      <c r="U280" s="83">
        <f>U278/T278-1</f>
        <v>4.2168674698795261E-2</v>
      </c>
      <c r="V280" s="71"/>
      <c r="W280" s="83"/>
      <c r="X280" s="83"/>
      <c r="Y280" s="83"/>
      <c r="Z280" s="83"/>
      <c r="AA280" s="71"/>
      <c r="AB280" s="83"/>
      <c r="AC280" s="83"/>
      <c r="AD280" s="83"/>
      <c r="AE280" s="83"/>
      <c r="AF280" s="71"/>
      <c r="AG280" s="83"/>
      <c r="AH280" s="83"/>
      <c r="AI280" s="83"/>
      <c r="AJ280" s="83"/>
      <c r="AK280" s="71"/>
      <c r="AL280" s="83"/>
      <c r="AM280" s="83"/>
      <c r="AN280" s="83"/>
      <c r="AO280" s="83"/>
      <c r="AP280" s="71"/>
      <c r="AQ280" s="83"/>
      <c r="AR280" s="83"/>
      <c r="AS280" s="83"/>
      <c r="AT280" s="83"/>
      <c r="AU280" s="71"/>
      <c r="AV280" s="83"/>
      <c r="AW280" s="83"/>
      <c r="AX280" s="83"/>
      <c r="AY280" s="83"/>
      <c r="AZ280" s="71"/>
      <c r="BA280" s="83"/>
      <c r="BB280" s="83"/>
      <c r="BC280" s="83"/>
      <c r="BD280" s="83"/>
      <c r="BE280" s="71"/>
      <c r="BF280" s="71"/>
      <c r="BG280" s="71"/>
      <c r="BH280" s="71"/>
      <c r="BI280" s="71"/>
      <c r="BJ280" s="71"/>
      <c r="BK280" s="45"/>
      <c r="BL280" s="45"/>
      <c r="BM280" s="45"/>
      <c r="BN280" s="45"/>
      <c r="BO280" s="45"/>
      <c r="BP280" s="45"/>
      <c r="BR280" s="148"/>
    </row>
    <row r="281" spans="2:79" collapsed="1"/>
    <row r="282" spans="2:79">
      <c r="BV282" s="87"/>
      <c r="BW282" s="87"/>
      <c r="BX282" s="87"/>
      <c r="BY282" s="87"/>
      <c r="BZ282" s="87"/>
      <c r="CA282" s="87"/>
    </row>
    <row r="283" spans="2:79">
      <c r="BV283" s="87"/>
      <c r="BW283" s="87"/>
      <c r="BX283" s="87"/>
      <c r="BY283" s="87"/>
      <c r="BZ283" s="87"/>
      <c r="CA283" s="87"/>
    </row>
    <row r="284" spans="2:79">
      <c r="BV284" s="87"/>
      <c r="BW284" s="87"/>
      <c r="BX284" s="87"/>
      <c r="BY284" s="87"/>
      <c r="BZ284" s="87"/>
      <c r="CA284" s="87"/>
    </row>
  </sheetData>
  <dataConsolidate/>
  <pageMargins left="0.7" right="0.7" top="0.75" bottom="0.75" header="0.3" footer="0.3"/>
  <pageSetup scale="64" orientation="landscape" r:id="rId1"/>
  <ignoredErrors>
    <ignoredError sqref="AK11 AK23 AF26:AF28 V61:AA61 AA76 AF180 V16:AF16 V14:AA14 V15 V23 V13:AD13 V11:AA11 AE11:AF11 AF66 AF23 AA15 AA23 V4:AF5 AF81 AF136 AA142:AI142 AA140:AD141 AA152:AA153 AA156:AF156 AA154:AD154 AF140:AF141 AA151:AI151 AA143:AD144 AF143:AF144 AA160:AI160 AA157:AD157 AF157 AA161:AD161 AF161 AA182 AA162:AF163 AK14:AK16 AF152:AF154 AA164 AK136 AK156 AF182:AF183 AP136 AK140 AK151:AP151 AK142:AP142 AK145:AP146 AA145:AF146 AP140:AP141 Z49 AA38 U71:U72 AH145:AH146 AH162:AH163 AA158:AH159 AK76:AK81 AK39:AL39 AK53:AP72 AL76:AN76 AI43 AP76:AP77 AK43:AP43 AP41 AN49 AF13:AF15 AK153:AK154 AP153:AP154 AK38 AK45:AK50 AK40:AK41 AM40:AP40 AK42:AL42 AN42:AP42 AK52:AL52 AN52 AN39 AK152:AM152 AO152:AP152 AP38:AP39 AP52 AK4:AK5 AK44:AO44 AP45:AP49" formula="1"/>
  </ignoredError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7067B-E88B-412A-9A5B-E0B86BBEBE2F}">
  <dimension ref="C2:CM109"/>
  <sheetViews>
    <sheetView showGridLines="0" zoomScale="85" zoomScaleNormal="85" workbookViewId="0">
      <pane xSplit="3" ySplit="5" topLeftCell="Q6" activePane="bottomRight" state="frozen"/>
      <selection activeCell="C14" sqref="C14"/>
      <selection pane="topRight" activeCell="C14" sqref="C14"/>
      <selection pane="bottomLeft" activeCell="C14" sqref="C14"/>
      <selection pane="bottomRight" activeCell="C14" sqref="C14"/>
    </sheetView>
  </sheetViews>
  <sheetFormatPr defaultColWidth="9.19921875" defaultRowHeight="14.25" outlineLevelRow="1"/>
  <cols>
    <col min="35" max="35" width="7.46484375" bestFit="1" customWidth="1"/>
    <col min="38" max="38" width="6.796875" customWidth="1"/>
    <col min="43" max="43" width="6.796875" customWidth="1"/>
    <col min="62" max="62" width="14.796875" customWidth="1"/>
    <col min="63" max="63" width="23" bestFit="1" customWidth="1"/>
    <col min="88" max="88" width="15.53125" bestFit="1" customWidth="1"/>
  </cols>
  <sheetData>
    <row r="2" spans="3:89">
      <c r="K2" t="s">
        <v>327</v>
      </c>
    </row>
    <row r="3" spans="3:89">
      <c r="I3" s="171"/>
      <c r="J3" s="171"/>
      <c r="K3" s="171"/>
      <c r="L3" s="171"/>
      <c r="M3" s="171"/>
      <c r="N3" s="171"/>
      <c r="O3" s="171"/>
      <c r="P3" s="171"/>
    </row>
    <row r="5" spans="3:89">
      <c r="C5" s="153"/>
      <c r="D5" s="153">
        <v>2019</v>
      </c>
      <c r="E5" s="153">
        <v>2020</v>
      </c>
      <c r="F5" s="153">
        <v>2021</v>
      </c>
      <c r="G5" s="153">
        <v>2022</v>
      </c>
      <c r="H5" s="153" t="s">
        <v>119</v>
      </c>
      <c r="I5" s="153" t="s">
        <v>120</v>
      </c>
      <c r="J5" s="153" t="s">
        <v>121</v>
      </c>
      <c r="K5" s="153" t="s">
        <v>122</v>
      </c>
      <c r="L5" s="153" t="s">
        <v>123</v>
      </c>
      <c r="M5" s="153" t="s">
        <v>124</v>
      </c>
      <c r="N5" s="153" t="s">
        <v>164</v>
      </c>
      <c r="O5" s="153" t="s">
        <v>165</v>
      </c>
      <c r="P5" s="153" t="s">
        <v>166</v>
      </c>
      <c r="Q5" s="153"/>
      <c r="R5" s="153" t="s">
        <v>73</v>
      </c>
      <c r="S5" s="153" t="s">
        <v>77</v>
      </c>
      <c r="T5" s="153" t="s">
        <v>95</v>
      </c>
      <c r="U5" s="153" t="s">
        <v>135</v>
      </c>
      <c r="V5" s="153"/>
      <c r="W5" s="153" t="s">
        <v>149</v>
      </c>
      <c r="X5" s="153" t="s">
        <v>152</v>
      </c>
      <c r="Y5" s="153" t="s">
        <v>153</v>
      </c>
      <c r="Z5" s="153" t="s">
        <v>163</v>
      </c>
      <c r="AA5" s="153"/>
      <c r="AB5" s="153" t="s">
        <v>177</v>
      </c>
      <c r="AC5" s="153" t="s">
        <v>183</v>
      </c>
      <c r="AD5" s="153" t="s">
        <v>186</v>
      </c>
      <c r="AE5" s="153" t="s">
        <v>198</v>
      </c>
      <c r="AG5" s="153" t="s">
        <v>226</v>
      </c>
      <c r="AH5" s="153" t="s">
        <v>266</v>
      </c>
      <c r="AI5" s="153" t="s">
        <v>227</v>
      </c>
      <c r="AJ5" s="153" t="s">
        <v>267</v>
      </c>
      <c r="AL5" s="153" t="s">
        <v>229</v>
      </c>
      <c r="AM5" s="153" t="s">
        <v>285</v>
      </c>
      <c r="AN5" s="153" t="s">
        <v>230</v>
      </c>
      <c r="AO5" s="153" t="s">
        <v>294</v>
      </c>
      <c r="AP5" s="153"/>
      <c r="AQ5" s="153" t="s">
        <v>296</v>
      </c>
      <c r="AR5" s="153" t="s">
        <v>298</v>
      </c>
      <c r="AS5" s="153" t="s">
        <v>299</v>
      </c>
      <c r="AT5" s="153" t="s">
        <v>311</v>
      </c>
      <c r="AU5" s="153"/>
      <c r="AV5" s="153" t="s">
        <v>316</v>
      </c>
      <c r="AW5" s="153" t="s">
        <v>317</v>
      </c>
      <c r="AX5" s="153" t="s">
        <v>318</v>
      </c>
      <c r="AY5" s="153" t="s">
        <v>319</v>
      </c>
      <c r="AZ5" s="153"/>
      <c r="BA5" s="153" t="s">
        <v>323</v>
      </c>
      <c r="BB5" s="153" t="s">
        <v>324</v>
      </c>
      <c r="BC5" s="153" t="s">
        <v>325</v>
      </c>
      <c r="BD5" s="153" t="s">
        <v>326</v>
      </c>
      <c r="BE5" s="153"/>
      <c r="BF5" s="153"/>
      <c r="BG5" s="153"/>
      <c r="BH5" s="153"/>
    </row>
    <row r="6" spans="3:89">
      <c r="C6" s="153" t="s">
        <v>205</v>
      </c>
      <c r="D6" s="211">
        <v>93</v>
      </c>
      <c r="E6" s="211">
        <v>154</v>
      </c>
      <c r="F6" s="211">
        <v>270</v>
      </c>
      <c r="G6" s="169">
        <f>+SUM(AG6:AJ6)</f>
        <v>348.18</v>
      </c>
      <c r="H6" s="169">
        <f>+SUM(AL6:AO6)</f>
        <v>468.6</v>
      </c>
      <c r="I6" s="169">
        <f>+SUM(AQ6:AT6)</f>
        <v>610</v>
      </c>
      <c r="J6" s="169">
        <f>+SUM(AV6:AY6)</f>
        <v>750.65099999999995</v>
      </c>
      <c r="K6" s="169">
        <f>+SUM(BA6:BD6)</f>
        <v>900.7811999999999</v>
      </c>
      <c r="L6" s="169">
        <f t="shared" ref="L6:P6" si="0">+K6*(1+L8)</f>
        <v>1044.9061919999999</v>
      </c>
      <c r="M6" s="169">
        <f t="shared" si="0"/>
        <v>1178.6541845759998</v>
      </c>
      <c r="N6" s="169">
        <f t="shared" si="0"/>
        <v>1299.3483730765822</v>
      </c>
      <c r="O6" s="169">
        <f t="shared" si="0"/>
        <v>1405.7909917990157</v>
      </c>
      <c r="P6" s="169">
        <f t="shared" si="0"/>
        <v>1497.920910237556</v>
      </c>
      <c r="Q6" s="170">
        <f>+(J6/G6)^(1/3)-1</f>
        <v>0.29184799503230519</v>
      </c>
      <c r="R6" s="169">
        <f>+D6-SUM(S6:U6)</f>
        <v>21</v>
      </c>
      <c r="S6" s="169">
        <f>+T6-2.5</f>
        <v>21.5</v>
      </c>
      <c r="T6" s="169">
        <f>+U6-2.5</f>
        <v>24</v>
      </c>
      <c r="U6" s="169">
        <f>+W6-2.5</f>
        <v>26.5</v>
      </c>
      <c r="V6" s="153"/>
      <c r="W6" s="211">
        <v>29</v>
      </c>
      <c r="X6" s="211">
        <v>32.725000000000001</v>
      </c>
      <c r="Y6" s="211">
        <v>38.145000000000003</v>
      </c>
      <c r="Z6" s="223">
        <f>E6-SUM(W6:Y6)</f>
        <v>54.129999999999995</v>
      </c>
      <c r="AA6" s="169"/>
      <c r="AB6" s="211">
        <v>58</v>
      </c>
      <c r="AC6" s="211">
        <f>+AH6/1.31</f>
        <v>64.809160305343511</v>
      </c>
      <c r="AD6" s="211">
        <v>71</v>
      </c>
      <c r="AE6" s="223">
        <f>F6-SUM(AB6:AD6)</f>
        <v>76.190839694656489</v>
      </c>
      <c r="AF6" s="172">
        <f>SUM(AB6:AE6)</f>
        <v>270</v>
      </c>
      <c r="AG6" s="210">
        <v>82</v>
      </c>
      <c r="AH6" s="210">
        <v>84.9</v>
      </c>
      <c r="AI6" s="210">
        <v>86.695999999999998</v>
      </c>
      <c r="AJ6" s="210">
        <v>94.584000000000003</v>
      </c>
      <c r="AK6" s="172">
        <f>SUM(AG6:AJ6)</f>
        <v>348.18</v>
      </c>
      <c r="AL6" s="210">
        <v>103.9</v>
      </c>
      <c r="AM6" s="210">
        <v>115.2</v>
      </c>
      <c r="AN6" s="210">
        <v>119.4</v>
      </c>
      <c r="AO6" s="210">
        <v>130.1</v>
      </c>
      <c r="AP6" s="172"/>
      <c r="AQ6" s="210">
        <v>138.4</v>
      </c>
      <c r="AR6" s="210">
        <v>148.4</v>
      </c>
      <c r="AS6" s="210">
        <v>155</v>
      </c>
      <c r="AT6" s="311">
        <f>610-SUM(AQ6:AS6)</f>
        <v>168.2</v>
      </c>
      <c r="AU6" s="210"/>
      <c r="AV6" s="210">
        <v>172</v>
      </c>
      <c r="AW6" s="210">
        <v>183.316</v>
      </c>
      <c r="AX6" s="210">
        <v>192.11699999999999</v>
      </c>
      <c r="AY6" s="210">
        <v>203.21799999999999</v>
      </c>
      <c r="AZ6" s="210"/>
      <c r="BA6" s="292">
        <f t="shared" ref="BA6:BD6" si="1">AV6*(1+BA8)</f>
        <v>206.4</v>
      </c>
      <c r="BB6" s="292">
        <f t="shared" si="1"/>
        <v>219.97919999999999</v>
      </c>
      <c r="BC6" s="292">
        <f t="shared" si="1"/>
        <v>230.54039999999998</v>
      </c>
      <c r="BD6" s="292">
        <f t="shared" si="1"/>
        <v>243.86159999999998</v>
      </c>
      <c r="BE6" s="210"/>
      <c r="BF6" s="170"/>
      <c r="BG6" s="170"/>
      <c r="BH6" s="170"/>
    </row>
    <row r="7" spans="3:89">
      <c r="C7" s="153" t="s">
        <v>228</v>
      </c>
      <c r="D7" s="169"/>
      <c r="E7" s="169"/>
      <c r="F7" s="169"/>
      <c r="G7" s="169"/>
      <c r="H7" s="169"/>
      <c r="I7" s="169"/>
      <c r="J7" s="169"/>
      <c r="K7" s="169"/>
      <c r="L7" s="169"/>
      <c r="M7" s="169"/>
      <c r="N7" s="169"/>
      <c r="O7" s="169"/>
      <c r="P7" s="169"/>
      <c r="Q7" s="153"/>
      <c r="R7" s="169"/>
      <c r="S7" s="169"/>
      <c r="T7" s="169"/>
      <c r="U7" s="169"/>
      <c r="V7" s="153"/>
      <c r="W7" s="170">
        <f>+W6/U6-1</f>
        <v>9.4339622641509413E-2</v>
      </c>
      <c r="X7" s="170">
        <f>+X6/W6-1</f>
        <v>0.12844827586206908</v>
      </c>
      <c r="Y7" s="170">
        <f t="shared" ref="Y7:Z7" si="2">+Y6/X6-1</f>
        <v>0.16562261268143619</v>
      </c>
      <c r="Z7" s="170">
        <f t="shared" si="2"/>
        <v>0.41905885437147705</v>
      </c>
      <c r="AA7" s="169"/>
      <c r="AB7" s="170">
        <f>+AB6/Z6-1</f>
        <v>7.1494550157029435E-2</v>
      </c>
      <c r="AC7" s="170">
        <f>+AC6/AB6-1</f>
        <v>0.11739931560937089</v>
      </c>
      <c r="AD7" s="170">
        <f t="shared" ref="AD7" si="3">+AD6/AC6-1</f>
        <v>9.5524146054181358E-2</v>
      </c>
      <c r="AE7" s="170">
        <f t="shared" ref="AE7" si="4">+AE6/AD6-1</f>
        <v>7.3110418234598518E-2</v>
      </c>
      <c r="AG7" s="170">
        <f>+AG6/AE6-1</f>
        <v>7.6244865243963567E-2</v>
      </c>
      <c r="AH7" s="170">
        <f>+AH6/AG6-1</f>
        <v>3.5365853658536617E-2</v>
      </c>
      <c r="AI7" s="170">
        <f t="shared" ref="AI7" si="5">+AI6/AH6-1</f>
        <v>2.1154299175500491E-2</v>
      </c>
      <c r="AJ7" s="170">
        <f t="shared" ref="AJ7" si="6">+AJ6/AI6-1</f>
        <v>9.0984589831134111E-2</v>
      </c>
      <c r="AL7" s="170">
        <f>+AL6/AJ6-1</f>
        <v>9.8494459950943192E-2</v>
      </c>
      <c r="AM7" s="170">
        <f>+AM6/AL6-1</f>
        <v>0.10875842155919146</v>
      </c>
      <c r="AN7" s="170">
        <f t="shared" ref="AN7" si="7">+AN6/AM6-1</f>
        <v>3.6458333333333259E-2</v>
      </c>
      <c r="AO7" s="170">
        <f t="shared" ref="AO7" si="8">+AO6/AN6-1</f>
        <v>8.9614740368509027E-2</v>
      </c>
      <c r="AQ7" s="170">
        <f>+AQ6/AO6-1</f>
        <v>6.3797079169869431E-2</v>
      </c>
      <c r="AR7" s="170">
        <f>+AR6/AQ6-1</f>
        <v>7.225433526011571E-2</v>
      </c>
      <c r="AS7" s="170">
        <f t="shared" ref="AS7" si="9">+AS6/AR6-1</f>
        <v>4.4474393530997247E-2</v>
      </c>
      <c r="AT7" s="170">
        <f t="shared" ref="AT7" si="10">+AT6/AS6-1</f>
        <v>8.5161290322580463E-2</v>
      </c>
      <c r="AU7" s="170"/>
      <c r="AV7" s="170">
        <f>+AV6/AT6-1</f>
        <v>2.2592152199762294E-2</v>
      </c>
      <c r="AW7" s="170">
        <f>+AW6/AV6-1</f>
        <v>6.5790697674418697E-2</v>
      </c>
      <c r="AX7" s="170">
        <f>+AX6/AW6-1</f>
        <v>4.8009993672128992E-2</v>
      </c>
      <c r="AY7" s="170">
        <f>+AY6/AX6-1</f>
        <v>5.7782497124148291E-2</v>
      </c>
      <c r="AZ7" s="170"/>
      <c r="BA7" s="170">
        <f>+BA6/AY6-1</f>
        <v>1.5658061785865485E-2</v>
      </c>
      <c r="BB7" s="170">
        <f t="shared" ref="BB7:BD7" si="11">+BB6/BA6-1</f>
        <v>6.5790697674418475E-2</v>
      </c>
      <c r="BC7" s="170">
        <f t="shared" si="11"/>
        <v>4.8009993672128992E-2</v>
      </c>
      <c r="BD7" s="170">
        <f t="shared" si="11"/>
        <v>5.7782497124148291E-2</v>
      </c>
      <c r="BE7" s="170"/>
      <c r="BF7" s="210"/>
      <c r="BG7" s="210"/>
      <c r="BH7" s="210"/>
    </row>
    <row r="8" spans="3:89">
      <c r="C8" s="153" t="s">
        <v>223</v>
      </c>
      <c r="D8" s="169"/>
      <c r="E8" s="170">
        <f t="shared" ref="E8:K8" si="12">+E6/D6-1</f>
        <v>0.65591397849462374</v>
      </c>
      <c r="F8" s="170">
        <f t="shared" si="12"/>
        <v>0.75324675324675328</v>
      </c>
      <c r="G8" s="170">
        <f t="shared" si="12"/>
        <v>0.28955555555555557</v>
      </c>
      <c r="H8" s="170">
        <f t="shared" si="12"/>
        <v>0.34585559193520599</v>
      </c>
      <c r="I8" s="170">
        <f t="shared" si="12"/>
        <v>0.30174989329918911</v>
      </c>
      <c r="J8" s="170">
        <f t="shared" si="12"/>
        <v>0.2305754098360655</v>
      </c>
      <c r="K8" s="170">
        <f t="shared" si="12"/>
        <v>0.19999999999999996</v>
      </c>
      <c r="L8" s="212">
        <f t="shared" ref="L8:P8" si="13">+K8*0.8</f>
        <v>0.15999999999999998</v>
      </c>
      <c r="M8" s="212">
        <f t="shared" si="13"/>
        <v>0.12799999999999997</v>
      </c>
      <c r="N8" s="212">
        <f t="shared" si="13"/>
        <v>0.10239999999999999</v>
      </c>
      <c r="O8" s="212">
        <f t="shared" si="13"/>
        <v>8.1919999999999993E-2</v>
      </c>
      <c r="P8" s="212">
        <f t="shared" si="13"/>
        <v>6.5535999999999997E-2</v>
      </c>
      <c r="Q8" s="153"/>
      <c r="R8" s="153"/>
      <c r="S8" s="153"/>
      <c r="T8" s="153"/>
      <c r="U8" s="153"/>
      <c r="V8" s="153"/>
      <c r="W8" s="169"/>
      <c r="X8" s="169"/>
      <c r="Y8" s="169"/>
      <c r="Z8" s="169"/>
      <c r="AA8" s="169"/>
      <c r="AB8" s="170">
        <f>+AB6/W6-1</f>
        <v>1</v>
      </c>
      <c r="AC8" s="170">
        <f t="shared" ref="AC8:AE8" si="14">+AC6/X6-1</f>
        <v>0.98041742720682978</v>
      </c>
      <c r="AD8" s="170">
        <f t="shared" si="14"/>
        <v>0.86131865251015838</v>
      </c>
      <c r="AE8" s="170">
        <f t="shared" si="14"/>
        <v>0.4075529224950396</v>
      </c>
      <c r="AG8" s="170">
        <f>+AG6/AB6-1</f>
        <v>0.4137931034482758</v>
      </c>
      <c r="AH8" s="170">
        <f t="shared" ref="AH8" si="15">+AH6/AC6-1</f>
        <v>0.31000000000000005</v>
      </c>
      <c r="AI8" s="170">
        <f t="shared" ref="AI8" si="16">+AI6/AD6-1</f>
        <v>0.22107042253521114</v>
      </c>
      <c r="AJ8" s="170">
        <f t="shared" ref="AJ8" si="17">+AJ6/AE6-1</f>
        <v>0.24140907724676897</v>
      </c>
      <c r="AL8" s="170">
        <f>+AL6/AG6-1</f>
        <v>0.26707317073170733</v>
      </c>
      <c r="AM8" s="170">
        <f t="shared" ref="AM8" si="18">+AM6/AH6-1</f>
        <v>0.35689045936395747</v>
      </c>
      <c r="AN8" s="170">
        <f t="shared" ref="AN8" si="19">+AN6/AI6-1</f>
        <v>0.37722616960413413</v>
      </c>
      <c r="AO8" s="170">
        <f t="shared" ref="AO8" si="20">+AO6/AJ6-1</f>
        <v>0.37549691279709041</v>
      </c>
      <c r="AP8" s="170"/>
      <c r="AQ8" s="170">
        <f>+AQ6/AL6-1</f>
        <v>0.33205004812319538</v>
      </c>
      <c r="AR8" s="260">
        <f t="shared" ref="AR8" si="21">+AR6/AM6-1</f>
        <v>0.28819444444444442</v>
      </c>
      <c r="AS8" s="260">
        <f t="shared" ref="AS8" si="22">+AS6/AN6-1</f>
        <v>0.29815745393634829</v>
      </c>
      <c r="AT8" s="260">
        <f>+AT6/AO6-1</f>
        <v>0.29285165257494228</v>
      </c>
      <c r="AU8" s="260"/>
      <c r="AV8" s="260">
        <f>+AV6/AQ6-1</f>
        <v>0.24277456647398843</v>
      </c>
      <c r="AW8" s="260">
        <f t="shared" ref="AW8:AY8" si="23">+AW6/AR6-1</f>
        <v>0.23528301886792446</v>
      </c>
      <c r="AX8" s="260">
        <f t="shared" si="23"/>
        <v>0.2394645161290323</v>
      </c>
      <c r="AY8" s="260">
        <f t="shared" si="23"/>
        <v>0.20819262782401915</v>
      </c>
      <c r="AZ8" s="260"/>
      <c r="BA8" s="291">
        <v>0.2</v>
      </c>
      <c r="BB8" s="291">
        <v>0.2</v>
      </c>
      <c r="BC8" s="291">
        <v>0.2</v>
      </c>
      <c r="BD8" s="291">
        <v>0.2</v>
      </c>
      <c r="BE8" s="260"/>
      <c r="BF8" s="170"/>
      <c r="BG8" s="170"/>
      <c r="BH8" s="170"/>
    </row>
    <row r="9" spans="3:89">
      <c r="C9" s="153" t="s">
        <v>262</v>
      </c>
      <c r="D9" s="169">
        <f>+D6*D10</f>
        <v>86.490000000000009</v>
      </c>
      <c r="E9" s="169">
        <f>+E6*E10</f>
        <v>103.18</v>
      </c>
      <c r="F9" s="169">
        <f>+F6*F10</f>
        <v>139.72499999999999</v>
      </c>
      <c r="G9" s="169">
        <f>+SUM(AG9:AJ9)</f>
        <v>183.29900000000004</v>
      </c>
      <c r="H9" s="169">
        <f>+SUM(AL9:AO9)</f>
        <v>246.01499999999999</v>
      </c>
      <c r="I9" s="169">
        <f>+SUM(AQ9:AT9)</f>
        <v>320.25</v>
      </c>
      <c r="J9" s="169">
        <f>+SUM(AV9:AY9)</f>
        <v>382.83200999999997</v>
      </c>
      <c r="K9" s="169">
        <f>+SUM(BA9:BD9)</f>
        <v>450.39059999999995</v>
      </c>
      <c r="L9" s="169">
        <f t="shared" ref="L9:P9" si="24">+L6*L10</f>
        <v>512.00403408</v>
      </c>
      <c r="M9" s="169">
        <f t="shared" si="24"/>
        <v>565.75400859647993</v>
      </c>
      <c r="N9" s="169">
        <f t="shared" si="24"/>
        <v>610.69373534599356</v>
      </c>
      <c r="O9" s="169">
        <f t="shared" si="24"/>
        <v>646.66385622754717</v>
      </c>
      <c r="P9" s="169">
        <f t="shared" si="24"/>
        <v>674.06440960690009</v>
      </c>
      <c r="Q9" s="153"/>
      <c r="R9" s="169">
        <f>+R6*R10</f>
        <v>19.53</v>
      </c>
      <c r="S9" s="169">
        <f>+S6*S10</f>
        <v>19.995000000000001</v>
      </c>
      <c r="T9" s="169">
        <f>+T6*T10</f>
        <v>22.32</v>
      </c>
      <c r="U9" s="169">
        <f>+U6*U10</f>
        <v>24.645</v>
      </c>
      <c r="V9" s="153"/>
      <c r="W9" s="169">
        <f>+W6*W10</f>
        <v>23.200000000000003</v>
      </c>
      <c r="X9" s="169">
        <f>+X6*X10</f>
        <v>22.907499999999999</v>
      </c>
      <c r="Y9" s="169">
        <f>+Y6*Y10</f>
        <v>24.794250000000002</v>
      </c>
      <c r="Z9" s="223">
        <f>+E9-SUM(W9:Y9)</f>
        <v>32.27825</v>
      </c>
      <c r="AA9" s="153"/>
      <c r="AB9" s="169">
        <f>+AB6*AB10</f>
        <v>34.799999999999997</v>
      </c>
      <c r="AC9" s="169">
        <f>+AC6*AC10</f>
        <v>35.645038167938935</v>
      </c>
      <c r="AD9" s="169">
        <f>+AD6*AD10</f>
        <v>35.5</v>
      </c>
      <c r="AE9" s="223">
        <f>+F9-SUM(AB9:AD9)</f>
        <v>33.779961832061062</v>
      </c>
      <c r="AG9" s="169">
        <f>+AG6*AG10</f>
        <v>36.9</v>
      </c>
      <c r="AH9" s="169">
        <f>+AH6*AH10</f>
        <v>46.695000000000007</v>
      </c>
      <c r="AI9" s="169">
        <f>+AI6*AI10</f>
        <v>47.6828</v>
      </c>
      <c r="AJ9" s="169">
        <f>+AJ6*AJ10</f>
        <v>52.021200000000007</v>
      </c>
      <c r="AL9" s="169">
        <f>+AL6*AL10</f>
        <v>54.547500000000007</v>
      </c>
      <c r="AM9" s="169">
        <f>+AM6*AM10</f>
        <v>60.480000000000004</v>
      </c>
      <c r="AN9" s="169">
        <f>+AN6*AN10</f>
        <v>62.685000000000002</v>
      </c>
      <c r="AO9" s="169">
        <f>+AO6*AO10</f>
        <v>68.302499999999995</v>
      </c>
      <c r="AP9" s="169"/>
      <c r="AQ9" s="169">
        <f>+AQ6*AQ10</f>
        <v>72.660000000000011</v>
      </c>
      <c r="AR9" s="169">
        <f>+AR6*AR10</f>
        <v>77.910000000000011</v>
      </c>
      <c r="AS9" s="169">
        <f>+AS6*AS10</f>
        <v>81.375</v>
      </c>
      <c r="AT9" s="169">
        <f>+AT6*AT10</f>
        <v>88.304999999999993</v>
      </c>
      <c r="AU9" s="169"/>
      <c r="AV9" s="169">
        <f>+AV6*AV10</f>
        <v>87.72</v>
      </c>
      <c r="AW9" s="169">
        <f>+AW6*AW10</f>
        <v>93.491160000000008</v>
      </c>
      <c r="AX9" s="169">
        <f>+AX6*AX10</f>
        <v>97.979669999999999</v>
      </c>
      <c r="AY9" s="169">
        <f>+AY6*AY10</f>
        <v>103.64117999999999</v>
      </c>
      <c r="AZ9" s="169"/>
      <c r="BA9" s="169">
        <f>+BA6*BA10</f>
        <v>103.2</v>
      </c>
      <c r="BB9" s="169">
        <f>+BB6*BB10</f>
        <v>109.9896</v>
      </c>
      <c r="BC9" s="169">
        <f>+BC6*BC10</f>
        <v>115.27019999999999</v>
      </c>
      <c r="BD9" s="169">
        <f>+BD6*BD10</f>
        <v>121.93079999999999</v>
      </c>
      <c r="BE9" s="169"/>
      <c r="BF9" s="210"/>
      <c r="BG9" s="210"/>
      <c r="BH9" s="210"/>
    </row>
    <row r="10" spans="3:89">
      <c r="C10" s="153" t="s">
        <v>220</v>
      </c>
      <c r="D10" s="212">
        <v>0.93</v>
      </c>
      <c r="E10" s="212">
        <v>0.67</v>
      </c>
      <c r="F10" s="212">
        <v>0.51749999999999996</v>
      </c>
      <c r="G10" s="170">
        <f>+G9/G6</f>
        <v>0.52644896317996448</v>
      </c>
      <c r="H10" s="170">
        <f>+H9/H6</f>
        <v>0.52499999999999991</v>
      </c>
      <c r="I10" s="170">
        <f>+I9/I6</f>
        <v>0.52500000000000002</v>
      </c>
      <c r="J10" s="170">
        <f>+J9/J6</f>
        <v>0.51</v>
      </c>
      <c r="K10" s="170">
        <f>+K9/K6</f>
        <v>0.5</v>
      </c>
      <c r="L10" s="212">
        <f t="shared" ref="L10:P10" si="25">+K10-1%</f>
        <v>0.49</v>
      </c>
      <c r="M10" s="212">
        <f t="shared" si="25"/>
        <v>0.48</v>
      </c>
      <c r="N10" s="212">
        <f t="shared" si="25"/>
        <v>0.47</v>
      </c>
      <c r="O10" s="212">
        <f t="shared" si="25"/>
        <v>0.45999999999999996</v>
      </c>
      <c r="P10" s="212">
        <f t="shared" si="25"/>
        <v>0.44999999999999996</v>
      </c>
      <c r="Q10" s="153"/>
      <c r="R10" s="170">
        <f>+D10</f>
        <v>0.93</v>
      </c>
      <c r="S10" s="170">
        <f>+R10</f>
        <v>0.93</v>
      </c>
      <c r="T10" s="170">
        <f t="shared" ref="T10:U10" si="26">+S10</f>
        <v>0.93</v>
      </c>
      <c r="U10" s="170">
        <f t="shared" si="26"/>
        <v>0.93</v>
      </c>
      <c r="V10" s="153"/>
      <c r="W10" s="212">
        <v>0.8</v>
      </c>
      <c r="X10" s="212">
        <v>0.7</v>
      </c>
      <c r="Y10" s="212">
        <v>0.65</v>
      </c>
      <c r="Z10" s="170">
        <f>+Z9/Z6</f>
        <v>0.59630980971734715</v>
      </c>
      <c r="AA10" s="153"/>
      <c r="AB10" s="212">
        <v>0.6</v>
      </c>
      <c r="AC10" s="212">
        <v>0.55000000000000004</v>
      </c>
      <c r="AD10" s="212">
        <v>0.5</v>
      </c>
      <c r="AE10" s="170">
        <f>+AE9/AE6</f>
        <v>0.44335988377918034</v>
      </c>
      <c r="AG10" s="212">
        <v>0.45</v>
      </c>
      <c r="AH10" s="212">
        <v>0.55000000000000004</v>
      </c>
      <c r="AI10" s="212">
        <v>0.55000000000000004</v>
      </c>
      <c r="AJ10" s="212">
        <v>0.55000000000000004</v>
      </c>
      <c r="AL10" s="212">
        <v>0.52500000000000002</v>
      </c>
      <c r="AM10" s="212">
        <v>0.52500000000000002</v>
      </c>
      <c r="AN10" s="212">
        <v>0.52500000000000002</v>
      </c>
      <c r="AO10" s="212">
        <v>0.52500000000000002</v>
      </c>
      <c r="AP10" s="212"/>
      <c r="AQ10" s="212">
        <v>0.52500000000000002</v>
      </c>
      <c r="AR10" s="212">
        <v>0.52500000000000002</v>
      </c>
      <c r="AS10" s="212">
        <v>0.52500000000000002</v>
      </c>
      <c r="AT10" s="212">
        <v>0.52500000000000002</v>
      </c>
      <c r="AU10" s="212"/>
      <c r="AV10" s="212">
        <v>0.51</v>
      </c>
      <c r="AW10" s="212">
        <v>0.51</v>
      </c>
      <c r="AX10" s="212">
        <v>0.51</v>
      </c>
      <c r="AY10" s="212">
        <v>0.51</v>
      </c>
      <c r="AZ10" s="212"/>
      <c r="BA10" s="212">
        <v>0.5</v>
      </c>
      <c r="BB10" s="212">
        <v>0.5</v>
      </c>
      <c r="BC10" s="212">
        <v>0.5</v>
      </c>
      <c r="BD10" s="212">
        <v>0.5</v>
      </c>
      <c r="BE10" s="212"/>
      <c r="BF10" s="170"/>
      <c r="BG10" s="170"/>
      <c r="BH10" s="170"/>
    </row>
    <row r="11" spans="3:89">
      <c r="C11" s="153" t="s">
        <v>223</v>
      </c>
      <c r="D11" s="212"/>
      <c r="E11" s="170">
        <f>+E9/D9-1</f>
        <v>0.19297028558214824</v>
      </c>
      <c r="F11" s="170">
        <f t="shared" ref="F11:P11" si="27">+F9/E9-1</f>
        <v>0.35418685791820104</v>
      </c>
      <c r="G11" s="170">
        <f t="shared" si="27"/>
        <v>0.31185543030953689</v>
      </c>
      <c r="H11" s="170">
        <f t="shared" si="27"/>
        <v>0.34215134834341665</v>
      </c>
      <c r="I11" s="170">
        <f t="shared" si="27"/>
        <v>0.30174989329918911</v>
      </c>
      <c r="J11" s="170">
        <f t="shared" si="27"/>
        <v>0.19541611241217782</v>
      </c>
      <c r="K11" s="170">
        <f t="shared" si="27"/>
        <v>0.17647058823529416</v>
      </c>
      <c r="L11" s="170">
        <f t="shared" si="27"/>
        <v>0.13680000000000003</v>
      </c>
      <c r="M11" s="170">
        <f t="shared" si="27"/>
        <v>0.10497959183673466</v>
      </c>
      <c r="N11" s="170">
        <f t="shared" si="27"/>
        <v>7.9433333333333245E-2</v>
      </c>
      <c r="O11" s="170">
        <f t="shared" si="27"/>
        <v>5.8900425531914768E-2</v>
      </c>
      <c r="P11" s="170">
        <f t="shared" si="27"/>
        <v>4.2372173913043376E-2</v>
      </c>
      <c r="Q11" s="153"/>
      <c r="R11" s="170"/>
      <c r="S11" s="170"/>
      <c r="T11" s="170"/>
      <c r="U11" s="170"/>
      <c r="V11" s="153"/>
      <c r="W11" s="212"/>
      <c r="X11" s="212"/>
      <c r="Y11" s="212"/>
      <c r="Z11" s="170"/>
      <c r="AA11" s="153"/>
      <c r="AB11" s="212"/>
      <c r="AC11" s="212"/>
      <c r="AD11" s="212"/>
      <c r="AE11" s="170"/>
      <c r="AG11" s="212"/>
      <c r="AH11" s="212"/>
      <c r="AI11" s="212"/>
      <c r="AJ11" s="212"/>
      <c r="AL11" s="212"/>
      <c r="AM11" s="212"/>
      <c r="AN11" s="212"/>
      <c r="AO11" s="212"/>
      <c r="AP11" s="212"/>
      <c r="AQ11" s="170"/>
      <c r="AR11" s="170"/>
      <c r="AS11" s="170"/>
      <c r="AT11" s="170"/>
      <c r="AU11" s="170"/>
      <c r="AV11" s="170"/>
      <c r="AW11" s="170"/>
      <c r="AX11" s="170"/>
      <c r="AY11" s="170"/>
      <c r="AZ11" s="170"/>
      <c r="BA11" s="170"/>
      <c r="BB11" s="170"/>
      <c r="BC11" s="170"/>
      <c r="BD11" s="170"/>
      <c r="BE11" s="170"/>
      <c r="BF11" s="170"/>
      <c r="BG11" s="170"/>
      <c r="BH11" s="170"/>
    </row>
    <row r="12" spans="3:89">
      <c r="C12" s="153" t="s">
        <v>263</v>
      </c>
      <c r="D12" s="169">
        <f>+D6-D9</f>
        <v>6.5099999999999909</v>
      </c>
      <c r="E12" s="169">
        <f>+E6-E9</f>
        <v>50.819999999999993</v>
      </c>
      <c r="F12" s="169">
        <f>+F6-F9</f>
        <v>130.27500000000001</v>
      </c>
      <c r="G12" s="169">
        <f>+SUM(AG12:AJ12)</f>
        <v>164.881</v>
      </c>
      <c r="H12" s="169">
        <f>+SUM(AL12:AO12)</f>
        <v>222.58499999999998</v>
      </c>
      <c r="I12" s="169">
        <f>+SUM(AQ12:AT12)</f>
        <v>289.75</v>
      </c>
      <c r="J12" s="169">
        <f>+SUM(AV12:AY12)</f>
        <v>367.81898999999999</v>
      </c>
      <c r="K12" s="169">
        <f>+SUM(BA12:BD12)</f>
        <v>450.39059999999995</v>
      </c>
      <c r="L12" s="213">
        <f t="shared" ref="L12:P12" si="28">+L6-L9</f>
        <v>532.90215791999992</v>
      </c>
      <c r="M12" s="213">
        <f t="shared" si="28"/>
        <v>612.90017597951987</v>
      </c>
      <c r="N12" s="213">
        <f t="shared" si="28"/>
        <v>688.65463773058866</v>
      </c>
      <c r="O12" s="213">
        <f t="shared" si="28"/>
        <v>759.12713557146856</v>
      </c>
      <c r="P12" s="213">
        <f t="shared" si="28"/>
        <v>823.85650063065589</v>
      </c>
      <c r="Q12" s="153"/>
      <c r="R12" s="169">
        <f>+R6-R9</f>
        <v>1.4699999999999989</v>
      </c>
      <c r="S12" s="169">
        <f>+S6-S9</f>
        <v>1.504999999999999</v>
      </c>
      <c r="T12" s="169">
        <f>+T6-T9</f>
        <v>1.6799999999999997</v>
      </c>
      <c r="U12" s="169">
        <f>+U6-U9</f>
        <v>1.8550000000000004</v>
      </c>
      <c r="V12" s="153"/>
      <c r="W12" s="169">
        <f>+W6-W9</f>
        <v>5.7999999999999972</v>
      </c>
      <c r="X12" s="169">
        <f>+X6-X9</f>
        <v>9.8175000000000026</v>
      </c>
      <c r="Y12" s="169">
        <f>+Y6-Y9</f>
        <v>13.350750000000001</v>
      </c>
      <c r="Z12" s="169">
        <f>+Z6-Z9</f>
        <v>21.851749999999996</v>
      </c>
      <c r="AA12" s="153"/>
      <c r="AB12" s="213">
        <f>+AB6-AB9</f>
        <v>23.200000000000003</v>
      </c>
      <c r="AC12" s="213">
        <f>+AC6-AC9</f>
        <v>29.164122137404576</v>
      </c>
      <c r="AD12" s="213">
        <f>+AD6-AD9</f>
        <v>35.5</v>
      </c>
      <c r="AE12" s="213">
        <f>+AE6-AE9</f>
        <v>42.410877862595427</v>
      </c>
      <c r="AG12" s="213">
        <f>+AG6-AG9</f>
        <v>45.1</v>
      </c>
      <c r="AH12" s="213">
        <f>+AH6-AH9</f>
        <v>38.204999999999998</v>
      </c>
      <c r="AI12" s="213">
        <f>+AI6-AI9</f>
        <v>39.013199999999998</v>
      </c>
      <c r="AJ12" s="213">
        <f>+AJ6-AJ9</f>
        <v>42.562799999999996</v>
      </c>
      <c r="AL12" s="213">
        <f>+AL6-AL9</f>
        <v>49.352499999999999</v>
      </c>
      <c r="AM12" s="280">
        <f>+AM6-AM9</f>
        <v>54.72</v>
      </c>
      <c r="AN12" s="280">
        <f>+AN6-AN9</f>
        <v>56.715000000000003</v>
      </c>
      <c r="AO12" s="280">
        <f>+AO6-AO9</f>
        <v>61.797499999999999</v>
      </c>
      <c r="AP12" s="169"/>
      <c r="AQ12" s="280">
        <f>+AQ6-AQ9</f>
        <v>65.739999999999995</v>
      </c>
      <c r="AR12" s="280">
        <f>+AR6-AR9</f>
        <v>70.489999999999995</v>
      </c>
      <c r="AS12" s="280">
        <f>+AS6-AS9</f>
        <v>73.625</v>
      </c>
      <c r="AT12" s="280">
        <f>+AT6-AT9</f>
        <v>79.894999999999996</v>
      </c>
      <c r="AU12" s="169"/>
      <c r="AV12" s="280">
        <f>+AV6-AV9</f>
        <v>84.28</v>
      </c>
      <c r="AW12" s="280">
        <f>+AW6-AW9</f>
        <v>89.824839999999995</v>
      </c>
      <c r="AX12" s="280">
        <f>+AX6-AX9</f>
        <v>94.137329999999992</v>
      </c>
      <c r="AY12" s="280">
        <f>+AY6-AY9</f>
        <v>99.576819999999998</v>
      </c>
      <c r="AZ12" s="169"/>
      <c r="BA12" s="169">
        <f>+BA6-BA9</f>
        <v>103.2</v>
      </c>
      <c r="BB12" s="169">
        <f>+BB6-BB9</f>
        <v>109.9896</v>
      </c>
      <c r="BC12" s="169">
        <f>+BC6-BC9</f>
        <v>115.27019999999999</v>
      </c>
      <c r="BD12" s="169">
        <f>+BD6-BD9</f>
        <v>121.93079999999999</v>
      </c>
      <c r="BE12" s="169"/>
      <c r="BF12" s="210"/>
      <c r="BG12" s="210"/>
      <c r="BH12" s="210"/>
    </row>
    <row r="13" spans="3:89">
      <c r="C13" s="153" t="s">
        <v>221</v>
      </c>
      <c r="D13" s="170">
        <f t="shared" ref="D13:J13" si="29">+D12/D6</f>
        <v>6.9999999999999896E-2</v>
      </c>
      <c r="E13" s="170">
        <f t="shared" si="29"/>
        <v>0.32999999999999996</v>
      </c>
      <c r="F13" s="170">
        <f t="shared" si="29"/>
        <v>0.48250000000000004</v>
      </c>
      <c r="G13" s="170">
        <f t="shared" si="29"/>
        <v>0.47355103682003563</v>
      </c>
      <c r="H13" s="170">
        <f t="shared" si="29"/>
        <v>0.47499999999999992</v>
      </c>
      <c r="I13" s="170">
        <f t="shared" si="29"/>
        <v>0.47499999999999998</v>
      </c>
      <c r="J13" s="170">
        <f t="shared" si="29"/>
        <v>0.49</v>
      </c>
      <c r="K13" s="170">
        <f t="shared" ref="K13" si="30">+K12/K6</f>
        <v>0.5</v>
      </c>
      <c r="L13" s="170">
        <f t="shared" ref="L13:P13" si="31">+L12/L6</f>
        <v>0.51</v>
      </c>
      <c r="M13" s="170">
        <f t="shared" si="31"/>
        <v>0.52</v>
      </c>
      <c r="N13" s="170">
        <f t="shared" si="31"/>
        <v>0.53</v>
      </c>
      <c r="O13" s="170">
        <f t="shared" si="31"/>
        <v>0.54</v>
      </c>
      <c r="P13" s="170">
        <f t="shared" si="31"/>
        <v>0.55000000000000004</v>
      </c>
      <c r="Q13" s="153"/>
      <c r="R13" s="170">
        <f>+R12/R6</f>
        <v>6.9999999999999951E-2</v>
      </c>
      <c r="S13" s="170">
        <f>+S12/S6</f>
        <v>6.9999999999999951E-2</v>
      </c>
      <c r="T13" s="170">
        <f>+T12/T6</f>
        <v>6.9999999999999993E-2</v>
      </c>
      <c r="U13" s="170">
        <f>+U12/U6</f>
        <v>7.0000000000000021E-2</v>
      </c>
      <c r="V13" s="153"/>
      <c r="W13" s="170">
        <f>+W12/W6</f>
        <v>0.1999999999999999</v>
      </c>
      <c r="X13" s="170">
        <f>+X12/X6</f>
        <v>0.30000000000000004</v>
      </c>
      <c r="Y13" s="170">
        <f>+Y12/Y6</f>
        <v>0.35000000000000003</v>
      </c>
      <c r="Z13" s="170">
        <f>+Z12/Z6</f>
        <v>0.40369019028265285</v>
      </c>
      <c r="AA13" s="153"/>
      <c r="AB13" s="170">
        <f>+AB12/AB6</f>
        <v>0.4</v>
      </c>
      <c r="AC13" s="170">
        <f>+AC12/AC6</f>
        <v>0.44999999999999996</v>
      </c>
      <c r="AD13" s="170">
        <f>+AD12/AD6</f>
        <v>0.5</v>
      </c>
      <c r="AE13" s="170">
        <f>+AE12/AE6</f>
        <v>0.55664011622081966</v>
      </c>
      <c r="AG13" s="170">
        <f>+AG12/AG6</f>
        <v>0.55000000000000004</v>
      </c>
      <c r="AH13" s="170">
        <f>+AH12/AH6</f>
        <v>0.44999999999999996</v>
      </c>
      <c r="AI13" s="170">
        <f>+AI12/AI6</f>
        <v>0.45</v>
      </c>
      <c r="AJ13" s="170">
        <f>+AJ12/AJ6</f>
        <v>0.44999999999999996</v>
      </c>
      <c r="AL13" s="170">
        <f>+AL12/AL6</f>
        <v>0.47499999999999998</v>
      </c>
      <c r="AM13" s="170">
        <f>+AM12/AM6</f>
        <v>0.47499999999999998</v>
      </c>
      <c r="AN13" s="170">
        <f>+AN12/AN6</f>
        <v>0.47500000000000003</v>
      </c>
      <c r="AO13" s="170">
        <f>+AO12/AO6</f>
        <v>0.47500000000000003</v>
      </c>
      <c r="AP13" s="170"/>
      <c r="AQ13" s="170">
        <f>+AQ12/AQ6</f>
        <v>0.47499999999999992</v>
      </c>
      <c r="AR13" s="170">
        <f>+AR12/AR6</f>
        <v>0.47499999999999992</v>
      </c>
      <c r="AS13" s="170">
        <f>+AS12/AS6</f>
        <v>0.47499999999999998</v>
      </c>
      <c r="AT13" s="170">
        <f>+AT12/AT6</f>
        <v>0.47500000000000003</v>
      </c>
      <c r="AU13" s="170"/>
      <c r="AV13" s="170">
        <f>+AV12/AV6</f>
        <v>0.49</v>
      </c>
      <c r="AW13" s="170">
        <f>+AW12/AW6</f>
        <v>0.49</v>
      </c>
      <c r="AX13" s="170">
        <f>+AX12/AX6</f>
        <v>0.49</v>
      </c>
      <c r="AY13" s="170">
        <f>+AY12/AY6</f>
        <v>0.49</v>
      </c>
      <c r="AZ13" s="170"/>
      <c r="BA13" s="170">
        <f>+BA12/BA6</f>
        <v>0.5</v>
      </c>
      <c r="BB13" s="170">
        <f>+BB12/BB6</f>
        <v>0.5</v>
      </c>
      <c r="BC13" s="170">
        <f>+BC12/BC6</f>
        <v>0.5</v>
      </c>
      <c r="BD13" s="170">
        <f>+BD12/BD6</f>
        <v>0.5</v>
      </c>
      <c r="BE13" s="170"/>
      <c r="BF13" s="170"/>
      <c r="BG13" s="170"/>
      <c r="BH13" s="170"/>
      <c r="CK13">
        <f>'Income Statement'!BM15</f>
        <v>0</v>
      </c>
    </row>
    <row r="14" spans="3:89">
      <c r="C14" s="153" t="s">
        <v>223</v>
      </c>
      <c r="D14" s="212"/>
      <c r="E14" s="170">
        <f>+E12/D12-1</f>
        <v>6.8064516129032357</v>
      </c>
      <c r="F14" s="170">
        <f t="shared" ref="F14:P14" si="32">+F12/E12-1</f>
        <v>1.5634592680047228</v>
      </c>
      <c r="G14" s="170">
        <f t="shared" si="32"/>
        <v>0.26563807330646694</v>
      </c>
      <c r="H14" s="170">
        <f t="shared" si="32"/>
        <v>0.34997361733613919</v>
      </c>
      <c r="I14" s="170">
        <f t="shared" si="32"/>
        <v>0.30174989329918911</v>
      </c>
      <c r="J14" s="170">
        <f t="shared" si="32"/>
        <v>0.26943568593615175</v>
      </c>
      <c r="K14" s="170">
        <f t="shared" si="32"/>
        <v>0.22448979591836715</v>
      </c>
      <c r="L14" s="170">
        <f t="shared" si="32"/>
        <v>0.18320000000000003</v>
      </c>
      <c r="M14" s="170">
        <f t="shared" si="32"/>
        <v>0.15011764705882347</v>
      </c>
      <c r="N14" s="170">
        <f t="shared" si="32"/>
        <v>0.12360000000000015</v>
      </c>
      <c r="O14" s="170">
        <f t="shared" si="32"/>
        <v>0.10233358490566036</v>
      </c>
      <c r="P14" s="170">
        <f t="shared" si="32"/>
        <v>8.5268148148148093E-2</v>
      </c>
      <c r="Q14" s="153"/>
      <c r="R14" s="153"/>
      <c r="S14" s="153"/>
      <c r="T14" s="153"/>
      <c r="U14" s="153"/>
      <c r="V14" s="153"/>
      <c r="W14" s="153"/>
      <c r="X14" s="153"/>
      <c r="Y14" s="153"/>
      <c r="Z14" s="153"/>
      <c r="AA14" s="153"/>
      <c r="AB14" s="153"/>
      <c r="AC14" s="153"/>
      <c r="AD14" s="153"/>
      <c r="AE14" s="153"/>
    </row>
    <row r="15" spans="3:89">
      <c r="C15" s="153"/>
      <c r="D15" s="212"/>
      <c r="E15" s="170"/>
      <c r="F15" s="170"/>
      <c r="G15" s="170"/>
      <c r="H15" s="170"/>
      <c r="I15" s="170"/>
      <c r="J15" s="170"/>
      <c r="K15" s="170"/>
      <c r="L15" s="170"/>
      <c r="M15" s="170"/>
      <c r="N15" s="170"/>
      <c r="O15" s="170"/>
      <c r="P15" s="170"/>
      <c r="Q15" s="153"/>
      <c r="R15" s="153"/>
      <c r="S15" s="153"/>
      <c r="T15" s="153"/>
      <c r="U15" s="153"/>
      <c r="V15" s="153"/>
      <c r="W15" s="153"/>
      <c r="X15" s="153"/>
      <c r="Y15" s="153"/>
      <c r="Z15" s="153"/>
      <c r="AA15" s="153"/>
      <c r="AB15" s="153"/>
      <c r="AC15" s="153"/>
      <c r="AD15" s="153"/>
      <c r="AE15" s="153"/>
    </row>
    <row r="16" spans="3:89">
      <c r="C16" s="153" t="s">
        <v>222</v>
      </c>
      <c r="D16" s="211">
        <v>11</v>
      </c>
      <c r="E16" s="211">
        <v>56</v>
      </c>
      <c r="F16" s="211">
        <v>130</v>
      </c>
      <c r="G16" s="169">
        <f>+SUM(AG16:AJ16)</f>
        <v>149.71</v>
      </c>
      <c r="H16" s="169">
        <f>+SUM(AL16:AO16)</f>
        <v>177.5</v>
      </c>
      <c r="I16" s="169">
        <f>+SUM(AQ16:AT16)</f>
        <v>214.5</v>
      </c>
      <c r="J16" s="169">
        <f>+SUM(AV16:AY16)</f>
        <v>254.988</v>
      </c>
      <c r="K16" s="169">
        <f>+SUM(BA16:BD16)</f>
        <v>289.04344729729735</v>
      </c>
      <c r="L16" s="169">
        <f>+'Income Statement'!BF173</f>
        <v>314.97870584459469</v>
      </c>
      <c r="M16" s="169">
        <f>+'Income Statement'!BG173</f>
        <v>337.19271429835317</v>
      </c>
      <c r="N16" s="169">
        <f>+'Income Statement'!BH173</f>
        <v>356.10418243086178</v>
      </c>
      <c r="O16" s="169">
        <f>+'Income Statement'!BI173</f>
        <v>372.20596455673751</v>
      </c>
      <c r="P16" s="169">
        <f>+'Income Statement'!BJ173</f>
        <v>385.98773292521565</v>
      </c>
      <c r="Q16" s="153"/>
      <c r="R16" s="169">
        <f>+D16-SUM(S16:U16)</f>
        <v>2.254999999999999</v>
      </c>
      <c r="S16" s="169">
        <f>+T16-0.5</f>
        <v>2.415</v>
      </c>
      <c r="T16" s="169">
        <f>+U16-0.5</f>
        <v>2.915</v>
      </c>
      <c r="U16" s="169">
        <f>+W16-2.5</f>
        <v>3.415</v>
      </c>
      <c r="V16" s="153"/>
      <c r="W16" s="169">
        <v>5.915</v>
      </c>
      <c r="X16" s="169">
        <v>10.669</v>
      </c>
      <c r="Y16" s="169">
        <v>12.432</v>
      </c>
      <c r="Z16" s="169">
        <v>26.766999999999999</v>
      </c>
      <c r="AA16" s="169"/>
      <c r="AB16" s="211">
        <v>29.454999999999998</v>
      </c>
      <c r="AC16" s="211">
        <v>32.438000000000002</v>
      </c>
      <c r="AD16" s="211">
        <v>32.29</v>
      </c>
      <c r="AE16" s="211">
        <v>36.131999999999998</v>
      </c>
      <c r="AG16" s="211">
        <v>38</v>
      </c>
      <c r="AH16" s="211">
        <v>36.799999999999997</v>
      </c>
      <c r="AI16" s="211">
        <v>36.04</v>
      </c>
      <c r="AJ16" s="211">
        <v>38.869999999999997</v>
      </c>
      <c r="AL16" s="211">
        <v>42.3</v>
      </c>
      <c r="AM16" s="211">
        <v>44.5</v>
      </c>
      <c r="AN16" s="211">
        <v>44.1</v>
      </c>
      <c r="AO16" s="211">
        <v>46.6</v>
      </c>
      <c r="AP16" s="215"/>
      <c r="AQ16" s="211">
        <v>49.5</v>
      </c>
      <c r="AR16" s="211">
        <v>53.9</v>
      </c>
      <c r="AS16" s="211">
        <v>54</v>
      </c>
      <c r="AT16" s="211">
        <v>57.1</v>
      </c>
      <c r="AU16" s="215"/>
      <c r="AV16" s="211">
        <v>58.887</v>
      </c>
      <c r="AW16" s="211">
        <v>63.551000000000002</v>
      </c>
      <c r="AX16" s="211">
        <v>65.268000000000001</v>
      </c>
      <c r="AY16" s="211">
        <v>67.281999999999996</v>
      </c>
      <c r="AZ16" s="215"/>
      <c r="BA16" s="215">
        <f>+'Income Statement'!BA173</f>
        <v>68.102872972972975</v>
      </c>
      <c r="BB16" s="215">
        <f>+'Income Statement'!BB173</f>
        <v>72.207924324324338</v>
      </c>
      <c r="BC16" s="215">
        <f>+'Income Statement'!BC173</f>
        <v>74.315450000000013</v>
      </c>
      <c r="BD16" s="215">
        <f>+'Income Statement'!BD173</f>
        <v>74.417200000000008</v>
      </c>
      <c r="BE16" s="215"/>
      <c r="BF16" s="210"/>
      <c r="BG16" s="210"/>
      <c r="BH16" s="210"/>
    </row>
    <row r="17" spans="3:91">
      <c r="C17" s="153" t="s">
        <v>225</v>
      </c>
      <c r="D17" s="153"/>
      <c r="E17" s="153"/>
      <c r="F17" s="153"/>
      <c r="G17" s="153"/>
      <c r="H17" s="153"/>
      <c r="I17" s="153"/>
      <c r="J17" s="153"/>
      <c r="K17" s="153"/>
      <c r="L17" s="153"/>
      <c r="M17" s="153"/>
      <c r="N17" s="153"/>
      <c r="O17" s="153"/>
      <c r="P17" s="153"/>
      <c r="Q17" s="153"/>
      <c r="R17" s="153"/>
      <c r="S17" s="153"/>
      <c r="T17" s="153"/>
      <c r="U17" s="153"/>
      <c r="V17" s="153"/>
      <c r="W17" s="153"/>
      <c r="X17" s="153"/>
      <c r="Y17" s="153"/>
      <c r="Z17" s="153"/>
      <c r="AA17" s="153"/>
      <c r="AB17" s="170">
        <f>+AB16/Z16-1</f>
        <v>0.10042216161691631</v>
      </c>
      <c r="AC17" s="170">
        <f>+AC16/AB16-1</f>
        <v>0.10127312850110348</v>
      </c>
      <c r="AD17" s="170">
        <f t="shared" ref="AD17:AE17" si="33">+AD16/AC16-1</f>
        <v>-4.5625500955670528E-3</v>
      </c>
      <c r="AE17" s="170">
        <f t="shared" si="33"/>
        <v>0.11898420563641987</v>
      </c>
      <c r="AG17" s="170">
        <f>+AG16/AE16-1</f>
        <v>5.1699324698328386E-2</v>
      </c>
      <c r="AH17" s="170">
        <f>+AH16/AG16-1</f>
        <v>-3.1578947368421151E-2</v>
      </c>
      <c r="AI17" s="170">
        <f t="shared" ref="AI17" si="34">+AI16/AH16-1</f>
        <v>-2.0652173913043415E-2</v>
      </c>
      <c r="AJ17" s="170">
        <f t="shared" ref="AJ17" si="35">+AJ16/AI16-1</f>
        <v>7.8523862375138753E-2</v>
      </c>
      <c r="AL17" s="170">
        <f>+AL16/AJ16-1</f>
        <v>8.8242860818111613E-2</v>
      </c>
      <c r="AM17" s="170">
        <f>+AM16/AL16-1</f>
        <v>5.2009456264775489E-2</v>
      </c>
      <c r="AN17" s="170">
        <f t="shared" ref="AN17" si="36">+AN16/AM16-1</f>
        <v>-8.9887640449437534E-3</v>
      </c>
      <c r="AO17" s="170">
        <f t="shared" ref="AO17:AT17" si="37">+AO16/AN16-1</f>
        <v>5.6689342403628107E-2</v>
      </c>
      <c r="AP17" s="170"/>
      <c r="AQ17" s="170">
        <f>+AQ16/AO16-1</f>
        <v>6.2231759656652397E-2</v>
      </c>
      <c r="AR17" s="170">
        <f t="shared" si="37"/>
        <v>8.8888888888888795E-2</v>
      </c>
      <c r="AS17" s="170">
        <f t="shared" si="37"/>
        <v>1.8552875695732052E-3</v>
      </c>
      <c r="AT17" s="170">
        <f t="shared" si="37"/>
        <v>5.7407407407407351E-2</v>
      </c>
      <c r="AU17" s="170"/>
      <c r="AV17" s="170">
        <f>+AV16/AT16-1</f>
        <v>3.1295971978984261E-2</v>
      </c>
      <c r="AW17" s="170">
        <f t="shared" ref="AW17" si="38">+AW16/AV16-1</f>
        <v>7.9202540458845005E-2</v>
      </c>
      <c r="AX17" s="170">
        <f t="shared" ref="AX17" si="39">+AX16/AW16-1</f>
        <v>2.7017670847036213E-2</v>
      </c>
      <c r="AY17" s="170">
        <f t="shared" ref="AY17:BD17" si="40">+AY16/AX16-1</f>
        <v>3.0857388000245178E-2</v>
      </c>
      <c r="AZ17" s="170"/>
      <c r="BA17" s="170">
        <f>+BA16/AY16-1</f>
        <v>1.2200484126110744E-2</v>
      </c>
      <c r="BB17" s="170">
        <f t="shared" si="40"/>
        <v>6.0277212577808159E-2</v>
      </c>
      <c r="BC17" s="170">
        <f t="shared" si="40"/>
        <v>2.918690289738346E-2</v>
      </c>
      <c r="BD17" s="170">
        <f t="shared" si="40"/>
        <v>1.3691634781192175E-3</v>
      </c>
      <c r="BE17" s="170"/>
      <c r="BF17" s="170"/>
      <c r="BG17" s="170"/>
      <c r="BH17" s="170"/>
    </row>
    <row r="18" spans="3:91">
      <c r="C18" s="153" t="s">
        <v>224</v>
      </c>
      <c r="D18" s="153"/>
      <c r="E18" s="170">
        <f>+E16/D16-1</f>
        <v>4.0909090909090908</v>
      </c>
      <c r="F18" s="170">
        <f t="shared" ref="F18:K18" si="41">+F16/E16-1</f>
        <v>1.3214285714285716</v>
      </c>
      <c r="G18" s="170">
        <f t="shared" si="41"/>
        <v>0.15161538461538471</v>
      </c>
      <c r="H18" s="170">
        <f>+H16/G16-1</f>
        <v>0.18562554271591747</v>
      </c>
      <c r="I18" s="170">
        <f t="shared" si="41"/>
        <v>0.20845070422535206</v>
      </c>
      <c r="J18" s="170">
        <f t="shared" si="41"/>
        <v>0.18875524475524474</v>
      </c>
      <c r="K18" s="170">
        <f t="shared" si="41"/>
        <v>0.13355705875295043</v>
      </c>
      <c r="L18" s="170">
        <f t="shared" ref="L18" si="42">+L16/K16-1</f>
        <v>8.9727889664357185E-2</v>
      </c>
      <c r="M18" s="170">
        <f t="shared" ref="M18" si="43">+M16/L16-1</f>
        <v>7.0525429311778742E-2</v>
      </c>
      <c r="N18" s="170">
        <f t="shared" ref="N18" si="44">+N16/M16-1</f>
        <v>5.6085043746750385E-2</v>
      </c>
      <c r="O18" s="170">
        <f t="shared" ref="O18" si="45">+O16/N16-1</f>
        <v>4.5216492589221113E-2</v>
      </c>
      <c r="P18" s="170">
        <f t="shared" ref="P18" si="46">+P16/O16-1</f>
        <v>3.7027263614356487E-2</v>
      </c>
      <c r="Q18" s="153"/>
      <c r="R18" s="153"/>
      <c r="S18" s="153"/>
      <c r="T18" s="153"/>
      <c r="U18" s="153"/>
      <c r="V18" s="153"/>
      <c r="W18" s="153"/>
      <c r="X18" s="153"/>
      <c r="Y18" s="153"/>
      <c r="Z18" s="153"/>
      <c r="AA18" s="153"/>
      <c r="AB18" s="170">
        <f>+AB16/W16-1</f>
        <v>3.9797125950972099</v>
      </c>
      <c r="AC18" s="170">
        <f t="shared" ref="AC18:AG18" si="47">+AC16/X16-1</f>
        <v>2.0403974130658917</v>
      </c>
      <c r="AD18" s="170">
        <f t="shared" si="47"/>
        <v>1.5973294723294722</v>
      </c>
      <c r="AE18" s="170">
        <f t="shared" si="47"/>
        <v>0.34987110994881743</v>
      </c>
      <c r="AG18" s="170">
        <f t="shared" si="47"/>
        <v>0.29010354778475644</v>
      </c>
      <c r="AH18" s="170">
        <f t="shared" ref="AH18" si="48">+AH16/AC16-1</f>
        <v>0.13447191565447913</v>
      </c>
      <c r="AI18" s="170">
        <f t="shared" ref="AI18" si="49">+AI16/AD16-1</f>
        <v>0.11613502632393935</v>
      </c>
      <c r="AJ18" s="170">
        <f t="shared" ref="AJ18" si="50">+AJ16/AE16-1</f>
        <v>7.5777703974316379E-2</v>
      </c>
      <c r="AL18" s="170">
        <f t="shared" ref="AL18" si="51">+AL16/AG16-1</f>
        <v>0.11315789473684212</v>
      </c>
      <c r="AM18" s="170">
        <f t="shared" ref="AM18" si="52">+AM16/AH16-1</f>
        <v>0.20923913043478271</v>
      </c>
      <c r="AN18" s="170">
        <f t="shared" ref="AN18" si="53">+AN16/AI16-1</f>
        <v>0.22364039955604897</v>
      </c>
      <c r="AO18" s="170">
        <f t="shared" ref="AO18:AT18" si="54">+AO16/AJ16-1</f>
        <v>0.19886802161049655</v>
      </c>
      <c r="AP18" s="170"/>
      <c r="AQ18" s="170">
        <f t="shared" si="54"/>
        <v>0.17021276595744683</v>
      </c>
      <c r="AR18" s="170">
        <f t="shared" si="54"/>
        <v>0.21123595505617976</v>
      </c>
      <c r="AS18" s="170">
        <f t="shared" si="54"/>
        <v>0.22448979591836737</v>
      </c>
      <c r="AT18" s="170">
        <f t="shared" si="54"/>
        <v>0.22532188841201717</v>
      </c>
      <c r="AU18" s="170"/>
      <c r="AV18" s="170">
        <f t="shared" ref="AV18" si="55">+AV16/AQ16-1</f>
        <v>0.1896363636363636</v>
      </c>
      <c r="AW18" s="170">
        <f t="shared" ref="AW18" si="56">+AW16/AR16-1</f>
        <v>0.1790538033395177</v>
      </c>
      <c r="AX18" s="170">
        <f t="shared" ref="AX18" si="57">+AX16/AS16-1</f>
        <v>0.20866666666666678</v>
      </c>
      <c r="AY18" s="170">
        <f t="shared" ref="AY18:BD18" si="58">+AY16/AT16-1</f>
        <v>0.17831873905429063</v>
      </c>
      <c r="AZ18" s="170"/>
      <c r="BA18" s="170">
        <f t="shared" si="58"/>
        <v>0.15650097598745005</v>
      </c>
      <c r="BB18" s="170">
        <f t="shared" si="58"/>
        <v>0.13622011178933979</v>
      </c>
      <c r="BC18" s="170">
        <f t="shared" si="58"/>
        <v>0.13861999754856913</v>
      </c>
      <c r="BD18" s="170">
        <f t="shared" si="58"/>
        <v>0.10604916619601101</v>
      </c>
      <c r="BE18" s="170"/>
      <c r="BF18" s="170"/>
      <c r="BG18" s="170"/>
      <c r="BH18" s="170"/>
    </row>
    <row r="19" spans="3:91">
      <c r="D19" s="169"/>
      <c r="E19" s="169"/>
      <c r="F19" s="169"/>
      <c r="G19" s="153"/>
      <c r="H19" s="153"/>
      <c r="I19" s="153"/>
      <c r="J19" s="153"/>
      <c r="K19" s="153"/>
      <c r="L19" s="153"/>
      <c r="M19" s="153"/>
      <c r="N19" s="153"/>
      <c r="O19" s="153"/>
      <c r="P19" s="153"/>
      <c r="Q19" s="153"/>
      <c r="R19" s="153"/>
      <c r="S19" s="153"/>
      <c r="T19" s="153"/>
      <c r="U19" s="153"/>
      <c r="V19" s="153"/>
      <c r="W19" s="153"/>
      <c r="X19" s="153"/>
      <c r="Y19" s="153"/>
      <c r="Z19" s="153"/>
      <c r="AA19" s="153"/>
      <c r="AB19" s="153"/>
      <c r="AC19" s="153"/>
      <c r="AD19" s="153"/>
      <c r="AE19" s="153"/>
      <c r="AV19" s="312"/>
      <c r="AW19" s="312"/>
      <c r="AX19" s="312"/>
      <c r="AY19" s="312"/>
      <c r="BA19" s="312"/>
      <c r="BB19" s="312"/>
      <c r="BC19" s="312"/>
      <c r="BD19" s="312"/>
    </row>
    <row r="20" spans="3:91">
      <c r="C20" s="153" t="s">
        <v>264</v>
      </c>
      <c r="D20" s="169">
        <v>664</v>
      </c>
      <c r="E20" s="169">
        <f t="shared" ref="E20:F20" si="59">+E24-E6</f>
        <v>830.90700000000004</v>
      </c>
      <c r="F20" s="169">
        <f t="shared" si="59"/>
        <v>999.65699999999993</v>
      </c>
      <c r="G20" s="169">
        <f>+SUM(AG20:AJ20)</f>
        <v>1039.4859999999999</v>
      </c>
      <c r="H20" s="169">
        <f>+SUM(AL20:AO20)</f>
        <v>1093.0650000000001</v>
      </c>
      <c r="I20" s="169">
        <f>+SUM(AQ20:AT20)</f>
        <v>1150.6500000000001</v>
      </c>
      <c r="J20" s="169">
        <f>+SUM(AV20:AY20)</f>
        <v>1242.393</v>
      </c>
      <c r="K20" s="169">
        <f>+SUM(BA20:BD20)</f>
        <v>1403.5997131222973</v>
      </c>
      <c r="L20" s="169">
        <f t="shared" ref="L20:P20" si="60">+L24-L12-L9</f>
        <v>1530.0823131935949</v>
      </c>
      <c r="M20" s="169">
        <f t="shared" si="60"/>
        <v>1640.7775497304667</v>
      </c>
      <c r="N20" s="169">
        <f t="shared" si="60"/>
        <v>1736.859044754136</v>
      </c>
      <c r="O20" s="169">
        <f t="shared" si="60"/>
        <v>1819.8725937052818</v>
      </c>
      <c r="P20" s="169">
        <f t="shared" si="60"/>
        <v>1893.3969532208198</v>
      </c>
      <c r="Q20" s="38"/>
      <c r="R20" s="169">
        <f>+R24-R12-R9</f>
        <v>153.29</v>
      </c>
      <c r="S20" s="169">
        <f t="shared" ref="S20:U20" si="61">+S24-S12-S9</f>
        <v>163.91900000000001</v>
      </c>
      <c r="T20" s="169">
        <f t="shared" si="61"/>
        <v>172.791</v>
      </c>
      <c r="U20" s="169">
        <f t="shared" si="61"/>
        <v>174</v>
      </c>
      <c r="V20" s="38"/>
      <c r="W20" s="169">
        <f>+W24-W12-W9</f>
        <v>186.98700000000002</v>
      </c>
      <c r="X20" s="169">
        <f t="shared" ref="X20:Z20" si="62">+X24-X12-X9</f>
        <v>203.33400000000003</v>
      </c>
      <c r="Y20" s="169">
        <f t="shared" si="62"/>
        <v>216.035</v>
      </c>
      <c r="Z20" s="169">
        <f t="shared" si="62"/>
        <v>224.55099999999993</v>
      </c>
      <c r="AA20" s="38"/>
      <c r="AB20" s="213">
        <f>+AB24-AB12-AB9</f>
        <v>246.11200000000002</v>
      </c>
      <c r="AC20" s="213">
        <f t="shared" ref="AC20:AE20" si="63">+AC24-AC12-AC9</f>
        <v>251.59683969465647</v>
      </c>
      <c r="AD20" s="213">
        <f t="shared" si="63"/>
        <v>249.79700000000003</v>
      </c>
      <c r="AE20" s="213">
        <f t="shared" si="63"/>
        <v>252.15116030534347</v>
      </c>
      <c r="AF20" s="172">
        <f>SUM(AB20:AE20)</f>
        <v>999.65699999999993</v>
      </c>
      <c r="AG20" s="213">
        <f>+AG24-AG6</f>
        <v>259.59699999999998</v>
      </c>
      <c r="AH20" s="213">
        <f>+AH24-AH6</f>
        <v>260.32400000000007</v>
      </c>
      <c r="AI20" s="213">
        <f>+AI24-AI6</f>
        <v>259.10899999999992</v>
      </c>
      <c r="AJ20" s="213">
        <f>+AJ24-AJ6</f>
        <v>260.45599999999996</v>
      </c>
      <c r="AK20" s="172">
        <f>SUM(AG20:AJ20)</f>
        <v>1039.4859999999999</v>
      </c>
      <c r="AL20" s="213">
        <f>+AL24-AL6</f>
        <v>270.17600000000004</v>
      </c>
      <c r="AM20" s="213">
        <f>+AM24-AM6</f>
        <v>274.77699999999999</v>
      </c>
      <c r="AN20" s="213">
        <f>+AN24-AN6</f>
        <v>274.44100000000003</v>
      </c>
      <c r="AO20" s="213">
        <f>+AO24-AO6</f>
        <v>273.67100000000005</v>
      </c>
      <c r="AP20" s="172">
        <f>SUM(AL20:AO20)</f>
        <v>1093.0650000000001</v>
      </c>
      <c r="AQ20" s="213">
        <f>+AQ24-AQ6</f>
        <v>281.37599999999998</v>
      </c>
      <c r="AR20" s="213">
        <f>+AR24-AR6</f>
        <v>287.346</v>
      </c>
      <c r="AS20" s="213">
        <f>+AS24-AS6</f>
        <v>289.673</v>
      </c>
      <c r="AT20" s="213">
        <f>+AT24-AT6</f>
        <v>292.25500000000005</v>
      </c>
      <c r="AU20" s="213"/>
      <c r="AV20" s="213">
        <f>+AV24-AV6</f>
        <v>301.65099999999995</v>
      </c>
      <c r="AW20" s="213">
        <f>+AW24-AW6</f>
        <v>306.61400000000003</v>
      </c>
      <c r="AX20" s="213">
        <f>+AX24-AX6</f>
        <v>313.077</v>
      </c>
      <c r="AY20" s="213">
        <f>+AY24-AY6</f>
        <v>321.05100000000004</v>
      </c>
      <c r="AZ20" s="213"/>
      <c r="BA20" s="213">
        <f>+BA24-BA6</f>
        <v>335.42232472297303</v>
      </c>
      <c r="BB20" s="213">
        <f>+BB24-BB6</f>
        <v>343.3621428493243</v>
      </c>
      <c r="BC20" s="213">
        <f>+BC24-BC6</f>
        <v>355.98004867500003</v>
      </c>
      <c r="BD20" s="213">
        <f>+BD24-BD6</f>
        <v>368.83519687500007</v>
      </c>
      <c r="BE20" s="213"/>
      <c r="BF20" s="172">
        <f>SUM(AQ20:AT20)</f>
        <v>1150.6500000000001</v>
      </c>
      <c r="BG20" s="210"/>
      <c r="BH20" s="210"/>
      <c r="BI20" s="172"/>
      <c r="BJ20" s="171"/>
      <c r="CB20" s="330"/>
      <c r="CC20" s="330"/>
      <c r="CE20" s="330"/>
      <c r="CF20" s="330"/>
      <c r="CK20" s="323"/>
      <c r="CL20" s="323"/>
      <c r="CM20" s="323"/>
    </row>
    <row r="21" spans="3:91">
      <c r="C21" s="153" t="s">
        <v>228</v>
      </c>
      <c r="D21" s="169"/>
      <c r="E21" s="169"/>
      <c r="F21" s="169"/>
      <c r="G21" s="169"/>
      <c r="H21" s="38"/>
      <c r="I21" s="38"/>
      <c r="J21" s="38"/>
      <c r="K21" s="38"/>
      <c r="L21" s="38"/>
      <c r="M21" s="38"/>
      <c r="N21" s="38"/>
      <c r="O21" s="38"/>
      <c r="P21" s="38"/>
      <c r="Q21" s="38"/>
      <c r="R21" s="170"/>
      <c r="S21" s="170">
        <f>+S20/R20-1</f>
        <v>6.9339161067258237E-2</v>
      </c>
      <c r="T21" s="170">
        <f t="shared" ref="T21" si="64">+T20/S20-1</f>
        <v>5.4124293095980214E-2</v>
      </c>
      <c r="U21" s="170">
        <f t="shared" ref="U21" si="65">+U20/T20-1</f>
        <v>6.996892199246485E-3</v>
      </c>
      <c r="V21" s="38"/>
      <c r="W21" s="170">
        <f>+W20/U20-1</f>
        <v>7.4637931034482907E-2</v>
      </c>
      <c r="X21" s="170">
        <f>+X20/W20-1</f>
        <v>8.7423189847422478E-2</v>
      </c>
      <c r="Y21" s="170">
        <f t="shared" ref="Y21:Z21" si="66">+Y20/X20-1</f>
        <v>6.2463729627115772E-2</v>
      </c>
      <c r="Z21" s="170">
        <f t="shared" si="66"/>
        <v>3.9419538500705675E-2</v>
      </c>
      <c r="AA21" s="38"/>
      <c r="AB21" s="170">
        <f>+AB20/Z20-1</f>
        <v>9.6018276471715014E-2</v>
      </c>
      <c r="AC21" s="170">
        <f>+AC20/AB20-1</f>
        <v>2.228594987101995E-2</v>
      </c>
      <c r="AD21" s="170">
        <f t="shared" ref="AD21" si="67">+AD20/AC20-1</f>
        <v>-7.1536657489051914E-3</v>
      </c>
      <c r="AE21" s="170">
        <f t="shared" ref="AE21" si="68">+AE20/AD20-1</f>
        <v>9.4242937478969946E-3</v>
      </c>
      <c r="AG21" s="170">
        <f>+AG20/AE20-1</f>
        <v>2.9529270004706509E-2</v>
      </c>
      <c r="AH21" s="170">
        <f>+AH20/AG20-1</f>
        <v>2.8004946128039609E-3</v>
      </c>
      <c r="AI21" s="170">
        <f t="shared" ref="AI21" si="69">+AI20/AH20-1</f>
        <v>-4.667260798082995E-3</v>
      </c>
      <c r="AJ21" s="170">
        <f t="shared" ref="AJ21" si="70">+AJ20/AI20-1</f>
        <v>5.198584379547011E-3</v>
      </c>
      <c r="AL21" s="170">
        <f>+AL20/AJ20-1</f>
        <v>3.7319163313573434E-2</v>
      </c>
      <c r="AM21" s="170">
        <f>+AM20/AL20-1</f>
        <v>1.7029639938410224E-2</v>
      </c>
      <c r="AN21" s="170">
        <f t="shared" ref="AN21" si="71">+AN20/AM20-1</f>
        <v>-1.2228097693764983E-3</v>
      </c>
      <c r="AO21" s="170">
        <f t="shared" ref="AO21" si="72">+AO20/AN20-1</f>
        <v>-2.8057032294737105E-3</v>
      </c>
      <c r="AQ21" s="170">
        <f>+AQ20/AO20-1</f>
        <v>2.815424359906582E-2</v>
      </c>
      <c r="AR21" s="170">
        <f>+AR20/AQ20-1</f>
        <v>2.1217161378369154E-2</v>
      </c>
      <c r="AS21" s="170">
        <f t="shared" ref="AS21" si="73">+AS20/AR20-1</f>
        <v>8.0982508891720428E-3</v>
      </c>
      <c r="AT21" s="170">
        <f t="shared" ref="AT21" si="74">+AT20/AS20-1</f>
        <v>8.9134990144059678E-3</v>
      </c>
      <c r="AU21" s="170"/>
      <c r="AV21" s="170">
        <f>+AV20/AT20-1</f>
        <v>3.2150005987921171E-2</v>
      </c>
      <c r="AW21" s="170">
        <f t="shared" ref="AW21" si="75">+AW20/AV20-1</f>
        <v>1.6452788155849163E-2</v>
      </c>
      <c r="AX21" s="170">
        <f t="shared" ref="AX21" si="76">+AX20/AW20-1</f>
        <v>2.1078620023873507E-2</v>
      </c>
      <c r="AY21" s="170">
        <f t="shared" ref="AY21:BD21" si="77">+AY20/AX20-1</f>
        <v>2.5469772611849573E-2</v>
      </c>
      <c r="AZ21" s="170"/>
      <c r="BA21" s="170">
        <f>+BA20/AY20-1</f>
        <v>4.4763370065730834E-2</v>
      </c>
      <c r="BB21" s="170">
        <f t="shared" si="77"/>
        <v>2.36711081556924E-2</v>
      </c>
      <c r="BC21" s="170">
        <f t="shared" si="77"/>
        <v>3.6748098439066457E-2</v>
      </c>
      <c r="BD21" s="170">
        <f t="shared" si="77"/>
        <v>3.6111990679950745E-2</v>
      </c>
      <c r="BE21" s="170"/>
      <c r="BG21" s="170"/>
      <c r="BH21" s="170"/>
      <c r="BK21" s="153"/>
      <c r="BL21" s="153"/>
      <c r="BM21" s="153"/>
      <c r="BN21" s="153"/>
      <c r="BO21" s="153"/>
      <c r="BP21" s="153"/>
      <c r="BQ21" s="153"/>
      <c r="BR21" s="153"/>
      <c r="BS21" s="153"/>
      <c r="BT21" s="153"/>
      <c r="BU21" s="153"/>
      <c r="BV21" s="153"/>
      <c r="BW21" s="153"/>
      <c r="BX21" s="153"/>
      <c r="BY21" s="153"/>
      <c r="BZ21" s="153"/>
      <c r="CJ21" s="324"/>
      <c r="CK21" s="175"/>
      <c r="CL21" s="175"/>
      <c r="CM21" s="175"/>
    </row>
    <row r="22" spans="3:91">
      <c r="C22" s="153" t="s">
        <v>223</v>
      </c>
      <c r="D22" s="153"/>
      <c r="E22" s="170">
        <f t="shared" ref="E22:K22" si="78">+E20/D20-1</f>
        <v>0.25136596385542176</v>
      </c>
      <c r="F22" s="170">
        <f t="shared" si="78"/>
        <v>0.20309132068931879</v>
      </c>
      <c r="G22" s="170">
        <f t="shared" si="78"/>
        <v>3.9842666034449747E-2</v>
      </c>
      <c r="H22" s="170">
        <f>+H20/G20-1</f>
        <v>5.1543743734884462E-2</v>
      </c>
      <c r="I22" s="170">
        <f>+I20/H20-1</f>
        <v>5.268213692689816E-2</v>
      </c>
      <c r="J22" s="170">
        <f t="shared" si="78"/>
        <v>7.9731456133489642E-2</v>
      </c>
      <c r="K22" s="170">
        <f t="shared" si="78"/>
        <v>0.12975500757191738</v>
      </c>
      <c r="L22" s="170">
        <f t="shared" ref="L22" si="79">+L20/K20-1</f>
        <v>9.0113013624046667E-2</v>
      </c>
      <c r="M22" s="170">
        <f t="shared" ref="M22" si="80">+M20/L20-1</f>
        <v>7.2345935628670865E-2</v>
      </c>
      <c r="N22" s="170">
        <f t="shared" ref="N22" si="81">+N20/M20-1</f>
        <v>5.8558513943253843E-2</v>
      </c>
      <c r="O22" s="170">
        <f t="shared" ref="O22" si="82">+O20/N20-1</f>
        <v>4.7795213550502647E-2</v>
      </c>
      <c r="P22" s="170">
        <f t="shared" ref="P22" si="83">+P20/O20-1</f>
        <v>4.0400827931499128E-2</v>
      </c>
      <c r="Q22" s="153"/>
      <c r="R22" s="153"/>
      <c r="S22" s="153"/>
      <c r="T22" s="153"/>
      <c r="U22" s="153"/>
      <c r="V22" s="153"/>
      <c r="W22" s="170">
        <f>+W20/R20-1</f>
        <v>0.21982516798225604</v>
      </c>
      <c r="X22" s="170">
        <f t="shared" ref="X22" si="84">+X20/S20-1</f>
        <v>0.24045412673332578</v>
      </c>
      <c r="Y22" s="170">
        <f t="shared" ref="Y22" si="85">+Y20/T20-1</f>
        <v>0.25026766440381731</v>
      </c>
      <c r="Z22" s="170">
        <f t="shared" ref="Z22" si="86">+Z20/U20-1</f>
        <v>0.29052298850574676</v>
      </c>
      <c r="AA22" s="153"/>
      <c r="AB22" s="170">
        <f>+AB20/W20-1</f>
        <v>0.31619845229882282</v>
      </c>
      <c r="AC22" s="170">
        <f t="shared" ref="AC22:AG22" si="87">+AC20/X20-1</f>
        <v>0.23735744978536011</v>
      </c>
      <c r="AD22" s="170">
        <f t="shared" si="87"/>
        <v>0.15628023236975497</v>
      </c>
      <c r="AE22" s="170">
        <f t="shared" si="87"/>
        <v>0.1229126581727249</v>
      </c>
      <c r="AG22" s="170">
        <f t="shared" si="87"/>
        <v>5.4792127161617188E-2</v>
      </c>
      <c r="AH22" s="170">
        <f t="shared" ref="AH22" si="88">+AH20/AC20-1</f>
        <v>3.4687082381221757E-2</v>
      </c>
      <c r="AI22" s="170">
        <f t="shared" ref="AI22" si="89">+AI20/AD20-1</f>
        <v>3.7278269955203225E-2</v>
      </c>
      <c r="AJ22" s="260">
        <f t="shared" ref="AJ22:AK22" si="90">+AJ20/AE20-1</f>
        <v>3.2935956688042722E-2</v>
      </c>
      <c r="AK22" s="260">
        <f t="shared" si="90"/>
        <v>3.9842666034449747E-2</v>
      </c>
      <c r="AL22" s="260">
        <f>+AL20/AG20-1</f>
        <v>4.0751626559629273E-2</v>
      </c>
      <c r="AM22" s="260">
        <f t="shared" ref="AM22" si="91">+AM20/AH20-1</f>
        <v>5.5519275979164062E-2</v>
      </c>
      <c r="AN22" s="260">
        <f t="shared" ref="AN22" si="92">+AN20/AI20-1</f>
        <v>5.9172008691323441E-2</v>
      </c>
      <c r="AO22" s="260">
        <f t="shared" ref="AO22:AP22" si="93">+AO20/AJ20-1</f>
        <v>5.0737936542065043E-2</v>
      </c>
      <c r="AP22" s="260">
        <f t="shared" si="93"/>
        <v>5.1543743734884462E-2</v>
      </c>
      <c r="AQ22" s="260">
        <f>+AQ20/AL20-1</f>
        <v>4.145445931540892E-2</v>
      </c>
      <c r="AR22" s="260">
        <f t="shared" ref="AR22" si="94">+AR20/AM20-1</f>
        <v>4.5742547593139227E-2</v>
      </c>
      <c r="AS22" s="260">
        <f t="shared" ref="AS22" si="95">+AS20/AN20-1</f>
        <v>5.5501911157589401E-2</v>
      </c>
      <c r="AT22" s="260">
        <f t="shared" ref="AT22" si="96">+AT20/AO20-1</f>
        <v>6.790635471058315E-2</v>
      </c>
      <c r="AU22" s="260"/>
      <c r="AV22" s="260">
        <f t="shared" ref="AV22" si="97">+AV20/AQ20-1</f>
        <v>7.2056607528715899E-2</v>
      </c>
      <c r="AW22" s="260">
        <f t="shared" ref="AW22" si="98">+AW20/AR20-1</f>
        <v>6.7055048617346458E-2</v>
      </c>
      <c r="AX22" s="260">
        <f t="shared" ref="AX22" si="99">+AX20/AS20-1</f>
        <v>8.0794551097271627E-2</v>
      </c>
      <c r="AY22" s="260">
        <f t="shared" ref="AY22:BD22" si="100">+AY20/AT20-1</f>
        <v>9.8530392978734227E-2</v>
      </c>
      <c r="AZ22" s="260"/>
      <c r="BA22" s="260">
        <f t="shared" si="100"/>
        <v>0.1119549569634215</v>
      </c>
      <c r="BB22" s="260">
        <f t="shared" si="100"/>
        <v>0.11985148378522914</v>
      </c>
      <c r="BC22" s="260">
        <f t="shared" si="100"/>
        <v>0.13703673113962389</v>
      </c>
      <c r="BD22" s="260">
        <f t="shared" si="100"/>
        <v>0.14883677943691187</v>
      </c>
      <c r="BE22" s="260"/>
      <c r="BF22" s="260">
        <f>+BF20/AP20-1</f>
        <v>5.268213692689816E-2</v>
      </c>
      <c r="BG22" s="170"/>
      <c r="BH22" s="170"/>
      <c r="BK22" s="171"/>
      <c r="BL22" s="171"/>
      <c r="BM22" s="171"/>
      <c r="BN22" s="171"/>
      <c r="BO22" s="171"/>
      <c r="BP22" s="171"/>
      <c r="BQ22" s="171"/>
      <c r="BR22" s="171"/>
      <c r="BS22" s="171"/>
      <c r="BT22" s="171"/>
      <c r="BU22" s="171"/>
      <c r="BV22" s="171"/>
      <c r="BW22" s="171"/>
      <c r="BX22" s="171"/>
      <c r="BY22" s="171"/>
      <c r="BZ22" s="171"/>
      <c r="CA22" s="325"/>
      <c r="CB22" s="326"/>
      <c r="CC22" s="326"/>
      <c r="CD22" s="325"/>
      <c r="CE22" s="327"/>
      <c r="CF22" s="327"/>
      <c r="CH22" s="328"/>
      <c r="CJ22" s="324"/>
      <c r="CK22" s="175"/>
      <c r="CL22" s="175"/>
      <c r="CM22" s="175"/>
    </row>
    <row r="23" spans="3:91">
      <c r="C23" s="153"/>
      <c r="D23" s="153"/>
      <c r="E23" s="153"/>
      <c r="F23" s="153"/>
      <c r="G23" s="153"/>
      <c r="H23" s="153"/>
      <c r="I23" s="153"/>
      <c r="J23" s="153"/>
      <c r="K23" s="153"/>
      <c r="L23" s="153"/>
      <c r="M23" s="153"/>
      <c r="N23" s="153"/>
      <c r="O23" s="153"/>
      <c r="P23" s="153"/>
      <c r="Q23" s="153"/>
      <c r="R23" s="153"/>
      <c r="S23" s="153"/>
      <c r="T23" s="153"/>
      <c r="U23" s="153"/>
      <c r="V23" s="153"/>
      <c r="W23" s="153"/>
      <c r="X23" s="153"/>
      <c r="Y23" s="153"/>
      <c r="Z23" s="153"/>
      <c r="AA23" s="153"/>
      <c r="AB23" s="153"/>
      <c r="AC23" s="153"/>
      <c r="AD23" s="153"/>
      <c r="AE23" s="153"/>
      <c r="AG23" s="172"/>
      <c r="AH23" s="172"/>
      <c r="AI23" s="172"/>
      <c r="AJ23" s="172"/>
      <c r="AL23" s="172"/>
      <c r="AM23" s="172"/>
      <c r="AN23" s="172"/>
      <c r="AO23" s="172"/>
      <c r="AP23" s="172"/>
      <c r="AQ23" s="172"/>
      <c r="AR23" s="172"/>
      <c r="AS23" s="172"/>
      <c r="AT23" s="172"/>
      <c r="AU23" s="172"/>
      <c r="AV23" s="172"/>
      <c r="AW23" s="172"/>
      <c r="AX23" s="172"/>
      <c r="AY23" s="172"/>
      <c r="AZ23" s="172"/>
      <c r="BA23" s="172"/>
      <c r="BB23" s="172"/>
      <c r="BC23" s="172"/>
      <c r="BD23" s="172"/>
      <c r="BE23" s="172"/>
      <c r="BF23" s="172"/>
      <c r="BG23" s="172"/>
      <c r="BH23" s="172"/>
      <c r="BK23" s="171"/>
      <c r="BL23" s="171"/>
      <c r="BM23" s="171"/>
      <c r="BN23" s="171"/>
      <c r="BO23" s="171"/>
      <c r="BP23" s="171"/>
      <c r="BQ23" s="171"/>
      <c r="BR23" s="171"/>
      <c r="BS23" s="171"/>
      <c r="BT23" s="171"/>
      <c r="BU23" s="171"/>
      <c r="BV23" s="171"/>
      <c r="BW23" s="171"/>
      <c r="BX23" s="171"/>
      <c r="BY23" s="171"/>
      <c r="BZ23" s="171"/>
      <c r="CB23" s="221"/>
      <c r="CC23" s="221"/>
      <c r="CE23" s="328"/>
      <c r="CF23" s="328"/>
      <c r="CH23" s="328"/>
    </row>
    <row r="24" spans="3:91">
      <c r="C24" s="153" t="s">
        <v>197</v>
      </c>
      <c r="D24" s="169">
        <f>+D20+D6</f>
        <v>757</v>
      </c>
      <c r="E24" s="169">
        <f>213.105+235.337+253.931+282.534</f>
        <v>984.90700000000004</v>
      </c>
      <c r="F24" s="169">
        <f>+'Income Statement'!AF13</f>
        <v>1269.6569999999999</v>
      </c>
      <c r="G24" s="169">
        <f>+SUM(AG24:AJ24)</f>
        <v>1387.6659999999999</v>
      </c>
      <c r="H24" s="169">
        <f>+SUM(AL24:AO24)</f>
        <v>1561.665</v>
      </c>
      <c r="I24" s="169">
        <f>+SUM(AQ24:AT24)</f>
        <v>1760.65</v>
      </c>
      <c r="J24" s="169">
        <f>+SUM(AV24:AY24)</f>
        <v>1993.0439999999999</v>
      </c>
      <c r="K24" s="169">
        <f>+SUM(BA24:BD24)</f>
        <v>2304.3809131222974</v>
      </c>
      <c r="L24" s="169">
        <f>+'Income Statement'!BF13</f>
        <v>2574.9885051935948</v>
      </c>
      <c r="M24" s="169">
        <f>+'Income Statement'!BG13</f>
        <v>2819.4317343064668</v>
      </c>
      <c r="N24" s="169">
        <f>+'Income Statement'!BH13</f>
        <v>3036.207417830718</v>
      </c>
      <c r="O24" s="169">
        <f>+'Income Statement'!BI13</f>
        <v>3225.6635855042973</v>
      </c>
      <c r="P24" s="169">
        <f>+'Income Statement'!BJ13</f>
        <v>3391.3178634583755</v>
      </c>
      <c r="Q24" s="153"/>
      <c r="R24" s="169">
        <f>+'Income Statement'!R13</f>
        <v>174.29</v>
      </c>
      <c r="S24" s="169">
        <f>+'Income Statement'!S13</f>
        <v>185.41900000000001</v>
      </c>
      <c r="T24" s="169">
        <f>+'Income Statement'!T13</f>
        <v>196.791</v>
      </c>
      <c r="U24" s="228">
        <f>+D24-SUM(R24:T24)</f>
        <v>200.5</v>
      </c>
      <c r="V24" s="153"/>
      <c r="W24" s="169">
        <f>+'Income Statement'!W13</f>
        <v>215.98699999999999</v>
      </c>
      <c r="X24" s="169">
        <f>+'Income Statement'!X13</f>
        <v>236.05900000000003</v>
      </c>
      <c r="Y24" s="169">
        <f>+'Income Statement'!Y13</f>
        <v>254.18</v>
      </c>
      <c r="Z24" s="228">
        <f>+E24-SUM(W24:Y24)</f>
        <v>278.68099999999993</v>
      </c>
      <c r="AA24" s="153"/>
      <c r="AB24" s="169">
        <f>+'Income Statement'!AB13</f>
        <v>304.11200000000002</v>
      </c>
      <c r="AC24" s="169">
        <f>+'Income Statement'!AC13</f>
        <v>316.40600000000001</v>
      </c>
      <c r="AD24" s="169">
        <f>+'Income Statement'!AD13</f>
        <v>320.79700000000003</v>
      </c>
      <c r="AE24" s="169">
        <f>+'Income Statement'!AE13</f>
        <v>328.34199999999998</v>
      </c>
      <c r="AF24" s="169"/>
      <c r="AG24" s="169">
        <f>+'Income Statement'!AG13</f>
        <v>341.59699999999998</v>
      </c>
      <c r="AH24" s="169">
        <f>+'Income Statement'!AH13</f>
        <v>345.22400000000005</v>
      </c>
      <c r="AI24" s="169">
        <f>+'Income Statement'!AI13</f>
        <v>345.80499999999995</v>
      </c>
      <c r="AJ24" s="169">
        <f>+'Income Statement'!AJ13</f>
        <v>355.03999999999996</v>
      </c>
      <c r="AK24" s="172">
        <f>SUM(AG24:AJ24)</f>
        <v>1387.6659999999999</v>
      </c>
      <c r="AL24" s="169">
        <f>+'Income Statement'!AL13</f>
        <v>374.07600000000002</v>
      </c>
      <c r="AM24" s="169">
        <f>+'Income Statement'!AM13</f>
        <v>389.97699999999998</v>
      </c>
      <c r="AN24" s="169">
        <f>+'Income Statement'!AN13</f>
        <v>393.84100000000001</v>
      </c>
      <c r="AO24" s="169">
        <f>+'Income Statement'!AO13</f>
        <v>403.77100000000002</v>
      </c>
      <c r="AP24" s="172"/>
      <c r="AQ24" s="169">
        <f>+'Income Statement'!AQ13</f>
        <v>419.77600000000001</v>
      </c>
      <c r="AR24" s="169">
        <f>+'Income Statement'!AR13</f>
        <v>435.74599999999998</v>
      </c>
      <c r="AS24" s="169">
        <f>+'Income Statement'!AS13</f>
        <v>444.673</v>
      </c>
      <c r="AT24" s="169">
        <f>+'Income Statement'!AT13</f>
        <v>460.45500000000004</v>
      </c>
      <c r="AU24" s="169"/>
      <c r="AV24" s="169">
        <f>+'Income Statement'!AV13</f>
        <v>473.65099999999995</v>
      </c>
      <c r="AW24" s="169">
        <f>+'Income Statement'!AW13</f>
        <v>489.93</v>
      </c>
      <c r="AX24" s="169">
        <f>+'Income Statement'!AX13</f>
        <v>505.19399999999996</v>
      </c>
      <c r="AY24" s="169">
        <f>+'Income Statement'!AY13</f>
        <v>524.26900000000001</v>
      </c>
      <c r="AZ24" s="169"/>
      <c r="BA24" s="169">
        <f>+'Income Statement'!BA13</f>
        <v>541.82232472297301</v>
      </c>
      <c r="BB24" s="169">
        <f>+'Income Statement'!BB13</f>
        <v>563.34134284932429</v>
      </c>
      <c r="BC24" s="169">
        <f>+'Income Statement'!BC13</f>
        <v>586.52044867500001</v>
      </c>
      <c r="BD24" s="169">
        <f>+'Income Statement'!BD13</f>
        <v>612.69679687500002</v>
      </c>
      <c r="BE24" s="169"/>
      <c r="BF24" s="169"/>
      <c r="BG24" s="169"/>
      <c r="BH24" s="169"/>
      <c r="BK24" s="171"/>
      <c r="BL24" s="171"/>
      <c r="BM24" s="171"/>
      <c r="BN24" s="171"/>
      <c r="BO24" s="171"/>
      <c r="BP24" s="171"/>
      <c r="BQ24" s="171"/>
      <c r="BR24" s="171"/>
      <c r="BS24" s="171"/>
      <c r="BT24" s="171"/>
      <c r="BU24" s="171"/>
      <c r="BV24" s="171"/>
      <c r="BW24" s="171"/>
      <c r="BX24" s="171"/>
      <c r="BY24" s="171"/>
      <c r="BZ24" s="171"/>
      <c r="CA24" s="325"/>
      <c r="CB24" s="326"/>
      <c r="CC24" s="326"/>
      <c r="CD24" s="325"/>
      <c r="CE24" s="327"/>
      <c r="CF24" s="327"/>
      <c r="CH24" s="328"/>
      <c r="CJ24" s="324"/>
      <c r="CK24" s="176"/>
      <c r="CL24" s="176"/>
      <c r="CM24" s="176"/>
    </row>
    <row r="25" spans="3:91" s="312" customFormat="1">
      <c r="C25" s="260" t="s">
        <v>223</v>
      </c>
      <c r="D25" s="260"/>
      <c r="E25" s="260">
        <f t="shared" ref="E25:K25" si="101">+E24/D24-1</f>
        <v>0.30106605019815058</v>
      </c>
      <c r="F25" s="260">
        <f t="shared" si="101"/>
        <v>0.2891135914355365</v>
      </c>
      <c r="G25" s="260">
        <f t="shared" si="101"/>
        <v>9.2945575064761643E-2</v>
      </c>
      <c r="H25" s="260">
        <f t="shared" si="101"/>
        <v>0.1253896831081831</v>
      </c>
      <c r="I25" s="260">
        <f t="shared" si="101"/>
        <v>0.12741849244236136</v>
      </c>
      <c r="J25" s="260">
        <f t="shared" si="101"/>
        <v>0.13199329792974179</v>
      </c>
      <c r="K25" s="260">
        <f t="shared" si="101"/>
        <v>0.15621176106613688</v>
      </c>
      <c r="L25" s="260">
        <f t="shared" ref="L25" si="102">+L24/K24-1</f>
        <v>0.11743179720432617</v>
      </c>
      <c r="M25" s="260">
        <f t="shared" ref="M25" si="103">+M24/L24-1</f>
        <v>9.4929833131233377E-2</v>
      </c>
      <c r="N25" s="260">
        <f t="shared" ref="N25" si="104">+N24/M24-1</f>
        <v>7.6886303323663974E-2</v>
      </c>
      <c r="O25" s="260">
        <f t="shared" ref="O25" si="105">+O24/N24-1</f>
        <v>6.2398954221954961E-2</v>
      </c>
      <c r="P25" s="260">
        <f t="shared" ref="P25" si="106">+P24/O24-1</f>
        <v>5.1355100605812165E-2</v>
      </c>
      <c r="Q25" s="260"/>
      <c r="R25" s="260"/>
      <c r="S25" s="260"/>
      <c r="T25" s="260"/>
      <c r="U25" s="260"/>
      <c r="V25" s="260"/>
      <c r="W25" s="260">
        <f>+W24/R24-1</f>
        <v>0.23923919903608937</v>
      </c>
      <c r="X25" s="260">
        <f>+X24/S24-1</f>
        <v>0.27311116983696393</v>
      </c>
      <c r="Y25" s="260">
        <f>+Y24/T24-1</f>
        <v>0.29162410882611511</v>
      </c>
      <c r="Z25" s="260">
        <f>+Z24/U24-1</f>
        <v>0.38993017456359058</v>
      </c>
      <c r="AA25" s="260"/>
      <c r="AB25" s="260">
        <f>+AB24/W24-1</f>
        <v>0.40801066730868074</v>
      </c>
      <c r="AC25" s="260">
        <f>+AC24/X24-1</f>
        <v>0.34036829775606936</v>
      </c>
      <c r="AD25" s="260">
        <f>+AD24/Y24-1</f>
        <v>0.26208592336139747</v>
      </c>
      <c r="AE25" s="260">
        <f>+AE24/Z24-1</f>
        <v>0.17820016434561414</v>
      </c>
      <c r="AG25" s="260">
        <f>+AG24/AB24-1</f>
        <v>0.12326050928605237</v>
      </c>
      <c r="AH25" s="260">
        <f>+AH24/AC24-1</f>
        <v>9.1079183074910253E-2</v>
      </c>
      <c r="AI25" s="260">
        <f>+AI24/AD24-1</f>
        <v>7.7955841232929091E-2</v>
      </c>
      <c r="AJ25" s="260">
        <f>+AJ24/AE24-1</f>
        <v>8.1311559288790303E-2</v>
      </c>
      <c r="AL25" s="260">
        <f>+AL24/AG24-1</f>
        <v>9.507987482325686E-2</v>
      </c>
      <c r="AM25" s="260">
        <f>+AM24/AH24-1</f>
        <v>0.12963467198109035</v>
      </c>
      <c r="AN25" s="260">
        <f>+AN24/AI24-1</f>
        <v>0.13891065774063427</v>
      </c>
      <c r="AO25" s="260">
        <f>+AO24/AJ24-1</f>
        <v>0.13725495718792269</v>
      </c>
      <c r="AP25" s="260"/>
      <c r="AQ25" s="260">
        <f>+AQ24/AL24-1</f>
        <v>0.12216768784952792</v>
      </c>
      <c r="AR25" s="260">
        <f>+AR24/AM24-1</f>
        <v>0.11736333168366331</v>
      </c>
      <c r="AS25" s="260">
        <f>+AS24/AN24-1</f>
        <v>0.12906731396680393</v>
      </c>
      <c r="AT25" s="260">
        <f>+AT24/AO24-1</f>
        <v>0.14038650621268012</v>
      </c>
      <c r="AU25" s="260"/>
      <c r="AV25" s="260">
        <f>+AV24/AQ24-1</f>
        <v>0.12834225872846461</v>
      </c>
      <c r="AW25" s="260">
        <f>+AW24/AR24-1</f>
        <v>0.12434767043185713</v>
      </c>
      <c r="AX25" s="260">
        <f>+AX24/AS24-1</f>
        <v>0.13610225941309673</v>
      </c>
      <c r="AY25" s="260">
        <f>+AY24/AT24-1</f>
        <v>0.13858900435438848</v>
      </c>
      <c r="AZ25" s="260"/>
      <c r="BA25" s="260">
        <f>+BA24/AV24-1</f>
        <v>0.14392733198699692</v>
      </c>
      <c r="BB25" s="260">
        <f>+BB24/AW24-1</f>
        <v>0.149840472821269</v>
      </c>
      <c r="BC25" s="260">
        <f>+BC24/AX24-1</f>
        <v>0.16098063055974543</v>
      </c>
      <c r="BD25" s="260">
        <f>+BD24/AY24-1</f>
        <v>0.16866874996423586</v>
      </c>
      <c r="BE25" s="260"/>
      <c r="BF25" s="260"/>
      <c r="BG25" s="260"/>
      <c r="BH25" s="260"/>
      <c r="CK25" s="322"/>
      <c r="CL25" s="322"/>
      <c r="CM25" s="322"/>
    </row>
    <row r="26" spans="3:91">
      <c r="K26" s="172"/>
    </row>
    <row r="27" spans="3:91">
      <c r="J27" s="172"/>
      <c r="AL27" s="172"/>
    </row>
    <row r="28" spans="3:91">
      <c r="D28" s="172"/>
      <c r="E28" s="172"/>
      <c r="F28" s="172"/>
      <c r="G28" s="172"/>
      <c r="H28" s="172"/>
      <c r="I28" s="172"/>
      <c r="J28" s="172"/>
      <c r="K28" s="260"/>
      <c r="L28" s="172"/>
      <c r="M28" s="172"/>
      <c r="N28" s="172"/>
      <c r="O28" s="172"/>
      <c r="P28" s="172"/>
    </row>
    <row r="29" spans="3:91" hidden="1" outlineLevel="1">
      <c r="C29" s="153" t="s">
        <v>252</v>
      </c>
      <c r="D29" s="172">
        <f>+D12</f>
        <v>6.5099999999999909</v>
      </c>
      <c r="E29" s="172">
        <f t="shared" ref="E29:H29" si="107">+E12</f>
        <v>50.819999999999993</v>
      </c>
      <c r="F29" s="172">
        <f t="shared" si="107"/>
        <v>130.27500000000001</v>
      </c>
      <c r="G29" s="172">
        <f t="shared" si="107"/>
        <v>164.881</v>
      </c>
      <c r="H29" s="172">
        <f t="shared" si="107"/>
        <v>222.58499999999998</v>
      </c>
      <c r="I29" s="172"/>
      <c r="J29" s="172"/>
      <c r="K29" s="172"/>
      <c r="L29" s="172"/>
      <c r="M29" s="172"/>
      <c r="N29" s="172">
        <f t="shared" ref="N29:P29" si="108">+N12</f>
        <v>688.65463773058866</v>
      </c>
      <c r="O29" s="172">
        <f t="shared" si="108"/>
        <v>759.12713557146856</v>
      </c>
      <c r="P29" s="172">
        <f t="shared" si="108"/>
        <v>823.85650063065589</v>
      </c>
      <c r="Q29" s="170">
        <f>+(J29/G29)^(1/3)-1</f>
        <v>-1</v>
      </c>
    </row>
    <row r="30" spans="3:91" hidden="1" outlineLevel="1">
      <c r="C30" s="153"/>
      <c r="D30" s="172"/>
      <c r="E30" s="170">
        <f>+E29/D29-1</f>
        <v>6.8064516129032357</v>
      </c>
      <c r="F30" s="170">
        <f>+F29/E29-1</f>
        <v>1.5634592680047228</v>
      </c>
      <c r="G30" s="170">
        <f t="shared" ref="G30" si="109">+G29/F29-1</f>
        <v>0.26563807330646694</v>
      </c>
      <c r="H30" s="170">
        <f>+H29/G29-1</f>
        <v>0.34997361733613919</v>
      </c>
      <c r="I30" s="170"/>
      <c r="J30" s="170"/>
      <c r="K30" s="170"/>
      <c r="L30" s="170"/>
      <c r="M30" s="170"/>
      <c r="N30" s="170" t="e">
        <f t="shared" ref="N30" si="110">+N29/M29-1</f>
        <v>#DIV/0!</v>
      </c>
      <c r="O30" s="170">
        <f t="shared" ref="O30" si="111">+O29/N29-1</f>
        <v>0.10233358490566036</v>
      </c>
      <c r="P30" s="170">
        <f t="shared" ref="P30" si="112">+P29/O29-1</f>
        <v>8.5268148148148093E-2</v>
      </c>
      <c r="AP30" s="170"/>
    </row>
    <row r="31" spans="3:91" hidden="1" outlineLevel="1">
      <c r="C31" s="153" t="s">
        <v>254</v>
      </c>
      <c r="D31" s="172">
        <f t="shared" ref="D31:H31" si="113">+D33-D29</f>
        <v>110.08600000000001</v>
      </c>
      <c r="E31" s="172">
        <f t="shared" si="113"/>
        <v>154.48399999999998</v>
      </c>
      <c r="F31" s="172">
        <f t="shared" si="113"/>
        <v>189.083</v>
      </c>
      <c r="G31" s="172">
        <f t="shared" si="113"/>
        <v>183.30599999999995</v>
      </c>
      <c r="H31" s="172">
        <f t="shared" si="113"/>
        <v>187.07300000000004</v>
      </c>
      <c r="I31" s="172"/>
      <c r="J31" s="172"/>
      <c r="K31" s="172"/>
      <c r="L31" s="172"/>
      <c r="M31" s="172"/>
      <c r="N31" s="172">
        <f t="shared" ref="N31:P31" si="114">+N33-N29</f>
        <v>182.77336727756892</v>
      </c>
      <c r="O31" s="172">
        <f t="shared" si="114"/>
        <v>168.75298998645064</v>
      </c>
      <c r="P31" s="172">
        <f t="shared" si="114"/>
        <v>154.78872988402202</v>
      </c>
      <c r="Q31" s="170">
        <f>+(J31/G31)^(1/3)-1</f>
        <v>-1</v>
      </c>
      <c r="AO31">
        <v>237.5</v>
      </c>
    </row>
    <row r="32" spans="3:91" hidden="1" outlineLevel="1">
      <c r="C32" s="153"/>
      <c r="D32" s="172"/>
      <c r="E32" s="170">
        <f>+E31/D31-1</f>
        <v>0.40330287229983797</v>
      </c>
      <c r="F32" s="170">
        <f>+F31/E31-1</f>
        <v>0.22396494135314993</v>
      </c>
      <c r="G32" s="170">
        <f t="shared" ref="G32" si="115">+G31/F31-1</f>
        <v>-3.0552720233971598E-2</v>
      </c>
      <c r="H32" s="227">
        <f>+H31/G31-1</f>
        <v>2.0550336595638319E-2</v>
      </c>
      <c r="I32" s="170"/>
      <c r="J32" s="170"/>
      <c r="K32" s="170"/>
      <c r="L32" s="170"/>
      <c r="M32" s="170"/>
      <c r="N32" s="170" t="e">
        <f t="shared" ref="N32" si="116">+N31/M31-1</f>
        <v>#DIV/0!</v>
      </c>
      <c r="O32" s="170">
        <f t="shared" ref="O32" si="117">+O31/N31-1</f>
        <v>-7.6709082400534978E-2</v>
      </c>
      <c r="P32" s="170">
        <f t="shared" ref="P32" si="118">+P31/O31-1</f>
        <v>-8.274970478182242E-2</v>
      </c>
      <c r="AO32">
        <v>205</v>
      </c>
    </row>
    <row r="33" spans="3:80" hidden="1" outlineLevel="1">
      <c r="C33" s="153" t="s">
        <v>137</v>
      </c>
      <c r="D33" s="169">
        <f>'Income Statement'!V15</f>
        <v>116.596</v>
      </c>
      <c r="E33" s="169">
        <f>'Income Statement'!AA15</f>
        <v>205.30399999999997</v>
      </c>
      <c r="F33" s="169">
        <f>'Income Statement'!AF15</f>
        <v>319.358</v>
      </c>
      <c r="G33" s="169">
        <f>'Income Statement'!AK15</f>
        <v>348.18699999999995</v>
      </c>
      <c r="H33" s="169">
        <f>'Income Statement'!AP15</f>
        <v>409.65800000000002</v>
      </c>
      <c r="I33" s="169"/>
      <c r="J33" s="169"/>
      <c r="K33" s="169"/>
      <c r="L33" s="169"/>
      <c r="M33" s="169"/>
      <c r="N33" s="169">
        <f>'Income Statement'!BH15</f>
        <v>871.42800500815758</v>
      </c>
      <c r="O33" s="169">
        <f>'Income Statement'!BI15</f>
        <v>927.8801255579192</v>
      </c>
      <c r="P33" s="169">
        <f>'Income Statement'!BJ15</f>
        <v>978.64523051467791</v>
      </c>
      <c r="AO33">
        <f>+AO31/AO32-1</f>
        <v>0.15853658536585358</v>
      </c>
    </row>
    <row r="34" spans="3:80" hidden="1" outlineLevel="1">
      <c r="C34" s="153"/>
      <c r="D34" s="169"/>
      <c r="E34" s="170">
        <f>+E33/D33-1</f>
        <v>0.76081512230265158</v>
      </c>
      <c r="F34" s="170">
        <f>+F33/E33-1</f>
        <v>0.55553715465845799</v>
      </c>
      <c r="G34" s="170">
        <f t="shared" ref="G34" si="119">+G33/F33-1</f>
        <v>9.0271732663656401E-2</v>
      </c>
      <c r="H34" s="170">
        <f t="shared" ref="H34" si="120">+H33/G33-1</f>
        <v>0.17654593652261585</v>
      </c>
      <c r="I34" s="170"/>
      <c r="J34" s="170"/>
      <c r="K34" s="170"/>
      <c r="L34" s="170"/>
      <c r="M34" s="170"/>
      <c r="N34" s="170" t="e">
        <f t="shared" ref="N34" si="121">+N33/M33-1</f>
        <v>#DIV/0!</v>
      </c>
      <c r="O34" s="170">
        <f t="shared" ref="O34" si="122">+O33/N33-1</f>
        <v>6.4781164049499518E-2</v>
      </c>
      <c r="P34" s="170">
        <f t="shared" ref="P34" si="123">+P33/O33-1</f>
        <v>5.4710844168835315E-2</v>
      </c>
    </row>
    <row r="35" spans="3:80" hidden="1" outlineLevel="1">
      <c r="C35" s="153"/>
      <c r="D35" s="169"/>
      <c r="E35" s="169"/>
      <c r="F35" s="169"/>
      <c r="G35" s="169"/>
      <c r="H35" s="169"/>
      <c r="I35" s="169"/>
      <c r="J35" s="169"/>
      <c r="K35" s="169"/>
      <c r="L35" s="169"/>
      <c r="M35" s="169"/>
      <c r="N35" s="169"/>
      <c r="O35" s="169"/>
      <c r="P35" s="169"/>
    </row>
    <row r="36" spans="3:80" hidden="1" outlineLevel="1">
      <c r="C36" s="153" t="s">
        <v>253</v>
      </c>
      <c r="D36" s="169">
        <f t="shared" ref="D36:H36" si="124">+D9</f>
        <v>86.490000000000009</v>
      </c>
      <c r="E36" s="169">
        <f t="shared" si="124"/>
        <v>103.18</v>
      </c>
      <c r="F36" s="169">
        <f t="shared" si="124"/>
        <v>139.72499999999999</v>
      </c>
      <c r="G36" s="169">
        <f t="shared" si="124"/>
        <v>183.29900000000004</v>
      </c>
      <c r="H36" s="169">
        <f t="shared" si="124"/>
        <v>246.01499999999999</v>
      </c>
      <c r="I36" s="169"/>
      <c r="J36" s="169"/>
      <c r="K36" s="169"/>
      <c r="L36" s="169"/>
      <c r="M36" s="169"/>
      <c r="N36" s="169">
        <f t="shared" ref="N36:P36" si="125">+N9</f>
        <v>610.69373534599356</v>
      </c>
      <c r="O36" s="169">
        <f t="shared" si="125"/>
        <v>646.66385622754717</v>
      </c>
      <c r="P36" s="169">
        <f t="shared" si="125"/>
        <v>674.06440960690009</v>
      </c>
      <c r="Q36" s="170">
        <f>+(J36/G36)^(1/3)-1</f>
        <v>-1</v>
      </c>
    </row>
    <row r="37" spans="3:80" hidden="1" outlineLevel="1">
      <c r="C37" s="153"/>
      <c r="D37" s="169"/>
      <c r="E37" s="170">
        <f>+E36/D36-1</f>
        <v>0.19297028558214824</v>
      </c>
      <c r="F37" s="170">
        <f t="shared" ref="F37" si="126">+F36/E36-1</f>
        <v>0.35418685791820104</v>
      </c>
      <c r="G37" s="170">
        <f t="shared" ref="G37" si="127">+G36/F36-1</f>
        <v>0.31185543030953689</v>
      </c>
      <c r="H37" s="170">
        <f t="shared" ref="H37" si="128">+H36/G36-1</f>
        <v>0.34215134834341665</v>
      </c>
      <c r="I37" s="170"/>
      <c r="J37" s="170"/>
      <c r="K37" s="170"/>
      <c r="L37" s="170"/>
      <c r="M37" s="170"/>
      <c r="N37" s="170" t="e">
        <f t="shared" ref="N37" si="129">+N36/M36-1</f>
        <v>#DIV/0!</v>
      </c>
      <c r="O37" s="170">
        <f t="shared" ref="O37" si="130">+O36/N36-1</f>
        <v>5.8900425531914768E-2</v>
      </c>
      <c r="P37" s="170">
        <f t="shared" ref="P37" si="131">+P36/O36-1</f>
        <v>4.2372173913043376E-2</v>
      </c>
      <c r="Q37" s="170"/>
      <c r="CB37" s="329"/>
    </row>
    <row r="38" spans="3:80" hidden="1" outlineLevel="1">
      <c r="C38" s="153" t="s">
        <v>255</v>
      </c>
      <c r="D38" s="172">
        <f t="shared" ref="D38:H38" si="132">+D20-D31</f>
        <v>553.91399999999999</v>
      </c>
      <c r="E38" s="172">
        <f t="shared" si="132"/>
        <v>676.423</v>
      </c>
      <c r="F38" s="172">
        <f t="shared" si="132"/>
        <v>810.57399999999996</v>
      </c>
      <c r="G38" s="172">
        <f t="shared" si="132"/>
        <v>856.18</v>
      </c>
      <c r="H38" s="172">
        <f t="shared" si="132"/>
        <v>905.99199999999996</v>
      </c>
      <c r="I38" s="172"/>
      <c r="J38" s="172"/>
      <c r="K38" s="172"/>
      <c r="L38" s="172"/>
      <c r="M38" s="172"/>
      <c r="N38" s="172">
        <f t="shared" ref="N38:P38" si="133">+N20-N31</f>
        <v>1554.0856774765671</v>
      </c>
      <c r="O38" s="172">
        <f t="shared" si="133"/>
        <v>1651.1196037188311</v>
      </c>
      <c r="P38" s="172">
        <f t="shared" si="133"/>
        <v>1738.6082233367979</v>
      </c>
      <c r="Q38" s="170">
        <f>+(J38/G38)^(1/3)-1</f>
        <v>-1</v>
      </c>
      <c r="CB38" s="329"/>
    </row>
    <row r="39" spans="3:80" hidden="1" outlineLevel="1">
      <c r="C39" s="153"/>
      <c r="D39" s="172"/>
      <c r="E39" s="170">
        <f>+E38/D38-1</f>
        <v>0.22116971226580295</v>
      </c>
      <c r="F39" s="170">
        <f t="shared" ref="F39:H39" si="134">+F38/E38-1</f>
        <v>0.19832412558413881</v>
      </c>
      <c r="G39" s="170">
        <f t="shared" si="134"/>
        <v>5.6263832790096835E-2</v>
      </c>
      <c r="H39" s="227">
        <f t="shared" si="134"/>
        <v>5.8179354808568284E-2</v>
      </c>
      <c r="I39" s="170"/>
      <c r="J39" s="170"/>
      <c r="K39" s="227"/>
      <c r="L39" s="227"/>
      <c r="M39" s="227"/>
      <c r="N39" s="227" t="e">
        <f t="shared" ref="N39" si="135">+N38/M38-1</f>
        <v>#DIV/0!</v>
      </c>
      <c r="O39" s="227">
        <f t="shared" ref="O39" si="136">+O38/N38-1</f>
        <v>6.2437951554783044E-2</v>
      </c>
      <c r="P39" s="227">
        <f t="shared" ref="P39" si="137">+P38/O38-1</f>
        <v>5.2987451315407608E-2</v>
      </c>
    </row>
    <row r="40" spans="3:80" hidden="1" outlineLevel="1">
      <c r="C40" s="153" t="s">
        <v>136</v>
      </c>
      <c r="D40" s="169">
        <f>'Income Statement'!V14</f>
        <v>644.49199999999996</v>
      </c>
      <c r="E40" s="169">
        <f>'Income Statement'!AA14</f>
        <v>783.45600000000002</v>
      </c>
      <c r="F40" s="169">
        <f>'Income Statement'!AF14</f>
        <v>950.29899999999998</v>
      </c>
      <c r="G40" s="169">
        <f>'Income Statement'!AK14</f>
        <v>1039.479</v>
      </c>
      <c r="H40" s="169">
        <f>'Income Statement'!AP14</f>
        <v>1152.0070000000001</v>
      </c>
      <c r="I40" s="169"/>
      <c r="J40" s="169"/>
      <c r="K40" s="169"/>
      <c r="L40" s="169"/>
      <c r="M40" s="169"/>
      <c r="N40" s="169">
        <f>'Income Statement'!BH14</f>
        <v>2164.7794128225605</v>
      </c>
      <c r="O40" s="169">
        <f>'Income Statement'!BI14</f>
        <v>2297.7834599463781</v>
      </c>
      <c r="P40" s="169">
        <f>'Income Statement'!BJ14</f>
        <v>2412.6726329436974</v>
      </c>
    </row>
    <row r="41" spans="3:80" hidden="1" outlineLevel="1">
      <c r="C41" s="153"/>
      <c r="D41" s="169"/>
      <c r="E41" s="170">
        <f>+E40/D40-1</f>
        <v>0.21561788199077725</v>
      </c>
      <c r="F41" s="170">
        <f t="shared" ref="F41" si="138">+F40/E40-1</f>
        <v>0.2129577155577338</v>
      </c>
      <c r="G41" s="170">
        <f t="shared" ref="G41" si="139">+G40/F40-1</f>
        <v>9.384414799973495E-2</v>
      </c>
      <c r="H41" s="170">
        <f t="shared" ref="H41" si="140">+H40/G40-1</f>
        <v>0.10825423120621003</v>
      </c>
      <c r="I41" s="170"/>
      <c r="J41" s="170"/>
      <c r="K41" s="170"/>
      <c r="L41" s="170"/>
      <c r="M41" s="170"/>
      <c r="N41" s="170" t="e">
        <f t="shared" ref="N41" si="141">+N40/M40-1</f>
        <v>#DIV/0!</v>
      </c>
      <c r="O41" s="170">
        <f t="shared" ref="O41" si="142">+O40/N40-1</f>
        <v>6.1439999999999717E-2</v>
      </c>
      <c r="P41" s="170">
        <f t="shared" ref="P41" si="143">+P40/O40-1</f>
        <v>5.0000000000000266E-2</v>
      </c>
    </row>
    <row r="42" spans="3:80" hidden="1" outlineLevel="1">
      <c r="C42" s="153"/>
      <c r="D42" s="169"/>
      <c r="E42" s="170"/>
      <c r="F42" s="170"/>
      <c r="G42" s="170"/>
      <c r="H42" s="170"/>
      <c r="I42" s="170"/>
      <c r="J42" s="170"/>
      <c r="K42" s="170"/>
      <c r="L42" s="170"/>
      <c r="M42" s="170"/>
      <c r="N42" s="170"/>
      <c r="O42" s="170"/>
      <c r="P42" s="170"/>
    </row>
    <row r="43" spans="3:80" outlineLevel="1">
      <c r="C43" s="153"/>
      <c r="D43" s="169"/>
      <c r="E43" s="170"/>
      <c r="F43" s="170"/>
      <c r="G43" s="170"/>
      <c r="H43" s="170"/>
      <c r="I43" s="170"/>
      <c r="J43" s="170"/>
      <c r="K43" s="170"/>
      <c r="L43" s="170"/>
      <c r="M43" s="170"/>
      <c r="N43" s="170"/>
      <c r="O43" s="170"/>
      <c r="P43" s="170"/>
    </row>
    <row r="44" spans="3:80" outlineLevel="1">
      <c r="C44" s="153"/>
      <c r="D44" s="169"/>
      <c r="E44" s="170"/>
      <c r="F44" s="170"/>
      <c r="G44" s="170"/>
      <c r="H44" s="170"/>
      <c r="I44" s="170"/>
      <c r="J44" s="170"/>
      <c r="L44" s="170"/>
      <c r="M44" s="170"/>
      <c r="N44" s="170"/>
      <c r="O44" s="170"/>
      <c r="P44" s="170"/>
    </row>
    <row r="45" spans="3:80" outlineLevel="1">
      <c r="C45" s="153"/>
      <c r="D45" s="169"/>
      <c r="E45" s="170"/>
      <c r="F45" s="170"/>
      <c r="G45" s="170"/>
      <c r="H45" s="170"/>
      <c r="I45" s="170"/>
      <c r="J45" s="170"/>
      <c r="L45" s="170"/>
      <c r="M45" s="170"/>
      <c r="N45" s="170"/>
      <c r="O45" s="170"/>
      <c r="P45" s="170"/>
    </row>
    <row r="46" spans="3:80" outlineLevel="1">
      <c r="C46" s="153"/>
      <c r="D46" s="169"/>
      <c r="E46" s="170"/>
      <c r="F46" s="170"/>
      <c r="G46" s="170"/>
      <c r="H46" s="170"/>
      <c r="I46" s="170"/>
      <c r="J46" s="170"/>
      <c r="K46" s="170"/>
      <c r="L46" s="170"/>
      <c r="M46" s="170"/>
      <c r="N46" s="170"/>
      <c r="O46" s="170"/>
      <c r="P46" s="170"/>
    </row>
    <row r="47" spans="3:80" outlineLevel="1">
      <c r="C47" s="153"/>
      <c r="D47" s="169"/>
      <c r="E47" s="170"/>
      <c r="F47" s="170"/>
      <c r="G47" s="170"/>
      <c r="H47" s="170"/>
      <c r="I47" s="170"/>
      <c r="J47" s="170"/>
      <c r="K47" s="170"/>
      <c r="L47" s="170"/>
      <c r="M47" s="170"/>
      <c r="N47" s="170"/>
      <c r="O47" s="170"/>
      <c r="P47" s="170"/>
    </row>
    <row r="48" spans="3:80">
      <c r="C48" s="153"/>
      <c r="D48" s="38">
        <v>2019</v>
      </c>
      <c r="E48" s="38">
        <v>2020</v>
      </c>
      <c r="F48" s="38">
        <v>2021</v>
      </c>
      <c r="G48" s="38">
        <v>2022</v>
      </c>
      <c r="H48" s="38" t="s">
        <v>119</v>
      </c>
      <c r="I48" s="38" t="s">
        <v>120</v>
      </c>
      <c r="J48" s="38" t="s">
        <v>121</v>
      </c>
      <c r="K48" s="170"/>
      <c r="L48" s="170"/>
      <c r="M48" s="170"/>
      <c r="N48" s="170"/>
      <c r="O48" s="170"/>
      <c r="P48" s="170"/>
    </row>
    <row r="49" spans="3:16">
      <c r="C49" s="153" t="s">
        <v>307</v>
      </c>
      <c r="D49" s="169">
        <f>+E49-31</f>
        <v>169</v>
      </c>
      <c r="E49" s="300">
        <v>200</v>
      </c>
      <c r="F49" s="300">
        <v>220</v>
      </c>
      <c r="G49" s="300">
        <v>243</v>
      </c>
      <c r="H49" s="300">
        <v>263</v>
      </c>
      <c r="I49" s="300"/>
      <c r="J49" s="170"/>
      <c r="K49" s="170"/>
      <c r="L49" s="170"/>
      <c r="M49" s="170"/>
      <c r="N49" s="170"/>
      <c r="O49" s="170"/>
      <c r="P49" s="170"/>
    </row>
    <row r="50" spans="3:16">
      <c r="C50" s="153" t="s">
        <v>223</v>
      </c>
      <c r="D50" s="169"/>
      <c r="E50" s="170">
        <f>+E49/D49-1</f>
        <v>0.18343195266272194</v>
      </c>
      <c r="F50" s="170">
        <f>+F49/E49-1</f>
        <v>0.10000000000000009</v>
      </c>
      <c r="G50" s="170">
        <f>+G49/F49-1</f>
        <v>0.1045454545454545</v>
      </c>
      <c r="H50" s="170">
        <f>+H49/G49-1</f>
        <v>8.2304526748971263E-2</v>
      </c>
      <c r="I50" s="170"/>
      <c r="J50" s="170"/>
      <c r="K50" s="170"/>
      <c r="L50" s="170"/>
      <c r="M50" s="170"/>
      <c r="N50" s="170"/>
      <c r="O50" s="170"/>
      <c r="P50" s="170"/>
    </row>
    <row r="51" spans="3:16">
      <c r="C51" s="153"/>
      <c r="D51" s="169"/>
      <c r="E51" s="170"/>
      <c r="F51" s="170"/>
      <c r="G51" s="170"/>
      <c r="H51" s="170"/>
      <c r="I51" s="170"/>
      <c r="J51" s="170"/>
      <c r="K51" s="170"/>
      <c r="L51" s="170"/>
      <c r="M51" s="170"/>
      <c r="N51" s="170"/>
      <c r="O51" s="170"/>
      <c r="P51" s="170"/>
    </row>
    <row r="52" spans="3:16">
      <c r="C52" s="153" t="s">
        <v>300</v>
      </c>
      <c r="D52" s="169"/>
      <c r="E52" s="300">
        <f>+F52-0.478</f>
        <v>5.5369999999999999</v>
      </c>
      <c r="F52" s="300">
        <f>+G52-0.096</f>
        <v>6.0149999999999997</v>
      </c>
      <c r="G52" s="300">
        <f>+H52-0.189</f>
        <v>6.1109999999999998</v>
      </c>
      <c r="H52" s="300">
        <v>6.3</v>
      </c>
      <c r="I52" s="241">
        <v>6.2</v>
      </c>
      <c r="J52" s="241">
        <f>+I52+0.5</f>
        <v>6.7</v>
      </c>
      <c r="K52" s="241">
        <f>+J52+0.5</f>
        <v>7.2</v>
      </c>
      <c r="L52" s="170"/>
      <c r="M52" s="170"/>
      <c r="N52" s="170"/>
      <c r="O52" s="170"/>
      <c r="P52" s="170"/>
    </row>
    <row r="53" spans="3:16">
      <c r="C53" s="153" t="s">
        <v>223</v>
      </c>
      <c r="D53" s="169"/>
      <c r="E53" s="300"/>
      <c r="F53" s="260">
        <f t="shared" ref="F53:K53" si="144">+F52/E52-1</f>
        <v>8.6328336644392323E-2</v>
      </c>
      <c r="G53" s="260">
        <f t="shared" si="144"/>
        <v>1.5960099750623513E-2</v>
      </c>
      <c r="H53" s="260">
        <f t="shared" si="144"/>
        <v>3.0927835051546504E-2</v>
      </c>
      <c r="I53" s="260">
        <f t="shared" si="144"/>
        <v>-1.5873015873015817E-2</v>
      </c>
      <c r="J53" s="260">
        <f t="shared" si="144"/>
        <v>8.0645161290322509E-2</v>
      </c>
      <c r="K53" s="260">
        <f t="shared" si="144"/>
        <v>7.4626865671641784E-2</v>
      </c>
      <c r="L53" s="170"/>
      <c r="M53" s="170"/>
      <c r="N53" s="170"/>
      <c r="O53" s="170"/>
      <c r="P53" s="170"/>
    </row>
    <row r="54" spans="3:16">
      <c r="C54" s="153" t="s">
        <v>301</v>
      </c>
      <c r="D54" s="169"/>
      <c r="E54" s="170"/>
      <c r="F54" s="300">
        <f t="shared" ref="F54:K54" si="145">+AVERAGE(E52:F52)</f>
        <v>5.7759999999999998</v>
      </c>
      <c r="G54" s="300">
        <f t="shared" si="145"/>
        <v>6.0629999999999997</v>
      </c>
      <c r="H54" s="300">
        <f t="shared" si="145"/>
        <v>6.2054999999999998</v>
      </c>
      <c r="I54" s="300">
        <f t="shared" si="145"/>
        <v>6.25</v>
      </c>
      <c r="J54" s="300">
        <f t="shared" si="145"/>
        <v>6.45</v>
      </c>
      <c r="K54" s="300">
        <f t="shared" si="145"/>
        <v>6.95</v>
      </c>
      <c r="L54" s="170"/>
      <c r="M54" s="170"/>
      <c r="N54" s="170"/>
      <c r="O54" s="170"/>
      <c r="P54" s="170"/>
    </row>
    <row r="55" spans="3:16">
      <c r="C55" s="153" t="s">
        <v>223</v>
      </c>
      <c r="D55" s="169"/>
      <c r="E55" s="170"/>
      <c r="F55" s="300"/>
      <c r="G55" s="170">
        <f>+G54/F54-1</f>
        <v>4.9688365650969457E-2</v>
      </c>
      <c r="H55" s="170">
        <f>+H54/G54-1</f>
        <v>2.3503216229589396E-2</v>
      </c>
      <c r="I55" s="170">
        <f>+I54/H54-1</f>
        <v>7.1710579324792967E-3</v>
      </c>
      <c r="J55" s="170">
        <f>+J54/I54-1</f>
        <v>3.2000000000000028E-2</v>
      </c>
      <c r="K55" s="170">
        <f>+K54/J54-1</f>
        <v>7.7519379844961156E-2</v>
      </c>
      <c r="L55" s="170"/>
      <c r="M55" s="170"/>
      <c r="N55" s="170"/>
      <c r="O55" s="170"/>
      <c r="P55" s="170"/>
    </row>
    <row r="56" spans="3:16">
      <c r="C56" s="153"/>
      <c r="D56" s="169"/>
      <c r="E56" s="170"/>
      <c r="F56" s="170"/>
      <c r="G56" s="170"/>
      <c r="H56" s="170"/>
      <c r="I56" s="170"/>
      <c r="J56" s="170"/>
      <c r="K56" s="170"/>
      <c r="L56" s="170"/>
      <c r="M56" s="170"/>
      <c r="N56" s="302" t="s">
        <v>308</v>
      </c>
      <c r="O56" s="170"/>
      <c r="P56" s="170"/>
    </row>
    <row r="57" spans="3:16">
      <c r="C57" s="153" t="s">
        <v>302</v>
      </c>
      <c r="D57" s="169"/>
      <c r="E57" s="170"/>
      <c r="F57" s="300">
        <f>+'Income Statement'!AF143</f>
        <v>950.29899999999998</v>
      </c>
      <c r="G57" s="300">
        <f>+'Income Statement'!AK143</f>
        <v>1039.479</v>
      </c>
      <c r="H57" s="300">
        <f>+'Income Statement'!AP143</f>
        <v>1152.0070000000001</v>
      </c>
      <c r="I57" s="300">
        <f>+'Income Statement'!AU143</f>
        <v>1264.9749999999999</v>
      </c>
      <c r="J57" s="300">
        <f>+'Income Statement'!AZ143</f>
        <v>1409.7270000000001</v>
      </c>
      <c r="K57" s="300">
        <f>+'Income Statement'!BE143</f>
        <v>1637.759115825</v>
      </c>
      <c r="N57" s="307" t="s">
        <v>309</v>
      </c>
      <c r="O57" s="170"/>
      <c r="P57" s="170"/>
    </row>
    <row r="58" spans="3:16">
      <c r="C58" s="153" t="s">
        <v>303</v>
      </c>
      <c r="D58" s="169"/>
      <c r="E58" s="170"/>
      <c r="F58" s="301">
        <f t="shared" ref="F58:K58" si="146">+F57/F$54/12</f>
        <v>13.71045417820868</v>
      </c>
      <c r="G58" s="301">
        <f t="shared" si="146"/>
        <v>14.287192808840508</v>
      </c>
      <c r="H58" s="301">
        <f t="shared" si="146"/>
        <v>15.470241452474957</v>
      </c>
      <c r="I58" s="301">
        <f t="shared" si="146"/>
        <v>16.866333333333333</v>
      </c>
      <c r="J58" s="301">
        <f t="shared" si="146"/>
        <v>18.213527131782946</v>
      </c>
      <c r="K58" s="301">
        <f t="shared" si="146"/>
        <v>19.637399470323739</v>
      </c>
      <c r="L58" s="170"/>
      <c r="M58" s="170"/>
      <c r="N58" s="308" t="s">
        <v>310</v>
      </c>
      <c r="O58" s="170"/>
      <c r="P58" s="170"/>
    </row>
    <row r="59" spans="3:16">
      <c r="C59" s="153" t="s">
        <v>223</v>
      </c>
      <c r="D59" s="169"/>
      <c r="E59" s="170"/>
      <c r="F59" s="170"/>
      <c r="G59" s="170">
        <f>+G58/F58-1</f>
        <v>4.2065610893364358E-2</v>
      </c>
      <c r="H59" s="170">
        <f>+H58/G58-1</f>
        <v>8.2804835033962076E-2</v>
      </c>
      <c r="I59" s="170">
        <f>+I58/H58-1</f>
        <v>9.0243703380274543E-2</v>
      </c>
      <c r="J59" s="170">
        <f>+J58/I58-1</f>
        <v>7.987472865765799E-2</v>
      </c>
      <c r="K59" s="170"/>
      <c r="L59" s="170"/>
      <c r="M59" s="170"/>
      <c r="N59" s="309">
        <v>2019</v>
      </c>
      <c r="O59" s="170"/>
      <c r="P59" s="170"/>
    </row>
    <row r="60" spans="3:16">
      <c r="C60" s="153"/>
      <c r="D60" s="169"/>
      <c r="E60" s="170"/>
      <c r="F60" s="170"/>
      <c r="G60" s="170"/>
      <c r="H60" s="170"/>
      <c r="I60" s="170"/>
      <c r="J60" s="170"/>
      <c r="K60" s="170"/>
      <c r="L60" s="170"/>
      <c r="M60" s="170"/>
      <c r="N60" s="170"/>
      <c r="O60" s="170"/>
      <c r="P60" s="170"/>
    </row>
    <row r="61" spans="3:16">
      <c r="C61" s="153" t="s">
        <v>305</v>
      </c>
      <c r="D61" s="169"/>
      <c r="E61" s="170"/>
      <c r="F61" s="300">
        <f>+'Income Statement'!AF15</f>
        <v>319.358</v>
      </c>
      <c r="G61" s="300">
        <f>+'Income Statement'!AK15</f>
        <v>348.18699999999995</v>
      </c>
      <c r="H61" s="300">
        <f>+'Income Statement'!AP15</f>
        <v>409.65800000000002</v>
      </c>
      <c r="I61" s="300">
        <f>+'Income Statement'!AU15</f>
        <v>495.67500000000007</v>
      </c>
      <c r="J61" s="300">
        <f>+'Income Statement'!AZ15</f>
        <v>583.31700000000001</v>
      </c>
      <c r="K61" s="300">
        <f>+K62*J54*12</f>
        <v>601.05550500000004</v>
      </c>
      <c r="L61" s="170"/>
      <c r="M61" s="170"/>
      <c r="O61" s="170"/>
      <c r="P61" s="170"/>
    </row>
    <row r="62" spans="3:16">
      <c r="C62" s="153" t="s">
        <v>306</v>
      </c>
      <c r="D62" s="169"/>
      <c r="E62" s="170"/>
      <c r="F62" s="301">
        <f>+F61/F$54/12</f>
        <v>4.6075427054478304</v>
      </c>
      <c r="G62" s="301">
        <f>+G61/G$54/12</f>
        <v>4.7856809060421126</v>
      </c>
      <c r="H62" s="301">
        <f>+H61/H$54/12</f>
        <v>5.5012757500067151</v>
      </c>
      <c r="I62" s="301">
        <f>+I61/I$54/12</f>
        <v>6.6090000000000009</v>
      </c>
      <c r="J62" s="301">
        <f>+J61/J$54/12</f>
        <v>7.5363953488372095</v>
      </c>
      <c r="K62" s="301">
        <f>+I62*1.175</f>
        <v>7.765575000000001</v>
      </c>
      <c r="L62" s="170"/>
      <c r="M62" s="170"/>
      <c r="N62" s="170"/>
      <c r="O62" s="170"/>
      <c r="P62" s="170"/>
    </row>
    <row r="63" spans="3:16">
      <c r="C63" s="153"/>
      <c r="D63" s="169"/>
      <c r="E63" s="170"/>
      <c r="F63" s="170"/>
      <c r="G63" s="170">
        <f>+G62/F62-1</f>
        <v>3.8662300489077817E-2</v>
      </c>
      <c r="H63" s="170">
        <f>+H62/G62-1</f>
        <v>0.14952832376708103</v>
      </c>
      <c r="I63" s="170">
        <f>+I62/H62-1</f>
        <v>0.20135770325491031</v>
      </c>
      <c r="J63" s="170">
        <f>+J62/I62-1</f>
        <v>0.14032309711563151</v>
      </c>
      <c r="K63" s="170"/>
      <c r="L63" s="170"/>
      <c r="M63" s="170"/>
      <c r="N63" s="170"/>
      <c r="O63" s="170"/>
      <c r="P63" s="170"/>
    </row>
    <row r="64" spans="3:16">
      <c r="C64" s="153"/>
      <c r="D64" s="169"/>
      <c r="E64" s="170"/>
      <c r="F64" s="170"/>
      <c r="G64" s="170"/>
      <c r="H64" s="170"/>
      <c r="I64" s="170"/>
      <c r="J64" s="170"/>
      <c r="K64" s="170"/>
      <c r="L64" s="170"/>
      <c r="M64" s="170"/>
      <c r="N64" s="170"/>
      <c r="O64" s="170"/>
      <c r="P64" s="170"/>
    </row>
    <row r="65" spans="3:60">
      <c r="C65" s="153" t="s">
        <v>197</v>
      </c>
      <c r="D65" s="169"/>
      <c r="E65" s="170"/>
      <c r="F65" s="300">
        <f>+'Income Statement'!AF13</f>
        <v>1269.6569999999999</v>
      </c>
      <c r="G65" s="300">
        <f>+'Income Statement'!AK13</f>
        <v>1387.6659999999999</v>
      </c>
      <c r="H65" s="300">
        <f>+'Income Statement'!AP13</f>
        <v>1561.665</v>
      </c>
      <c r="I65" s="300">
        <f>+'Income Statement'!AU13</f>
        <v>1760.65</v>
      </c>
      <c r="J65" s="300">
        <f>+'Income Statement'!AZ13</f>
        <v>1993.0440000000001</v>
      </c>
      <c r="K65" s="300">
        <f>+K57+K61</f>
        <v>2238.814620825</v>
      </c>
      <c r="L65" s="170"/>
      <c r="M65" s="170"/>
      <c r="O65" s="170"/>
      <c r="P65" s="170"/>
    </row>
    <row r="66" spans="3:60">
      <c r="C66" s="153" t="s">
        <v>304</v>
      </c>
      <c r="D66" s="169"/>
      <c r="E66" s="170"/>
      <c r="F66" s="170"/>
      <c r="G66" s="301">
        <f>+G65/G$54/12</f>
        <v>19.072873714882622</v>
      </c>
      <c r="H66" s="301">
        <f>+H65/H$54/12</f>
        <v>20.971517202481667</v>
      </c>
      <c r="I66" s="301">
        <f>+I65/I$54/12</f>
        <v>23.475333333333335</v>
      </c>
      <c r="J66" s="301">
        <f>+J65/J$54/12</f>
        <v>25.749922480620157</v>
      </c>
      <c r="K66" s="301">
        <f>+K65/J54/12</f>
        <v>28.925253499031005</v>
      </c>
      <c r="L66" s="170"/>
      <c r="M66" s="170"/>
      <c r="N66" s="170"/>
      <c r="O66" s="170"/>
      <c r="P66" s="170"/>
    </row>
    <row r="67" spans="3:60">
      <c r="C67" s="153"/>
      <c r="D67" s="169"/>
      <c r="E67" s="170"/>
      <c r="G67" s="170"/>
      <c r="H67" s="170">
        <f>+H66/G66-1</f>
        <v>9.9546796984113062E-2</v>
      </c>
      <c r="I67" s="170">
        <f>+I66/H66-1</f>
        <v>0.11939127277617168</v>
      </c>
      <c r="J67" s="170">
        <f>+J66/I66-1</f>
        <v>9.6892730552075479E-2</v>
      </c>
      <c r="K67" s="170">
        <f>+K66/J66-1</f>
        <v>0.12331419719032777</v>
      </c>
      <c r="L67" s="170"/>
      <c r="M67" s="170"/>
      <c r="N67" s="170"/>
      <c r="O67" s="170"/>
      <c r="P67" s="170"/>
    </row>
    <row r="68" spans="3:60">
      <c r="C68" s="153"/>
      <c r="D68" s="169"/>
      <c r="E68" s="170"/>
      <c r="G68" s="170"/>
      <c r="H68" s="170"/>
      <c r="I68" s="170"/>
      <c r="J68" s="170"/>
      <c r="K68" s="170"/>
      <c r="L68" s="170"/>
      <c r="M68" s="170"/>
      <c r="N68" s="170"/>
      <c r="O68" s="170"/>
      <c r="P68" s="170"/>
    </row>
    <row r="69" spans="3:60">
      <c r="C69" s="153"/>
      <c r="D69" s="169"/>
      <c r="E69" s="170"/>
      <c r="G69" s="170"/>
      <c r="H69" s="170"/>
      <c r="I69" s="170"/>
      <c r="J69" s="170"/>
      <c r="K69" s="170"/>
      <c r="L69" s="170"/>
      <c r="M69" s="170"/>
      <c r="N69" s="170"/>
      <c r="O69" s="170"/>
      <c r="P69" s="170"/>
    </row>
    <row r="70" spans="3:60">
      <c r="C70" s="153"/>
      <c r="D70" s="169"/>
      <c r="E70" s="170"/>
      <c r="G70" s="170"/>
      <c r="H70" s="170"/>
      <c r="I70" s="170"/>
      <c r="J70" s="170"/>
      <c r="K70" s="170"/>
      <c r="L70" s="170"/>
      <c r="M70" s="170"/>
      <c r="N70" s="170"/>
      <c r="O70" s="170"/>
      <c r="P70" s="170"/>
    </row>
    <row r="71" spans="3:60">
      <c r="C71" s="153"/>
      <c r="D71" s="169"/>
      <c r="E71" s="170"/>
      <c r="G71" s="170"/>
      <c r="H71" s="170"/>
      <c r="I71" s="170"/>
      <c r="J71" s="170"/>
      <c r="K71" s="170"/>
      <c r="L71" s="170"/>
      <c r="M71" s="170"/>
      <c r="N71" s="170"/>
      <c r="O71" s="170"/>
      <c r="P71" s="170"/>
    </row>
    <row r="72" spans="3:60">
      <c r="C72" s="153"/>
      <c r="D72" s="169"/>
      <c r="E72" s="170"/>
      <c r="G72" s="170"/>
      <c r="H72" s="170"/>
      <c r="I72" s="170"/>
      <c r="J72" s="170"/>
      <c r="K72" s="170"/>
      <c r="L72" s="170"/>
      <c r="M72" s="170"/>
      <c r="N72" s="170"/>
      <c r="O72" s="170"/>
      <c r="P72" s="170"/>
    </row>
    <row r="73" spans="3:60">
      <c r="C73" s="153" t="s">
        <v>312</v>
      </c>
      <c r="D73" s="169"/>
      <c r="E73" s="170"/>
      <c r="G73" s="170"/>
      <c r="H73" s="212">
        <v>0.3</v>
      </c>
      <c r="I73" s="212">
        <v>0.5</v>
      </c>
      <c r="J73" s="170">
        <f>+J74/J6</f>
        <v>0.61400171317962671</v>
      </c>
      <c r="K73" s="170">
        <f>+K74/K6</f>
        <v>0.69441802293387112</v>
      </c>
      <c r="L73" s="170">
        <f>+L74/L6</f>
        <v>0.74973889809239447</v>
      </c>
      <c r="M73" s="170"/>
      <c r="N73" s="170"/>
      <c r="O73" s="170"/>
      <c r="P73" s="170"/>
    </row>
    <row r="74" spans="3:60">
      <c r="C74" s="153" t="s">
        <v>313</v>
      </c>
      <c r="D74" s="169"/>
      <c r="E74" s="170"/>
      <c r="G74" s="170"/>
      <c r="H74" s="300">
        <f>+H73*H6</f>
        <v>140.58000000000001</v>
      </c>
      <c r="I74" s="300">
        <f>+I73*I6</f>
        <v>305</v>
      </c>
      <c r="J74" s="306">
        <f>+J6-J76</f>
        <v>460.90099999999995</v>
      </c>
      <c r="K74" s="306">
        <f>+K6-K76</f>
        <v>625.51869999999985</v>
      </c>
      <c r="L74" s="306">
        <f>+L6-L76</f>
        <v>783.40681699999993</v>
      </c>
      <c r="M74" s="170"/>
      <c r="N74" s="170"/>
      <c r="O74" s="170"/>
      <c r="P74" s="170"/>
    </row>
    <row r="75" spans="3:60">
      <c r="C75" s="153" t="s">
        <v>223</v>
      </c>
      <c r="D75" s="169"/>
      <c r="E75" s="170"/>
      <c r="G75" s="170"/>
      <c r="H75" s="170"/>
      <c r="I75" s="170">
        <f>+I74/H74-1</f>
        <v>1.1695831554986484</v>
      </c>
      <c r="J75" s="170">
        <f>+J74/I74-1</f>
        <v>0.51115081967213105</v>
      </c>
      <c r="K75" s="170">
        <f>+K74/J74-1</f>
        <v>0.35716498770885696</v>
      </c>
      <c r="L75" s="170">
        <f>+L74/K74-1</f>
        <v>0.25241150584307093</v>
      </c>
      <c r="M75" s="170"/>
      <c r="N75" s="170"/>
      <c r="O75" s="170"/>
      <c r="P75" s="170"/>
    </row>
    <row r="76" spans="3:60">
      <c r="C76" s="153" t="s">
        <v>314</v>
      </c>
      <c r="D76" s="169"/>
      <c r="E76" s="170"/>
      <c r="G76" s="170"/>
      <c r="H76" s="300">
        <f>+H6-H74</f>
        <v>328.02</v>
      </c>
      <c r="I76" s="300">
        <f>+I6-I74</f>
        <v>305</v>
      </c>
      <c r="J76" s="300">
        <f>+I76*(1+J77)</f>
        <v>289.75</v>
      </c>
      <c r="K76" s="300">
        <f>+J76*(1+K77)</f>
        <v>275.26249999999999</v>
      </c>
      <c r="L76" s="300">
        <f>+K76*(1+L77)</f>
        <v>261.49937499999999</v>
      </c>
      <c r="M76" s="170"/>
      <c r="N76" s="170"/>
      <c r="O76" s="170"/>
      <c r="P76" s="170"/>
    </row>
    <row r="77" spans="3:60">
      <c r="C77" s="153" t="s">
        <v>223</v>
      </c>
      <c r="D77" s="172"/>
      <c r="E77" s="172"/>
      <c r="F77" s="172"/>
      <c r="G77" s="172"/>
      <c r="H77" s="172"/>
      <c r="I77" s="170">
        <f>+I76/H76-1</f>
        <v>-7.0178647643436287E-2</v>
      </c>
      <c r="J77" s="212">
        <v>-0.05</v>
      </c>
      <c r="K77" s="212">
        <v>-0.05</v>
      </c>
      <c r="L77" s="212">
        <v>-0.05</v>
      </c>
      <c r="M77" s="172"/>
      <c r="N77" s="172"/>
      <c r="O77" s="172"/>
      <c r="P77" s="172"/>
    </row>
    <row r="78" spans="3:60">
      <c r="C78" s="225"/>
      <c r="D78" s="172"/>
      <c r="E78" s="172"/>
      <c r="F78" s="172"/>
      <c r="G78" s="172"/>
      <c r="H78" s="172"/>
      <c r="I78" s="172"/>
      <c r="J78" s="172"/>
      <c r="K78" s="172"/>
      <c r="L78" s="172"/>
      <c r="M78" s="172"/>
      <c r="N78" s="172"/>
      <c r="O78" s="172"/>
      <c r="P78" s="172"/>
    </row>
    <row r="79" spans="3:60">
      <c r="AR79" s="171"/>
      <c r="AS79" s="171"/>
      <c r="AT79" s="171"/>
      <c r="AU79" s="171"/>
      <c r="AV79" s="171"/>
      <c r="AW79" s="171"/>
      <c r="AX79" s="171"/>
      <c r="AY79" s="171"/>
      <c r="AZ79" s="171"/>
      <c r="BA79" s="171"/>
      <c r="BB79" s="171"/>
      <c r="BC79" s="171"/>
      <c r="BD79" s="171"/>
      <c r="BE79" s="171"/>
      <c r="BF79" s="171"/>
      <c r="BG79" s="171"/>
      <c r="BH79" s="171"/>
    </row>
    <row r="83" spans="4:16">
      <c r="D83" s="169"/>
      <c r="E83" s="169"/>
      <c r="F83" s="169"/>
      <c r="G83" s="169"/>
      <c r="H83" s="169"/>
      <c r="I83" s="169"/>
      <c r="J83" s="169"/>
      <c r="K83" s="169"/>
      <c r="L83" s="169"/>
      <c r="M83" s="169"/>
      <c r="N83" s="169"/>
      <c r="O83" s="169"/>
      <c r="P83" s="169"/>
    </row>
    <row r="86" spans="4:16">
      <c r="E86" s="171"/>
      <c r="F86" s="171"/>
      <c r="G86" s="171"/>
      <c r="H86" s="171"/>
      <c r="I86" s="171"/>
      <c r="J86" s="171"/>
      <c r="K86" s="171"/>
      <c r="L86" s="171"/>
      <c r="M86" s="171"/>
      <c r="N86" s="171"/>
      <c r="O86" s="171"/>
      <c r="P86" s="171"/>
    </row>
    <row r="101" spans="34:43">
      <c r="AH101" s="172"/>
      <c r="AM101" s="172"/>
    </row>
    <row r="107" spans="34:43">
      <c r="AQ107" s="171"/>
    </row>
    <row r="109" spans="34:43">
      <c r="AI109" s="171"/>
      <c r="AJ109" s="171"/>
      <c r="AL109" s="171"/>
      <c r="AM109" s="171"/>
      <c r="AN109" s="171"/>
      <c r="AO109" s="171"/>
      <c r="AP109" s="171"/>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3:BU58"/>
  <sheetViews>
    <sheetView view="pageBreakPreview" zoomScale="60" zoomScaleNormal="100" workbookViewId="0">
      <pane xSplit="12" ySplit="5" topLeftCell="M6" activePane="bottomRight" state="frozen"/>
      <selection activeCell="AG1" sqref="AG1:AK1048576"/>
      <selection pane="topRight" activeCell="AG1" sqref="AG1:AK1048576"/>
      <selection pane="bottomLeft" activeCell="AG1" sqref="AG1:AK1048576"/>
      <selection pane="bottomRight" activeCell="AG1" sqref="AG1:AK1048576"/>
    </sheetView>
  </sheetViews>
  <sheetFormatPr defaultColWidth="9.46484375" defaultRowHeight="13.15"/>
  <cols>
    <col min="1" max="1" width="9.46484375" style="8"/>
    <col min="2" max="2" width="30.53125" style="8" customWidth="1"/>
    <col min="3" max="6" width="8.46484375" style="8" hidden="1" customWidth="1"/>
    <col min="7" max="7" width="0.53125" style="8" hidden="1" customWidth="1"/>
    <col min="8" max="11" width="8.46484375" style="8" hidden="1" customWidth="1"/>
    <col min="12" max="12" width="0.53125" style="8" hidden="1" customWidth="1"/>
    <col min="13" max="16" width="10" style="8" hidden="1" customWidth="1"/>
    <col min="17" max="17" width="0.53125" style="8" hidden="1" customWidth="1"/>
    <col min="18" max="21" width="10" style="8" hidden="1" customWidth="1"/>
    <col min="22" max="27" width="0.53125" style="8" hidden="1" customWidth="1"/>
    <col min="28" max="31" width="10" style="8" hidden="1" customWidth="1"/>
    <col min="32" max="32" width="0.53125" style="8" customWidth="1"/>
    <col min="33" max="35" width="10" style="8" hidden="1" customWidth="1"/>
    <col min="36" max="36" width="10.19921875" style="8" hidden="1" customWidth="1"/>
    <col min="37" max="37" width="0.53125" style="8" customWidth="1"/>
    <col min="38" max="41" width="10" style="8" customWidth="1"/>
    <col min="42" max="42" width="1.19921875" style="8" customWidth="1"/>
    <col min="43" max="46" width="10" style="8" customWidth="1"/>
    <col min="47" max="47" width="0.796875" style="8" customWidth="1"/>
    <col min="48" max="51" width="10" style="8" customWidth="1"/>
    <col min="52" max="52" width="1.19921875" style="8" customWidth="1"/>
    <col min="53" max="61" width="10" style="8" customWidth="1"/>
    <col min="62" max="62" width="9.46484375" style="8"/>
    <col min="63" max="63" width="6.19921875" style="8" bestFit="1" customWidth="1"/>
    <col min="64" max="72" width="5.53125" style="8" bestFit="1" customWidth="1"/>
    <col min="73" max="16384" width="9.46484375" style="8"/>
  </cols>
  <sheetData>
    <row r="3" spans="2:73">
      <c r="C3" s="21" t="str">
        <f>'Income Statement'!H2</f>
        <v>Mar</v>
      </c>
      <c r="D3" s="21" t="str">
        <f>'Income Statement'!I2</f>
        <v>Jun</v>
      </c>
      <c r="E3" s="21" t="str">
        <f>'Income Statement'!J2</f>
        <v>Sep</v>
      </c>
      <c r="F3" s="21" t="str">
        <f>'Income Statement'!K2</f>
        <v>Dec</v>
      </c>
      <c r="G3" s="21"/>
      <c r="H3" s="21" t="str">
        <f>'Income Statement'!M2</f>
        <v>Mar</v>
      </c>
      <c r="I3" s="21" t="str">
        <f>'Income Statement'!N2</f>
        <v>Jun</v>
      </c>
      <c r="J3" s="21" t="str">
        <f>'Income Statement'!O2</f>
        <v>Sep</v>
      </c>
      <c r="K3" s="21" t="str">
        <f>'Income Statement'!P2</f>
        <v>Dec</v>
      </c>
      <c r="L3" s="21"/>
      <c r="M3" s="21" t="str">
        <f>'Income Statement'!R2</f>
        <v>Mar</v>
      </c>
      <c r="N3" s="21" t="str">
        <f>'Income Statement'!S2</f>
        <v>Jun</v>
      </c>
      <c r="O3" s="21" t="str">
        <f>'Income Statement'!T2</f>
        <v>Sep</v>
      </c>
      <c r="P3" s="21" t="str">
        <f>'Income Statement'!U2</f>
        <v>Dec</v>
      </c>
      <c r="Q3" s="21"/>
      <c r="R3" s="21" t="str">
        <f>'Income Statement'!W2</f>
        <v>Mar</v>
      </c>
      <c r="S3" s="21" t="str">
        <f>'Income Statement'!X2</f>
        <v>Jun</v>
      </c>
      <c r="T3" s="21" t="str">
        <f>'Income Statement'!Y2</f>
        <v>Sep</v>
      </c>
      <c r="U3" s="21" t="str">
        <f>'Income Statement'!Z2</f>
        <v>Dec</v>
      </c>
      <c r="V3" s="21"/>
      <c r="W3" s="21"/>
      <c r="X3" s="21"/>
      <c r="Y3" s="21"/>
      <c r="Z3" s="21"/>
      <c r="AA3" s="21"/>
      <c r="AB3" s="21" t="str">
        <f>'Income Statement'!AB2</f>
        <v>Mar</v>
      </c>
      <c r="AC3" s="21" t="str">
        <f>'Income Statement'!AC2</f>
        <v>Jun</v>
      </c>
      <c r="AD3" s="21" t="str">
        <f>'Income Statement'!AD2</f>
        <v>Sep</v>
      </c>
      <c r="AE3" s="21" t="str">
        <f>'Income Statement'!AE2</f>
        <v>Dec</v>
      </c>
      <c r="AF3" s="21"/>
      <c r="AG3" s="21" t="str">
        <f>'Income Statement'!AG2</f>
        <v>Mar</v>
      </c>
      <c r="AH3" s="21" t="str">
        <f>'Income Statement'!AH2</f>
        <v>Jun</v>
      </c>
      <c r="AI3" s="21" t="str">
        <f>'Income Statement'!AI2</f>
        <v>Sep</v>
      </c>
      <c r="AJ3" s="21" t="str">
        <f>'Income Statement'!AJ2</f>
        <v>Dec</v>
      </c>
      <c r="AK3" s="21"/>
      <c r="AL3" s="21" t="str">
        <f>'Income Statement'!AL2</f>
        <v>Mar</v>
      </c>
      <c r="AM3" s="21" t="str">
        <f>'Income Statement'!AM2</f>
        <v>Jun</v>
      </c>
      <c r="AN3" s="21" t="str">
        <f>'Income Statement'!AN2</f>
        <v>Sep</v>
      </c>
      <c r="AO3" s="21" t="str">
        <f>'Income Statement'!AO2</f>
        <v>Dec</v>
      </c>
      <c r="AP3" s="21"/>
      <c r="AQ3" s="21" t="str">
        <f>'Income Statement'!AQ2</f>
        <v>Mar</v>
      </c>
      <c r="AR3" s="21" t="str">
        <f>'Income Statement'!AR2</f>
        <v>Jun</v>
      </c>
      <c r="AS3" s="21" t="str">
        <f>'Income Statement'!AS2</f>
        <v>Sep</v>
      </c>
      <c r="AT3" s="21" t="str">
        <f>'Income Statement'!AT2</f>
        <v>Dec</v>
      </c>
      <c r="AU3" s="21"/>
      <c r="AV3" s="21" t="str">
        <f>'Income Statement'!AV2</f>
        <v>Mar</v>
      </c>
      <c r="AW3" s="21" t="str">
        <f>'Income Statement'!AW2</f>
        <v>Jun</v>
      </c>
      <c r="AX3" s="21" t="str">
        <f>'Income Statement'!AX2</f>
        <v>Sep</v>
      </c>
      <c r="AY3" s="21" t="str">
        <f>'Income Statement'!AY2</f>
        <v>Dec</v>
      </c>
      <c r="AZ3" s="21"/>
      <c r="BA3" s="21" t="str">
        <f>'Income Statement'!BA2</f>
        <v>Mar</v>
      </c>
      <c r="BB3" s="21" t="str">
        <f>'Income Statement'!BB2</f>
        <v>Jun</v>
      </c>
      <c r="BC3" s="21" t="str">
        <f>'Income Statement'!BC2</f>
        <v>Sep</v>
      </c>
      <c r="BD3" s="21" t="str">
        <f>'Income Statement'!BD2</f>
        <v>Dec</v>
      </c>
      <c r="BE3" s="21"/>
      <c r="BF3" s="21"/>
      <c r="BG3" s="21"/>
      <c r="BH3" s="21"/>
      <c r="BI3" s="21"/>
    </row>
    <row r="4" spans="2:73">
      <c r="B4" s="19" t="s">
        <v>71</v>
      </c>
      <c r="C4" s="22" t="str">
        <f>'Income Statement'!H3</f>
        <v>1Q17</v>
      </c>
      <c r="D4" s="22" t="str">
        <f>'Income Statement'!I3</f>
        <v>2Q17</v>
      </c>
      <c r="E4" s="22" t="str">
        <f>'Income Statement'!J3</f>
        <v>3Q17</v>
      </c>
      <c r="F4" s="22" t="str">
        <f>'Income Statement'!K3</f>
        <v>4Q17</v>
      </c>
      <c r="G4" s="22"/>
      <c r="H4" s="22" t="str">
        <f>'Income Statement'!M3</f>
        <v>1Q18</v>
      </c>
      <c r="I4" s="22" t="str">
        <f>'Income Statement'!N3</f>
        <v>2Q18</v>
      </c>
      <c r="J4" s="22" t="str">
        <f>'Income Statement'!O3</f>
        <v>3Q18</v>
      </c>
      <c r="K4" s="22" t="str">
        <f>'Income Statement'!P3</f>
        <v>4Q18</v>
      </c>
      <c r="L4" s="22"/>
      <c r="M4" s="22" t="str">
        <f>'Income Statement'!R3</f>
        <v>1Q19</v>
      </c>
      <c r="N4" s="22" t="str">
        <f>'Income Statement'!S3</f>
        <v>2Q19</v>
      </c>
      <c r="O4" s="22" t="str">
        <f>'Income Statement'!T3</f>
        <v>3Q19</v>
      </c>
      <c r="P4" s="22" t="str">
        <f>'Income Statement'!U3</f>
        <v>4Q19</v>
      </c>
      <c r="Q4" s="22"/>
      <c r="R4" s="22" t="str">
        <f>'Income Statement'!W3</f>
        <v>1Q20</v>
      </c>
      <c r="S4" s="22" t="str">
        <f>'Income Statement'!X3</f>
        <v>2Q20</v>
      </c>
      <c r="T4" s="22" t="str">
        <f>'Income Statement'!Y3</f>
        <v>3Q20</v>
      </c>
      <c r="U4" s="22" t="str">
        <f>'Income Statement'!Z3</f>
        <v>4Q20</v>
      </c>
      <c r="V4" s="22"/>
      <c r="W4" s="22"/>
      <c r="X4" s="22"/>
      <c r="Y4" s="22"/>
      <c r="Z4" s="22"/>
      <c r="AA4" s="22"/>
      <c r="AB4" s="22" t="str">
        <f>'Income Statement'!AB3</f>
        <v>1Q21</v>
      </c>
      <c r="AC4" s="22" t="str">
        <f>'Income Statement'!AC3</f>
        <v>2Q21</v>
      </c>
      <c r="AD4" s="22" t="str">
        <f>'Income Statement'!AD3</f>
        <v>3Q21</v>
      </c>
      <c r="AE4" s="22" t="str">
        <f>'Income Statement'!AE3</f>
        <v>4Q21</v>
      </c>
      <c r="AF4" s="22"/>
      <c r="AG4" s="22" t="str">
        <f>'Income Statement'!AG3</f>
        <v>1Q22</v>
      </c>
      <c r="AH4" s="22" t="str">
        <f>'Income Statement'!AH3</f>
        <v>2Q22</v>
      </c>
      <c r="AI4" s="22" t="str">
        <f>'Income Statement'!AI3</f>
        <v>3Q22</v>
      </c>
      <c r="AJ4" s="22" t="str">
        <f>'Income Statement'!AJ3</f>
        <v>4Q22</v>
      </c>
      <c r="AK4" s="22"/>
      <c r="AL4" s="22" t="str">
        <f>'Income Statement'!AL3</f>
        <v>1Q23</v>
      </c>
      <c r="AM4" s="22" t="str">
        <f>'Income Statement'!AM3</f>
        <v>2Q23</v>
      </c>
      <c r="AN4" s="22" t="str">
        <f>'Income Statement'!AN3</f>
        <v>3Q23</v>
      </c>
      <c r="AO4" s="22" t="str">
        <f>'Income Statement'!AO3</f>
        <v>4Q23</v>
      </c>
      <c r="AP4" s="22"/>
      <c r="AQ4" s="22" t="str">
        <f>'Income Statement'!AQ3</f>
        <v>1Q24</v>
      </c>
      <c r="AR4" s="22" t="str">
        <f>'Income Statement'!AR3</f>
        <v>2Q24</v>
      </c>
      <c r="AS4" s="22" t="str">
        <f>'Income Statement'!AS3</f>
        <v>3Q24</v>
      </c>
      <c r="AT4" s="22" t="str">
        <f>'Income Statement'!AT3</f>
        <v>4Q24</v>
      </c>
      <c r="AU4" s="22"/>
      <c r="AV4" s="22" t="str">
        <f>'Income Statement'!AV3</f>
        <v>1Q25</v>
      </c>
      <c r="AW4" s="22" t="str">
        <f>'Income Statement'!AW3</f>
        <v>2Q25</v>
      </c>
      <c r="AX4" s="22" t="str">
        <f>'Income Statement'!AX3</f>
        <v>3Q25</v>
      </c>
      <c r="AY4" s="22" t="str">
        <f>'Income Statement'!AY3</f>
        <v>4Q25</v>
      </c>
      <c r="AZ4" s="22"/>
      <c r="BA4" s="22" t="str">
        <f>'Income Statement'!BA3</f>
        <v>1Q26E</v>
      </c>
      <c r="BB4" s="22" t="str">
        <f>'Income Statement'!BB3</f>
        <v>2Q26E</v>
      </c>
      <c r="BC4" s="22" t="str">
        <f>'Income Statement'!BC3</f>
        <v>3Q26E</v>
      </c>
      <c r="BD4" s="22" t="str">
        <f>'Income Statement'!BD3</f>
        <v>4Q26E</v>
      </c>
      <c r="BE4" s="22" t="str">
        <f>'Income Statement'!BF3</f>
        <v>2027E</v>
      </c>
      <c r="BF4" s="22" t="str">
        <f>'Income Statement'!BG3</f>
        <v>2028E</v>
      </c>
      <c r="BG4" s="22" t="str">
        <f>'Income Statement'!BH3</f>
        <v>2029E</v>
      </c>
      <c r="BH4" s="22" t="str">
        <f>'Income Statement'!BI3</f>
        <v>2030E</v>
      </c>
      <c r="BI4" s="22" t="str">
        <f>'Income Statement'!BJ3</f>
        <v>2031E</v>
      </c>
      <c r="BK4" s="8" t="str">
        <f>AJ4</f>
        <v>4Q22</v>
      </c>
      <c r="BL4" s="8" t="str">
        <f>AO4</f>
        <v>4Q23</v>
      </c>
      <c r="BM4" s="8" t="str">
        <f>AT4</f>
        <v>4Q24</v>
      </c>
      <c r="BN4" s="8">
        <f>AZ4</f>
        <v>0</v>
      </c>
      <c r="BO4" s="8" t="str">
        <f t="shared" ref="BO4:BT4" si="0">BD4</f>
        <v>4Q26E</v>
      </c>
      <c r="BP4" s="8" t="str">
        <f t="shared" si="0"/>
        <v>2027E</v>
      </c>
      <c r="BQ4" s="8" t="str">
        <f t="shared" si="0"/>
        <v>2028E</v>
      </c>
      <c r="BR4" s="8" t="str">
        <f t="shared" si="0"/>
        <v>2029E</v>
      </c>
      <c r="BS4" s="8" t="str">
        <f t="shared" si="0"/>
        <v>2030E</v>
      </c>
      <c r="BT4" s="8" t="str">
        <f t="shared" si="0"/>
        <v>2031E</v>
      </c>
    </row>
    <row r="5" spans="2:73">
      <c r="B5" s="17" t="s">
        <v>39</v>
      </c>
      <c r="G5" s="1"/>
      <c r="L5" s="1"/>
      <c r="Q5" s="1"/>
      <c r="V5" s="1"/>
      <c r="W5" s="1"/>
      <c r="X5" s="1"/>
      <c r="Y5" s="1"/>
      <c r="Z5" s="1"/>
      <c r="AA5" s="1"/>
      <c r="AF5" s="1"/>
      <c r="AK5" s="1"/>
      <c r="AP5" s="1"/>
      <c r="AU5" s="1"/>
      <c r="AZ5" s="1"/>
    </row>
    <row r="6" spans="2:73">
      <c r="B6" s="8" t="s">
        <v>35</v>
      </c>
      <c r="C6" s="9">
        <v>90.897000000000006</v>
      </c>
      <c r="D6" s="9">
        <v>124.13200000000001</v>
      </c>
      <c r="E6" s="9">
        <v>123.90300000000001</v>
      </c>
      <c r="F6" s="9">
        <v>85.23</v>
      </c>
      <c r="G6" s="1"/>
      <c r="H6" s="9">
        <v>103.48699999999999</v>
      </c>
      <c r="I6" s="9">
        <v>354.25299999999999</v>
      </c>
      <c r="J6" s="9">
        <v>319.96600000000001</v>
      </c>
      <c r="K6" s="9">
        <v>331.05700000000002</v>
      </c>
      <c r="L6" s="1"/>
      <c r="M6" s="9">
        <v>348.08800000000002</v>
      </c>
      <c r="N6" s="9">
        <v>351.46199999999999</v>
      </c>
      <c r="O6" s="9">
        <v>283.15800000000002</v>
      </c>
      <c r="P6" s="9">
        <v>268.10300000000001</v>
      </c>
      <c r="Q6" s="1"/>
      <c r="R6" s="9">
        <v>191.25800000000001</v>
      </c>
      <c r="S6" s="9">
        <v>173.95</v>
      </c>
      <c r="T6" s="9">
        <v>158.45599999999999</v>
      </c>
      <c r="U6" s="9">
        <v>168.858</v>
      </c>
      <c r="V6" s="1"/>
      <c r="W6" s="1"/>
      <c r="X6" s="1"/>
      <c r="Y6" s="1"/>
      <c r="Z6" s="1"/>
      <c r="AA6" s="1"/>
      <c r="AB6" s="9">
        <v>415.84300000000002</v>
      </c>
      <c r="AC6" s="9">
        <v>362.25299999999999</v>
      </c>
      <c r="AD6" s="9">
        <v>287.16699999999997</v>
      </c>
      <c r="AE6" s="9">
        <v>451.35500000000002</v>
      </c>
      <c r="AF6" s="1"/>
      <c r="AG6" s="9">
        <v>386.60899999999998</v>
      </c>
      <c r="AH6" s="9">
        <v>241.886</v>
      </c>
      <c r="AI6" s="9">
        <v>299.94</v>
      </c>
      <c r="AJ6" s="9">
        <v>244.68600000000001</v>
      </c>
      <c r="AK6" s="1"/>
      <c r="AL6" s="9">
        <v>350.91300000000001</v>
      </c>
      <c r="AM6" s="9">
        <v>468.03699999999998</v>
      </c>
      <c r="AN6" s="9">
        <v>504.79300000000001</v>
      </c>
      <c r="AO6" s="9">
        <v>609.62199999999996</v>
      </c>
      <c r="AP6" s="1"/>
      <c r="AQ6" s="9">
        <v>513.32299999999998</v>
      </c>
      <c r="AR6" s="9">
        <v>276.06700000000001</v>
      </c>
      <c r="AS6" s="9">
        <v>439.43400000000003</v>
      </c>
      <c r="AT6" s="9">
        <v>660.93899999999996</v>
      </c>
      <c r="AU6" s="1"/>
      <c r="AV6" s="9">
        <v>653.27599999999995</v>
      </c>
      <c r="AW6" s="9">
        <v>693.04200000000003</v>
      </c>
      <c r="AX6" s="9">
        <f>889.616+9.23</f>
        <v>898.846</v>
      </c>
      <c r="AY6" s="9">
        <f>311.356+5.52</f>
        <v>316.87599999999998</v>
      </c>
      <c r="AZ6" s="1"/>
      <c r="BA6" s="10">
        <f>+AY6+'Cash Flow'!BA36</f>
        <v>466.56271143594699</v>
      </c>
      <c r="BB6" s="10">
        <f>+BA6+'Cash Flow'!BB36</f>
        <v>380.88210936559437</v>
      </c>
      <c r="BC6" s="10">
        <f>+BB6+'Cash Flow'!BC36</f>
        <v>316.58015691765593</v>
      </c>
      <c r="BD6" s="10">
        <f>+BC6+'Cash Flow'!BD36</f>
        <v>272.59692666589882</v>
      </c>
      <c r="BE6" s="10">
        <f>BD6+'Cash Flow'!BF36</f>
        <v>513.54743887915652</v>
      </c>
      <c r="BF6" s="10">
        <f>BE6+'Cash Flow'!BG36</f>
        <v>1261.9028590726903</v>
      </c>
      <c r="BG6" s="10">
        <f>BF6+'Cash Flow'!BH36</f>
        <v>2129.8836859017574</v>
      </c>
      <c r="BH6" s="10">
        <f>BG6+'Cash Flow'!BI36</f>
        <v>3115.43582247003</v>
      </c>
      <c r="BI6" s="10">
        <f>BH6+'Cash Flow'!BJ36</f>
        <v>4215.6333103013576</v>
      </c>
      <c r="BK6" s="133"/>
      <c r="BL6" s="133"/>
      <c r="BM6" s="133"/>
      <c r="BN6" s="133"/>
      <c r="BO6" s="133"/>
      <c r="BP6" s="133"/>
      <c r="BQ6" s="133"/>
      <c r="BR6" s="133"/>
      <c r="BS6" s="133"/>
      <c r="BT6" s="133"/>
      <c r="BU6" s="133"/>
    </row>
    <row r="7" spans="2:73">
      <c r="B7" s="8" t="s">
        <v>88</v>
      </c>
      <c r="C7" s="9">
        <v>72.674000000000007</v>
      </c>
      <c r="D7" s="9">
        <v>61.055</v>
      </c>
      <c r="E7" s="9">
        <v>84.8</v>
      </c>
      <c r="F7" s="9">
        <v>115.38200000000001</v>
      </c>
      <c r="G7" s="1"/>
      <c r="H7" s="9">
        <v>128.739</v>
      </c>
      <c r="I7" s="9">
        <v>248.94800000000001</v>
      </c>
      <c r="J7" s="9">
        <v>326.42500000000001</v>
      </c>
      <c r="K7" s="9">
        <v>349.61900000000003</v>
      </c>
      <c r="L7" s="1"/>
      <c r="M7" s="9">
        <v>348.35500000000002</v>
      </c>
      <c r="N7" s="9">
        <v>293.25</v>
      </c>
      <c r="O7" s="9">
        <v>304.113</v>
      </c>
      <c r="P7" s="9">
        <v>294.096</v>
      </c>
      <c r="Q7" s="1"/>
      <c r="R7" s="9">
        <v>366.048</v>
      </c>
      <c r="S7" s="9">
        <v>406.03300000000002</v>
      </c>
      <c r="T7" s="9">
        <v>540.06899999999996</v>
      </c>
      <c r="U7" s="9">
        <v>577.13800000000003</v>
      </c>
      <c r="V7" s="1"/>
      <c r="W7" s="1"/>
      <c r="X7" s="1"/>
      <c r="Y7" s="1"/>
      <c r="Z7" s="1"/>
      <c r="AA7" s="1"/>
      <c r="AB7" s="9">
        <v>439.12299999999999</v>
      </c>
      <c r="AC7" s="9">
        <v>565.26700000000005</v>
      </c>
      <c r="AD7" s="9">
        <v>541.32399999999996</v>
      </c>
      <c r="AE7" s="9">
        <v>411.68700000000001</v>
      </c>
      <c r="AF7" s="1"/>
      <c r="AG7" s="9">
        <v>456.64400000000001</v>
      </c>
      <c r="AH7" s="9">
        <v>568.84</v>
      </c>
      <c r="AI7" s="9">
        <v>516.77</v>
      </c>
      <c r="AJ7" s="9">
        <v>526.32799999999997</v>
      </c>
      <c r="AK7" s="1"/>
      <c r="AL7" s="9">
        <v>536.38599999999997</v>
      </c>
      <c r="AM7" s="9">
        <v>176.429</v>
      </c>
      <c r="AN7" s="9">
        <v>243.38399999999999</v>
      </c>
      <c r="AO7" s="9">
        <v>212.709</v>
      </c>
      <c r="AP7" s="1"/>
      <c r="AQ7" s="9">
        <v>241.98699999999999</v>
      </c>
      <c r="AR7" s="9">
        <v>240.95599999999999</v>
      </c>
      <c r="AS7" s="9">
        <v>176.214</v>
      </c>
      <c r="AT7" s="9">
        <v>106.84399999999999</v>
      </c>
      <c r="AU7" s="1"/>
      <c r="AV7" s="9">
        <v>112.078</v>
      </c>
      <c r="AW7" s="9">
        <v>111.892</v>
      </c>
      <c r="AX7" s="9">
        <v>387.40800000000002</v>
      </c>
      <c r="AY7" s="9">
        <v>385.28</v>
      </c>
      <c r="AZ7" s="1"/>
      <c r="BA7" s="10">
        <f>+AY7</f>
        <v>385.28</v>
      </c>
      <c r="BB7" s="10">
        <f t="shared" ref="BB7:BD8" si="1">+BA7</f>
        <v>385.28</v>
      </c>
      <c r="BC7" s="10">
        <f t="shared" si="1"/>
        <v>385.28</v>
      </c>
      <c r="BD7" s="10">
        <f t="shared" si="1"/>
        <v>385.28</v>
      </c>
      <c r="BE7" s="10">
        <f t="shared" ref="BE7:BI7" si="2">BD7</f>
        <v>385.28</v>
      </c>
      <c r="BF7" s="10">
        <f t="shared" si="2"/>
        <v>385.28</v>
      </c>
      <c r="BG7" s="10">
        <f t="shared" si="2"/>
        <v>385.28</v>
      </c>
      <c r="BH7" s="10">
        <f t="shared" si="2"/>
        <v>385.28</v>
      </c>
      <c r="BI7" s="10">
        <f t="shared" si="2"/>
        <v>385.28</v>
      </c>
    </row>
    <row r="8" spans="2:73">
      <c r="B8" s="8" t="s">
        <v>89</v>
      </c>
      <c r="C8" s="9">
        <v>1.085</v>
      </c>
      <c r="D8" s="9">
        <v>1.093</v>
      </c>
      <c r="E8" s="9">
        <v>0.94899999999999995</v>
      </c>
      <c r="F8" s="9">
        <v>0.94899999999999995</v>
      </c>
      <c r="G8" s="1"/>
      <c r="H8" s="9">
        <v>0.94899999999999995</v>
      </c>
      <c r="I8" s="9">
        <v>0.94899999999999995</v>
      </c>
      <c r="J8" s="9">
        <v>0.94899999999999995</v>
      </c>
      <c r="K8" s="9">
        <v>1.149</v>
      </c>
      <c r="L8" s="1"/>
      <c r="M8" s="9">
        <v>1.149</v>
      </c>
      <c r="N8" s="9">
        <v>1.149</v>
      </c>
      <c r="O8" s="9">
        <v>1.149</v>
      </c>
      <c r="P8" s="9">
        <v>1.149</v>
      </c>
      <c r="Q8" s="1"/>
      <c r="R8" s="9">
        <v>1.1499999999999999</v>
      </c>
      <c r="S8" s="9">
        <v>0.92500000000000004</v>
      </c>
      <c r="T8" s="9">
        <v>1.135</v>
      </c>
      <c r="U8" s="9">
        <v>0.92500000000000004</v>
      </c>
      <c r="V8" s="1"/>
      <c r="W8" s="1"/>
      <c r="X8" s="1"/>
      <c r="Y8" s="1"/>
      <c r="Z8" s="1"/>
      <c r="AA8" s="1"/>
      <c r="AB8" s="9">
        <v>1.512</v>
      </c>
      <c r="AC8" s="9">
        <v>6.96</v>
      </c>
      <c r="AD8" s="9">
        <v>6.96</v>
      </c>
      <c r="AE8" s="9">
        <v>7.0119999999999996</v>
      </c>
      <c r="AF8" s="1"/>
      <c r="AG8" s="9">
        <v>7.01</v>
      </c>
      <c r="AH8" s="9">
        <v>9.7370000000000001</v>
      </c>
      <c r="AI8" s="9">
        <v>13.644</v>
      </c>
      <c r="AJ8" s="9">
        <v>13.669</v>
      </c>
      <c r="AK8" s="1"/>
      <c r="AL8" s="9">
        <v>6.5250000000000004</v>
      </c>
      <c r="AM8" s="9">
        <v>3.2189999999999999</v>
      </c>
      <c r="AN8" s="9">
        <v>2.8929999999999998</v>
      </c>
      <c r="AO8" s="9">
        <v>2.125</v>
      </c>
      <c r="AP8" s="1"/>
      <c r="AQ8" s="9">
        <v>1.306</v>
      </c>
      <c r="AR8" s="9">
        <v>1.296</v>
      </c>
      <c r="AS8" s="9">
        <v>2.2789999999999999</v>
      </c>
      <c r="AT8" s="9">
        <v>0.77300000000000002</v>
      </c>
      <c r="AU8" s="1"/>
      <c r="AV8" s="9">
        <v>0.79300000000000004</v>
      </c>
      <c r="AW8" s="9">
        <f>11.1+0.901</f>
        <v>12.000999999999999</v>
      </c>
      <c r="AX8" s="9">
        <v>0.24</v>
      </c>
      <c r="AY8" s="9">
        <v>0.222</v>
      </c>
      <c r="AZ8" s="1"/>
      <c r="BA8" s="10">
        <f>+AY8</f>
        <v>0.222</v>
      </c>
      <c r="BB8" s="10">
        <f t="shared" si="1"/>
        <v>0.222</v>
      </c>
      <c r="BC8" s="10">
        <f t="shared" si="1"/>
        <v>0.222</v>
      </c>
      <c r="BD8" s="10">
        <f t="shared" si="1"/>
        <v>0.222</v>
      </c>
      <c r="BE8" s="10">
        <f t="shared" ref="BE8:BI11" si="3">BD8</f>
        <v>0.222</v>
      </c>
      <c r="BF8" s="10">
        <f t="shared" si="3"/>
        <v>0.222</v>
      </c>
      <c r="BG8" s="10">
        <f t="shared" si="3"/>
        <v>0.222</v>
      </c>
      <c r="BH8" s="10">
        <f t="shared" si="3"/>
        <v>0.222</v>
      </c>
      <c r="BI8" s="10">
        <f t="shared" si="3"/>
        <v>0.222</v>
      </c>
    </row>
    <row r="9" spans="2:73">
      <c r="B9" s="8" t="s">
        <v>91</v>
      </c>
      <c r="C9" s="9">
        <v>0</v>
      </c>
      <c r="D9" s="9">
        <v>0</v>
      </c>
      <c r="E9" s="9">
        <v>0</v>
      </c>
      <c r="F9" s="9">
        <v>32.729999999999997</v>
      </c>
      <c r="G9" s="1"/>
      <c r="H9" s="9">
        <v>32.984999999999999</v>
      </c>
      <c r="I9" s="9">
        <v>33.020000000000003</v>
      </c>
      <c r="J9" s="9">
        <v>69.236999999999995</v>
      </c>
      <c r="K9" s="9">
        <v>22.992000000000001</v>
      </c>
      <c r="L9" s="1"/>
      <c r="M9" s="9">
        <v>49.863</v>
      </c>
      <c r="N9" s="9">
        <v>104.863</v>
      </c>
      <c r="O9" s="9">
        <v>187.45099999999999</v>
      </c>
      <c r="P9" s="9">
        <v>164.30099999999999</v>
      </c>
      <c r="Q9" s="1"/>
      <c r="R9" s="9">
        <v>168.642</v>
      </c>
      <c r="S9" s="9">
        <v>174.624</v>
      </c>
      <c r="T9" s="9">
        <v>299.74299999999999</v>
      </c>
      <c r="U9" s="9">
        <v>289.92700000000002</v>
      </c>
      <c r="V9" s="1"/>
      <c r="W9" s="1"/>
      <c r="X9" s="1"/>
      <c r="Y9" s="1"/>
      <c r="Z9" s="1"/>
      <c r="AA9" s="1"/>
      <c r="AB9" s="9">
        <v>269.26</v>
      </c>
      <c r="AC9" s="9">
        <v>351.62400000000002</v>
      </c>
      <c r="AD9" s="9">
        <v>417.13600000000002</v>
      </c>
      <c r="AE9" s="9">
        <v>456.51499999999999</v>
      </c>
      <c r="AF9" s="1"/>
      <c r="AG9" s="9">
        <v>356.38</v>
      </c>
      <c r="AH9" s="9">
        <v>353.35</v>
      </c>
      <c r="AI9" s="9">
        <v>400.084</v>
      </c>
      <c r="AJ9" s="9">
        <v>292.44900000000001</v>
      </c>
      <c r="AK9" s="1"/>
      <c r="AL9" s="9">
        <v>273.67599999999999</v>
      </c>
      <c r="AM9" s="9">
        <v>184.458</v>
      </c>
      <c r="AN9" s="9">
        <v>168.99100000000001</v>
      </c>
      <c r="AO9" s="9">
        <v>140.56299999999999</v>
      </c>
      <c r="AP9" s="1"/>
      <c r="AQ9" s="9">
        <v>126.91</v>
      </c>
      <c r="AR9" s="9">
        <v>270.10399999999998</v>
      </c>
      <c r="AS9" s="9">
        <v>345.53800000000001</v>
      </c>
      <c r="AT9" s="9">
        <v>338.59300000000002</v>
      </c>
      <c r="AU9" s="1"/>
      <c r="AV9" s="9">
        <v>304.55500000000001</v>
      </c>
      <c r="AW9" s="9">
        <v>310.06099999999998</v>
      </c>
      <c r="AX9" s="9">
        <v>307.60500000000002</v>
      </c>
      <c r="AY9" s="9">
        <v>483.85899999999998</v>
      </c>
      <c r="AZ9" s="1"/>
      <c r="BA9" s="10">
        <f>+AY9-100</f>
        <v>383.85899999999998</v>
      </c>
      <c r="BB9" s="10">
        <f>+BA9-100</f>
        <v>283.85899999999998</v>
      </c>
      <c r="BC9" s="10">
        <f t="shared" ref="BC9:BD9" si="4">+BB9-100</f>
        <v>183.85899999999998</v>
      </c>
      <c r="BD9" s="10">
        <f t="shared" si="4"/>
        <v>83.85899999999998</v>
      </c>
      <c r="BE9" s="10">
        <f t="shared" si="3"/>
        <v>83.85899999999998</v>
      </c>
      <c r="BF9" s="10">
        <f t="shared" si="3"/>
        <v>83.85899999999998</v>
      </c>
      <c r="BG9" s="10">
        <f t="shared" si="3"/>
        <v>83.85899999999998</v>
      </c>
      <c r="BH9" s="10">
        <f t="shared" si="3"/>
        <v>83.85899999999998</v>
      </c>
      <c r="BI9" s="10">
        <f t="shared" si="3"/>
        <v>83.85899999999998</v>
      </c>
    </row>
    <row r="10" spans="2:73">
      <c r="B10" s="8" t="s">
        <v>154</v>
      </c>
      <c r="C10" s="9">
        <v>9.8279999999999994</v>
      </c>
      <c r="D10" s="9">
        <v>8.7040000000000006</v>
      </c>
      <c r="E10" s="9">
        <v>11.538</v>
      </c>
      <c r="F10" s="9">
        <v>11.4</v>
      </c>
      <c r="G10" s="1"/>
      <c r="H10" s="9">
        <v>11.212</v>
      </c>
      <c r="I10" s="9">
        <v>8.6760000000000002</v>
      </c>
      <c r="J10" s="9">
        <v>14.404999999999999</v>
      </c>
      <c r="K10" s="9">
        <v>13.528</v>
      </c>
      <c r="L10" s="1"/>
      <c r="M10" s="9">
        <v>18.390999999999998</v>
      </c>
      <c r="N10" s="9">
        <v>18.23</v>
      </c>
      <c r="O10" s="9">
        <v>16.201000000000001</v>
      </c>
      <c r="P10" s="9">
        <v>16.986999999999998</v>
      </c>
      <c r="Q10" s="1"/>
      <c r="R10" s="9">
        <v>17.065000000000001</v>
      </c>
      <c r="S10" s="9">
        <v>18.829999999999998</v>
      </c>
      <c r="T10" s="9">
        <v>23.158999999999999</v>
      </c>
      <c r="U10" s="9">
        <v>23.67</v>
      </c>
      <c r="V10" s="1"/>
      <c r="W10" s="1"/>
      <c r="X10" s="1"/>
      <c r="Y10" s="1"/>
      <c r="Z10" s="1"/>
      <c r="AA10" s="1"/>
      <c r="AB10" s="9">
        <v>29.914999999999999</v>
      </c>
      <c r="AC10" s="9">
        <v>29.417999999999999</v>
      </c>
      <c r="AD10" s="9">
        <v>27.988</v>
      </c>
      <c r="AE10" s="9">
        <v>30.367000000000001</v>
      </c>
      <c r="AF10" s="1"/>
      <c r="AG10" s="9">
        <v>42.015999999999998</v>
      </c>
      <c r="AH10" s="9">
        <v>40.799999999999997</v>
      </c>
      <c r="AI10" s="9">
        <v>35.795999999999999</v>
      </c>
      <c r="AJ10" s="9">
        <v>42.085999999999999</v>
      </c>
      <c r="AK10" s="1"/>
      <c r="AL10" s="9">
        <v>52.56</v>
      </c>
      <c r="AM10" s="9">
        <v>53.268000000000001</v>
      </c>
      <c r="AN10" s="9">
        <v>54.6</v>
      </c>
      <c r="AO10" s="9">
        <v>57.393999999999998</v>
      </c>
      <c r="AP10" s="1"/>
      <c r="AQ10" s="9">
        <v>56.274999999999999</v>
      </c>
      <c r="AR10" s="9">
        <v>55.783999999999999</v>
      </c>
      <c r="AS10" s="9">
        <v>50.223999999999997</v>
      </c>
      <c r="AT10" s="9">
        <v>46.165999999999997</v>
      </c>
      <c r="AU10" s="1"/>
      <c r="AV10" s="9">
        <v>47.328000000000003</v>
      </c>
      <c r="AW10" s="9">
        <v>55.353999999999999</v>
      </c>
      <c r="AX10" s="9">
        <v>54.688000000000002</v>
      </c>
      <c r="AY10" s="9">
        <v>41.524999999999999</v>
      </c>
      <c r="AZ10" s="1"/>
      <c r="BA10" s="10">
        <f>BA49*BA45/BA47</f>
        <v>47.114984758519391</v>
      </c>
      <c r="BB10" s="10">
        <f>BB49*BB45/BB47</f>
        <v>48.986203726028201</v>
      </c>
      <c r="BC10" s="10">
        <f>BC49*BC45/BC47</f>
        <v>51.001778145652175</v>
      </c>
      <c r="BD10" s="10">
        <f>BD49*BD45/BD47</f>
        <v>53.277982336956526</v>
      </c>
      <c r="BE10" s="10">
        <f t="shared" si="3"/>
        <v>53.277982336956526</v>
      </c>
      <c r="BF10" s="10">
        <f t="shared" si="3"/>
        <v>53.277982336956526</v>
      </c>
      <c r="BG10" s="10">
        <f t="shared" si="3"/>
        <v>53.277982336956526</v>
      </c>
      <c r="BH10" s="10">
        <f t="shared" si="3"/>
        <v>53.277982336956526</v>
      </c>
      <c r="BI10" s="10">
        <f t="shared" si="3"/>
        <v>53.277982336956526</v>
      </c>
    </row>
    <row r="11" spans="2:73">
      <c r="B11" s="8" t="s">
        <v>90</v>
      </c>
      <c r="C11" s="11">
        <v>24.228999999999999</v>
      </c>
      <c r="D11" s="11">
        <v>24.414000000000001</v>
      </c>
      <c r="E11" s="11">
        <v>21.939</v>
      </c>
      <c r="F11" s="11">
        <v>19.245999999999999</v>
      </c>
      <c r="G11" s="25"/>
      <c r="H11" s="11">
        <v>17.594999999999999</v>
      </c>
      <c r="I11" s="11">
        <v>25.452999999999999</v>
      </c>
      <c r="J11" s="11">
        <v>18.303999999999998</v>
      </c>
      <c r="K11" s="11">
        <v>11.939</v>
      </c>
      <c r="L11" s="25"/>
      <c r="M11" s="11">
        <v>19.53</v>
      </c>
      <c r="N11" s="11">
        <v>25.774000000000001</v>
      </c>
      <c r="O11" s="11">
        <v>27.228999999999999</v>
      </c>
      <c r="P11" s="11">
        <v>20.859000000000002</v>
      </c>
      <c r="Q11" s="7"/>
      <c r="R11" s="11">
        <v>40.56</v>
      </c>
      <c r="S11" s="11">
        <v>49.887999999999998</v>
      </c>
      <c r="T11" s="11">
        <v>57.481000000000002</v>
      </c>
      <c r="U11" s="11">
        <v>40.665999999999997</v>
      </c>
      <c r="V11" s="7"/>
      <c r="W11" s="7"/>
      <c r="X11" s="7"/>
      <c r="Y11" s="7"/>
      <c r="Z11" s="7"/>
      <c r="AA11" s="7"/>
      <c r="AB11" s="11">
        <v>75.852999999999994</v>
      </c>
      <c r="AC11" s="11">
        <v>37.293999999999997</v>
      </c>
      <c r="AD11" s="11">
        <v>36.372999999999998</v>
      </c>
      <c r="AE11" s="11">
        <v>32.877000000000002</v>
      </c>
      <c r="AF11" s="7"/>
      <c r="AG11" s="11">
        <v>55.264000000000003</v>
      </c>
      <c r="AH11" s="11">
        <v>34.058999999999997</v>
      </c>
      <c r="AI11" s="11">
        <v>40.768999999999998</v>
      </c>
      <c r="AJ11" s="11">
        <v>28.518999999999998</v>
      </c>
      <c r="AK11" s="7"/>
      <c r="AL11" s="11">
        <v>41.326999999999998</v>
      </c>
      <c r="AM11" s="11">
        <v>38.819000000000003</v>
      </c>
      <c r="AN11" s="11">
        <v>40.451999999999998</v>
      </c>
      <c r="AO11" s="11">
        <v>57.423000000000002</v>
      </c>
      <c r="AP11" s="7"/>
      <c r="AQ11" s="11">
        <v>60.075000000000003</v>
      </c>
      <c r="AR11" s="11">
        <v>83.811999999999998</v>
      </c>
      <c r="AS11" s="11">
        <v>55.863999999999997</v>
      </c>
      <c r="AT11" s="11">
        <v>126.887</v>
      </c>
      <c r="AU11" s="7"/>
      <c r="AV11" s="11">
        <v>59.131999999999998</v>
      </c>
      <c r="AW11" s="11">
        <v>95.974999999999994</v>
      </c>
      <c r="AX11" s="11">
        <v>101.86199999999999</v>
      </c>
      <c r="AY11" s="11">
        <v>96.251999999999995</v>
      </c>
      <c r="AZ11" s="7"/>
      <c r="BA11" s="18">
        <f>+('Income Statement'!BA26+'Income Statement'!BA28)/('Income Statement'!AV26+'Income Statement'!AV28)*AY11</f>
        <v>157.00337964508512</v>
      </c>
      <c r="BB11" s="18">
        <f>+('Income Statement'!BB26+'Income Statement'!BB28)/('Income Statement'!AW26+'Income Statement'!AW28)*BA11</f>
        <v>253.85362576610939</v>
      </c>
      <c r="BC11" s="18">
        <f>+('Income Statement'!BC26+'Income Statement'!BC28)/('Income Statement'!AX26+'Income Statement'!AX28)*BB11</f>
        <v>340.27634305359902</v>
      </c>
      <c r="BD11" s="18">
        <f>+('Income Statement'!BD26+'Income Statement'!BD28)/('Income Statement'!AY26+'Income Statement'!AY28)*BC11</f>
        <v>399.42500599813116</v>
      </c>
      <c r="BE11" s="18">
        <f t="shared" si="3"/>
        <v>399.42500599813116</v>
      </c>
      <c r="BF11" s="18">
        <f t="shared" si="3"/>
        <v>399.42500599813116</v>
      </c>
      <c r="BG11" s="18">
        <f t="shared" si="3"/>
        <v>399.42500599813116</v>
      </c>
      <c r="BH11" s="18">
        <f t="shared" si="3"/>
        <v>399.42500599813116</v>
      </c>
      <c r="BI11" s="18">
        <f t="shared" si="3"/>
        <v>399.42500599813116</v>
      </c>
    </row>
    <row r="12" spans="2:73" s="12" customFormat="1">
      <c r="B12" s="12" t="s">
        <v>36</v>
      </c>
      <c r="C12" s="13">
        <f>SUM(C6:C11)</f>
        <v>198.71300000000002</v>
      </c>
      <c r="D12" s="13">
        <f>SUM(D6:D11)</f>
        <v>219.39800000000002</v>
      </c>
      <c r="E12" s="13">
        <f>SUM(E6:E11)</f>
        <v>243.12900000000002</v>
      </c>
      <c r="F12" s="13">
        <f>SUM(F6:F11)</f>
        <v>264.93700000000001</v>
      </c>
      <c r="G12" s="2"/>
      <c r="H12" s="13">
        <f>SUM(H6:H11)</f>
        <v>294.96699999999998</v>
      </c>
      <c r="I12" s="13">
        <f>SUM(I6:I11)</f>
        <v>671.29899999999998</v>
      </c>
      <c r="J12" s="13">
        <f>SUM(J6:J11)</f>
        <v>749.28599999999994</v>
      </c>
      <c r="K12" s="13">
        <f>SUM(K6:K11)</f>
        <v>730.28399999999999</v>
      </c>
      <c r="L12" s="2"/>
      <c r="M12" s="13">
        <f>SUM(M6:M11)</f>
        <v>785.37599999999986</v>
      </c>
      <c r="N12" s="13">
        <f>SUM(N6:N11)</f>
        <v>794.72799999999995</v>
      </c>
      <c r="O12" s="13">
        <f>SUM(O6:O11)</f>
        <v>819.30100000000004</v>
      </c>
      <c r="P12" s="13">
        <f>SUM(P6:P11)</f>
        <v>765.49500000000012</v>
      </c>
      <c r="Q12" s="2"/>
      <c r="R12" s="13">
        <f>SUM(R6:R11)</f>
        <v>784.72299999999996</v>
      </c>
      <c r="S12" s="13">
        <f>SUM(S6:S11)</f>
        <v>824.25</v>
      </c>
      <c r="T12" s="13">
        <f>SUM(T6:T11)</f>
        <v>1080.0430000000001</v>
      </c>
      <c r="U12" s="13">
        <f>SUM(U6:U11)</f>
        <v>1101.184</v>
      </c>
      <c r="V12" s="2"/>
      <c r="W12" s="2"/>
      <c r="X12" s="2"/>
      <c r="Y12" s="2"/>
      <c r="Z12" s="2"/>
      <c r="AA12" s="2"/>
      <c r="AB12" s="13">
        <f>SUM(AB6:AB11)</f>
        <v>1231.5059999999999</v>
      </c>
      <c r="AC12" s="13">
        <f>SUM(AC6:AC11)</f>
        <v>1352.816</v>
      </c>
      <c r="AD12" s="13">
        <f>SUM(AD6:AD11)</f>
        <v>1316.9480000000001</v>
      </c>
      <c r="AE12" s="13">
        <f>SUM(AE6:AE11)</f>
        <v>1389.8129999999999</v>
      </c>
      <c r="AF12" s="2"/>
      <c r="AG12" s="13">
        <f>SUM(AG6:AG11)</f>
        <v>1303.923</v>
      </c>
      <c r="AH12" s="13">
        <f>SUM(AH6:AH11)</f>
        <v>1248.672</v>
      </c>
      <c r="AI12" s="13">
        <f>SUM(AI6:AI11)</f>
        <v>1307.0030000000002</v>
      </c>
      <c r="AJ12" s="13">
        <f>SUM(AJ6:AJ11)</f>
        <v>1147.7370000000001</v>
      </c>
      <c r="AK12" s="2"/>
      <c r="AL12" s="13">
        <f>SUM(AL6:AL11)</f>
        <v>1261.3869999999999</v>
      </c>
      <c r="AM12" s="13">
        <f>SUM(AM6:AM11)</f>
        <v>924.23</v>
      </c>
      <c r="AN12" s="13">
        <f>SUM(AN6:AN11)</f>
        <v>1015.1130000000001</v>
      </c>
      <c r="AO12" s="13">
        <f>SUM(AO6:AO11)</f>
        <v>1079.8359999999998</v>
      </c>
      <c r="AP12" s="2"/>
      <c r="AQ12" s="13">
        <f>SUM(AQ6:AQ11)</f>
        <v>999.87599999999998</v>
      </c>
      <c r="AR12" s="13">
        <f>SUM(AR6:AR11)</f>
        <v>928.01900000000001</v>
      </c>
      <c r="AS12" s="13">
        <f>SUM(AS6:AS11)</f>
        <v>1069.5530000000001</v>
      </c>
      <c r="AT12" s="13">
        <f>SUM(AT6:AT11)</f>
        <v>1280.2019999999998</v>
      </c>
      <c r="AU12" s="2"/>
      <c r="AV12" s="13">
        <f>SUM(AV6:AV11)</f>
        <v>1177.162</v>
      </c>
      <c r="AW12" s="13">
        <f>SUM(AW6:AW11)</f>
        <v>1278.3249999999998</v>
      </c>
      <c r="AX12" s="13">
        <f>SUM(AX6:AX11)</f>
        <v>1750.6490000000001</v>
      </c>
      <c r="AY12" s="13">
        <f>SUM(AY6:AY11)</f>
        <v>1324.0139999999999</v>
      </c>
      <c r="AZ12" s="2"/>
      <c r="BA12" s="13">
        <f>SUM(BA6:BA11)</f>
        <v>1440.0420758395512</v>
      </c>
      <c r="BB12" s="13">
        <f>SUM(BB6:BB11)</f>
        <v>1353.082938857732</v>
      </c>
      <c r="BC12" s="13">
        <f>SUM(BC6:BC11)</f>
        <v>1277.2192781169072</v>
      </c>
      <c r="BD12" s="13">
        <f>SUM(BD6:BD11)</f>
        <v>1194.6609150009863</v>
      </c>
      <c r="BE12" s="13">
        <f t="shared" ref="BE12:BI12" si="5">SUM(BE6:BE11)</f>
        <v>1435.611427214244</v>
      </c>
      <c r="BF12" s="13">
        <f t="shared" si="5"/>
        <v>2183.966847407778</v>
      </c>
      <c r="BG12" s="13">
        <f t="shared" si="5"/>
        <v>3051.9476742368452</v>
      </c>
      <c r="BH12" s="13">
        <f t="shared" si="5"/>
        <v>4037.4998108051177</v>
      </c>
      <c r="BI12" s="13">
        <f t="shared" si="5"/>
        <v>5137.6972986364453</v>
      </c>
    </row>
    <row r="13" spans="2:73">
      <c r="C13" s="10"/>
      <c r="D13" s="10"/>
      <c r="E13" s="10"/>
      <c r="F13" s="10"/>
      <c r="G13" s="1"/>
      <c r="H13" s="10"/>
      <c r="I13" s="10"/>
      <c r="L13" s="1"/>
      <c r="M13" s="10"/>
      <c r="N13" s="10"/>
      <c r="O13" s="10"/>
      <c r="P13" s="10"/>
      <c r="Q13" s="1"/>
      <c r="R13" s="10"/>
      <c r="V13" s="1"/>
      <c r="W13" s="1"/>
      <c r="X13" s="1"/>
      <c r="Y13" s="1"/>
      <c r="Z13" s="1"/>
      <c r="AA13" s="1"/>
      <c r="AF13" s="1"/>
      <c r="AK13" s="1"/>
      <c r="AP13" s="1"/>
      <c r="AU13" s="1"/>
      <c r="AZ13" s="1"/>
    </row>
    <row r="14" spans="2:73">
      <c r="B14" s="8" t="s">
        <v>155</v>
      </c>
      <c r="C14" s="11">
        <v>3.0030000000000001</v>
      </c>
      <c r="D14" s="11">
        <v>3.0880000000000001</v>
      </c>
      <c r="E14" s="11">
        <v>3.012</v>
      </c>
      <c r="F14" s="11">
        <v>3.823</v>
      </c>
      <c r="G14" s="25"/>
      <c r="H14" s="11">
        <v>1.127</v>
      </c>
      <c r="I14" s="11">
        <v>1.4239999999999999</v>
      </c>
      <c r="J14" s="11">
        <v>1.724</v>
      </c>
      <c r="K14" s="11">
        <v>3.0649999999999999</v>
      </c>
      <c r="L14" s="25"/>
      <c r="M14" s="9">
        <v>3.0209999999999999</v>
      </c>
      <c r="N14" s="9">
        <v>2.6230000000000002</v>
      </c>
      <c r="O14" s="9">
        <v>4.093</v>
      </c>
      <c r="P14" s="9">
        <v>8.2780000000000005</v>
      </c>
      <c r="Q14" s="1"/>
      <c r="R14" s="9">
        <v>13.148</v>
      </c>
      <c r="S14" s="9">
        <v>13.243</v>
      </c>
      <c r="T14" s="9">
        <v>13.29</v>
      </c>
      <c r="U14" s="9">
        <v>20.971</v>
      </c>
      <c r="V14" s="1"/>
      <c r="W14" s="1"/>
      <c r="X14" s="1"/>
      <c r="Y14" s="1"/>
      <c r="Z14" s="1"/>
      <c r="AA14" s="1"/>
      <c r="AB14" s="9">
        <v>118.898</v>
      </c>
      <c r="AC14" s="9">
        <v>19.585000000000001</v>
      </c>
      <c r="AD14" s="9">
        <v>23.922000000000001</v>
      </c>
      <c r="AE14" s="9">
        <v>41.554000000000002</v>
      </c>
      <c r="AF14" s="1"/>
      <c r="AG14" s="9">
        <v>44.045000000000002</v>
      </c>
      <c r="AH14" s="9">
        <v>23.32</v>
      </c>
      <c r="AI14" s="9">
        <v>33.475999999999999</v>
      </c>
      <c r="AJ14" s="9">
        <v>23.027000000000001</v>
      </c>
      <c r="AK14" s="1"/>
      <c r="AL14" s="9">
        <v>36.945</v>
      </c>
      <c r="AM14" s="9">
        <v>23.765999999999998</v>
      </c>
      <c r="AN14" s="9">
        <v>22.669</v>
      </c>
      <c r="AO14" s="9">
        <v>25.809000000000001</v>
      </c>
      <c r="AP14" s="1"/>
      <c r="AQ14" s="9">
        <v>28.292000000000002</v>
      </c>
      <c r="AR14" s="9">
        <v>25.466000000000001</v>
      </c>
      <c r="AS14" s="9">
        <v>29.221</v>
      </c>
      <c r="AT14" s="9">
        <v>27.021000000000001</v>
      </c>
      <c r="AU14" s="1"/>
      <c r="AV14" s="9">
        <v>31.343</v>
      </c>
      <c r="AW14" s="9">
        <f>32.934+70.325</f>
        <v>103.259</v>
      </c>
      <c r="AX14" s="9">
        <v>40.155999999999999</v>
      </c>
      <c r="AY14" s="9">
        <f>33.847+4.851+94.549</f>
        <v>133.24700000000001</v>
      </c>
      <c r="AZ14" s="1"/>
      <c r="BA14" s="10">
        <f>AY14</f>
        <v>133.24700000000001</v>
      </c>
      <c r="BB14" s="10">
        <f t="shared" ref="BB14:BD14" si="6">BA14</f>
        <v>133.24700000000001</v>
      </c>
      <c r="BC14" s="10">
        <f t="shared" si="6"/>
        <v>133.24700000000001</v>
      </c>
      <c r="BD14" s="10">
        <f t="shared" si="6"/>
        <v>133.24700000000001</v>
      </c>
      <c r="BE14" s="10">
        <f t="shared" ref="BE14:BI18" si="7">BD14</f>
        <v>133.24700000000001</v>
      </c>
      <c r="BF14" s="10">
        <f t="shared" si="7"/>
        <v>133.24700000000001</v>
      </c>
      <c r="BG14" s="10">
        <f t="shared" si="7"/>
        <v>133.24700000000001</v>
      </c>
      <c r="BH14" s="10">
        <f t="shared" si="7"/>
        <v>133.24700000000001</v>
      </c>
      <c r="BI14" s="10">
        <f t="shared" si="7"/>
        <v>133.24700000000001</v>
      </c>
    </row>
    <row r="15" spans="2:73">
      <c r="B15" s="8" t="s">
        <v>97</v>
      </c>
      <c r="C15" s="9">
        <v>9.1679999999999993</v>
      </c>
      <c r="D15" s="9">
        <v>10.566000000000001</v>
      </c>
      <c r="E15" s="9">
        <v>12.612</v>
      </c>
      <c r="F15" s="9">
        <v>16.201000000000001</v>
      </c>
      <c r="G15" s="1"/>
      <c r="H15" s="9">
        <v>18.163</v>
      </c>
      <c r="I15" s="9">
        <v>19.751999999999999</v>
      </c>
      <c r="J15" s="9">
        <v>20.638000000000002</v>
      </c>
      <c r="K15" s="9">
        <v>21.946999999999999</v>
      </c>
      <c r="L15" s="1"/>
      <c r="M15" s="9">
        <v>23.707000000000001</v>
      </c>
      <c r="N15" s="9">
        <v>27.079000000000001</v>
      </c>
      <c r="O15" s="9">
        <v>30.634</v>
      </c>
      <c r="P15" s="9">
        <v>31.706</v>
      </c>
      <c r="Q15" s="1"/>
      <c r="R15" s="9">
        <v>32.951000000000001</v>
      </c>
      <c r="S15" s="9">
        <v>32.926000000000002</v>
      </c>
      <c r="T15" s="9">
        <v>35.027999999999999</v>
      </c>
      <c r="U15" s="9">
        <v>35.863</v>
      </c>
      <c r="V15" s="1"/>
      <c r="W15" s="1"/>
      <c r="X15" s="1"/>
      <c r="Y15" s="1"/>
      <c r="Z15" s="1"/>
      <c r="AA15" s="1"/>
      <c r="AB15" s="9">
        <v>37.280999999999999</v>
      </c>
      <c r="AC15" s="9">
        <v>42.521999999999998</v>
      </c>
      <c r="AD15" s="9">
        <v>53.414000000000001</v>
      </c>
      <c r="AE15" s="9">
        <v>50.436999999999998</v>
      </c>
      <c r="AF15" s="32"/>
      <c r="AG15" s="9">
        <v>57.081000000000003</v>
      </c>
      <c r="AH15" s="9">
        <v>64.954999999999998</v>
      </c>
      <c r="AI15" s="9">
        <v>72.637</v>
      </c>
      <c r="AJ15" s="9">
        <v>108.738</v>
      </c>
      <c r="AK15" s="32"/>
      <c r="AL15" s="9">
        <v>112.51600000000001</v>
      </c>
      <c r="AM15" s="9">
        <v>125.401</v>
      </c>
      <c r="AN15" s="9">
        <v>136.94200000000001</v>
      </c>
      <c r="AO15" s="9">
        <v>136.928</v>
      </c>
      <c r="AP15" s="32"/>
      <c r="AQ15" s="9">
        <v>136.98099999999999</v>
      </c>
      <c r="AR15" s="9">
        <v>136.27699999999999</v>
      </c>
      <c r="AS15" s="9">
        <v>132.62700000000001</v>
      </c>
      <c r="AT15" s="9">
        <v>128.155</v>
      </c>
      <c r="AU15" s="32"/>
      <c r="AV15" s="9">
        <v>125.45</v>
      </c>
      <c r="AW15" s="9">
        <v>121.715</v>
      </c>
      <c r="AX15" s="9">
        <v>117.41800000000001</v>
      </c>
      <c r="AY15" s="9">
        <v>114.419</v>
      </c>
      <c r="AZ15" s="32"/>
      <c r="BA15" s="31">
        <f>AY15-'Cash Flow'!BQ21</f>
        <v>114.419</v>
      </c>
      <c r="BB15" s="31">
        <f>BA15-'Cash Flow'!BR21</f>
        <v>114.419</v>
      </c>
      <c r="BC15" s="31">
        <f>BB15-'Cash Flow'!BS21</f>
        <v>114.419</v>
      </c>
      <c r="BD15" s="31">
        <f>BC15-'Cash Flow'!BT21</f>
        <v>114.419</v>
      </c>
      <c r="BE15" s="31">
        <f t="shared" ref="BE15:BI15" si="8">BD15+10</f>
        <v>124.419</v>
      </c>
      <c r="BF15" s="31">
        <f t="shared" si="8"/>
        <v>134.41899999999998</v>
      </c>
      <c r="BG15" s="31">
        <f t="shared" si="8"/>
        <v>144.41899999999998</v>
      </c>
      <c r="BH15" s="31">
        <f t="shared" si="8"/>
        <v>154.41899999999998</v>
      </c>
      <c r="BI15" s="31">
        <f t="shared" si="8"/>
        <v>164.41899999999998</v>
      </c>
    </row>
    <row r="16" spans="2:73">
      <c r="B16" s="8" t="str">
        <f>+B9</f>
        <v>Marketable securities</v>
      </c>
      <c r="C16" s="9">
        <v>0</v>
      </c>
      <c r="D16" s="9">
        <v>0</v>
      </c>
      <c r="E16" s="9">
        <v>0</v>
      </c>
      <c r="F16" s="9">
        <v>0</v>
      </c>
      <c r="G16" s="1"/>
      <c r="H16" s="9">
        <v>0</v>
      </c>
      <c r="I16" s="9">
        <v>0</v>
      </c>
      <c r="J16" s="9">
        <v>0</v>
      </c>
      <c r="K16" s="9">
        <v>47.225000000000001</v>
      </c>
      <c r="L16" s="1"/>
      <c r="M16" s="9">
        <v>41.265000000000001</v>
      </c>
      <c r="N16" s="9">
        <v>73.858000000000004</v>
      </c>
      <c r="O16" s="9">
        <v>87.406000000000006</v>
      </c>
      <c r="P16" s="9">
        <v>177.298</v>
      </c>
      <c r="Q16" s="1"/>
      <c r="R16" s="9">
        <v>210.30199999999999</v>
      </c>
      <c r="S16" s="9">
        <v>245.21100000000001</v>
      </c>
      <c r="T16" s="9">
        <v>540.04700000000003</v>
      </c>
      <c r="U16" s="9">
        <v>536.87699999999995</v>
      </c>
      <c r="V16" s="1"/>
      <c r="W16" s="1"/>
      <c r="X16" s="1"/>
      <c r="Y16" s="1"/>
      <c r="Z16" s="1"/>
      <c r="AA16" s="1"/>
      <c r="AB16" s="9">
        <v>463.55</v>
      </c>
      <c r="AC16" s="9">
        <v>526.84</v>
      </c>
      <c r="AD16" s="9">
        <v>470.14800000000002</v>
      </c>
      <c r="AE16" s="9">
        <v>387.34100000000001</v>
      </c>
      <c r="AF16" s="1"/>
      <c r="AG16" s="9">
        <v>333.85300000000001</v>
      </c>
      <c r="AH16" s="9">
        <v>291.572</v>
      </c>
      <c r="AI16" s="9">
        <v>235.99700000000001</v>
      </c>
      <c r="AJ16" s="9">
        <v>194.964</v>
      </c>
      <c r="AK16" s="1"/>
      <c r="AL16" s="9">
        <v>140.37899999999999</v>
      </c>
      <c r="AM16" s="9">
        <v>101.52</v>
      </c>
      <c r="AN16" s="9">
        <v>78.054000000000002</v>
      </c>
      <c r="AO16" s="9">
        <v>64.805999999999997</v>
      </c>
      <c r="AP16" s="1"/>
      <c r="AQ16" s="9">
        <v>34.935000000000002</v>
      </c>
      <c r="AR16" s="9">
        <v>13.952999999999999</v>
      </c>
      <c r="AS16" s="9">
        <v>6.1680000000000001</v>
      </c>
      <c r="AT16" s="9">
        <v>6.1349999999999998</v>
      </c>
      <c r="AU16" s="1"/>
      <c r="AV16" s="9">
        <v>6.1829999999999998</v>
      </c>
      <c r="AW16" s="9">
        <v>5.2590000000000003</v>
      </c>
      <c r="AX16" s="9">
        <v>4.8970000000000002</v>
      </c>
      <c r="AY16" s="9">
        <v>474.19799999999998</v>
      </c>
      <c r="AZ16" s="1"/>
      <c r="BA16" s="10">
        <f>+AY16-100</f>
        <v>374.19799999999998</v>
      </c>
      <c r="BB16" s="10">
        <f>+BA16-100</f>
        <v>274.19799999999998</v>
      </c>
      <c r="BC16" s="10">
        <f t="shared" ref="BC16:BD16" si="9">+BB16-100</f>
        <v>174.19799999999998</v>
      </c>
      <c r="BD16" s="10">
        <f t="shared" si="9"/>
        <v>74.197999999999979</v>
      </c>
      <c r="BE16" s="10">
        <f t="shared" ref="BE16:BI16" si="10">BD16</f>
        <v>74.197999999999979</v>
      </c>
      <c r="BF16" s="10">
        <f t="shared" si="10"/>
        <v>74.197999999999979</v>
      </c>
      <c r="BG16" s="10">
        <f t="shared" si="10"/>
        <v>74.197999999999979</v>
      </c>
      <c r="BH16" s="10">
        <f t="shared" si="10"/>
        <v>74.197999999999979</v>
      </c>
      <c r="BI16" s="10">
        <f t="shared" si="10"/>
        <v>74.197999999999979</v>
      </c>
    </row>
    <row r="17" spans="2:72">
      <c r="B17" s="8" t="s">
        <v>156</v>
      </c>
      <c r="C17" s="9">
        <v>46.551000000000002</v>
      </c>
      <c r="D17" s="9">
        <v>49.713000000000001</v>
      </c>
      <c r="E17" s="9">
        <v>48.423000000000002</v>
      </c>
      <c r="F17" s="9">
        <v>45.052</v>
      </c>
      <c r="G17" s="1"/>
      <c r="H17" s="9">
        <v>44.424999999999997</v>
      </c>
      <c r="I17" s="9">
        <v>43.692999999999998</v>
      </c>
      <c r="J17" s="9">
        <v>42.960999999999999</v>
      </c>
      <c r="K17" s="9">
        <v>42.228999999999999</v>
      </c>
      <c r="L17" s="1"/>
      <c r="M17" s="9">
        <v>41.497</v>
      </c>
      <c r="N17" s="9">
        <v>41.459000000000003</v>
      </c>
      <c r="O17" s="9">
        <v>40.725999999999999</v>
      </c>
      <c r="P17" s="9">
        <v>37.640999999999998</v>
      </c>
      <c r="Q17" s="1"/>
      <c r="R17" s="9">
        <v>45.075000000000003</v>
      </c>
      <c r="S17" s="9">
        <v>44.509</v>
      </c>
      <c r="T17" s="9">
        <v>44.134999999999998</v>
      </c>
      <c r="U17" s="9">
        <v>43.515999999999998</v>
      </c>
      <c r="V17" s="1"/>
      <c r="W17" s="1"/>
      <c r="X17" s="1"/>
      <c r="Y17" s="1"/>
      <c r="Z17" s="1"/>
      <c r="AA17" s="1"/>
      <c r="AB17" s="9">
        <v>49.07</v>
      </c>
      <c r="AC17" s="9">
        <v>90.227999999999994</v>
      </c>
      <c r="AD17" s="9">
        <v>89.974999999999994</v>
      </c>
      <c r="AE17" s="9">
        <v>89.546999999999997</v>
      </c>
      <c r="AF17" s="1"/>
      <c r="AG17" s="9">
        <v>87.963999999999999</v>
      </c>
      <c r="AH17" s="9">
        <v>86.384</v>
      </c>
      <c r="AI17" s="9">
        <v>84.804000000000002</v>
      </c>
      <c r="AJ17" s="9">
        <v>83.293000000000006</v>
      </c>
      <c r="AK17" s="1"/>
      <c r="AL17" s="9">
        <v>81.805000000000007</v>
      </c>
      <c r="AM17" s="9">
        <v>80.316000000000003</v>
      </c>
      <c r="AN17" s="9">
        <v>78.826999999999998</v>
      </c>
      <c r="AO17" s="9">
        <v>77.338999999999999</v>
      </c>
      <c r="AP17" s="1"/>
      <c r="AQ17" s="9">
        <f>26.527+49.329</f>
        <v>75.855999999999995</v>
      </c>
      <c r="AR17" s="9">
        <f>25.062+49.329</f>
        <v>74.391000000000005</v>
      </c>
      <c r="AS17" s="9">
        <f>23.601+49.329</f>
        <v>72.930000000000007</v>
      </c>
      <c r="AT17" s="9">
        <f>22.141+49.329</f>
        <v>71.47</v>
      </c>
      <c r="AU17" s="1"/>
      <c r="AV17" s="9">
        <f>20.68+49.329</f>
        <v>70.009</v>
      </c>
      <c r="AW17" s="9">
        <f>21.935+72.084</f>
        <v>94.019000000000005</v>
      </c>
      <c r="AX17" s="9">
        <f>23.301+150.942</f>
        <v>174.24299999999999</v>
      </c>
      <c r="AY17" s="9">
        <f>31.81+135.021</f>
        <v>166.83099999999999</v>
      </c>
      <c r="AZ17" s="1"/>
      <c r="BA17" s="10">
        <f>AY17</f>
        <v>166.83099999999999</v>
      </c>
      <c r="BB17" s="10">
        <f t="shared" ref="BB17:BD18" si="11">BA17</f>
        <v>166.83099999999999</v>
      </c>
      <c r="BC17" s="10">
        <f t="shared" si="11"/>
        <v>166.83099999999999</v>
      </c>
      <c r="BD17" s="10">
        <f t="shared" si="11"/>
        <v>166.83099999999999</v>
      </c>
      <c r="BE17" s="10">
        <f t="shared" si="7"/>
        <v>166.83099999999999</v>
      </c>
      <c r="BF17" s="10">
        <f t="shared" si="7"/>
        <v>166.83099999999999</v>
      </c>
      <c r="BG17" s="10">
        <f t="shared" si="7"/>
        <v>166.83099999999999</v>
      </c>
      <c r="BH17" s="10">
        <f t="shared" si="7"/>
        <v>166.83099999999999</v>
      </c>
      <c r="BI17" s="10">
        <f t="shared" si="7"/>
        <v>166.83099999999999</v>
      </c>
    </row>
    <row r="18" spans="2:72">
      <c r="B18" s="8" t="s">
        <v>96</v>
      </c>
      <c r="C18" s="9">
        <v>0</v>
      </c>
      <c r="D18" s="9">
        <v>0</v>
      </c>
      <c r="E18" s="9">
        <v>0</v>
      </c>
      <c r="F18" s="9">
        <v>0</v>
      </c>
      <c r="G18" s="1"/>
      <c r="H18" s="9">
        <v>0</v>
      </c>
      <c r="I18" s="9">
        <v>0</v>
      </c>
      <c r="J18" s="9">
        <v>0</v>
      </c>
      <c r="K18" s="9">
        <v>0</v>
      </c>
      <c r="L18" s="1"/>
      <c r="M18" s="11">
        <v>58.466999999999999</v>
      </c>
      <c r="N18" s="11">
        <v>57.326999999999998</v>
      </c>
      <c r="O18" s="11">
        <v>53.978999999999999</v>
      </c>
      <c r="P18" s="11">
        <v>79.248999999999995</v>
      </c>
      <c r="Q18" s="25"/>
      <c r="R18" s="11">
        <v>78.617000000000004</v>
      </c>
      <c r="S18" s="11">
        <v>81.111999999999995</v>
      </c>
      <c r="T18" s="11">
        <v>82.581999999999994</v>
      </c>
      <c r="U18" s="11">
        <v>88.406000000000006</v>
      </c>
      <c r="V18" s="25"/>
      <c r="W18" s="25"/>
      <c r="X18" s="25"/>
      <c r="Y18" s="25"/>
      <c r="Z18" s="25"/>
      <c r="AA18" s="25"/>
      <c r="AB18" s="11">
        <v>84.903999999999996</v>
      </c>
      <c r="AC18" s="11">
        <v>84.813000000000002</v>
      </c>
      <c r="AD18" s="11">
        <v>100.72799999999999</v>
      </c>
      <c r="AE18" s="11">
        <v>101.095</v>
      </c>
      <c r="AF18" s="25"/>
      <c r="AG18" s="11">
        <v>108.929</v>
      </c>
      <c r="AH18" s="11">
        <v>243.52600000000001</v>
      </c>
      <c r="AI18" s="11">
        <v>235.79400000000001</v>
      </c>
      <c r="AJ18" s="11">
        <v>200.608</v>
      </c>
      <c r="AK18" s="25"/>
      <c r="AL18" s="11">
        <v>169.499</v>
      </c>
      <c r="AM18" s="11">
        <v>420.07299999999998</v>
      </c>
      <c r="AN18" s="11">
        <v>413.06400000000002</v>
      </c>
      <c r="AO18" s="11">
        <v>420.56200000000001</v>
      </c>
      <c r="AP18" s="25"/>
      <c r="AQ18" s="11">
        <v>416.14</v>
      </c>
      <c r="AR18" s="11">
        <v>412.90300000000002</v>
      </c>
      <c r="AS18" s="11">
        <v>403.98099999999999</v>
      </c>
      <c r="AT18" s="11">
        <v>399.86099999999999</v>
      </c>
      <c r="AU18" s="25"/>
      <c r="AV18" s="11">
        <v>395.51299999999998</v>
      </c>
      <c r="AW18" s="11">
        <v>393.46</v>
      </c>
      <c r="AX18" s="11">
        <f>72.356+398.822</f>
        <v>471.178</v>
      </c>
      <c r="AY18" s="11">
        <v>398.26499999999999</v>
      </c>
      <c r="AZ18" s="25"/>
      <c r="BA18" s="18">
        <f>AY18</f>
        <v>398.26499999999999</v>
      </c>
      <c r="BB18" s="18">
        <f t="shared" si="11"/>
        <v>398.26499999999999</v>
      </c>
      <c r="BC18" s="18">
        <f t="shared" si="11"/>
        <v>398.26499999999999</v>
      </c>
      <c r="BD18" s="18">
        <f t="shared" si="11"/>
        <v>398.26499999999999</v>
      </c>
      <c r="BE18" s="18">
        <f t="shared" si="7"/>
        <v>398.26499999999999</v>
      </c>
      <c r="BF18" s="18">
        <f t="shared" si="7"/>
        <v>398.26499999999999</v>
      </c>
      <c r="BG18" s="18">
        <f t="shared" si="7"/>
        <v>398.26499999999999</v>
      </c>
      <c r="BH18" s="18">
        <f t="shared" si="7"/>
        <v>398.26499999999999</v>
      </c>
      <c r="BI18" s="18">
        <f t="shared" si="7"/>
        <v>398.26499999999999</v>
      </c>
    </row>
    <row r="19" spans="2:72" s="12" customFormat="1">
      <c r="B19" s="12" t="s">
        <v>37</v>
      </c>
      <c r="C19" s="13">
        <f>SUM(C12:C18)</f>
        <v>257.435</v>
      </c>
      <c r="D19" s="13">
        <f>SUM(D12:D18)</f>
        <v>282.76500000000004</v>
      </c>
      <c r="E19" s="13">
        <f>SUM(E12:E18)</f>
        <v>307.17600000000004</v>
      </c>
      <c r="F19" s="13">
        <f>SUM(F12:F18)</f>
        <v>330.01300000000003</v>
      </c>
      <c r="G19" s="2"/>
      <c r="H19" s="13">
        <f>SUM(H12:H18)</f>
        <v>358.68200000000002</v>
      </c>
      <c r="I19" s="13">
        <f>SUM(I12:I18)</f>
        <v>736.16799999999989</v>
      </c>
      <c r="J19" s="13">
        <f>SUM(J12:J18)</f>
        <v>814.60900000000004</v>
      </c>
      <c r="K19" s="13">
        <f>SUM(K12:K18)</f>
        <v>844.75000000000011</v>
      </c>
      <c r="L19" s="2"/>
      <c r="M19" s="13">
        <f>SUM(M12:M18)</f>
        <v>953.33299999999974</v>
      </c>
      <c r="N19" s="13">
        <f>SUM(N12:N18)</f>
        <v>997.07400000000007</v>
      </c>
      <c r="O19" s="13">
        <f>SUM(O12:O18)</f>
        <v>1036.1389999999999</v>
      </c>
      <c r="P19" s="13">
        <f>SUM(P12:P18)</f>
        <v>1099.6670000000001</v>
      </c>
      <c r="Q19" s="2"/>
      <c r="R19" s="13">
        <f>SUM(R12:R18)</f>
        <v>1164.816</v>
      </c>
      <c r="S19" s="13">
        <f>SUM(S12:S18)</f>
        <v>1241.2510000000002</v>
      </c>
      <c r="T19" s="13">
        <f>SUM(T12:T18)</f>
        <v>1795.125</v>
      </c>
      <c r="U19" s="13">
        <f>SUM(U12:U18)</f>
        <v>1826.817</v>
      </c>
      <c r="V19" s="2"/>
      <c r="W19" s="2"/>
      <c r="X19" s="2"/>
      <c r="Y19" s="2"/>
      <c r="Z19" s="2"/>
      <c r="AA19" s="2"/>
      <c r="AB19" s="13">
        <f>SUM(AB12:AB18)</f>
        <v>1985.2089999999996</v>
      </c>
      <c r="AC19" s="13">
        <f>SUM(AC12:AC18)</f>
        <v>2116.8040000000001</v>
      </c>
      <c r="AD19" s="13">
        <f>SUM(AD12:AD18)</f>
        <v>2055.1350000000002</v>
      </c>
      <c r="AE19" s="13">
        <f>SUM(AE12:AE18)</f>
        <v>2059.7869999999998</v>
      </c>
      <c r="AF19" s="2"/>
      <c r="AG19" s="13">
        <f>SUM(AG12:AG18)</f>
        <v>1935.7950000000001</v>
      </c>
      <c r="AH19" s="13">
        <f>SUM(AH12:AH18)</f>
        <v>1958.4289999999999</v>
      </c>
      <c r="AI19" s="13">
        <f>SUM(AI12:AI18)</f>
        <v>1969.7110000000005</v>
      </c>
      <c r="AJ19" s="13">
        <f>SUM(AJ12:AJ18)</f>
        <v>1758.367</v>
      </c>
      <c r="AK19" s="2"/>
      <c r="AL19" s="13">
        <f>SUM(AL12:AL18)</f>
        <v>1802.5309999999999</v>
      </c>
      <c r="AM19" s="13">
        <f>SUM(AM12:AM18)</f>
        <v>1675.306</v>
      </c>
      <c r="AN19" s="13">
        <f>SUM(AN12:AN18)</f>
        <v>1744.6690000000003</v>
      </c>
      <c r="AO19" s="13">
        <f>SUM(AO12:AO18)</f>
        <v>1805.2799999999997</v>
      </c>
      <c r="AP19" s="2"/>
      <c r="AQ19" s="13">
        <f>SUM(AQ12:AQ18)</f>
        <v>1692.08</v>
      </c>
      <c r="AR19" s="13">
        <f>SUM(AR12:AR18)</f>
        <v>1591.009</v>
      </c>
      <c r="AS19" s="13">
        <f>SUM(AS12:AS18)</f>
        <v>1714.48</v>
      </c>
      <c r="AT19" s="13">
        <f>SUM(AT12:AT18)</f>
        <v>1912.8439999999996</v>
      </c>
      <c r="AU19" s="2"/>
      <c r="AV19" s="13">
        <f>SUM(AV12:AV18)</f>
        <v>1805.66</v>
      </c>
      <c r="AW19" s="13">
        <f>SUM(AW12:AW18)</f>
        <v>1996.0369999999998</v>
      </c>
      <c r="AX19" s="13">
        <f>SUM(AX12:AX18)</f>
        <v>2558.5409999999997</v>
      </c>
      <c r="AY19" s="13">
        <f>SUM(AY12:AY18)</f>
        <v>2610.9740000000002</v>
      </c>
      <c r="AZ19" s="2"/>
      <c r="BA19" s="13">
        <f>SUM(BA12:BA18)</f>
        <v>2627.0020758395513</v>
      </c>
      <c r="BB19" s="13">
        <f>SUM(BB12:BB18)</f>
        <v>2440.0429388577322</v>
      </c>
      <c r="BC19" s="13">
        <f>SUM(BC12:BC18)</f>
        <v>2264.1792781169074</v>
      </c>
      <c r="BD19" s="13">
        <f>SUM(BD12:BD18)</f>
        <v>2081.6209150009863</v>
      </c>
      <c r="BE19" s="13">
        <f t="shared" ref="BE19:BI19" si="12">SUM(BE12:BE18)</f>
        <v>2332.5714272142441</v>
      </c>
      <c r="BF19" s="13">
        <f t="shared" si="12"/>
        <v>3090.9268474077776</v>
      </c>
      <c r="BG19" s="13">
        <f t="shared" si="12"/>
        <v>3968.9076742368447</v>
      </c>
      <c r="BH19" s="13">
        <f t="shared" si="12"/>
        <v>4964.4598108051187</v>
      </c>
      <c r="BI19" s="13">
        <f t="shared" si="12"/>
        <v>6074.6572986364463</v>
      </c>
    </row>
    <row r="20" spans="2:72">
      <c r="C20" s="10"/>
      <c r="D20" s="10"/>
      <c r="E20" s="10"/>
      <c r="F20" s="10"/>
      <c r="G20" s="1"/>
      <c r="H20" s="10"/>
      <c r="I20" s="10"/>
      <c r="L20" s="1"/>
      <c r="M20" s="10"/>
      <c r="N20" s="10"/>
      <c r="O20" s="10"/>
      <c r="P20" s="10"/>
      <c r="Q20" s="1"/>
      <c r="R20" s="10"/>
      <c r="V20" s="1"/>
      <c r="W20" s="1"/>
      <c r="X20" s="1"/>
      <c r="Y20" s="1"/>
      <c r="Z20" s="1"/>
      <c r="AA20" s="1"/>
      <c r="AF20" s="1"/>
      <c r="AK20" s="1"/>
      <c r="AP20" s="1"/>
      <c r="AU20" s="1"/>
      <c r="AZ20" s="1"/>
    </row>
    <row r="21" spans="2:72">
      <c r="B21" s="17" t="s">
        <v>38</v>
      </c>
      <c r="C21" s="10"/>
      <c r="D21" s="10"/>
      <c r="E21" s="10"/>
      <c r="F21" s="10"/>
      <c r="G21" s="1"/>
      <c r="H21" s="10"/>
      <c r="I21" s="10"/>
      <c r="J21" s="10"/>
      <c r="K21" s="10"/>
      <c r="L21" s="1"/>
      <c r="M21" s="10"/>
      <c r="N21" s="10"/>
      <c r="O21" s="10"/>
      <c r="P21" s="10"/>
      <c r="Q21" s="1"/>
      <c r="R21" s="10"/>
      <c r="V21" s="1"/>
      <c r="W21" s="1"/>
      <c r="X21" s="1"/>
      <c r="Y21" s="1"/>
      <c r="Z21" s="1"/>
      <c r="AA21" s="1"/>
      <c r="AF21" s="1"/>
      <c r="AK21" s="1"/>
      <c r="AO21" s="133"/>
      <c r="AP21" s="1"/>
      <c r="AS21" s="133"/>
      <c r="AT21" s="271"/>
      <c r="AU21" s="1"/>
      <c r="AV21" s="133"/>
      <c r="AW21" s="133"/>
      <c r="AX21" s="133"/>
      <c r="AY21" s="133"/>
      <c r="AZ21" s="1"/>
      <c r="BA21" s="133"/>
      <c r="BB21" s="133"/>
      <c r="BC21" s="133"/>
      <c r="BD21" s="133"/>
      <c r="BE21" s="133"/>
      <c r="BF21" s="133"/>
      <c r="BG21" s="133"/>
      <c r="BH21" s="133"/>
      <c r="BI21" s="133"/>
    </row>
    <row r="22" spans="2:72">
      <c r="B22" s="8" t="s">
        <v>157</v>
      </c>
      <c r="C22" s="9">
        <v>26.277000000000001</v>
      </c>
      <c r="D22" s="9">
        <v>28.933</v>
      </c>
      <c r="E22" s="9">
        <v>41.622</v>
      </c>
      <c r="F22" s="9">
        <v>34.24</v>
      </c>
      <c r="G22" s="1"/>
      <c r="H22" s="9">
        <v>34.296999999999997</v>
      </c>
      <c r="I22" s="9">
        <v>38.497</v>
      </c>
      <c r="J22" s="9">
        <v>39.863999999999997</v>
      </c>
      <c r="K22" s="9">
        <v>45.567</v>
      </c>
      <c r="L22" s="1"/>
      <c r="M22" s="9">
        <v>49.465000000000003</v>
      </c>
      <c r="N22" s="9">
        <v>46.073999999999998</v>
      </c>
      <c r="O22" s="9">
        <v>48.213999999999999</v>
      </c>
      <c r="P22" s="9">
        <v>37.686999999999998</v>
      </c>
      <c r="Q22" s="32"/>
      <c r="R22" s="9">
        <v>46.639000000000003</v>
      </c>
      <c r="S22" s="9">
        <v>73.058999999999997</v>
      </c>
      <c r="T22" s="9">
        <v>70.346000000000004</v>
      </c>
      <c r="U22" s="9">
        <v>79.881</v>
      </c>
      <c r="V22" s="32"/>
      <c r="W22" s="32"/>
      <c r="X22" s="32"/>
      <c r="Y22" s="32"/>
      <c r="Z22" s="32"/>
      <c r="AA22" s="32"/>
      <c r="AB22" s="9">
        <v>77.781000000000006</v>
      </c>
      <c r="AC22" s="9">
        <v>81.334000000000003</v>
      </c>
      <c r="AD22" s="9">
        <v>89.33</v>
      </c>
      <c r="AE22" s="9">
        <v>114.584</v>
      </c>
      <c r="AF22" s="32"/>
      <c r="AG22" s="9">
        <v>134.75399999999999</v>
      </c>
      <c r="AH22" s="9">
        <v>127.113</v>
      </c>
      <c r="AI22" s="9">
        <v>118.788</v>
      </c>
      <c r="AJ22" s="9">
        <v>96.070999999999998</v>
      </c>
      <c r="AK22" s="32"/>
      <c r="AL22" s="9">
        <v>49.436999999999998</v>
      </c>
      <c r="AM22" s="267">
        <v>41.466999999999999</v>
      </c>
      <c r="AN22" s="267">
        <v>23.184000000000001</v>
      </c>
      <c r="AO22" s="9">
        <v>39.448999999999998</v>
      </c>
      <c r="AP22" s="32"/>
      <c r="AQ22" s="267">
        <v>34.433999999999997</v>
      </c>
      <c r="AR22" s="9">
        <v>18.379000000000001</v>
      </c>
      <c r="AS22" s="9">
        <v>30.890999999999998</v>
      </c>
      <c r="AT22" s="9">
        <v>48.003</v>
      </c>
      <c r="AU22" s="32"/>
      <c r="AV22" s="9">
        <v>38.031999999999996</v>
      </c>
      <c r="AW22" s="9">
        <v>25.236999999999998</v>
      </c>
      <c r="AX22" s="9">
        <v>32.575000000000003</v>
      </c>
      <c r="AY22" s="9">
        <v>74.811000000000007</v>
      </c>
      <c r="AZ22" s="32"/>
      <c r="BA22" s="31">
        <f>BA46*BA50/BA47</f>
        <v>184.71424294040008</v>
      </c>
      <c r="BB22" s="31">
        <f>BB46*BB50/BB47</f>
        <v>125.28215446942086</v>
      </c>
      <c r="BC22" s="31">
        <f>BC46*BC50/BC47</f>
        <v>140.21265913281167</v>
      </c>
      <c r="BD22" s="31">
        <f>BD46*BD50/BD47</f>
        <v>176.17239587824585</v>
      </c>
      <c r="BE22" s="10">
        <f t="shared" ref="BE22:BI22" si="13">BD22*(1+BP22)</f>
        <v>184.98101567215815</v>
      </c>
      <c r="BF22" s="10">
        <f t="shared" si="13"/>
        <v>194.23006645576606</v>
      </c>
      <c r="BG22" s="10">
        <f t="shared" si="13"/>
        <v>203.94156977855437</v>
      </c>
      <c r="BH22" s="10">
        <f t="shared" si="13"/>
        <v>214.1386482674821</v>
      </c>
      <c r="BI22" s="10">
        <f t="shared" si="13"/>
        <v>224.84558068085622</v>
      </c>
      <c r="BK22" s="134">
        <f>AJ22/AE22-1</f>
        <v>-0.16156705997346932</v>
      </c>
      <c r="BL22" s="134">
        <f>MAX(BK22-0.15,0.05)</f>
        <v>0.05</v>
      </c>
      <c r="BM22" s="134">
        <f t="shared" ref="BM22:BT24" si="14">MAX(BL22-0.15,0.05)</f>
        <v>0.05</v>
      </c>
      <c r="BN22" s="134">
        <f t="shared" si="14"/>
        <v>0.05</v>
      </c>
      <c r="BO22" s="134">
        <f t="shared" si="14"/>
        <v>0.05</v>
      </c>
      <c r="BP22" s="134">
        <f t="shared" si="14"/>
        <v>0.05</v>
      </c>
      <c r="BQ22" s="134">
        <f t="shared" si="14"/>
        <v>0.05</v>
      </c>
      <c r="BR22" s="134">
        <f t="shared" si="14"/>
        <v>0.05</v>
      </c>
      <c r="BS22" s="134">
        <f t="shared" si="14"/>
        <v>0.05</v>
      </c>
      <c r="BT22" s="134">
        <f t="shared" si="14"/>
        <v>0.05</v>
      </c>
    </row>
    <row r="23" spans="2:72">
      <c r="B23" s="8" t="s">
        <v>158</v>
      </c>
      <c r="C23" s="9">
        <v>27.978000000000002</v>
      </c>
      <c r="D23" s="9">
        <v>25.937999999999999</v>
      </c>
      <c r="E23" s="9">
        <v>22.986999999999998</v>
      </c>
      <c r="F23" s="9">
        <v>28.067</v>
      </c>
      <c r="G23" s="1"/>
      <c r="H23" s="9">
        <v>33.188000000000002</v>
      </c>
      <c r="I23" s="9">
        <v>41.564</v>
      </c>
      <c r="J23" s="9">
        <v>31.100999999999999</v>
      </c>
      <c r="K23" s="9">
        <v>32.036000000000001</v>
      </c>
      <c r="L23" s="1"/>
      <c r="M23" s="9">
        <v>36.145000000000003</v>
      </c>
      <c r="N23" s="9">
        <v>45.451999999999998</v>
      </c>
      <c r="O23" s="9">
        <v>40.725000000000001</v>
      </c>
      <c r="P23" s="9">
        <v>56.463999999999999</v>
      </c>
      <c r="Q23" s="32"/>
      <c r="R23" s="9">
        <v>65.665000000000006</v>
      </c>
      <c r="S23" s="9">
        <v>66.305999999999997</v>
      </c>
      <c r="T23" s="9">
        <v>74.641999999999996</v>
      </c>
      <c r="U23" s="9">
        <v>70.813999999999993</v>
      </c>
      <c r="V23" s="32"/>
      <c r="W23" s="32"/>
      <c r="X23" s="32"/>
      <c r="Y23" s="32"/>
      <c r="Z23" s="32"/>
      <c r="AA23" s="32"/>
      <c r="AB23" s="9">
        <v>103.69199999999999</v>
      </c>
      <c r="AC23" s="9">
        <v>86.721000000000004</v>
      </c>
      <c r="AD23" s="9">
        <v>76.379000000000005</v>
      </c>
      <c r="AE23" s="9">
        <v>83.251000000000005</v>
      </c>
      <c r="AF23" s="32"/>
      <c r="AG23" s="9">
        <v>78.503</v>
      </c>
      <c r="AH23" s="9">
        <v>78.168999999999997</v>
      </c>
      <c r="AI23" s="9">
        <v>68.144999999999996</v>
      </c>
      <c r="AJ23" s="9">
        <v>86.113</v>
      </c>
      <c r="AK23" s="32"/>
      <c r="AL23" s="9">
        <v>76.070999999999998</v>
      </c>
      <c r="AM23" s="9">
        <v>58.139000000000003</v>
      </c>
      <c r="AN23" s="9">
        <v>64.888000000000005</v>
      </c>
      <c r="AO23" s="9">
        <v>56.581000000000003</v>
      </c>
      <c r="AP23" s="32"/>
      <c r="AQ23" s="9">
        <v>54.152000000000001</v>
      </c>
      <c r="AR23" s="9">
        <v>67.841999999999999</v>
      </c>
      <c r="AS23" s="9">
        <v>75.599999999999994</v>
      </c>
      <c r="AT23" s="9">
        <v>142.00700000000001</v>
      </c>
      <c r="AU23" s="32"/>
      <c r="AV23" s="9">
        <v>78.983000000000004</v>
      </c>
      <c r="AW23" s="9">
        <v>100.742</v>
      </c>
      <c r="AX23" s="9">
        <v>112.068</v>
      </c>
      <c r="AY23" s="9">
        <v>110.526</v>
      </c>
      <c r="AZ23" s="32"/>
      <c r="BA23" s="31">
        <f>+('Income Statement'!BA26+'Income Statement'!BA28)/('Income Statement'!AV26+'Income Statement'!AV28)*'Balance Sheet'!AY23</f>
        <v>180.28670093767067</v>
      </c>
      <c r="BB23" s="31">
        <f>+('Income Statement'!BB26+'Income Statement'!BB28)/('Income Statement'!AW26+'Income Statement'!AW28)*'Balance Sheet'!BA23</f>
        <v>291.49966589187761</v>
      </c>
      <c r="BC23" s="31">
        <f>+('Income Statement'!BC26+'Income Statement'!BC28)/('Income Statement'!AX26+'Income Statement'!AX28)*'Balance Sheet'!BB23</f>
        <v>390.73871807694468</v>
      </c>
      <c r="BD23" s="31">
        <f>+('Income Statement'!BD26+'Income Statement'!BD28)/('Income Statement'!AY26+'Income Statement'!AY28)*'Balance Sheet'!BC23</f>
        <v>458.65902228472589</v>
      </c>
      <c r="BE23" s="10">
        <f t="shared" ref="BE23:BI23" si="15">BD23*(1+BP23)</f>
        <v>481.59197339896218</v>
      </c>
      <c r="BF23" s="10">
        <f t="shared" si="15"/>
        <v>505.67157206891034</v>
      </c>
      <c r="BG23" s="10">
        <f t="shared" si="15"/>
        <v>530.9551506723559</v>
      </c>
      <c r="BH23" s="10">
        <f t="shared" si="15"/>
        <v>557.50290820597377</v>
      </c>
      <c r="BI23" s="10">
        <f t="shared" si="15"/>
        <v>585.3780536162725</v>
      </c>
      <c r="BK23" s="134">
        <f>AJ23/AE23-1</f>
        <v>3.4377965429844615E-2</v>
      </c>
      <c r="BL23" s="134">
        <f>MAX(BK23-0.25,0.05)</f>
        <v>0.05</v>
      </c>
      <c r="BM23" s="134">
        <f t="shared" ref="BM23:BT23" si="16">MAX(BL23-0.25,0.05)</f>
        <v>0.05</v>
      </c>
      <c r="BN23" s="134">
        <f t="shared" si="16"/>
        <v>0.05</v>
      </c>
      <c r="BO23" s="134">
        <f t="shared" si="16"/>
        <v>0.05</v>
      </c>
      <c r="BP23" s="134">
        <f t="shared" si="16"/>
        <v>0.05</v>
      </c>
      <c r="BQ23" s="134">
        <f t="shared" si="16"/>
        <v>0.05</v>
      </c>
      <c r="BR23" s="134">
        <f t="shared" si="16"/>
        <v>0.05</v>
      </c>
      <c r="BS23" s="134">
        <f t="shared" si="16"/>
        <v>0.05</v>
      </c>
      <c r="BT23" s="134">
        <f t="shared" si="16"/>
        <v>0.05</v>
      </c>
    </row>
    <row r="24" spans="2:72">
      <c r="B24" s="8" t="s">
        <v>92</v>
      </c>
      <c r="C24" s="9">
        <v>169.708</v>
      </c>
      <c r="D24" s="9">
        <v>182.22</v>
      </c>
      <c r="E24" s="9">
        <v>190.08199999999999</v>
      </c>
      <c r="F24" s="9">
        <v>202.482</v>
      </c>
      <c r="G24" s="1"/>
      <c r="H24" s="9">
        <v>201.49799999999999</v>
      </c>
      <c r="I24" s="9">
        <v>214.20599999999999</v>
      </c>
      <c r="J24" s="9">
        <v>219.55500000000001</v>
      </c>
      <c r="K24" s="9">
        <v>227.226</v>
      </c>
      <c r="L24" s="1"/>
      <c r="M24" s="9">
        <v>250.495</v>
      </c>
      <c r="N24" s="9">
        <v>262.25900000000001</v>
      </c>
      <c r="O24" s="9">
        <v>269.37900000000002</v>
      </c>
      <c r="P24" s="9">
        <v>289.14800000000002</v>
      </c>
      <c r="Q24" s="3"/>
      <c r="R24" s="9">
        <v>319.53100000000001</v>
      </c>
      <c r="S24" s="9">
        <v>344.51499999999999</v>
      </c>
      <c r="T24" s="9">
        <v>359.76100000000002</v>
      </c>
      <c r="U24" s="9">
        <v>373.52100000000002</v>
      </c>
      <c r="V24" s="3"/>
      <c r="W24" s="3"/>
      <c r="X24" s="3"/>
      <c r="Y24" s="3"/>
      <c r="Z24" s="3"/>
      <c r="AA24" s="3"/>
      <c r="AB24" s="9">
        <v>412.36799999999999</v>
      </c>
      <c r="AC24" s="9">
        <v>432.60599999999999</v>
      </c>
      <c r="AD24" s="9">
        <v>436.30599999999998</v>
      </c>
      <c r="AE24" s="9">
        <v>484.44600000000003</v>
      </c>
      <c r="AF24" s="3"/>
      <c r="AG24" s="9">
        <v>517.54999999999995</v>
      </c>
      <c r="AH24" s="9">
        <v>522.57000000000005</v>
      </c>
      <c r="AI24" s="9">
        <v>526.76400000000001</v>
      </c>
      <c r="AJ24" s="9">
        <v>529.20500000000004</v>
      </c>
      <c r="AK24" s="3"/>
      <c r="AL24" s="9">
        <v>577.83500000000004</v>
      </c>
      <c r="AM24" s="9">
        <v>584.02800000000002</v>
      </c>
      <c r="AN24" s="9">
        <v>587.51400000000001</v>
      </c>
      <c r="AO24" s="9">
        <v>592.60799999999995</v>
      </c>
      <c r="AP24" s="3"/>
      <c r="AQ24" s="9">
        <v>626.08100000000002</v>
      </c>
      <c r="AR24" s="9">
        <v>650.87800000000004</v>
      </c>
      <c r="AS24" s="9">
        <v>656.67100000000005</v>
      </c>
      <c r="AT24" s="9">
        <v>661.17100000000005</v>
      </c>
      <c r="AU24" s="3"/>
      <c r="AV24" s="9">
        <v>698.34299999999996</v>
      </c>
      <c r="AW24" s="9">
        <v>715.70500000000004</v>
      </c>
      <c r="AX24" s="9">
        <v>728.68799999999999</v>
      </c>
      <c r="AY24" s="9">
        <v>737.346</v>
      </c>
      <c r="AZ24" s="3"/>
      <c r="BA24" s="31">
        <f>'Income Statement'!BA5*(+AV24/(AV24+AV30))+AY24</f>
        <v>768.07390385919041</v>
      </c>
      <c r="BB24" s="31">
        <f>'Income Statement'!BB5*(+AW24/(AW24+AW30))+BA24</f>
        <v>786.69057089023408</v>
      </c>
      <c r="BC24" s="31">
        <f>'Income Statement'!BC5*(+AX24/(AX24+AX30))+BB24</f>
        <v>796.4083555584067</v>
      </c>
      <c r="BD24" s="31">
        <f>'Income Statement'!BD5*(+AY24/(AY24+AY30))+BC24</f>
        <v>796.4083555584067</v>
      </c>
      <c r="BE24" s="10">
        <f t="shared" ref="BE24:BI24" si="17">BD24*(1+BP24)</f>
        <v>836.22877333632709</v>
      </c>
      <c r="BF24" s="10">
        <f t="shared" si="17"/>
        <v>878.04021200314344</v>
      </c>
      <c r="BG24" s="10">
        <f t="shared" si="17"/>
        <v>921.94222260330059</v>
      </c>
      <c r="BH24" s="10">
        <f t="shared" si="17"/>
        <v>968.0393337334657</v>
      </c>
      <c r="BI24" s="10">
        <f t="shared" si="17"/>
        <v>1016.441300420139</v>
      </c>
      <c r="BK24" s="134">
        <f>AJ24/AE24-1</f>
        <v>9.2392134520669078E-2</v>
      </c>
      <c r="BL24" s="134">
        <f>MAX(BK24-0.15,0.05)</f>
        <v>0.05</v>
      </c>
      <c r="BM24" s="134">
        <f t="shared" si="14"/>
        <v>0.05</v>
      </c>
      <c r="BN24" s="134">
        <f t="shared" si="14"/>
        <v>0.05</v>
      </c>
      <c r="BO24" s="134">
        <f t="shared" si="14"/>
        <v>0.05</v>
      </c>
      <c r="BP24" s="134">
        <f t="shared" si="14"/>
        <v>0.05</v>
      </c>
      <c r="BQ24" s="134">
        <f t="shared" si="14"/>
        <v>0.05</v>
      </c>
      <c r="BR24" s="134">
        <f t="shared" si="14"/>
        <v>0.05</v>
      </c>
      <c r="BS24" s="134">
        <f t="shared" si="14"/>
        <v>0.05</v>
      </c>
      <c r="BT24" s="134">
        <f t="shared" si="14"/>
        <v>0.05</v>
      </c>
    </row>
    <row r="25" spans="2:72">
      <c r="B25" s="8" t="s">
        <v>268</v>
      </c>
      <c r="C25" s="9"/>
      <c r="D25" s="9"/>
      <c r="E25" s="9"/>
      <c r="F25" s="9"/>
      <c r="G25" s="1"/>
      <c r="H25" s="9"/>
      <c r="I25" s="9"/>
      <c r="J25" s="9"/>
      <c r="K25" s="9"/>
      <c r="L25" s="1"/>
      <c r="M25" s="9"/>
      <c r="N25" s="9"/>
      <c r="O25" s="9"/>
      <c r="P25" s="9"/>
      <c r="Q25" s="3"/>
      <c r="R25" s="9"/>
      <c r="S25" s="9"/>
      <c r="T25" s="9"/>
      <c r="U25" s="9"/>
      <c r="V25" s="3"/>
      <c r="W25" s="3"/>
      <c r="X25" s="3"/>
      <c r="Y25" s="3"/>
      <c r="Z25" s="3"/>
      <c r="AA25" s="3"/>
      <c r="AB25" s="9">
        <v>0</v>
      </c>
      <c r="AC25" s="9">
        <v>0</v>
      </c>
      <c r="AD25" s="9">
        <v>0</v>
      </c>
      <c r="AE25" s="9">
        <v>0</v>
      </c>
      <c r="AF25" s="3"/>
      <c r="AG25" s="9">
        <v>0</v>
      </c>
      <c r="AH25" s="9">
        <v>360.57900000000001</v>
      </c>
      <c r="AI25" s="9">
        <v>361.1</v>
      </c>
      <c r="AJ25" s="9">
        <v>361.62099999999998</v>
      </c>
      <c r="AK25" s="3"/>
      <c r="AL25" s="9">
        <v>362.14400000000001</v>
      </c>
      <c r="AM25" s="9">
        <v>0</v>
      </c>
      <c r="AN25" s="9">
        <v>0</v>
      </c>
      <c r="AO25" s="9">
        <v>0</v>
      </c>
      <c r="AP25" s="3"/>
      <c r="AQ25" s="9">
        <v>0</v>
      </c>
      <c r="AR25" s="9">
        <f t="shared" ref="AR25" si="18">AQ25</f>
        <v>0</v>
      </c>
      <c r="AS25" s="9">
        <v>572.08699999999999</v>
      </c>
      <c r="AT25" s="9">
        <v>572.88</v>
      </c>
      <c r="AU25" s="3"/>
      <c r="AV25" s="9">
        <v>573.67399999999998</v>
      </c>
      <c r="AW25" s="9">
        <v>574.46900000000005</v>
      </c>
      <c r="AX25" s="9">
        <v>0</v>
      </c>
      <c r="AY25" s="9">
        <f t="shared" ref="AY25:BD25" si="19">AX25</f>
        <v>0</v>
      </c>
      <c r="AZ25" s="3"/>
      <c r="BA25" s="31">
        <f>AY25</f>
        <v>0</v>
      </c>
      <c r="BB25" s="31">
        <f t="shared" si="19"/>
        <v>0</v>
      </c>
      <c r="BC25" s="31">
        <f t="shared" si="19"/>
        <v>0</v>
      </c>
      <c r="BD25" s="31">
        <f t="shared" si="19"/>
        <v>0</v>
      </c>
      <c r="BE25" s="10">
        <f t="shared" ref="BE25:BI25" si="20">BD25</f>
        <v>0</v>
      </c>
      <c r="BF25" s="10">
        <f t="shared" si="20"/>
        <v>0</v>
      </c>
      <c r="BG25" s="10">
        <f t="shared" si="20"/>
        <v>0</v>
      </c>
      <c r="BH25" s="10">
        <f t="shared" si="20"/>
        <v>0</v>
      </c>
      <c r="BI25" s="10">
        <f t="shared" si="20"/>
        <v>0</v>
      </c>
      <c r="BK25" s="134"/>
      <c r="BL25" s="134"/>
      <c r="BM25" s="134"/>
      <c r="BN25" s="134"/>
      <c r="BO25" s="134"/>
      <c r="BP25" s="134"/>
      <c r="BQ25" s="134"/>
      <c r="BR25" s="134"/>
      <c r="BS25" s="134"/>
      <c r="BT25" s="134"/>
    </row>
    <row r="26" spans="2:72">
      <c r="B26" s="8" t="s">
        <v>159</v>
      </c>
      <c r="C26" s="11">
        <v>21.876999999999999</v>
      </c>
      <c r="D26" s="11">
        <v>26.65</v>
      </c>
      <c r="E26" s="11">
        <v>28.407</v>
      </c>
      <c r="F26" s="11">
        <v>37.591999999999999</v>
      </c>
      <c r="G26" s="1"/>
      <c r="H26" s="11">
        <v>43.667999999999999</v>
      </c>
      <c r="I26" s="11">
        <v>41.046999999999997</v>
      </c>
      <c r="J26" s="11">
        <v>43.444000000000003</v>
      </c>
      <c r="K26" s="11">
        <v>35.564</v>
      </c>
      <c r="L26" s="1"/>
      <c r="M26" s="9">
        <v>39.509</v>
      </c>
      <c r="N26" s="9">
        <v>42.972000000000001</v>
      </c>
      <c r="O26" s="9">
        <f>47.41</f>
        <v>47.41</v>
      </c>
      <c r="P26" s="9">
        <v>41.938000000000002</v>
      </c>
      <c r="Q26" s="32"/>
      <c r="R26" s="9">
        <v>48.408000000000001</v>
      </c>
      <c r="S26" s="9">
        <v>65.036000000000001</v>
      </c>
      <c r="T26" s="9">
        <v>68.698999999999998</v>
      </c>
      <c r="U26" s="9">
        <v>70.429000000000002</v>
      </c>
      <c r="V26" s="32"/>
      <c r="W26" s="32"/>
      <c r="X26" s="32"/>
      <c r="Y26" s="32"/>
      <c r="Z26" s="32"/>
      <c r="AA26" s="32"/>
      <c r="AB26" s="9">
        <v>85.347999999999999</v>
      </c>
      <c r="AC26" s="9">
        <v>84.075000000000003</v>
      </c>
      <c r="AD26" s="9">
        <v>87.498999999999995</v>
      </c>
      <c r="AE26" s="9">
        <v>62.816000000000003</v>
      </c>
      <c r="AF26" s="32"/>
      <c r="AG26" s="9">
        <v>61.334000000000003</v>
      </c>
      <c r="AH26" s="9">
        <v>83.052999999999997</v>
      </c>
      <c r="AI26" s="9">
        <v>86.225999999999999</v>
      </c>
      <c r="AJ26" s="9">
        <v>88.194000000000003</v>
      </c>
      <c r="AK26" s="32"/>
      <c r="AL26" s="9">
        <v>97.034000000000006</v>
      </c>
      <c r="AM26" s="9">
        <v>88.414000000000001</v>
      </c>
      <c r="AN26" s="9">
        <v>97.623999999999995</v>
      </c>
      <c r="AO26" s="9">
        <v>76.555999999999997</v>
      </c>
      <c r="AP26" s="32"/>
      <c r="AQ26" s="9">
        <v>74.974000000000004</v>
      </c>
      <c r="AR26" s="9">
        <v>85.063000000000002</v>
      </c>
      <c r="AS26" s="9">
        <v>74.021000000000001</v>
      </c>
      <c r="AT26" s="9">
        <v>63.246000000000002</v>
      </c>
      <c r="AU26" s="32"/>
      <c r="AV26" s="9">
        <v>79.546000000000006</v>
      </c>
      <c r="AW26" s="9">
        <v>132.93799999999999</v>
      </c>
      <c r="AX26" s="9">
        <v>162.32300000000001</v>
      </c>
      <c r="AY26" s="9">
        <v>146.71600000000001</v>
      </c>
      <c r="AZ26" s="32"/>
      <c r="BA26" s="31">
        <f>+AY26</f>
        <v>146.71600000000001</v>
      </c>
      <c r="BB26" s="31">
        <f>+BA26</f>
        <v>146.71600000000001</v>
      </c>
      <c r="BC26" s="31">
        <f>+BB26</f>
        <v>146.71600000000001</v>
      </c>
      <c r="BD26" s="31">
        <f>+BC26</f>
        <v>146.71600000000001</v>
      </c>
      <c r="BE26" s="10">
        <f t="shared" ref="BE26:BI26" si="21">BD26</f>
        <v>146.71600000000001</v>
      </c>
      <c r="BF26" s="10">
        <f t="shared" si="21"/>
        <v>146.71600000000001</v>
      </c>
      <c r="BG26" s="10">
        <f t="shared" si="21"/>
        <v>146.71600000000001</v>
      </c>
      <c r="BH26" s="10">
        <f t="shared" si="21"/>
        <v>146.71600000000001</v>
      </c>
      <c r="BI26" s="10">
        <f t="shared" si="21"/>
        <v>146.71600000000001</v>
      </c>
    </row>
    <row r="27" spans="2:72">
      <c r="B27" s="8" t="s">
        <v>96</v>
      </c>
      <c r="C27" s="9">
        <v>0</v>
      </c>
      <c r="D27" s="9">
        <v>0</v>
      </c>
      <c r="E27" s="9">
        <v>0</v>
      </c>
      <c r="F27" s="9">
        <v>0</v>
      </c>
      <c r="G27" s="1"/>
      <c r="H27" s="9">
        <v>0</v>
      </c>
      <c r="I27" s="9">
        <v>0</v>
      </c>
      <c r="J27" s="9">
        <v>0</v>
      </c>
      <c r="K27" s="9">
        <v>0</v>
      </c>
      <c r="L27" s="1"/>
      <c r="M27" s="11">
        <v>15.343999999999999</v>
      </c>
      <c r="N27" s="11">
        <v>15.259</v>
      </c>
      <c r="O27" s="11">
        <v>14.266999999999999</v>
      </c>
      <c r="P27" s="11">
        <v>18.949000000000002</v>
      </c>
      <c r="Q27" s="42"/>
      <c r="R27" s="11">
        <v>15.944000000000001</v>
      </c>
      <c r="S27" s="11">
        <v>17.372</v>
      </c>
      <c r="T27" s="11">
        <v>19.111000000000001</v>
      </c>
      <c r="U27" s="11">
        <v>22.335999999999999</v>
      </c>
      <c r="V27" s="42"/>
      <c r="W27" s="42"/>
      <c r="X27" s="42"/>
      <c r="Y27" s="42"/>
      <c r="Z27" s="42"/>
      <c r="AA27" s="42"/>
      <c r="AB27" s="11">
        <v>22.14</v>
      </c>
      <c r="AC27" s="11">
        <v>26.667000000000002</v>
      </c>
      <c r="AD27" s="11">
        <v>30.849</v>
      </c>
      <c r="AE27" s="11">
        <v>29.201000000000001</v>
      </c>
      <c r="AF27" s="42"/>
      <c r="AG27" s="11">
        <v>31.477</v>
      </c>
      <c r="AH27" s="11">
        <v>25.052</v>
      </c>
      <c r="AI27" s="11">
        <v>29.294</v>
      </c>
      <c r="AJ27" s="11">
        <v>29.268000000000001</v>
      </c>
      <c r="AK27" s="42"/>
      <c r="AL27" s="11">
        <v>48.155000000000001</v>
      </c>
      <c r="AM27" s="11">
        <v>18.460999999999999</v>
      </c>
      <c r="AN27" s="11">
        <v>20.788</v>
      </c>
      <c r="AO27" s="11">
        <v>24.981000000000002</v>
      </c>
      <c r="AP27" s="42"/>
      <c r="AQ27" s="11">
        <v>23.494</v>
      </c>
      <c r="AR27" s="11">
        <v>26.815000000000001</v>
      </c>
      <c r="AS27" s="11">
        <v>31.286999999999999</v>
      </c>
      <c r="AT27" s="11">
        <v>27.907</v>
      </c>
      <c r="AU27" s="42"/>
      <c r="AV27" s="11">
        <v>29.369</v>
      </c>
      <c r="AW27" s="11">
        <v>32.805999999999997</v>
      </c>
      <c r="AX27" s="11">
        <v>42.445999999999998</v>
      </c>
      <c r="AY27" s="11">
        <v>43.262</v>
      </c>
      <c r="AZ27" s="42"/>
      <c r="BA27" s="34">
        <f>+AY27</f>
        <v>43.262</v>
      </c>
      <c r="BB27" s="34">
        <f t="shared" ref="BB27:BD27" si="22">+BA27</f>
        <v>43.262</v>
      </c>
      <c r="BC27" s="34">
        <f t="shared" si="22"/>
        <v>43.262</v>
      </c>
      <c r="BD27" s="34">
        <f t="shared" si="22"/>
        <v>43.262</v>
      </c>
      <c r="BE27" s="34">
        <f t="shared" ref="BE27:BI27" si="23">BD27</f>
        <v>43.262</v>
      </c>
      <c r="BF27" s="34">
        <f t="shared" si="23"/>
        <v>43.262</v>
      </c>
      <c r="BG27" s="34">
        <f t="shared" si="23"/>
        <v>43.262</v>
      </c>
      <c r="BH27" s="34">
        <f t="shared" si="23"/>
        <v>43.262</v>
      </c>
      <c r="BI27" s="34">
        <f t="shared" si="23"/>
        <v>43.262</v>
      </c>
    </row>
    <row r="28" spans="2:72" s="12" customFormat="1">
      <c r="B28" s="12" t="s">
        <v>40</v>
      </c>
      <c r="C28" s="13">
        <f>SUM(C22:C27)</f>
        <v>245.84</v>
      </c>
      <c r="D28" s="13">
        <f>SUM(D22:D27)</f>
        <v>263.74099999999999</v>
      </c>
      <c r="E28" s="13">
        <f>SUM(E22:E27)</f>
        <v>283.09799999999996</v>
      </c>
      <c r="F28" s="13">
        <f>SUM(F22:F27)</f>
        <v>302.38099999999997</v>
      </c>
      <c r="G28" s="2"/>
      <c r="H28" s="13">
        <f>SUM(H22:H27)</f>
        <v>312.65100000000001</v>
      </c>
      <c r="I28" s="13">
        <f>SUM(I22:I27)</f>
        <v>335.31399999999996</v>
      </c>
      <c r="J28" s="13">
        <f>SUM(J22:J27)</f>
        <v>333.964</v>
      </c>
      <c r="K28" s="13">
        <f>SUM(K22:K27)</f>
        <v>340.39300000000003</v>
      </c>
      <c r="L28" s="2"/>
      <c r="M28" s="13">
        <f>SUM(M22:M27)</f>
        <v>390.95800000000003</v>
      </c>
      <c r="N28" s="13">
        <f>SUM(N22:N27)</f>
        <v>412.01600000000002</v>
      </c>
      <c r="O28" s="13">
        <f>SUM(O22:O27)</f>
        <v>419.99499999999995</v>
      </c>
      <c r="P28" s="13">
        <f>SUM(P22:P27)</f>
        <v>444.18600000000004</v>
      </c>
      <c r="Q28" s="2"/>
      <c r="R28" s="13">
        <f>SUM(R22:R27)</f>
        <v>496.18700000000007</v>
      </c>
      <c r="S28" s="13">
        <f>SUM(S22:S27)</f>
        <v>566.2879999999999</v>
      </c>
      <c r="T28" s="13">
        <f>SUM(T22:T27)</f>
        <v>592.55899999999997</v>
      </c>
      <c r="U28" s="13">
        <f>SUM(U22:U27)</f>
        <v>616.98099999999999</v>
      </c>
      <c r="V28" s="2"/>
      <c r="W28" s="2"/>
      <c r="X28" s="2"/>
      <c r="Y28" s="2"/>
      <c r="Z28" s="2"/>
      <c r="AA28" s="2"/>
      <c r="AB28" s="13">
        <f>SUM(AB22:AB27)</f>
        <v>701.32899999999995</v>
      </c>
      <c r="AC28" s="13">
        <f>SUM(AC22:AC27)</f>
        <v>711.40300000000013</v>
      </c>
      <c r="AD28" s="13">
        <f>SUM(AD22:AD27)</f>
        <v>720.36300000000006</v>
      </c>
      <c r="AE28" s="13">
        <f>SUM(AE22:AE27)</f>
        <v>774.29800000000012</v>
      </c>
      <c r="AF28" s="2"/>
      <c r="AG28" s="13">
        <f>SUM(AG22:AG27)</f>
        <v>823.61800000000005</v>
      </c>
      <c r="AH28" s="13">
        <f>SUM(AH22:AH27)</f>
        <v>1196.5359999999998</v>
      </c>
      <c r="AI28" s="13">
        <f>SUM(AI22:AI27)</f>
        <v>1190.3170000000002</v>
      </c>
      <c r="AJ28" s="13">
        <f>SUM(AJ22:AJ27)</f>
        <v>1190.472</v>
      </c>
      <c r="AK28" s="2"/>
      <c r="AL28" s="13">
        <f>SUM(AL22:AL27)</f>
        <v>1210.6760000000002</v>
      </c>
      <c r="AM28" s="13">
        <f>SUM(AM22:AM27)</f>
        <v>790.50900000000001</v>
      </c>
      <c r="AN28" s="13">
        <f>SUM(AN22:AN27)</f>
        <v>793.99800000000005</v>
      </c>
      <c r="AO28" s="13">
        <f>SUM(AO22:AO27)</f>
        <v>790.17499999999995</v>
      </c>
      <c r="AP28" s="2"/>
      <c r="AQ28" s="13">
        <f>SUM(AQ22:AQ27)</f>
        <v>813.1350000000001</v>
      </c>
      <c r="AR28" s="13">
        <f>SUM(AR22:AR27)</f>
        <v>848.97700000000009</v>
      </c>
      <c r="AS28" s="13">
        <f>SUM(AS22:AS27)</f>
        <v>1440.557</v>
      </c>
      <c r="AT28" s="13">
        <f>SUM(AT22:AT27)</f>
        <v>1515.2140000000002</v>
      </c>
      <c r="AU28" s="2"/>
      <c r="AV28" s="13">
        <f>SUM(AV22:AV27)</f>
        <v>1497.9469999999999</v>
      </c>
      <c r="AW28" s="13">
        <f>SUM(AW22:AW27)</f>
        <v>1581.8970000000004</v>
      </c>
      <c r="AX28" s="13">
        <f>SUM(AX22:AX27)</f>
        <v>1078.0999999999999</v>
      </c>
      <c r="AY28" s="13">
        <f>SUM(AY22:AY27)</f>
        <v>1112.6609999999998</v>
      </c>
      <c r="AZ28" s="2"/>
      <c r="BA28" s="13">
        <f>SUM(BA22:BA27)</f>
        <v>1323.0528477372611</v>
      </c>
      <c r="BB28" s="13">
        <f>SUM(BB22:BB27)</f>
        <v>1393.4503912515327</v>
      </c>
      <c r="BC28" s="13">
        <f>SUM(BC22:BC27)</f>
        <v>1517.3377327681631</v>
      </c>
      <c r="BD28" s="13">
        <f>SUM(BD22:BD27)</f>
        <v>1621.2177737213785</v>
      </c>
      <c r="BE28" s="13">
        <f t="shared" ref="BE28:BI28" si="24">SUM(BE22:BE27)</f>
        <v>1692.7797624074472</v>
      </c>
      <c r="BF28" s="13">
        <f t="shared" si="24"/>
        <v>1767.9198505278198</v>
      </c>
      <c r="BG28" s="13">
        <f t="shared" si="24"/>
        <v>1846.8169430542109</v>
      </c>
      <c r="BH28" s="13">
        <f t="shared" si="24"/>
        <v>1929.6588902069213</v>
      </c>
      <c r="BI28" s="13">
        <f t="shared" si="24"/>
        <v>2016.6429347172677</v>
      </c>
    </row>
    <row r="29" spans="2:72">
      <c r="C29" s="10"/>
      <c r="D29" s="10"/>
      <c r="E29" s="10"/>
      <c r="F29" s="10"/>
      <c r="G29" s="1"/>
      <c r="H29" s="10"/>
      <c r="I29" s="10"/>
      <c r="L29" s="1"/>
      <c r="M29" s="10"/>
      <c r="N29" s="10"/>
      <c r="O29" s="10"/>
      <c r="P29" s="10"/>
      <c r="Q29" s="1"/>
      <c r="R29" s="10"/>
      <c r="S29" s="10"/>
      <c r="T29" s="10"/>
      <c r="U29" s="10"/>
      <c r="V29" s="1"/>
      <c r="W29" s="1"/>
      <c r="X29" s="1"/>
      <c r="Y29" s="1"/>
      <c r="Z29" s="1"/>
      <c r="AA29" s="1"/>
      <c r="AB29" s="10"/>
      <c r="AC29" s="10"/>
      <c r="AF29" s="1"/>
      <c r="AK29" s="1"/>
      <c r="AP29" s="1"/>
      <c r="AU29" s="1"/>
      <c r="AZ29" s="1"/>
    </row>
    <row r="30" spans="2:72">
      <c r="B30" s="8" t="s">
        <v>160</v>
      </c>
      <c r="C30" s="9">
        <v>12.039</v>
      </c>
      <c r="D30" s="9">
        <v>13.125999999999999</v>
      </c>
      <c r="E30" s="9">
        <v>14.012</v>
      </c>
      <c r="F30" s="9">
        <v>14.329000000000001</v>
      </c>
      <c r="G30" s="26"/>
      <c r="H30" s="9">
        <v>9.0399999999999991</v>
      </c>
      <c r="I30" s="9">
        <v>10.095000000000001</v>
      </c>
      <c r="J30" s="9">
        <v>11.923</v>
      </c>
      <c r="K30" s="9">
        <v>12.494</v>
      </c>
      <c r="L30" s="26"/>
      <c r="M30" s="9">
        <v>15.314</v>
      </c>
      <c r="N30" s="9">
        <v>17.693999999999999</v>
      </c>
      <c r="O30" s="9">
        <v>19.643000000000001</v>
      </c>
      <c r="P30" s="9">
        <v>21.969000000000001</v>
      </c>
      <c r="Q30" s="4"/>
      <c r="R30" s="9">
        <v>24.457000000000001</v>
      </c>
      <c r="S30" s="9">
        <v>29.265000000000001</v>
      </c>
      <c r="T30" s="9">
        <v>40.78</v>
      </c>
      <c r="U30" s="9">
        <v>50.866999999999997</v>
      </c>
      <c r="V30" s="4"/>
      <c r="W30" s="4"/>
      <c r="X30" s="4"/>
      <c r="Y30" s="4"/>
      <c r="Z30" s="4"/>
      <c r="AA30" s="4"/>
      <c r="AB30" s="9">
        <v>59.058999999999997</v>
      </c>
      <c r="AC30" s="9">
        <v>58.582999999999998</v>
      </c>
      <c r="AD30" s="9">
        <v>60.335999999999999</v>
      </c>
      <c r="AE30" s="9">
        <v>59.966000000000001</v>
      </c>
      <c r="AF30" s="4"/>
      <c r="AG30" s="9">
        <v>64.414000000000001</v>
      </c>
      <c r="AH30" s="9">
        <v>67.125</v>
      </c>
      <c r="AI30" s="9">
        <v>68.953999999999994</v>
      </c>
      <c r="AJ30" s="9">
        <v>70.593999999999994</v>
      </c>
      <c r="AK30" s="4"/>
      <c r="AL30" s="9">
        <v>82.938999999999993</v>
      </c>
      <c r="AM30" s="9">
        <v>88.789000000000001</v>
      </c>
      <c r="AN30" s="9">
        <v>85.69</v>
      </c>
      <c r="AO30" s="9">
        <v>83.384</v>
      </c>
      <c r="AP30" s="4"/>
      <c r="AQ30" s="9">
        <v>91.23</v>
      </c>
      <c r="AR30" s="9">
        <v>91.858999999999995</v>
      </c>
      <c r="AS30" s="9">
        <v>92.162000000000006</v>
      </c>
      <c r="AT30" s="9">
        <v>89.271000000000001</v>
      </c>
      <c r="AU30" s="4"/>
      <c r="AV30" s="9">
        <v>96.460999999999999</v>
      </c>
      <c r="AW30" s="9">
        <v>105.331</v>
      </c>
      <c r="AX30" s="9">
        <v>110.664</v>
      </c>
      <c r="AY30" s="9">
        <v>116.991</v>
      </c>
      <c r="AZ30" s="4"/>
      <c r="BA30" s="10">
        <f>'Income Statement'!BA5*(+AV30/(AV30+AV24))+AY30</f>
        <v>121.23539614080956</v>
      </c>
      <c r="BB30" s="10">
        <f>'Income Statement'!BB5*(+AW30/(AW30+AW24))+BA30</f>
        <v>123.97522910976585</v>
      </c>
      <c r="BC30" s="10">
        <f>'Income Statement'!BC5*(+AX30/(AX30+AX24))+BB30</f>
        <v>125.45104444159327</v>
      </c>
      <c r="BD30" s="10">
        <f>'Income Statement'!BD5*(+AY30/(AY30+AY24))+BC30</f>
        <v>125.45104444159327</v>
      </c>
      <c r="BE30" s="10">
        <f t="shared" ref="BE30" si="25">BD30*(1+BP30)</f>
        <v>131.72359666367294</v>
      </c>
      <c r="BF30" s="10">
        <f t="shared" ref="BF30" si="26">BE30*(1+BQ30)</f>
        <v>138.30977649685659</v>
      </c>
      <c r="BG30" s="10">
        <f t="shared" ref="BG30" si="27">BF30*(1+BR30)</f>
        <v>145.22526532169942</v>
      </c>
      <c r="BH30" s="10">
        <f t="shared" ref="BH30" si="28">BG30*(1+BS30)</f>
        <v>152.48652858778439</v>
      </c>
      <c r="BI30" s="10">
        <f t="shared" ref="BI30" si="29">BH30*(1+BT30)</f>
        <v>160.11085501717361</v>
      </c>
      <c r="BK30" s="134">
        <f>AJ30/AE30-1</f>
        <v>0.17723376580062022</v>
      </c>
      <c r="BL30" s="134">
        <f>MAX(BK30-0.05,0.05)</f>
        <v>0.12723376580062024</v>
      </c>
      <c r="BM30" s="134">
        <f t="shared" ref="BM30:BT30" si="30">MAX(BL30-0.05,0.05)</f>
        <v>7.7233765800620233E-2</v>
      </c>
      <c r="BN30" s="134">
        <f t="shared" si="30"/>
        <v>0.05</v>
      </c>
      <c r="BO30" s="134">
        <f t="shared" si="30"/>
        <v>0.05</v>
      </c>
      <c r="BP30" s="134">
        <f t="shared" si="30"/>
        <v>0.05</v>
      </c>
      <c r="BQ30" s="134">
        <f t="shared" si="30"/>
        <v>0.05</v>
      </c>
      <c r="BR30" s="134">
        <f t="shared" si="30"/>
        <v>0.05</v>
      </c>
      <c r="BS30" s="134">
        <f t="shared" si="30"/>
        <v>0.05</v>
      </c>
      <c r="BT30" s="134">
        <f t="shared" si="30"/>
        <v>0.05</v>
      </c>
    </row>
    <row r="31" spans="2:72">
      <c r="B31" s="8" t="s">
        <v>161</v>
      </c>
      <c r="C31" s="11">
        <v>0.42599999999999999</v>
      </c>
      <c r="D31" s="11">
        <v>3.9079999999999999</v>
      </c>
      <c r="E31" s="11">
        <v>4.4669999999999996</v>
      </c>
      <c r="F31" s="11">
        <v>0.76400000000000001</v>
      </c>
      <c r="G31" s="27"/>
      <c r="H31" s="11">
        <v>0.72299999999999998</v>
      </c>
      <c r="I31" s="11">
        <v>0.68300000000000005</v>
      </c>
      <c r="J31" s="11">
        <v>0.64200000000000002</v>
      </c>
      <c r="K31" s="11">
        <v>0.60199999999999998</v>
      </c>
      <c r="L31" s="27"/>
      <c r="M31" s="9">
        <v>0.82399999999999995</v>
      </c>
      <c r="N31" s="9">
        <f>2.074+0.57</f>
        <v>2.6439999999999997</v>
      </c>
      <c r="O31" s="9">
        <f>0.425+2.482</f>
        <v>2.907</v>
      </c>
      <c r="P31" s="9">
        <v>1.585</v>
      </c>
      <c r="Q31" s="1"/>
      <c r="R31" s="9">
        <v>1.5980000000000001</v>
      </c>
      <c r="S31" s="9">
        <v>1.5740000000000001</v>
      </c>
      <c r="T31" s="9">
        <v>0.69299999999999995</v>
      </c>
      <c r="U31" s="9">
        <v>0</v>
      </c>
      <c r="V31" s="1"/>
      <c r="W31" s="1"/>
      <c r="X31" s="1"/>
      <c r="Y31" s="1"/>
      <c r="Z31" s="1"/>
      <c r="AA31" s="1"/>
      <c r="AB31" s="9">
        <v>22.382000000000001</v>
      </c>
      <c r="AC31" s="9">
        <v>55.884</v>
      </c>
      <c r="AD31" s="9">
        <v>79.718000000000004</v>
      </c>
      <c r="AE31" s="9">
        <v>72.802999999999997</v>
      </c>
      <c r="AF31" s="1"/>
      <c r="AG31" s="9">
        <v>37.176000000000002</v>
      </c>
      <c r="AH31" s="9">
        <v>24.509</v>
      </c>
      <c r="AI31" s="9">
        <v>26.856000000000002</v>
      </c>
      <c r="AJ31" s="9">
        <v>14.901999999999999</v>
      </c>
      <c r="AK31" s="1"/>
      <c r="AL31" s="9">
        <v>10.76</v>
      </c>
      <c r="AM31" s="9">
        <v>8.7249999999999996</v>
      </c>
      <c r="AN31" s="9">
        <v>8.1549999999999994</v>
      </c>
      <c r="AO31" s="9">
        <v>7.1669999999999998</v>
      </c>
      <c r="AP31" s="1"/>
      <c r="AQ31" s="9">
        <v>1.595</v>
      </c>
      <c r="AR31" s="9">
        <v>0.90200000000000002</v>
      </c>
      <c r="AS31" s="9">
        <v>1.4350000000000001</v>
      </c>
      <c r="AT31" s="9">
        <v>1.9650000000000001</v>
      </c>
      <c r="AU31" s="1"/>
      <c r="AV31" s="9">
        <v>1.0660000000000001</v>
      </c>
      <c r="AW31" s="9">
        <v>5.15</v>
      </c>
      <c r="AX31" s="9">
        <v>4.992</v>
      </c>
      <c r="AY31" s="9">
        <v>3.923</v>
      </c>
      <c r="AZ31" s="1"/>
      <c r="BA31" s="10">
        <f>AY31</f>
        <v>3.923</v>
      </c>
      <c r="BB31" s="10">
        <f t="shared" ref="AS31:BD35" si="31">BA31</f>
        <v>3.923</v>
      </c>
      <c r="BC31" s="10">
        <f t="shared" si="31"/>
        <v>3.923</v>
      </c>
      <c r="BD31" s="10">
        <f t="shared" si="31"/>
        <v>3.923</v>
      </c>
      <c r="BE31" s="10">
        <f t="shared" ref="BE31:BI31" si="32">BD31</f>
        <v>3.923</v>
      </c>
      <c r="BF31" s="10">
        <f t="shared" si="32"/>
        <v>3.923</v>
      </c>
      <c r="BG31" s="10">
        <f t="shared" si="32"/>
        <v>3.923</v>
      </c>
      <c r="BH31" s="10">
        <f t="shared" si="32"/>
        <v>3.923</v>
      </c>
      <c r="BI31" s="10">
        <f t="shared" si="32"/>
        <v>3.923</v>
      </c>
    </row>
    <row r="32" spans="2:72">
      <c r="B32" s="8" t="s">
        <v>94</v>
      </c>
      <c r="C32" s="9">
        <v>0</v>
      </c>
      <c r="D32" s="9">
        <v>0</v>
      </c>
      <c r="E32" s="9">
        <v>0</v>
      </c>
      <c r="F32" s="9">
        <v>0</v>
      </c>
      <c r="G32" s="26"/>
      <c r="H32" s="9">
        <v>0</v>
      </c>
      <c r="I32" s="9">
        <v>285.01799999999997</v>
      </c>
      <c r="J32" s="9">
        <v>332.738</v>
      </c>
      <c r="K32" s="9">
        <v>337.77699999999999</v>
      </c>
      <c r="L32" s="26"/>
      <c r="M32" s="9">
        <v>342.89499999999998</v>
      </c>
      <c r="N32" s="9">
        <v>348.089</v>
      </c>
      <c r="O32" s="9">
        <v>353.36200000000002</v>
      </c>
      <c r="P32" s="9">
        <v>358.71499999999997</v>
      </c>
      <c r="Q32" s="1"/>
      <c r="R32" s="9">
        <v>364.14800000000002</v>
      </c>
      <c r="S32" s="9">
        <v>369.66399999999999</v>
      </c>
      <c r="T32" s="9">
        <v>823.029</v>
      </c>
      <c r="U32" s="9">
        <v>834.44</v>
      </c>
      <c r="V32" s="1"/>
      <c r="W32" s="1"/>
      <c r="X32" s="1"/>
      <c r="Y32" s="1"/>
      <c r="Z32" s="1"/>
      <c r="AA32" s="1"/>
      <c r="AB32" s="9">
        <v>919.08399999999995</v>
      </c>
      <c r="AC32" s="9">
        <v>920.37900000000002</v>
      </c>
      <c r="AD32" s="9">
        <v>921.67600000000004</v>
      </c>
      <c r="AE32" s="9">
        <v>922.97400000000005</v>
      </c>
      <c r="AF32" s="1"/>
      <c r="AG32" s="9">
        <v>924.27499999999998</v>
      </c>
      <c r="AH32" s="9">
        <v>564.99800000000005</v>
      </c>
      <c r="AI32" s="9">
        <v>565.78200000000004</v>
      </c>
      <c r="AJ32" s="9">
        <v>566.56600000000003</v>
      </c>
      <c r="AK32" s="1"/>
      <c r="AL32" s="9">
        <v>567.351</v>
      </c>
      <c r="AM32" s="9">
        <v>568.13800000000003</v>
      </c>
      <c r="AN32" s="9">
        <v>568.92499999999995</v>
      </c>
      <c r="AO32" s="9">
        <v>569.71400000000006</v>
      </c>
      <c r="AP32" s="1"/>
      <c r="AQ32" s="9">
        <v>570.50400000000002</v>
      </c>
      <c r="AR32" s="9">
        <v>571.29499999999996</v>
      </c>
      <c r="AS32" s="9">
        <v>0</v>
      </c>
      <c r="AT32" s="9">
        <v>0</v>
      </c>
      <c r="AU32" s="1"/>
      <c r="AV32" s="9">
        <f>AT32</f>
        <v>0</v>
      </c>
      <c r="AW32" s="9">
        <v>0</v>
      </c>
      <c r="AX32" s="9">
        <v>1124.4939999999999</v>
      </c>
      <c r="AY32" s="9">
        <v>1125.769</v>
      </c>
      <c r="AZ32" s="1"/>
      <c r="BA32" s="10">
        <f>AY32</f>
        <v>1125.769</v>
      </c>
      <c r="BB32" s="10">
        <f t="shared" si="31"/>
        <v>1125.769</v>
      </c>
      <c r="BC32" s="10">
        <f t="shared" si="31"/>
        <v>1125.769</v>
      </c>
      <c r="BD32" s="10">
        <f t="shared" si="31"/>
        <v>1125.769</v>
      </c>
      <c r="BE32" s="10">
        <f t="shared" ref="BE32:BI32" si="33">BD32</f>
        <v>1125.769</v>
      </c>
      <c r="BF32" s="10">
        <f t="shared" si="33"/>
        <v>1125.769</v>
      </c>
      <c r="BG32" s="10">
        <f t="shared" si="33"/>
        <v>1125.769</v>
      </c>
      <c r="BH32" s="10">
        <f t="shared" si="33"/>
        <v>1125.769</v>
      </c>
      <c r="BI32" s="10">
        <f t="shared" si="33"/>
        <v>1125.769</v>
      </c>
    </row>
    <row r="33" spans="2:61">
      <c r="B33" s="8" t="s">
        <v>93</v>
      </c>
      <c r="C33" s="9">
        <v>1.2190000000000001</v>
      </c>
      <c r="D33" s="9">
        <v>1.2190000000000001</v>
      </c>
      <c r="E33" s="9">
        <v>1.2190000000000001</v>
      </c>
      <c r="F33" s="9">
        <v>1.2190000000000001</v>
      </c>
      <c r="G33" s="26"/>
      <c r="H33" s="9">
        <v>1.2190000000000001</v>
      </c>
      <c r="I33" s="9">
        <v>1.2190000000000001</v>
      </c>
      <c r="J33" s="9">
        <v>1.2190000000000001</v>
      </c>
      <c r="K33" s="9">
        <v>1.2190000000000001</v>
      </c>
      <c r="L33" s="26"/>
      <c r="M33" s="9">
        <v>1.2190000000000001</v>
      </c>
      <c r="N33" s="9">
        <v>1.2190000000000001</v>
      </c>
      <c r="O33" s="9">
        <v>1.2190000000000001</v>
      </c>
      <c r="P33" s="9">
        <v>1.2190000000000001</v>
      </c>
      <c r="Q33" s="1"/>
      <c r="R33" s="9">
        <v>1.2190000000000001</v>
      </c>
      <c r="S33" s="9">
        <v>1.2190000000000001</v>
      </c>
      <c r="T33" s="9">
        <v>1.2190000000000001</v>
      </c>
      <c r="U33" s="9">
        <v>0</v>
      </c>
      <c r="V33" s="1"/>
      <c r="W33" s="1"/>
      <c r="X33" s="1"/>
      <c r="Y33" s="1"/>
      <c r="Z33" s="1"/>
      <c r="AA33" s="1"/>
      <c r="AB33" s="9">
        <f>U33</f>
        <v>0</v>
      </c>
      <c r="AC33" s="9">
        <v>0</v>
      </c>
      <c r="AD33" s="9">
        <v>0</v>
      </c>
      <c r="AE33" s="9">
        <f t="shared" ref="AE33" si="34">AD33</f>
        <v>0</v>
      </c>
      <c r="AF33" s="1"/>
      <c r="AG33" s="9">
        <v>0</v>
      </c>
      <c r="AH33" s="9">
        <v>0</v>
      </c>
      <c r="AI33" s="9">
        <v>0</v>
      </c>
      <c r="AJ33" s="9">
        <v>0</v>
      </c>
      <c r="AK33" s="1"/>
      <c r="AL33" s="9">
        <v>0</v>
      </c>
      <c r="AM33" s="9">
        <f>AL33</f>
        <v>0</v>
      </c>
      <c r="AN33" s="9">
        <f>AM33</f>
        <v>0</v>
      </c>
      <c r="AO33" s="9">
        <v>0</v>
      </c>
      <c r="AP33" s="1"/>
      <c r="AQ33" s="9">
        <v>0</v>
      </c>
      <c r="AR33" s="9">
        <f t="shared" ref="AR33" si="35">AQ33</f>
        <v>0</v>
      </c>
      <c r="AS33" s="9">
        <f t="shared" si="31"/>
        <v>0</v>
      </c>
      <c r="AT33" s="9">
        <v>0</v>
      </c>
      <c r="AU33" s="1"/>
      <c r="AV33" s="9">
        <f>AT33</f>
        <v>0</v>
      </c>
      <c r="AW33" s="9">
        <v>0</v>
      </c>
      <c r="AX33" s="9">
        <v>0</v>
      </c>
      <c r="AY33" s="9">
        <f t="shared" si="31"/>
        <v>0</v>
      </c>
      <c r="AZ33" s="1"/>
      <c r="BA33" s="10">
        <f>AY33</f>
        <v>0</v>
      </c>
      <c r="BB33" s="10">
        <f t="shared" si="31"/>
        <v>0</v>
      </c>
      <c r="BC33" s="10">
        <f t="shared" si="31"/>
        <v>0</v>
      </c>
      <c r="BD33" s="10">
        <f t="shared" si="31"/>
        <v>0</v>
      </c>
      <c r="BE33" s="10">
        <f t="shared" ref="BE33:BI33" si="36">BD33</f>
        <v>0</v>
      </c>
      <c r="BF33" s="10">
        <f t="shared" si="36"/>
        <v>0</v>
      </c>
      <c r="BG33" s="10">
        <f t="shared" si="36"/>
        <v>0</v>
      </c>
      <c r="BH33" s="10">
        <f t="shared" si="36"/>
        <v>0</v>
      </c>
      <c r="BI33" s="10">
        <f t="shared" si="36"/>
        <v>0</v>
      </c>
    </row>
    <row r="34" spans="2:61">
      <c r="B34" s="8" t="s">
        <v>201</v>
      </c>
      <c r="C34" s="9"/>
      <c r="D34" s="9"/>
      <c r="E34" s="9"/>
      <c r="F34" s="9"/>
      <c r="G34" s="26"/>
      <c r="H34" s="9"/>
      <c r="I34" s="9"/>
      <c r="J34" s="9"/>
      <c r="K34" s="9"/>
      <c r="L34" s="26"/>
      <c r="M34" s="9"/>
      <c r="N34" s="9"/>
      <c r="O34" s="9"/>
      <c r="P34" s="9"/>
      <c r="Q34" s="1"/>
      <c r="R34" s="9">
        <v>0</v>
      </c>
      <c r="S34" s="9">
        <v>0</v>
      </c>
      <c r="T34" s="9">
        <v>0</v>
      </c>
      <c r="U34" s="9">
        <v>0</v>
      </c>
      <c r="V34" s="1">
        <v>0</v>
      </c>
      <c r="W34" s="1"/>
      <c r="X34" s="1"/>
      <c r="Y34" s="1"/>
      <c r="Z34" s="1"/>
      <c r="AA34" s="1"/>
      <c r="AB34" s="9">
        <v>0</v>
      </c>
      <c r="AC34" s="9">
        <v>0</v>
      </c>
      <c r="AD34" s="9">
        <v>0</v>
      </c>
      <c r="AE34" s="9">
        <v>2.2669999999999999</v>
      </c>
      <c r="AF34" s="1"/>
      <c r="AG34" s="9">
        <v>2.282</v>
      </c>
      <c r="AH34" s="9">
        <v>2.09</v>
      </c>
      <c r="AI34" s="9">
        <v>1.9910000000000001</v>
      </c>
      <c r="AJ34" s="9">
        <v>6.093</v>
      </c>
      <c r="AK34" s="1"/>
      <c r="AL34" s="9">
        <v>6.6230000000000002</v>
      </c>
      <c r="AM34" s="9">
        <v>9.7080000000000002</v>
      </c>
      <c r="AN34" s="9">
        <v>8.202</v>
      </c>
      <c r="AO34" s="9">
        <v>7.6989999999999998</v>
      </c>
      <c r="AP34" s="1"/>
      <c r="AQ34" s="9">
        <v>9.7590000000000003</v>
      </c>
      <c r="AR34" s="9">
        <v>9.7550000000000008</v>
      </c>
      <c r="AS34" s="9">
        <v>11.263999999999999</v>
      </c>
      <c r="AT34" s="9">
        <v>16.021000000000001</v>
      </c>
      <c r="AU34" s="1"/>
      <c r="AV34" s="9">
        <v>19.414000000000001</v>
      </c>
      <c r="AW34" s="9">
        <v>28.561</v>
      </c>
      <c r="AX34" s="9">
        <v>114.995</v>
      </c>
      <c r="AY34" s="9">
        <v>200.054</v>
      </c>
      <c r="AZ34" s="1"/>
      <c r="BA34" s="10">
        <f>AY34</f>
        <v>200.054</v>
      </c>
      <c r="BB34" s="10">
        <f t="shared" si="31"/>
        <v>200.054</v>
      </c>
      <c r="BC34" s="10">
        <f t="shared" si="31"/>
        <v>200.054</v>
      </c>
      <c r="BD34" s="10">
        <f t="shared" si="31"/>
        <v>200.054</v>
      </c>
      <c r="BE34" s="10">
        <f t="shared" ref="BE34" si="37">BD34</f>
        <v>200.054</v>
      </c>
      <c r="BF34" s="10">
        <f t="shared" ref="BF34" si="38">BE34</f>
        <v>200.054</v>
      </c>
      <c r="BG34" s="10">
        <f t="shared" ref="BG34" si="39">BF34</f>
        <v>200.054</v>
      </c>
      <c r="BH34" s="10">
        <f t="shared" ref="BH34" si="40">BG34</f>
        <v>200.054</v>
      </c>
      <c r="BI34" s="10">
        <f t="shared" ref="BI34" si="41">BH34</f>
        <v>200.054</v>
      </c>
    </row>
    <row r="35" spans="2:61">
      <c r="B35" s="8" t="s">
        <v>96</v>
      </c>
      <c r="C35" s="9">
        <v>0</v>
      </c>
      <c r="D35" s="9">
        <v>0</v>
      </c>
      <c r="E35" s="9">
        <v>0</v>
      </c>
      <c r="F35" s="9">
        <v>0</v>
      </c>
      <c r="G35" s="26"/>
      <c r="H35" s="9">
        <v>0</v>
      </c>
      <c r="I35" s="9">
        <v>0</v>
      </c>
      <c r="J35" s="9">
        <v>0</v>
      </c>
      <c r="K35" s="9">
        <v>0</v>
      </c>
      <c r="L35" s="26"/>
      <c r="M35" s="11">
        <v>43.420999999999999</v>
      </c>
      <c r="N35" s="11">
        <v>42.783999999999999</v>
      </c>
      <c r="O35" s="11">
        <v>40.246000000000002</v>
      </c>
      <c r="P35" s="11">
        <v>64.244</v>
      </c>
      <c r="Q35" s="25"/>
      <c r="R35" s="11">
        <v>66.283000000000001</v>
      </c>
      <c r="S35" s="11">
        <v>68.402000000000001</v>
      </c>
      <c r="T35" s="11">
        <v>69.347999999999999</v>
      </c>
      <c r="U35" s="11">
        <v>74.186999999999998</v>
      </c>
      <c r="V35" s="25"/>
      <c r="W35" s="25"/>
      <c r="X35" s="25"/>
      <c r="Y35" s="25"/>
      <c r="Z35" s="25"/>
      <c r="AA35" s="25"/>
      <c r="AB35" s="11">
        <v>69.527000000000001</v>
      </c>
      <c r="AC35" s="11">
        <v>65.709999999999994</v>
      </c>
      <c r="AD35" s="11">
        <v>77.287999999999997</v>
      </c>
      <c r="AE35" s="11">
        <v>81.763999999999996</v>
      </c>
      <c r="AF35" s="25"/>
      <c r="AG35" s="11">
        <v>86.513000000000005</v>
      </c>
      <c r="AH35" s="11">
        <v>192.73500000000001</v>
      </c>
      <c r="AI35" s="11">
        <v>180.227</v>
      </c>
      <c r="AJ35" s="11">
        <v>172.982</v>
      </c>
      <c r="AK35" s="25"/>
      <c r="AL35" s="11">
        <v>141.11500000000001</v>
      </c>
      <c r="AM35" s="11">
        <v>386.608</v>
      </c>
      <c r="AN35" s="11">
        <v>374.44</v>
      </c>
      <c r="AO35" s="11">
        <v>401.62599999999998</v>
      </c>
      <c r="AP35" s="25"/>
      <c r="AQ35" s="11">
        <v>400.06299999999999</v>
      </c>
      <c r="AR35" s="11">
        <v>390.93099999999998</v>
      </c>
      <c r="AS35" s="11">
        <v>368.36900000000003</v>
      </c>
      <c r="AT35" s="11">
        <v>369.15899999999999</v>
      </c>
      <c r="AU35" s="25"/>
      <c r="AV35" s="11">
        <v>359.38900000000001</v>
      </c>
      <c r="AW35" s="11">
        <v>392.76100000000002</v>
      </c>
      <c r="AX35" s="11">
        <v>404.06099999999998</v>
      </c>
      <c r="AY35" s="11">
        <v>417.57799999999997</v>
      </c>
      <c r="AZ35" s="25"/>
      <c r="BA35" s="18">
        <f>AY35</f>
        <v>417.57799999999997</v>
      </c>
      <c r="BB35" s="18">
        <f t="shared" si="31"/>
        <v>417.57799999999997</v>
      </c>
      <c r="BC35" s="18">
        <f t="shared" si="31"/>
        <v>417.57799999999997</v>
      </c>
      <c r="BD35" s="18">
        <f t="shared" si="31"/>
        <v>417.57799999999997</v>
      </c>
      <c r="BE35" s="18">
        <f t="shared" ref="BE35:BI35" si="42">BD35</f>
        <v>417.57799999999997</v>
      </c>
      <c r="BF35" s="18">
        <f t="shared" si="42"/>
        <v>417.57799999999997</v>
      </c>
      <c r="BG35" s="18">
        <f t="shared" si="42"/>
        <v>417.57799999999997</v>
      </c>
      <c r="BH35" s="18">
        <f t="shared" si="42"/>
        <v>417.57799999999997</v>
      </c>
      <c r="BI35" s="18">
        <f t="shared" si="42"/>
        <v>417.57799999999997</v>
      </c>
    </row>
    <row r="36" spans="2:61" s="12" customFormat="1">
      <c r="B36" s="12" t="s">
        <v>41</v>
      </c>
      <c r="C36" s="13">
        <f>SUM(C30:C35)+C28</f>
        <v>259.524</v>
      </c>
      <c r="D36" s="13">
        <f>SUM(D30:D35)+D28</f>
        <v>281.99399999999997</v>
      </c>
      <c r="E36" s="13">
        <f>SUM(E30:E35)+E28</f>
        <v>302.79599999999994</v>
      </c>
      <c r="F36" s="13">
        <f>SUM(F30:F35)+F28</f>
        <v>318.69299999999998</v>
      </c>
      <c r="G36" s="2"/>
      <c r="H36" s="13">
        <f>SUM(H30:H35)+H28</f>
        <v>323.63300000000004</v>
      </c>
      <c r="I36" s="13">
        <f>SUM(I30:I35)+I28</f>
        <v>632.32899999999995</v>
      </c>
      <c r="J36" s="13">
        <f>SUM(J30:J35)+J28</f>
        <v>680.48599999999999</v>
      </c>
      <c r="K36" s="13">
        <f>SUM(K30:K35)+K28</f>
        <v>692.48500000000001</v>
      </c>
      <c r="L36" s="2"/>
      <c r="M36" s="13">
        <f>SUM(M30:M35)+M28</f>
        <v>794.63099999999997</v>
      </c>
      <c r="N36" s="13">
        <f>SUM(N30:N35)+N28</f>
        <v>824.44600000000003</v>
      </c>
      <c r="O36" s="13">
        <f>SUM(O30:O35)+O28</f>
        <v>837.37199999999996</v>
      </c>
      <c r="P36" s="13">
        <f>SUM(P30:P35)+P28</f>
        <v>891.91800000000001</v>
      </c>
      <c r="Q36" s="2"/>
      <c r="R36" s="13">
        <f>SUM(R30:R35)+R28</f>
        <v>953.89200000000005</v>
      </c>
      <c r="S36" s="13">
        <f>SUM(S30:S35)+S28</f>
        <v>1036.4119999999998</v>
      </c>
      <c r="T36" s="13">
        <f>SUM(T30:T35)+T28</f>
        <v>1527.6279999999999</v>
      </c>
      <c r="U36" s="13">
        <f>SUM(U30:U35)+U28</f>
        <v>1576.4749999999999</v>
      </c>
      <c r="V36" s="2"/>
      <c r="W36" s="2"/>
      <c r="X36" s="2"/>
      <c r="Y36" s="2"/>
      <c r="Z36" s="2"/>
      <c r="AA36" s="2"/>
      <c r="AB36" s="13">
        <f>SUM(AB30:AB35)+AB28</f>
        <v>1771.3809999999999</v>
      </c>
      <c r="AC36" s="13">
        <f>SUM(AC30:AC35)+AC28</f>
        <v>1811.9590000000003</v>
      </c>
      <c r="AD36" s="13">
        <f>SUM(AD30:AD35)+AD28</f>
        <v>1859.3810000000001</v>
      </c>
      <c r="AE36" s="13">
        <f>SUM(AE30:AE35)+AE28</f>
        <v>1914.0720000000001</v>
      </c>
      <c r="AF36" s="2"/>
      <c r="AG36" s="13">
        <f>SUM(AG30:AG35)+AG28</f>
        <v>1938.2779999999998</v>
      </c>
      <c r="AH36" s="13">
        <f>SUM(AH30:AH35)+AH28</f>
        <v>2047.9929999999999</v>
      </c>
      <c r="AI36" s="13">
        <f>SUM(AI30:AI35)+AI28</f>
        <v>2034.1270000000004</v>
      </c>
      <c r="AJ36" s="13">
        <f>SUM(AJ30:AJ35)+AJ28</f>
        <v>2021.6089999999999</v>
      </c>
      <c r="AK36" s="2"/>
      <c r="AL36" s="13">
        <f>SUM(AL30:AL35)+AL28</f>
        <v>2019.4640000000002</v>
      </c>
      <c r="AM36" s="13">
        <f>SUM(AM30:AM35)+AM28</f>
        <v>1852.4770000000001</v>
      </c>
      <c r="AN36" s="13">
        <f>SUM(AN30:AN35)+AN28</f>
        <v>1839.41</v>
      </c>
      <c r="AO36" s="13">
        <f>SUM(AO30:AO35)+AO28</f>
        <v>1859.7650000000001</v>
      </c>
      <c r="AP36" s="2"/>
      <c r="AQ36" s="13">
        <f>SUM(AQ30:AQ35)+AQ28</f>
        <v>1886.2860000000001</v>
      </c>
      <c r="AR36" s="13">
        <f>SUM(AR30:AR35)+AR28</f>
        <v>1913.7190000000001</v>
      </c>
      <c r="AS36" s="13">
        <f>SUM(AS30:AS35)+AS28</f>
        <v>1913.787</v>
      </c>
      <c r="AT36" s="13">
        <f>SUM(AT30:AT35)+AT28</f>
        <v>1991.63</v>
      </c>
      <c r="AU36" s="2"/>
      <c r="AV36" s="13">
        <f>SUM(AV30:AV35)+AV28</f>
        <v>1974.277</v>
      </c>
      <c r="AW36" s="13">
        <f>SUM(AW30:AW35)+AW28</f>
        <v>2113.7000000000003</v>
      </c>
      <c r="AX36" s="13">
        <f>SUM(AX30:AX35)+AX28</f>
        <v>2837.3059999999996</v>
      </c>
      <c r="AY36" s="13">
        <f>SUM(AY30:AY35)+AY28</f>
        <v>2976.9759999999997</v>
      </c>
      <c r="AZ36" s="2"/>
      <c r="BA36" s="13">
        <f>SUM(BA30:BA35)+BA28</f>
        <v>3191.6122438780708</v>
      </c>
      <c r="BB36" s="13">
        <f>SUM(BB30:BB35)+BB28</f>
        <v>3264.7496203612986</v>
      </c>
      <c r="BC36" s="13">
        <f>SUM(BC30:BC35)+BC28</f>
        <v>3390.1127772097561</v>
      </c>
      <c r="BD36" s="13">
        <f>SUM(BD30:BD35)+BD28</f>
        <v>3493.9928181629721</v>
      </c>
      <c r="BE36" s="13">
        <f t="shared" ref="BE36:BI36" si="43">SUM(BE30:BE35)+BE28</f>
        <v>3571.8273590711201</v>
      </c>
      <c r="BF36" s="13">
        <f t="shared" si="43"/>
        <v>3653.5536270246766</v>
      </c>
      <c r="BG36" s="13">
        <f t="shared" si="43"/>
        <v>3739.3662083759104</v>
      </c>
      <c r="BH36" s="13">
        <f t="shared" si="43"/>
        <v>3829.4694187947061</v>
      </c>
      <c r="BI36" s="13">
        <f t="shared" si="43"/>
        <v>3924.0777897344415</v>
      </c>
    </row>
    <row r="37" spans="2:61">
      <c r="C37" s="10"/>
      <c r="D37" s="10"/>
      <c r="E37" s="10"/>
      <c r="F37" s="10"/>
      <c r="G37" s="1"/>
      <c r="H37" s="10"/>
      <c r="I37" s="10"/>
      <c r="L37" s="1"/>
      <c r="M37" s="10"/>
      <c r="N37" s="10"/>
      <c r="O37" s="10"/>
      <c r="P37" s="10"/>
      <c r="Q37" s="1"/>
      <c r="R37" s="10"/>
      <c r="S37" s="10"/>
      <c r="T37" s="10"/>
      <c r="U37" s="10"/>
      <c r="V37" s="1"/>
      <c r="W37" s="1"/>
      <c r="X37" s="1"/>
      <c r="Y37" s="1"/>
      <c r="Z37" s="1"/>
      <c r="AA37" s="1"/>
      <c r="AB37" s="10"/>
      <c r="AC37" s="10"/>
      <c r="AF37" s="1"/>
      <c r="AK37" s="1"/>
      <c r="AP37" s="1"/>
      <c r="AU37" s="1"/>
      <c r="AZ37" s="1"/>
    </row>
    <row r="38" spans="2:61">
      <c r="B38" s="8" t="s">
        <v>42</v>
      </c>
      <c r="C38" s="11">
        <v>-2.089</v>
      </c>
      <c r="D38" s="11">
        <v>0.77100000000000002</v>
      </c>
      <c r="E38" s="11">
        <v>4.38</v>
      </c>
      <c r="F38" s="11">
        <v>11.32</v>
      </c>
      <c r="G38" s="25"/>
      <c r="H38" s="11">
        <v>35.048999999999999</v>
      </c>
      <c r="I38" s="11">
        <v>103.839</v>
      </c>
      <c r="J38" s="11">
        <v>134.12299999999999</v>
      </c>
      <c r="K38" s="11">
        <v>152.26499999999999</v>
      </c>
      <c r="L38" s="25"/>
      <c r="M38" s="11">
        <v>158.702</v>
      </c>
      <c r="N38" s="11">
        <v>172.62799999999999</v>
      </c>
      <c r="O38" s="11">
        <v>198.767</v>
      </c>
      <c r="P38" s="11">
        <v>207.749</v>
      </c>
      <c r="Q38" s="25"/>
      <c r="R38" s="11">
        <v>210.92400000000001</v>
      </c>
      <c r="S38" s="11">
        <v>204.839</v>
      </c>
      <c r="T38" s="11">
        <v>267.49700000000001</v>
      </c>
      <c r="U38" s="11">
        <v>250.34200000000001</v>
      </c>
      <c r="V38" s="25"/>
      <c r="W38" s="25"/>
      <c r="X38" s="25"/>
      <c r="Y38" s="25"/>
      <c r="Z38" s="25"/>
      <c r="AA38" s="25"/>
      <c r="AB38" s="11">
        <f>AB19-AB36</f>
        <v>213.82799999999975</v>
      </c>
      <c r="AC38" s="11">
        <f t="shared" ref="AC38:BI38" si="44">AC19-AC36</f>
        <v>304.8449999999998</v>
      </c>
      <c r="AD38" s="11">
        <v>195.75399999999999</v>
      </c>
      <c r="AE38" s="11">
        <v>145.715</v>
      </c>
      <c r="AF38" s="25"/>
      <c r="AG38" s="11">
        <v>-2.4830000000000001</v>
      </c>
      <c r="AH38" s="11">
        <v>-89.563999999999993</v>
      </c>
      <c r="AI38" s="11">
        <v>-64.415999999999997</v>
      </c>
      <c r="AJ38" s="11">
        <v>-262.24200000000002</v>
      </c>
      <c r="AK38" s="25"/>
      <c r="AL38" s="11">
        <v>-216.93299999999999</v>
      </c>
      <c r="AM38" s="11">
        <v>-177.17099999999999</v>
      </c>
      <c r="AN38" s="11">
        <v>-94.741</v>
      </c>
      <c r="AO38" s="11">
        <v>-54.484999999999999</v>
      </c>
      <c r="AP38" s="25"/>
      <c r="AQ38" s="11">
        <v>-194.20599999999999</v>
      </c>
      <c r="AR38" s="11">
        <v>-322.70999999999998</v>
      </c>
      <c r="AS38" s="11">
        <v>-199.30699999999999</v>
      </c>
      <c r="AT38" s="11">
        <v>-78.786000000000001</v>
      </c>
      <c r="AU38" s="25"/>
      <c r="AV38" s="11">
        <v>-168.61699999999999</v>
      </c>
      <c r="AW38" s="11">
        <v>-117.663</v>
      </c>
      <c r="AX38" s="11">
        <v>-278.76499999999999</v>
      </c>
      <c r="AY38" s="11">
        <f t="shared" ref="AY38:BA38" si="45">AY19-AY36</f>
        <v>-366.0019999999995</v>
      </c>
      <c r="AZ38" s="25"/>
      <c r="BA38" s="18">
        <f t="shared" si="45"/>
        <v>-564.61016803851953</v>
      </c>
      <c r="BB38" s="18">
        <f t="shared" ref="BB38:BD38" si="46">BB19-BB36</f>
        <v>-824.70668150356641</v>
      </c>
      <c r="BC38" s="18">
        <f t="shared" si="46"/>
        <v>-1125.9334990928487</v>
      </c>
      <c r="BD38" s="18">
        <f t="shared" si="46"/>
        <v>-1412.3719031619858</v>
      </c>
      <c r="BE38" s="18">
        <f t="shared" si="44"/>
        <v>-1239.255931856876</v>
      </c>
      <c r="BF38" s="18">
        <f t="shared" si="44"/>
        <v>-562.62677961689906</v>
      </c>
      <c r="BG38" s="18">
        <f t="shared" si="44"/>
        <v>229.5414658609343</v>
      </c>
      <c r="BH38" s="18">
        <f t="shared" si="44"/>
        <v>1134.9903920104125</v>
      </c>
      <c r="BI38" s="18">
        <f t="shared" si="44"/>
        <v>2150.5795089020048</v>
      </c>
    </row>
    <row r="39" spans="2:61" s="12" customFormat="1">
      <c r="B39" s="12" t="s">
        <v>43</v>
      </c>
      <c r="C39" s="13">
        <f>C38+C36</f>
        <v>257.435</v>
      </c>
      <c r="D39" s="13">
        <f>D38+D36</f>
        <v>282.76499999999999</v>
      </c>
      <c r="E39" s="13">
        <f>E38+E36</f>
        <v>307.17599999999993</v>
      </c>
      <c r="F39" s="13">
        <f>F38+F36</f>
        <v>330.01299999999998</v>
      </c>
      <c r="H39" s="13">
        <f>H38+H36</f>
        <v>358.68200000000002</v>
      </c>
      <c r="I39" s="13">
        <f>I38+I36</f>
        <v>736.16799999999989</v>
      </c>
      <c r="J39" s="13">
        <f>J38+J36</f>
        <v>814.60899999999992</v>
      </c>
      <c r="K39" s="13">
        <f>K38+K36</f>
        <v>844.75</v>
      </c>
      <c r="M39" s="13">
        <f>M38+M36</f>
        <v>953.33299999999997</v>
      </c>
      <c r="N39" s="13">
        <f>N38+N36</f>
        <v>997.07400000000007</v>
      </c>
      <c r="O39" s="13">
        <f>O38+O36</f>
        <v>1036.1389999999999</v>
      </c>
      <c r="P39" s="13">
        <f>P38+P36</f>
        <v>1099.6669999999999</v>
      </c>
      <c r="R39" s="13">
        <f>R38+R36</f>
        <v>1164.816</v>
      </c>
      <c r="S39" s="13">
        <f>S38+S36</f>
        <v>1241.2509999999997</v>
      </c>
      <c r="T39" s="13">
        <f>T38+T36</f>
        <v>1795.125</v>
      </c>
      <c r="U39" s="13">
        <f>U38+U36</f>
        <v>1826.817</v>
      </c>
      <c r="AB39" s="13">
        <f>AB38+AB36</f>
        <v>1985.2089999999996</v>
      </c>
      <c r="AC39" s="13">
        <f>AC38+AC36</f>
        <v>2116.8040000000001</v>
      </c>
      <c r="AD39" s="13">
        <f>AD38+AD36</f>
        <v>2055.1350000000002</v>
      </c>
      <c r="AE39" s="13">
        <f>AE38+AE36</f>
        <v>2059.7870000000003</v>
      </c>
      <c r="AG39" s="13">
        <f>AG38+AG36</f>
        <v>1935.7949999999998</v>
      </c>
      <c r="AH39" s="13">
        <f>AH38+AH36</f>
        <v>1958.4289999999999</v>
      </c>
      <c r="AI39" s="13">
        <f>AI38+AI36</f>
        <v>1969.7110000000005</v>
      </c>
      <c r="AJ39" s="13">
        <f>AJ38+AJ36</f>
        <v>1759.367</v>
      </c>
      <c r="AL39" s="13">
        <f>AL38+AL36</f>
        <v>1802.5310000000002</v>
      </c>
      <c r="AM39" s="13">
        <f>AM38+AM36</f>
        <v>1675.306</v>
      </c>
      <c r="AN39" s="13">
        <f>AN38+AN36</f>
        <v>1744.6690000000001</v>
      </c>
      <c r="AO39" s="13">
        <f>AO38+AO36</f>
        <v>1805.2800000000002</v>
      </c>
      <c r="AP39" s="13"/>
      <c r="AQ39" s="13">
        <f>AQ38+AQ36</f>
        <v>1692.0800000000002</v>
      </c>
      <c r="AR39" s="13">
        <f>AR38+AR36</f>
        <v>1591.009</v>
      </c>
      <c r="AS39" s="13">
        <f>AS38+AS36</f>
        <v>1714.48</v>
      </c>
      <c r="AT39" s="13">
        <f>AT38+AT36</f>
        <v>1912.8440000000001</v>
      </c>
      <c r="AU39" s="13"/>
      <c r="AV39" s="13">
        <f>AV38+AV36</f>
        <v>1805.66</v>
      </c>
      <c r="AW39" s="13">
        <f>AW38+AW36</f>
        <v>1996.0370000000003</v>
      </c>
      <c r="AX39" s="13">
        <f>AX38+AX36</f>
        <v>2558.5409999999997</v>
      </c>
      <c r="AY39" s="13">
        <f>AY38+AY36</f>
        <v>2610.9740000000002</v>
      </c>
      <c r="AZ39" s="13"/>
      <c r="BA39" s="13">
        <f>BA38+BA36</f>
        <v>2627.0020758395513</v>
      </c>
      <c r="BB39" s="13">
        <f>BB38+BB36</f>
        <v>2440.0429388577322</v>
      </c>
      <c r="BC39" s="13">
        <f>BC38+BC36</f>
        <v>2264.1792781169074</v>
      </c>
      <c r="BD39" s="13">
        <f>BD38+BD36</f>
        <v>2081.6209150009863</v>
      </c>
      <c r="BE39" s="13">
        <f t="shared" ref="BE39:BI39" si="47">BE38+BE36</f>
        <v>2332.5714272142441</v>
      </c>
      <c r="BF39" s="13">
        <f t="shared" si="47"/>
        <v>3090.9268474077776</v>
      </c>
      <c r="BG39" s="13">
        <f t="shared" si="47"/>
        <v>3968.9076742368447</v>
      </c>
      <c r="BH39" s="13">
        <f t="shared" si="47"/>
        <v>4964.4598108051187</v>
      </c>
      <c r="BI39" s="13">
        <f t="shared" si="47"/>
        <v>6074.6572986364463</v>
      </c>
    </row>
    <row r="41" spans="2:61">
      <c r="B41" s="8" t="s">
        <v>44</v>
      </c>
      <c r="C41" s="6">
        <f>'Income Statement'!H78</f>
        <v>55.499403000000001</v>
      </c>
      <c r="D41" s="6">
        <f>'Income Statement'!I78</f>
        <v>55.874077</v>
      </c>
      <c r="E41" s="6">
        <f>'Income Statement'!J78</f>
        <v>52.983929000000003</v>
      </c>
      <c r="F41" s="6">
        <f>'Income Statement'!K78</f>
        <v>56.561900999999999</v>
      </c>
      <c r="G41" s="6"/>
      <c r="H41" s="6">
        <f>'Income Statement'!M78</f>
        <v>46.827424999999998</v>
      </c>
      <c r="I41" s="6">
        <f>'Income Statement'!N78</f>
        <v>47.689337000000002</v>
      </c>
      <c r="J41" s="6">
        <f>'Income Statement'!O78</f>
        <v>48.498392000000003</v>
      </c>
      <c r="K41" s="6">
        <f>'Income Statement'!P78</f>
        <v>49.053598999999998</v>
      </c>
      <c r="L41" s="6"/>
      <c r="M41" s="6">
        <f>'Income Statement'!R78</f>
        <v>49.562367000000002</v>
      </c>
      <c r="N41" s="6">
        <f>'Income Statement'!S78</f>
        <v>50.273017000000003</v>
      </c>
      <c r="O41" s="6">
        <f>'Income Statement'!T78</f>
        <v>50.862253000000003</v>
      </c>
      <c r="P41" s="6">
        <f>'Income Statement'!U78</f>
        <v>51.321154999999997</v>
      </c>
      <c r="Q41" s="6"/>
      <c r="R41" s="6">
        <f>'Income Statement'!W78</f>
        <v>51.838313999999997</v>
      </c>
      <c r="S41" s="6">
        <f>'Income Statement'!X78</f>
        <v>54.695476999999997</v>
      </c>
      <c r="T41" s="6">
        <f>'Income Statement'!Y78</f>
        <v>55.356960999999998</v>
      </c>
      <c r="U41" s="6">
        <f>'Income Statement'!Z78</f>
        <v>55.809471000000002</v>
      </c>
      <c r="V41" s="6"/>
      <c r="W41" s="6"/>
      <c r="X41" s="6"/>
      <c r="Y41" s="6"/>
      <c r="Z41" s="6"/>
      <c r="AA41" s="6"/>
      <c r="AB41" s="6">
        <f>'Income Statement'!AB78</f>
        <v>56.280560999999999</v>
      </c>
      <c r="AC41" s="6">
        <f>'Income Statement'!AC78</f>
        <v>64.948445000000007</v>
      </c>
      <c r="AD41" s="6">
        <f>'Income Statement'!AD78</f>
        <v>60.549852999999999</v>
      </c>
      <c r="AE41" s="6">
        <f>'Income Statement'!AE78</f>
        <v>64.200305</v>
      </c>
      <c r="AF41" s="6"/>
      <c r="AG41" s="6">
        <f>'Income Statement'!AG78</f>
        <v>65.377545999999995</v>
      </c>
      <c r="AH41" s="6">
        <f>'Income Statement'!AH78</f>
        <v>65.976765</v>
      </c>
      <c r="AI41" s="6">
        <f>'Income Statement'!AI78</f>
        <v>66.221503999999996</v>
      </c>
      <c r="AJ41" s="6">
        <f>'Income Statement'!AJ78</f>
        <v>65.644287000000006</v>
      </c>
      <c r="AK41" s="6"/>
      <c r="AL41" s="6">
        <f>'Income Statement'!AL78</f>
        <v>64.097184999999996</v>
      </c>
      <c r="AM41" s="6">
        <f>'Income Statement'!AM78</f>
        <v>65.432873000000001</v>
      </c>
      <c r="AN41" s="6">
        <f>'Income Statement'!AN78</f>
        <v>61.600715000000008</v>
      </c>
      <c r="AO41" s="6">
        <f>'Income Statement'!AO78</f>
        <v>62.149917000000002</v>
      </c>
      <c r="AP41" s="6"/>
      <c r="AQ41" s="6">
        <f>'Income Statement'!AQ78</f>
        <v>60.370131999999998</v>
      </c>
      <c r="AR41" s="6">
        <f>'Income Statement'!AR78</f>
        <v>59.526418</v>
      </c>
      <c r="AS41" s="6">
        <f>'Income Statement'!AS78</f>
        <v>58.166801</v>
      </c>
      <c r="AT41" s="6">
        <f>'Income Statement'!AT78</f>
        <v>62.658569999999997</v>
      </c>
      <c r="AU41" s="6"/>
      <c r="AV41" s="6">
        <f>'Income Statement'!AV78</f>
        <v>60.384509999999999</v>
      </c>
      <c r="AW41" s="6">
        <f>'Income Statement'!AW78</f>
        <v>59.650008</v>
      </c>
      <c r="AX41" s="6">
        <f>'Income Statement'!AX78</f>
        <v>59.395827999999995</v>
      </c>
      <c r="AY41" s="6">
        <f>'Income Statement'!AY78</f>
        <v>58.689500999999986</v>
      </c>
      <c r="AZ41" s="6"/>
      <c r="BA41" s="6">
        <f>'Income Statement'!BA78</f>
        <v>55.082517527058819</v>
      </c>
      <c r="BB41" s="6">
        <f>'Income Statement'!BB78</f>
        <v>51.898750421810533</v>
      </c>
      <c r="BC41" s="6">
        <f>'Income Statement'!BC78</f>
        <v>49.052310480722937</v>
      </c>
      <c r="BD41" s="6">
        <f>'Income Statement'!BD78</f>
        <v>46.480204680772175</v>
      </c>
      <c r="BE41" s="6">
        <f>'Income Statement'!BF78</f>
        <v>48.487913597444972</v>
      </c>
      <c r="BF41" s="6">
        <f>'Income Statement'!BG78</f>
        <v>49.606497512381097</v>
      </c>
      <c r="BG41" s="6">
        <f>'Income Statement'!BH78</f>
        <v>50.753046025190621</v>
      </c>
      <c r="BH41" s="6">
        <f>'Income Statement'!BI78</f>
        <v>51.928258250820377</v>
      </c>
      <c r="BI41" s="6">
        <f>'Income Statement'!BJ78</f>
        <v>53.132850782090884</v>
      </c>
    </row>
    <row r="42" spans="2:61">
      <c r="B42" s="8" t="s">
        <v>61</v>
      </c>
      <c r="C42" s="10">
        <f>C6+C9</f>
        <v>90.897000000000006</v>
      </c>
      <c r="D42" s="10">
        <f>D6+D9</f>
        <v>124.13200000000001</v>
      </c>
      <c r="E42" s="10">
        <f>E6+E9</f>
        <v>123.90300000000001</v>
      </c>
      <c r="F42" s="10">
        <f>F6+F9</f>
        <v>117.96000000000001</v>
      </c>
      <c r="G42" s="10"/>
      <c r="H42" s="10">
        <f>H6+H9</f>
        <v>136.47199999999998</v>
      </c>
      <c r="I42" s="10">
        <f>I6+I9</f>
        <v>387.27299999999997</v>
      </c>
      <c r="J42" s="10">
        <f>J6+J9</f>
        <v>389.20299999999997</v>
      </c>
      <c r="K42" s="10">
        <f>K6+K9</f>
        <v>354.04900000000004</v>
      </c>
      <c r="L42" s="10"/>
      <c r="M42" s="10">
        <f>M6+M9</f>
        <v>397.95100000000002</v>
      </c>
      <c r="N42" s="10">
        <f>N6+N9</f>
        <v>456.32499999999999</v>
      </c>
      <c r="O42" s="10">
        <f>O6+O9</f>
        <v>470.60900000000004</v>
      </c>
      <c r="P42" s="10">
        <f>P6+P9</f>
        <v>432.404</v>
      </c>
      <c r="Q42" s="10"/>
      <c r="R42" s="10">
        <f>R6+R9</f>
        <v>359.9</v>
      </c>
      <c r="S42" s="10">
        <f>S6+S9</f>
        <v>348.57399999999996</v>
      </c>
      <c r="T42" s="10">
        <f>T6+T9</f>
        <v>458.19899999999996</v>
      </c>
      <c r="U42" s="10">
        <f>U6+U9</f>
        <v>458.78500000000003</v>
      </c>
      <c r="V42" s="10"/>
      <c r="W42" s="10"/>
      <c r="X42" s="10"/>
      <c r="Y42" s="10"/>
      <c r="Z42" s="10"/>
      <c r="AA42" s="10"/>
      <c r="AB42" s="10">
        <f>AB6+AB9</f>
        <v>685.10300000000007</v>
      </c>
      <c r="AC42" s="10">
        <f>AC6+AC9</f>
        <v>713.87699999999995</v>
      </c>
      <c r="AD42" s="10">
        <f>AD6+AD9</f>
        <v>704.303</v>
      </c>
      <c r="AE42" s="10">
        <f>AE6+AE9</f>
        <v>907.87</v>
      </c>
      <c r="AF42" s="10"/>
      <c r="AG42" s="10">
        <f>AG6+AG9</f>
        <v>742.98900000000003</v>
      </c>
      <c r="AH42" s="10">
        <f>AH6+AH9</f>
        <v>595.23599999999999</v>
      </c>
      <c r="AI42" s="10">
        <f>AI6+AI9</f>
        <v>700.024</v>
      </c>
      <c r="AJ42" s="10">
        <f>AJ6+AJ9</f>
        <v>537.13499999999999</v>
      </c>
      <c r="AK42" s="10"/>
      <c r="AL42" s="10">
        <f>AL6+AL9</f>
        <v>624.58899999999994</v>
      </c>
      <c r="AM42" s="10">
        <f>AM6+AM9</f>
        <v>652.495</v>
      </c>
      <c r="AN42" s="10">
        <f>AN6+AN9</f>
        <v>673.78399999999999</v>
      </c>
      <c r="AO42" s="10">
        <f>AO6+AO9</f>
        <v>750.18499999999995</v>
      </c>
      <c r="AP42" s="10"/>
      <c r="AQ42" s="10">
        <f>AQ6+AQ9</f>
        <v>640.23299999999995</v>
      </c>
      <c r="AR42" s="10">
        <f>AR6+AR9</f>
        <v>546.17100000000005</v>
      </c>
      <c r="AS42" s="10">
        <f>AS6+AS9</f>
        <v>784.97199999999998</v>
      </c>
      <c r="AT42" s="10">
        <f>AT6+AT9</f>
        <v>999.53199999999993</v>
      </c>
      <c r="AU42" s="10"/>
      <c r="AV42" s="10">
        <f>AV6+AV9</f>
        <v>957.8309999999999</v>
      </c>
      <c r="AW42" s="10">
        <f>AW6+AW9</f>
        <v>1003.1030000000001</v>
      </c>
      <c r="AX42" s="10">
        <f>AX6+AX9</f>
        <v>1206.451</v>
      </c>
      <c r="AY42" s="10">
        <f>AY6+AY9</f>
        <v>800.7349999999999</v>
      </c>
      <c r="AZ42" s="10"/>
      <c r="BA42" s="10">
        <f>BA6+BA9</f>
        <v>850.42171143594692</v>
      </c>
      <c r="BB42" s="10">
        <f>BB6+BB9</f>
        <v>664.74110936559441</v>
      </c>
      <c r="BC42" s="10">
        <f>BC6+BC9</f>
        <v>500.43915691765591</v>
      </c>
      <c r="BD42" s="10">
        <f>BD6+BD9</f>
        <v>356.4559266658988</v>
      </c>
      <c r="BE42" s="10">
        <f t="shared" ref="BE42:BI42" si="48">BE6+BE9</f>
        <v>597.40643887915644</v>
      </c>
      <c r="BF42" s="10">
        <f t="shared" si="48"/>
        <v>1345.7618590726902</v>
      </c>
      <c r="BG42" s="10">
        <f t="shared" si="48"/>
        <v>2213.7426859017573</v>
      </c>
      <c r="BH42" s="10">
        <f t="shared" si="48"/>
        <v>3199.2948224700299</v>
      </c>
      <c r="BI42" s="10">
        <f t="shared" si="48"/>
        <v>4299.492310301358</v>
      </c>
    </row>
    <row r="43" spans="2:61">
      <c r="B43" s="8" t="s">
        <v>62</v>
      </c>
      <c r="C43" s="14">
        <f>C42/C41</f>
        <v>1.6378014012150726</v>
      </c>
      <c r="D43" s="14">
        <f>D42/D41</f>
        <v>2.2216384889901626</v>
      </c>
      <c r="E43" s="14">
        <f>E42/E41</f>
        <v>2.3385015482713634</v>
      </c>
      <c r="F43" s="14">
        <f>F42/F41</f>
        <v>2.085502748572754</v>
      </c>
      <c r="H43" s="14">
        <f>H42/H41</f>
        <v>2.9143605483325206</v>
      </c>
      <c r="I43" s="14">
        <f>I42/I41</f>
        <v>8.1207461533801553</v>
      </c>
      <c r="J43" s="14">
        <f>J42/J41</f>
        <v>8.0250701920179122</v>
      </c>
      <c r="K43" s="14">
        <f>K42/K41</f>
        <v>7.2175947783158589</v>
      </c>
      <c r="M43" s="14">
        <f>M42/M41</f>
        <v>8.0292977129199663</v>
      </c>
      <c r="N43" s="14">
        <f>N42/N41</f>
        <v>9.0769368387021601</v>
      </c>
      <c r="O43" s="14">
        <f>O42/O41</f>
        <v>9.2526180466288039</v>
      </c>
      <c r="P43" s="14">
        <f>P42/P41</f>
        <v>8.4254534022081149</v>
      </c>
      <c r="R43" s="14">
        <f>R42/R41</f>
        <v>6.9427412319004045</v>
      </c>
      <c r="S43" s="14">
        <f>S42/S41</f>
        <v>6.3729949736063176</v>
      </c>
      <c r="T43" s="14">
        <f>T42/T41</f>
        <v>8.2771704176462997</v>
      </c>
      <c r="U43" s="14">
        <f>U42/U41</f>
        <v>8.2205581199649789</v>
      </c>
      <c r="AB43" s="14">
        <f>AB42/AB41</f>
        <v>12.17299521943287</v>
      </c>
      <c r="AC43" s="14">
        <f>AC42/AC41</f>
        <v>10.991440980611619</v>
      </c>
      <c r="AD43" s="14">
        <f>AD42/AD41</f>
        <v>11.631787115981933</v>
      </c>
      <c r="AE43" s="14">
        <f>AE42/AE41</f>
        <v>14.141210076805709</v>
      </c>
      <c r="AG43" s="14">
        <f>AG42/AG41</f>
        <v>11.364589915932299</v>
      </c>
      <c r="AH43" s="14">
        <f>AH42/AH41</f>
        <v>9.0219033928080581</v>
      </c>
      <c r="AI43" s="14">
        <f>AI42/AI41</f>
        <v>10.5709468634237</v>
      </c>
      <c r="AJ43" s="14">
        <f>AJ42/AJ41</f>
        <v>8.1825094695597791</v>
      </c>
      <c r="AL43" s="14">
        <f>AL42/AL41</f>
        <v>9.7444060920928113</v>
      </c>
      <c r="AM43" s="14">
        <f>AM42/AM41</f>
        <v>9.9719754014163495</v>
      </c>
      <c r="AN43" s="14">
        <f>AN42/AN41</f>
        <v>10.937924989994027</v>
      </c>
      <c r="AO43" s="14">
        <f>AO42/AO41</f>
        <v>12.070571228598743</v>
      </c>
      <c r="AP43" s="14"/>
      <c r="AQ43" s="14">
        <f>AQ42/AQ41</f>
        <v>10.605128377059039</v>
      </c>
      <c r="AR43" s="14">
        <f>AR42/AR41</f>
        <v>9.175270717616506</v>
      </c>
      <c r="AS43" s="14">
        <f>AS42/AS41</f>
        <v>13.495189463831782</v>
      </c>
      <c r="AT43" s="14">
        <f>AT42/AT41</f>
        <v>15.95203976088187</v>
      </c>
      <c r="AU43" s="14"/>
      <c r="AV43" s="14">
        <f>AV42/AV41</f>
        <v>15.862197109821706</v>
      </c>
      <c r="AW43" s="14">
        <f>AW42/AW41</f>
        <v>16.816477208184114</v>
      </c>
      <c r="AX43" s="14">
        <f>AX42/AX41</f>
        <v>20.312049526441488</v>
      </c>
      <c r="AY43" s="14">
        <f>AY42/AY41</f>
        <v>13.643581668891683</v>
      </c>
      <c r="AZ43" s="14"/>
      <c r="BA43" s="14">
        <f>BA42/BA41</f>
        <v>15.439049441017007</v>
      </c>
      <c r="BB43" s="14">
        <f>BB42/BB41</f>
        <v>12.808422244521632</v>
      </c>
      <c r="BC43" s="14">
        <f>BC42/BC41</f>
        <v>10.202152600218973</v>
      </c>
      <c r="BD43" s="14">
        <f>BD42/BD41</f>
        <v>7.6689835837439135</v>
      </c>
      <c r="BE43" s="14">
        <f t="shared" ref="BE43:BI43" si="49">BE42/BE41</f>
        <v>12.320728910691596</v>
      </c>
      <c r="BF43" s="14">
        <f t="shared" si="49"/>
        <v>27.128741728577122</v>
      </c>
      <c r="BG43" s="14">
        <f t="shared" si="49"/>
        <v>43.617927578238252</v>
      </c>
      <c r="BH43" s="14">
        <f t="shared" si="49"/>
        <v>61.609900471088622</v>
      </c>
      <c r="BI43" s="14">
        <f t="shared" si="49"/>
        <v>80.919661697327143</v>
      </c>
    </row>
    <row r="45" spans="2:61">
      <c r="B45" s="8" t="s">
        <v>65</v>
      </c>
      <c r="C45" s="10">
        <f>'Income Statement'!H13</f>
        <v>92.54</v>
      </c>
      <c r="D45" s="10">
        <f>'Income Statement'!I13</f>
        <v>103.52</v>
      </c>
      <c r="E45" s="10">
        <f>'Income Statement'!J13</f>
        <v>111.03</v>
      </c>
      <c r="F45" s="10">
        <f>'Income Statement'!K13</f>
        <v>118.54</v>
      </c>
      <c r="H45" s="10">
        <f>'Income Statement'!M13</f>
        <v>137.77500000000001</v>
      </c>
      <c r="I45" s="10">
        <f>'Income Statement'!N13</f>
        <v>146.13200000000001</v>
      </c>
      <c r="J45" s="10">
        <f>'Income Statement'!O13</f>
        <v>155.60000000000002</v>
      </c>
      <c r="K45" s="10">
        <f>'Income Statement'!P13</f>
        <v>164.197</v>
      </c>
      <c r="M45" s="10">
        <f>'Income Statement'!R13</f>
        <v>174.29</v>
      </c>
      <c r="N45" s="10">
        <f>'Income Statement'!S13</f>
        <v>185.41900000000001</v>
      </c>
      <c r="O45" s="10">
        <f>'Income Statement'!T13</f>
        <v>196.791</v>
      </c>
      <c r="P45" s="10">
        <f>'Income Statement'!U13</f>
        <v>204.58799999999999</v>
      </c>
      <c r="R45" s="10">
        <f>'Income Statement'!W13</f>
        <v>215.98699999999999</v>
      </c>
      <c r="S45" s="10">
        <f>'Income Statement'!X13</f>
        <v>236.05900000000003</v>
      </c>
      <c r="T45" s="10">
        <f>'Income Statement'!Y13</f>
        <v>254.18</v>
      </c>
      <c r="U45" s="10">
        <f>'Income Statement'!Z13</f>
        <v>282.53399999999999</v>
      </c>
      <c r="AB45" s="10">
        <f>'Income Statement'!AB13</f>
        <v>304.11200000000002</v>
      </c>
      <c r="AC45" s="10">
        <f>'Income Statement'!AC13</f>
        <v>316.40600000000001</v>
      </c>
      <c r="AD45" s="10">
        <f>'Income Statement'!AD13</f>
        <v>320.79700000000003</v>
      </c>
      <c r="AE45" s="10">
        <f>'Income Statement'!AE13</f>
        <v>328.34199999999998</v>
      </c>
      <c r="AG45" s="10">
        <f>'Income Statement'!AG13</f>
        <v>341.59699999999998</v>
      </c>
      <c r="AH45" s="10">
        <f>'Income Statement'!AH13</f>
        <v>345.22400000000005</v>
      </c>
      <c r="AI45" s="10">
        <f>'Income Statement'!AI13</f>
        <v>345.80499999999995</v>
      </c>
      <c r="AJ45" s="10">
        <f>'Income Statement'!AJ13</f>
        <v>355.03999999999996</v>
      </c>
      <c r="AL45" s="10">
        <f>'Income Statement'!AL13</f>
        <v>374.07600000000002</v>
      </c>
      <c r="AM45" s="10">
        <f>'Income Statement'!AM13</f>
        <v>389.97699999999998</v>
      </c>
      <c r="AN45" s="10">
        <f>'Income Statement'!AN13</f>
        <v>393.84100000000001</v>
      </c>
      <c r="AO45" s="10">
        <f>'Income Statement'!AO13</f>
        <v>403.77100000000002</v>
      </c>
      <c r="AP45" s="10"/>
      <c r="AQ45" s="10">
        <f>'Income Statement'!AQ13</f>
        <v>419.77600000000001</v>
      </c>
      <c r="AR45" s="10">
        <f>'Income Statement'!AR13</f>
        <v>435.74599999999998</v>
      </c>
      <c r="AS45" s="10">
        <f>'Income Statement'!AS13</f>
        <v>444.673</v>
      </c>
      <c r="AT45" s="10">
        <f>'Income Statement'!AT13</f>
        <v>460.45500000000004</v>
      </c>
      <c r="AU45" s="10"/>
      <c r="AV45" s="10">
        <f>'Income Statement'!AV13</f>
        <v>473.65099999999995</v>
      </c>
      <c r="AW45" s="10">
        <f>'Income Statement'!AW13</f>
        <v>489.93</v>
      </c>
      <c r="AX45" s="10">
        <f>'Income Statement'!AX13</f>
        <v>505.19399999999996</v>
      </c>
      <c r="AY45" s="10">
        <f>'Income Statement'!AY13</f>
        <v>524.26900000000001</v>
      </c>
      <c r="AZ45" s="10"/>
      <c r="BA45" s="10">
        <f>'Income Statement'!BA13</f>
        <v>541.82232472297301</v>
      </c>
      <c r="BB45" s="10">
        <f>'Income Statement'!BB13</f>
        <v>563.34134284932429</v>
      </c>
      <c r="BC45" s="10">
        <f>'Income Statement'!BC13</f>
        <v>586.52044867500001</v>
      </c>
      <c r="BD45" s="10">
        <f>'Income Statement'!BD13</f>
        <v>612.69679687500002</v>
      </c>
      <c r="BE45" s="10"/>
      <c r="BF45" s="10"/>
      <c r="BG45" s="10"/>
      <c r="BH45" s="10"/>
      <c r="BI45" s="10"/>
    </row>
    <row r="46" spans="2:61">
      <c r="B46" s="8" t="s">
        <v>70</v>
      </c>
      <c r="C46" s="10">
        <f>+'Income Statement'!H23</f>
        <v>14.329000000000001</v>
      </c>
      <c r="D46" s="10">
        <f>+'Income Statement'!I23</f>
        <v>16.29</v>
      </c>
      <c r="E46" s="10">
        <f>+'Income Statement'!J23</f>
        <v>17.286999999999999</v>
      </c>
      <c r="F46" s="10">
        <f>+'Income Statement'!K23</f>
        <v>18.021999999999998</v>
      </c>
      <c r="H46" s="10">
        <f>+'Income Statement'!M23</f>
        <v>27.965</v>
      </c>
      <c r="I46" s="10">
        <f>+'Income Statement'!N23</f>
        <v>29.35</v>
      </c>
      <c r="J46" s="10">
        <f>+'Income Statement'!O23</f>
        <v>31.874999999999996</v>
      </c>
      <c r="K46" s="10">
        <f>+'Income Statement'!P23</f>
        <v>33.338999999999999</v>
      </c>
      <c r="M46" s="10">
        <f>+'Income Statement'!R23</f>
        <v>38.404000000000003</v>
      </c>
      <c r="N46" s="10">
        <f>+'Income Statement'!S23</f>
        <v>45.225999999999999</v>
      </c>
      <c r="O46" s="10">
        <f>+'Income Statement'!T23</f>
        <v>51.77</v>
      </c>
      <c r="P46" s="10">
        <f>+'Income Statement'!U23</f>
        <v>55.652999999999999</v>
      </c>
      <c r="R46" s="10">
        <f>+'Income Statement'!W23</f>
        <v>60.439</v>
      </c>
      <c r="S46" s="10">
        <f>+'Income Statement'!X23</f>
        <v>68.613</v>
      </c>
      <c r="T46" s="10">
        <f>+'Income Statement'!Y23</f>
        <v>77.385000000000005</v>
      </c>
      <c r="U46" s="10">
        <f>+'Income Statement'!Z23</f>
        <v>100.13500000000001</v>
      </c>
      <c r="AB46" s="10">
        <f>+'Income Statement'!AB23</f>
        <v>112.33099999999999</v>
      </c>
      <c r="AC46" s="10">
        <f>+'Income Statement'!AC23</f>
        <v>117.61</v>
      </c>
      <c r="AD46" s="10">
        <f>+'Income Statement'!AD23</f>
        <v>118.47199999999999</v>
      </c>
      <c r="AE46" s="10">
        <f>+'Income Statement'!AE23</f>
        <v>124.70400000000001</v>
      </c>
      <c r="AG46" s="10">
        <f>+'Income Statement'!AG23</f>
        <v>129.67599999999999</v>
      </c>
      <c r="AH46" s="10">
        <f>+'Income Statement'!AH23</f>
        <v>129.48400000000004</v>
      </c>
      <c r="AI46" s="10">
        <f>+'Income Statement'!AI23</f>
        <v>122.67999999999995</v>
      </c>
      <c r="AJ46" s="10">
        <f>+'Income Statement'!AJ23</f>
        <v>123.46799999999996</v>
      </c>
      <c r="AL46" s="10">
        <f>+'Income Statement'!AL23</f>
        <v>124.54900000000004</v>
      </c>
      <c r="AM46" s="10">
        <f>+'Income Statement'!AM23</f>
        <v>123.565</v>
      </c>
      <c r="AN46" s="10">
        <f>+'Income Statement'!AN23</f>
        <v>124.73700000000002</v>
      </c>
      <c r="AO46" s="10">
        <f>+'Income Statement'!AO23</f>
        <v>121.76600000000002</v>
      </c>
      <c r="AP46" s="10"/>
      <c r="AQ46" s="10">
        <f>+'Income Statement'!AQ23</f>
        <v>133.04000000000002</v>
      </c>
      <c r="AR46" s="10">
        <f>+'Income Statement'!AR23</f>
        <v>137.49</v>
      </c>
      <c r="AS46" s="10">
        <f>+'Income Statement'!AS23</f>
        <v>137.78699999999998</v>
      </c>
      <c r="AT46" s="10">
        <f>+'Income Statement'!AT23</f>
        <v>139.50300000000004</v>
      </c>
      <c r="AU46" s="10"/>
      <c r="AV46" s="10">
        <f>+'Income Statement'!AV23</f>
        <v>147.80499999999995</v>
      </c>
      <c r="AW46" s="10">
        <f>+'Income Statement'!AW23</f>
        <v>149.03700000000003</v>
      </c>
      <c r="AX46" s="10">
        <f>+'Income Statement'!AX23</f>
        <v>155.45399999999995</v>
      </c>
      <c r="AY46" s="10">
        <f>+'Income Statement'!AY23</f>
        <v>165.517</v>
      </c>
      <c r="AZ46" s="10"/>
      <c r="BA46" s="10">
        <f>+'Income Statement'!BA23</f>
        <v>179.70690290125884</v>
      </c>
      <c r="BB46" s="10">
        <f>+'Income Statement'!BB23</f>
        <v>183.15035589480439</v>
      </c>
      <c r="BC46" s="10">
        <f>+'Income Statement'!BC23</f>
        <v>185.95403730865849</v>
      </c>
      <c r="BD46" s="10">
        <f>+'Income Statement'!BD23</f>
        <v>191.73185135447159</v>
      </c>
      <c r="BE46" s="10"/>
      <c r="BF46" s="10"/>
      <c r="BG46" s="10"/>
      <c r="BH46" s="10"/>
      <c r="BI46" s="10"/>
    </row>
    <row r="47" spans="2:61">
      <c r="B47" s="8" t="s">
        <v>66</v>
      </c>
      <c r="C47" s="15">
        <v>90</v>
      </c>
      <c r="D47" s="15">
        <v>91</v>
      </c>
      <c r="E47" s="15">
        <v>92</v>
      </c>
      <c r="F47" s="15">
        <v>92</v>
      </c>
      <c r="G47" s="15"/>
      <c r="H47" s="15">
        <v>90</v>
      </c>
      <c r="I47" s="15">
        <v>91</v>
      </c>
      <c r="J47" s="15">
        <v>92</v>
      </c>
      <c r="K47" s="15">
        <v>92</v>
      </c>
      <c r="L47" s="15"/>
      <c r="M47" s="15">
        <v>90</v>
      </c>
      <c r="N47" s="15">
        <v>91</v>
      </c>
      <c r="O47" s="15">
        <v>92</v>
      </c>
      <c r="P47" s="15">
        <v>92</v>
      </c>
      <c r="Q47" s="15"/>
      <c r="R47" s="15">
        <v>91</v>
      </c>
      <c r="S47" s="15">
        <v>91</v>
      </c>
      <c r="T47" s="15">
        <v>92</v>
      </c>
      <c r="U47" s="15">
        <v>92</v>
      </c>
      <c r="V47" s="15"/>
      <c r="W47" s="15"/>
      <c r="X47" s="15"/>
      <c r="Y47" s="15"/>
      <c r="Z47" s="15"/>
      <c r="AA47" s="15"/>
      <c r="AB47" s="15">
        <v>91</v>
      </c>
      <c r="AC47" s="15">
        <v>91</v>
      </c>
      <c r="AD47" s="15">
        <v>92</v>
      </c>
      <c r="AE47" s="15">
        <v>92</v>
      </c>
      <c r="AF47" s="15"/>
      <c r="AG47" s="15">
        <v>91</v>
      </c>
      <c r="AH47" s="15">
        <v>91</v>
      </c>
      <c r="AI47" s="15">
        <v>92</v>
      </c>
      <c r="AJ47" s="15">
        <v>92</v>
      </c>
      <c r="AK47" s="15"/>
      <c r="AL47" s="15">
        <v>91</v>
      </c>
      <c r="AM47" s="15">
        <v>91</v>
      </c>
      <c r="AN47" s="15">
        <v>92</v>
      </c>
      <c r="AO47" s="15">
        <v>92</v>
      </c>
      <c r="AP47" s="15"/>
      <c r="AQ47" s="15">
        <v>91</v>
      </c>
      <c r="AR47" s="15">
        <v>92</v>
      </c>
      <c r="AS47" s="15">
        <v>92</v>
      </c>
      <c r="AT47" s="15">
        <v>92</v>
      </c>
      <c r="AU47" s="15"/>
      <c r="AV47" s="15">
        <v>92</v>
      </c>
      <c r="AW47" s="15">
        <v>92</v>
      </c>
      <c r="AX47" s="15">
        <v>92</v>
      </c>
      <c r="AY47" s="15">
        <v>92</v>
      </c>
      <c r="AZ47" s="15"/>
      <c r="BA47" s="15">
        <v>92</v>
      </c>
      <c r="BB47" s="15">
        <v>92</v>
      </c>
      <c r="BC47" s="15">
        <v>92</v>
      </c>
      <c r="BD47" s="15">
        <v>92</v>
      </c>
      <c r="BE47" s="15"/>
      <c r="BF47" s="15"/>
      <c r="BG47" s="15"/>
      <c r="BH47" s="15"/>
      <c r="BI47" s="15"/>
    </row>
    <row r="49" spans="2:61">
      <c r="B49" s="8" t="s">
        <v>63</v>
      </c>
      <c r="C49" s="16">
        <f>C10/C45*C47</f>
        <v>9.558245083207261</v>
      </c>
      <c r="D49" s="16">
        <f>D10/D45*D47</f>
        <v>7.6513137557959823</v>
      </c>
      <c r="E49" s="16">
        <f>E10/E45*E47</f>
        <v>9.560443123480141</v>
      </c>
      <c r="F49" s="16">
        <f>F10/F45*F47</f>
        <v>8.8476463640965086</v>
      </c>
      <c r="H49" s="16">
        <f>H10/H45*H47</f>
        <v>7.324115405552531</v>
      </c>
      <c r="I49" s="16">
        <f>I10/I45*I47</f>
        <v>5.4027591492623106</v>
      </c>
      <c r="J49" s="16">
        <f>J10/J45*J47</f>
        <v>8.5170951156812329</v>
      </c>
      <c r="K49" s="16">
        <f>K10/K45*K47</f>
        <v>7.5797730774618302</v>
      </c>
      <c r="M49" s="16">
        <f>M10/M45*M47</f>
        <v>9.4967582764358252</v>
      </c>
      <c r="N49" s="16">
        <f>N10/N45*N47</f>
        <v>8.946925611722639</v>
      </c>
      <c r="O49" s="16">
        <f>O10/O45*O47</f>
        <v>7.5739845826282703</v>
      </c>
      <c r="P49" s="16">
        <f>P10/P45*P47</f>
        <v>7.6387862435724481</v>
      </c>
      <c r="Q49" s="29"/>
      <c r="R49" s="16">
        <f>R10/R45*R47</f>
        <v>7.1898540189918849</v>
      </c>
      <c r="S49" s="16">
        <f>S10/S45*S47</f>
        <v>7.2589056125799036</v>
      </c>
      <c r="T49" s="16">
        <f>T10/T45*T47</f>
        <v>8.3823589582185836</v>
      </c>
      <c r="U49" s="16">
        <f>U10/U45*U47</f>
        <v>7.7075325447556766</v>
      </c>
      <c r="V49" s="29"/>
      <c r="W49" s="29"/>
      <c r="X49" s="29"/>
      <c r="Y49" s="29"/>
      <c r="Z49" s="29"/>
      <c r="AA49" s="29"/>
      <c r="AB49" s="16">
        <f>AB10/AB45*AB47</f>
        <v>8.9515211501025931</v>
      </c>
      <c r="AC49" s="16">
        <f>AC10/AC45*AC47</f>
        <v>8.4607687591259335</v>
      </c>
      <c r="AD49" s="16">
        <f>AD10/AD45*AD47</f>
        <v>8.026558851859587</v>
      </c>
      <c r="AE49" s="16">
        <f>AE10/AE45*AE47</f>
        <v>8.5087012931638366</v>
      </c>
      <c r="AF49" s="29"/>
      <c r="AG49" s="16">
        <f>AG10/AG45*AG47</f>
        <v>11.192885183417888</v>
      </c>
      <c r="AH49" s="28">
        <v>8</v>
      </c>
      <c r="AI49" s="28">
        <v>8</v>
      </c>
      <c r="AJ49" s="28">
        <v>8</v>
      </c>
      <c r="AK49" s="29"/>
      <c r="AL49" s="28">
        <v>8</v>
      </c>
      <c r="AM49" s="28">
        <v>8</v>
      </c>
      <c r="AN49" s="28">
        <v>8</v>
      </c>
      <c r="AO49" s="28">
        <v>8</v>
      </c>
      <c r="AP49" s="28"/>
      <c r="AQ49" s="28">
        <v>8</v>
      </c>
      <c r="AR49" s="28">
        <v>8</v>
      </c>
      <c r="AS49" s="28">
        <v>8</v>
      </c>
      <c r="AT49" s="28">
        <v>8</v>
      </c>
      <c r="AU49" s="28"/>
      <c r="AV49" s="28">
        <v>8</v>
      </c>
      <c r="AW49" s="28">
        <v>8</v>
      </c>
      <c r="AX49" s="28">
        <v>8</v>
      </c>
      <c r="AY49" s="28">
        <v>8</v>
      </c>
      <c r="AZ49" s="28"/>
      <c r="BA49" s="28">
        <v>8</v>
      </c>
      <c r="BB49" s="28">
        <v>8</v>
      </c>
      <c r="BC49" s="28">
        <v>8</v>
      </c>
      <c r="BD49" s="28">
        <v>8</v>
      </c>
      <c r="BE49" s="28"/>
      <c r="BF49" s="28"/>
      <c r="BG49" s="28"/>
      <c r="BH49" s="28"/>
      <c r="BI49" s="28"/>
    </row>
    <row r="50" spans="2:61">
      <c r="B50" s="8" t="s">
        <v>64</v>
      </c>
      <c r="C50" s="16">
        <f>C22/C46*C47</f>
        <v>165.04501360876543</v>
      </c>
      <c r="D50" s="16">
        <f>D22/D46*D47</f>
        <v>161.62694904849602</v>
      </c>
      <c r="E50" s="16">
        <f>E22/E46*E47</f>
        <v>221.50887950483022</v>
      </c>
      <c r="F50" s="16">
        <f>F22/F46*F47</f>
        <v>174.79081123071802</v>
      </c>
      <c r="H50" s="16">
        <f>H22/H46*H47</f>
        <v>110.37833005542642</v>
      </c>
      <c r="I50" s="16">
        <f>I22/I46*I47</f>
        <v>119.36037478705281</v>
      </c>
      <c r="J50" s="16">
        <f>J22/J46*J47</f>
        <v>115.05844705882353</v>
      </c>
      <c r="K50" s="16">
        <f>K22/K46*K47</f>
        <v>125.74354359758841</v>
      </c>
      <c r="M50" s="16">
        <f>M22/M46*M47</f>
        <v>115.92151859181334</v>
      </c>
      <c r="N50" s="16">
        <f>N22/N46*N47</f>
        <v>92.706275151461554</v>
      </c>
      <c r="O50" s="16">
        <f>O22/O46*O47</f>
        <v>85.680664477496606</v>
      </c>
      <c r="P50" s="16">
        <f>P22/P46*P47</f>
        <v>62.300397103480492</v>
      </c>
      <c r="Q50" s="29"/>
      <c r="R50" s="16">
        <f>R22/R46*R47</f>
        <v>70.222025513327495</v>
      </c>
      <c r="S50" s="16">
        <f>S22/S46*S47</f>
        <v>96.896637663416556</v>
      </c>
      <c r="T50" s="16">
        <f>T22/T46*T47</f>
        <v>83.631608192802219</v>
      </c>
      <c r="U50" s="16">
        <f>U22/U46*U47</f>
        <v>73.391441553902226</v>
      </c>
      <c r="V50" s="29"/>
      <c r="W50" s="29"/>
      <c r="X50" s="29"/>
      <c r="Y50" s="29"/>
      <c r="Z50" s="29"/>
      <c r="AA50" s="29"/>
      <c r="AB50" s="16">
        <f>AB22/AB46*AB47</f>
        <v>63.010842955194924</v>
      </c>
      <c r="AC50" s="16">
        <f>AC22/AC46*AC47</f>
        <v>62.931672476830208</v>
      </c>
      <c r="AD50" s="16">
        <f>AD22/AD46*AD47</f>
        <v>69.369640083732875</v>
      </c>
      <c r="AE50" s="16">
        <f>AE22/AE46*AE47</f>
        <v>84.53400051321529</v>
      </c>
      <c r="AF50" s="29"/>
      <c r="AG50" s="16">
        <f>AG22/AG46*AG47</f>
        <v>94.563481291835046</v>
      </c>
      <c r="AH50" s="28">
        <f>+AC50</f>
        <v>62.931672476830208</v>
      </c>
      <c r="AI50" s="28">
        <f>+AD50</f>
        <v>69.369640083732875</v>
      </c>
      <c r="AJ50" s="28">
        <f>+AE50</f>
        <v>84.53400051321529</v>
      </c>
      <c r="AK50" s="29"/>
      <c r="AL50" s="28">
        <f>+AG50</f>
        <v>94.563481291835046</v>
      </c>
      <c r="AM50" s="28">
        <f>+AH50</f>
        <v>62.931672476830208</v>
      </c>
      <c r="AN50" s="28">
        <f>+AI50</f>
        <v>69.369640083732875</v>
      </c>
      <c r="AO50" s="28">
        <f>+AJ50</f>
        <v>84.53400051321529</v>
      </c>
      <c r="AP50" s="28"/>
      <c r="AQ50" s="28">
        <f>+AL50</f>
        <v>94.563481291835046</v>
      </c>
      <c r="AR50" s="28">
        <f>+AM50</f>
        <v>62.931672476830208</v>
      </c>
      <c r="AS50" s="28">
        <f>+AN50</f>
        <v>69.369640083732875</v>
      </c>
      <c r="AT50" s="28">
        <f>+AO50</f>
        <v>84.53400051321529</v>
      </c>
      <c r="AU50" s="28"/>
      <c r="AV50" s="28">
        <f>+AQ50</f>
        <v>94.563481291835046</v>
      </c>
      <c r="AW50" s="28">
        <f>+AR50</f>
        <v>62.931672476830208</v>
      </c>
      <c r="AX50" s="28">
        <f>+AS50</f>
        <v>69.369640083732875</v>
      </c>
      <c r="AY50" s="28">
        <f>+AT50</f>
        <v>84.53400051321529</v>
      </c>
      <c r="AZ50" s="28"/>
      <c r="BA50" s="28">
        <f>+AV50</f>
        <v>94.563481291835046</v>
      </c>
      <c r="BB50" s="28">
        <f>+AW50</f>
        <v>62.931672476830208</v>
      </c>
      <c r="BC50" s="28">
        <f>+AX50</f>
        <v>69.369640083732875</v>
      </c>
      <c r="BD50" s="28">
        <f>+AY50</f>
        <v>84.53400051321529</v>
      </c>
      <c r="BE50" s="28"/>
      <c r="BF50" s="28"/>
      <c r="BG50" s="28"/>
      <c r="BH50" s="28"/>
      <c r="BI50" s="28"/>
    </row>
    <row r="52" spans="2:61">
      <c r="B52" s="8" t="s">
        <v>117</v>
      </c>
      <c r="C52" s="33">
        <f>(C6+C7+C9+C10)/C28</f>
        <v>0.70533273673934282</v>
      </c>
      <c r="D52" s="33">
        <f>(D6+D7+D9+D10)/D28</f>
        <v>0.73515683947509125</v>
      </c>
      <c r="E52" s="33">
        <f>(E6+E7+E9+E10)/E28</f>
        <v>0.77796734699644665</v>
      </c>
      <c r="F52" s="33">
        <f>(F6+F7+F9+F10)/F28</f>
        <v>0.80938286466411591</v>
      </c>
      <c r="H52" s="33">
        <f>(H6+H7+H9+H10)/H28</f>
        <v>0.88412639012828997</v>
      </c>
      <c r="I52" s="33">
        <f>(I6+I7+I9+I10)/I28</f>
        <v>1.9232629714238001</v>
      </c>
      <c r="J52" s="33">
        <f>(J6+J7+J9+J10)/J28</f>
        <v>2.1859631577056211</v>
      </c>
      <c r="K52" s="33">
        <f>(K6+K7+K9+K10)/K28</f>
        <v>2.1069645968042821</v>
      </c>
      <c r="M52" s="33">
        <f>(M6+M7+M9+M10)/M28</f>
        <v>1.9559569058568951</v>
      </c>
      <c r="N52" s="33">
        <f>(N6+N7+N9+N10)/N28</f>
        <v>1.8635319987573298</v>
      </c>
      <c r="O52" s="33">
        <f>(O6+O7+O9+O10)/O28</f>
        <v>1.8831724187192707</v>
      </c>
      <c r="P52" s="33">
        <f>(P6+P7+P9+P10)/P28</f>
        <v>1.6738190757925733</v>
      </c>
      <c r="R52" s="33">
        <f>(R6+R7+R9+R10)/R28</f>
        <v>1.4974455195319507</v>
      </c>
      <c r="S52" s="33">
        <f>(S6+S7+S9+S10)/S28</f>
        <v>1.365801500296669</v>
      </c>
      <c r="T52" s="33">
        <f>(T6+T7+T9+T10)/T28</f>
        <v>1.7237557779056603</v>
      </c>
      <c r="U52" s="33">
        <f>(U6+U7+U9+U10)/U28</f>
        <v>1.7173835174827106</v>
      </c>
      <c r="AB52" s="33">
        <f>(AB6+AB7+AB9+AB10)/AB28</f>
        <v>1.6456484759649184</v>
      </c>
      <c r="AC52" s="33">
        <f>(AC6+AC7+AC9+AC10)/AC28</f>
        <v>1.8394102920566819</v>
      </c>
      <c r="AD52" s="33">
        <f>(AD6+AD7+AD9+AD10)/AD28</f>
        <v>1.7680183463059596</v>
      </c>
      <c r="AE52" s="33">
        <f>(AE6+AE7+AE9+AE10)/AE28</f>
        <v>1.7434166173747057</v>
      </c>
      <c r="AG52" s="33">
        <f>(AG6+AG7+AG9+AG10)/AG28</f>
        <v>1.5075544730688253</v>
      </c>
      <c r="AH52" s="33">
        <f>(AH6+AH7+AH9+AH10)/AH28</f>
        <v>1.0069701204142627</v>
      </c>
      <c r="AI52" s="33">
        <f>(AI6+AI7+AI9+AI10)/AI28</f>
        <v>1.0523163157377404</v>
      </c>
      <c r="AJ52" s="33">
        <f>(AJ6+AJ7+AJ9+AJ10)/AJ28</f>
        <v>0.92866442889878975</v>
      </c>
      <c r="AL52" s="33">
        <f>(AL6+AL7+AL9+AL10)/AL28</f>
        <v>1.0023614906052485</v>
      </c>
      <c r="AM52" s="33">
        <f>(AM6+AM7+AM9+AM10)/AM28</f>
        <v>1.1159797042158912</v>
      </c>
      <c r="AN52" s="33">
        <f>(AN6+AN7+AN9+AN10)/AN28</f>
        <v>1.2238922516177622</v>
      </c>
      <c r="AO52" s="33">
        <f>(AO6+AO7+AO9+AO10)/AO28</f>
        <v>1.2912177682159014</v>
      </c>
      <c r="AP52" s="33"/>
      <c r="AQ52" s="33">
        <f>(AQ6+AQ7+AQ9+AQ10)/AQ28</f>
        <v>1.1541687419678157</v>
      </c>
      <c r="AR52" s="33">
        <f>(AR6+AR7+AR9+AR10)/AR28</f>
        <v>0.99285493011000281</v>
      </c>
      <c r="AS52" s="33">
        <f>(AS6+AS7+AS9+AS10)/AS28</f>
        <v>0.70209648073627084</v>
      </c>
      <c r="AT52" s="33">
        <f>(AT6+AT7+AT9+AT10)/AT28</f>
        <v>0.76064635094448696</v>
      </c>
      <c r="AU52" s="33"/>
      <c r="AV52" s="33">
        <f>(AV6+AV7+AV9+AV10)/AV28</f>
        <v>0.74584548051433053</v>
      </c>
      <c r="AW52" s="33">
        <f>(AW6+AW7+AW9+AW10)/AW28</f>
        <v>0.73983894020912844</v>
      </c>
      <c r="AX52" s="33">
        <f>(AX6+AX7+AX9+AX10)/AX28</f>
        <v>1.5291225303775162</v>
      </c>
      <c r="AY52" s="33">
        <f>(AY6+AY7+AY9+AY10)/AY28</f>
        <v>1.1032470806472054</v>
      </c>
      <c r="AZ52" s="33"/>
      <c r="BA52" s="33">
        <f>(BA6+BA7+BA9+BA10)/BA28</f>
        <v>0.96958840184531669</v>
      </c>
      <c r="BB52" s="33">
        <f>(BB6+BB7+BB9+BB10)/BB28</f>
        <v>0.78869496897162239</v>
      </c>
      <c r="BC52" s="33">
        <f>(BC6+BC7+BC9+BC10)/BC28</f>
        <v>0.61734504773330612</v>
      </c>
      <c r="BD52" s="33">
        <f>(BD6+BD7+BD9+BD10)/BD28</f>
        <v>0.49038070140198559</v>
      </c>
      <c r="BE52" s="33"/>
      <c r="BF52" s="33"/>
      <c r="BG52" s="33"/>
      <c r="BH52" s="33"/>
      <c r="BI52" s="33"/>
    </row>
    <row r="54" spans="2:61">
      <c r="B54" s="8" t="s">
        <v>45</v>
      </c>
      <c r="AL54" s="10">
        <f>+AJ6+AJ7+AJ8+AJ9+AJ16</f>
        <v>1272.096</v>
      </c>
      <c r="AM54" s="10">
        <f>+AL6+AL7+AL8+AL9+AL16</f>
        <v>1307.8789999999999</v>
      </c>
      <c r="AN54" s="10">
        <f t="shared" ref="AN54:AO54" si="50">+AM6+AM7+AM8+AM9+AM16</f>
        <v>933.66300000000001</v>
      </c>
      <c r="AO54" s="10">
        <f t="shared" si="50"/>
        <v>998.11500000000001</v>
      </c>
      <c r="AQ54" s="10">
        <f>+AO6+AO7+AO8+AO9+AO16</f>
        <v>1029.8249999999998</v>
      </c>
      <c r="AR54" s="10">
        <f>+AQ6+AQ7+AQ8+AQ9+AQ16</f>
        <v>918.46100000000001</v>
      </c>
      <c r="AS54" s="10">
        <f t="shared" ref="AS54:AY54" si="51">+AR6+AR7+AR8+AR9+AR16</f>
        <v>802.37599999999998</v>
      </c>
      <c r="AT54" s="10">
        <f t="shared" si="51"/>
        <v>969.63300000000004</v>
      </c>
      <c r="AV54" s="10">
        <f>+AT6+AT7+AT8+AT9+AT16</f>
        <v>1113.2839999999999</v>
      </c>
      <c r="AW54" s="10">
        <f t="shared" si="51"/>
        <v>1076.885</v>
      </c>
      <c r="AX54" s="10">
        <f t="shared" si="51"/>
        <v>1132.2549999999999</v>
      </c>
      <c r="AY54" s="10">
        <f t="shared" si="51"/>
        <v>1598.9959999999999</v>
      </c>
      <c r="BA54" s="10">
        <f>+AY6+AY7+AY8+AY9+AY16</f>
        <v>1660.4349999999999</v>
      </c>
      <c r="BB54" s="10">
        <f>+BA6+BA7+BA8+BA9+BA16</f>
        <v>1610.121711435947</v>
      </c>
      <c r="BC54" s="10">
        <f>+BB6+BB7+BB8+BB9+BB16</f>
        <v>1324.4411093655945</v>
      </c>
      <c r="BD54" s="10">
        <f>+BC6+BC7+BC8+BC9+BC16</f>
        <v>1060.1391569176558</v>
      </c>
      <c r="BE54" s="10">
        <f t="shared" ref="BE54:BI54" si="52">+BD6+BD7+BD8+BD9+BD16</f>
        <v>816.15592666589862</v>
      </c>
      <c r="BF54" s="10">
        <f t="shared" si="52"/>
        <v>1057.1064388791565</v>
      </c>
      <c r="BG54" s="10">
        <f t="shared" si="52"/>
        <v>1805.46185907269</v>
      </c>
      <c r="BH54" s="10">
        <f t="shared" si="52"/>
        <v>2673.4426859017572</v>
      </c>
      <c r="BI54" s="10">
        <f t="shared" si="52"/>
        <v>3658.9948224700297</v>
      </c>
    </row>
    <row r="55" spans="2:61">
      <c r="B55" s="8" t="s">
        <v>291</v>
      </c>
      <c r="AL55" s="10">
        <f>+'Income Statement'!AL46</f>
        <v>21.376999999999999</v>
      </c>
      <c r="AM55" s="10">
        <f>+'Income Statement'!AM46</f>
        <v>20.053000000000001</v>
      </c>
      <c r="AN55" s="10">
        <f>+'Income Statement'!AN46</f>
        <v>14.583</v>
      </c>
      <c r="AO55" s="10">
        <f>+'Income Statement'!AO46</f>
        <v>6.4610000000000003</v>
      </c>
      <c r="AP55" s="10"/>
      <c r="AQ55" s="10">
        <f>+'Income Statement'!AQ46</f>
        <v>18.884</v>
      </c>
      <c r="AR55" s="10">
        <f>+'Income Statement'!AR46</f>
        <v>12.382999999999999</v>
      </c>
      <c r="AS55" s="10">
        <f>+'Income Statement'!AS46</f>
        <v>4.1980000000000004</v>
      </c>
      <c r="AT55" s="10">
        <f>+'Income Statement'!AT46</f>
        <v>16.355</v>
      </c>
      <c r="AV55" s="10">
        <f>+'Income Statement'!AV46</f>
        <v>5.8319999999999999</v>
      </c>
      <c r="AW55" s="10">
        <f>+'Income Statement'!AW46</f>
        <v>-38.377000000000002</v>
      </c>
      <c r="AX55" s="10">
        <f>+'Income Statement'!AX46</f>
        <v>14.926</v>
      </c>
      <c r="AY55" s="10">
        <f>+'Income Statement'!AY46</f>
        <v>12.603999999999999</v>
      </c>
      <c r="BA55" s="10">
        <f t="shared" ref="BA55:BD55" si="53">+BA54*BA56</f>
        <v>13.088289614232931</v>
      </c>
      <c r="BB55" s="10">
        <f t="shared" si="53"/>
        <v>12.691697822220116</v>
      </c>
      <c r="BC55" s="10">
        <f t="shared" si="53"/>
        <v>10.43983583601457</v>
      </c>
      <c r="BD55" s="10">
        <f t="shared" si="53"/>
        <v>8.3564899060348701</v>
      </c>
      <c r="BE55" s="10">
        <f t="shared" ref="BE55" si="54">+BE54*BE56</f>
        <v>25.733220845322908</v>
      </c>
      <c r="BF55" s="10">
        <f t="shared" ref="BF55" si="55">+BF54*BF56</f>
        <v>31.713193166374694</v>
      </c>
      <c r="BG55" s="10">
        <f t="shared" ref="BG55" si="56">+BG54*BG56</f>
        <v>54.163855772180696</v>
      </c>
      <c r="BH55" s="10">
        <f t="shared" ref="BH55" si="57">+BH54*BH56</f>
        <v>80.203280577052709</v>
      </c>
      <c r="BI55" s="10">
        <f t="shared" ref="BI55" si="58">+BI54*BI56</f>
        <v>109.76984467410088</v>
      </c>
    </row>
    <row r="56" spans="2:61">
      <c r="B56" s="8" t="s">
        <v>292</v>
      </c>
      <c r="AL56" s="133">
        <f>+AL55/AL54</f>
        <v>1.6804549342188009E-2</v>
      </c>
      <c r="AM56" s="133">
        <f t="shared" ref="AM56:AR56" si="59">+AM55/AM54</f>
        <v>1.5332458124948869E-2</v>
      </c>
      <c r="AN56" s="133">
        <f t="shared" si="59"/>
        <v>1.5619125958723865E-2</v>
      </c>
      <c r="AO56" s="133">
        <f t="shared" si="59"/>
        <v>6.4732019857431256E-3</v>
      </c>
      <c r="AQ56" s="133">
        <f t="shared" si="59"/>
        <v>1.8337096108562139E-2</v>
      </c>
      <c r="AR56" s="133">
        <f t="shared" si="59"/>
        <v>1.3482336212424914E-2</v>
      </c>
      <c r="AS56" s="133">
        <f t="shared" ref="AS56" si="60">+AS55/AS54</f>
        <v>5.2319610756054527E-3</v>
      </c>
      <c r="AT56" s="133">
        <f>+AT55/AT54</f>
        <v>1.686720645852606E-2</v>
      </c>
      <c r="AV56" s="133">
        <f>+AV55/AV54</f>
        <v>5.2385554809015493E-3</v>
      </c>
      <c r="AW56" s="133">
        <f>+AW55/AW54</f>
        <v>-3.5637045738402894E-2</v>
      </c>
      <c r="AX56" s="133">
        <f>+AX55/AX54</f>
        <v>1.3182542801754023E-2</v>
      </c>
      <c r="AY56" s="133">
        <f>+AY55/AY54</f>
        <v>7.8824462350124708E-3</v>
      </c>
      <c r="BA56" s="271">
        <f>+AY56</f>
        <v>7.8824462350124708E-3</v>
      </c>
      <c r="BB56" s="271">
        <f>+BA56</f>
        <v>7.8824462350124708E-3</v>
      </c>
      <c r="BC56" s="271">
        <f t="shared" ref="BC56:BD56" si="61">+BB56</f>
        <v>7.8824462350124708E-3</v>
      </c>
      <c r="BD56" s="271">
        <f t="shared" si="61"/>
        <v>7.8824462350124708E-3</v>
      </c>
      <c r="BE56" s="271">
        <f>+BD56*4</f>
        <v>3.1529784940049883E-2</v>
      </c>
      <c r="BF56" s="271">
        <v>0.03</v>
      </c>
      <c r="BG56" s="271">
        <f t="shared" ref="BG56:BI56" si="62">BF56</f>
        <v>0.03</v>
      </c>
      <c r="BH56" s="271">
        <f t="shared" si="62"/>
        <v>0.03</v>
      </c>
      <c r="BI56" s="271">
        <f t="shared" si="62"/>
        <v>0.03</v>
      </c>
    </row>
    <row r="58" spans="2:61">
      <c r="AV58" s="10">
        <f>+SUM(AV55:AY55)</f>
        <v>-5.0150000000000006</v>
      </c>
    </row>
  </sheetData>
  <pageMargins left="0.7" right="0.7" top="0.75" bottom="0.75" header="0.3" footer="0.3"/>
  <pageSetup scale="74" orientation="landscape" r:id="rId1"/>
  <ignoredErrors>
    <ignoredError sqref="BL23:BT23" 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3:BL65"/>
  <sheetViews>
    <sheetView showGridLines="0" view="pageBreakPreview" zoomScaleNormal="85" zoomScaleSheetLayoutView="100" workbookViewId="0">
      <pane xSplit="2" ySplit="4" topLeftCell="AG5" activePane="bottomRight" state="frozen"/>
      <selection activeCell="C14" sqref="C14"/>
      <selection pane="topRight" activeCell="C14" sqref="C14"/>
      <selection pane="bottomLeft" activeCell="C14" sqref="C14"/>
      <selection pane="bottomRight" activeCell="B26" sqref="B26"/>
    </sheetView>
  </sheetViews>
  <sheetFormatPr defaultColWidth="9.46484375" defaultRowHeight="13.15"/>
  <cols>
    <col min="1" max="1" width="9.46484375" style="8"/>
    <col min="2" max="2" width="52.53125" style="8" bestFit="1" customWidth="1"/>
    <col min="3" max="12" width="9" style="8" hidden="1" customWidth="1"/>
    <col min="13" max="35" width="8.53125" style="8" hidden="1" customWidth="1"/>
    <col min="36" max="36" width="8.19921875" style="8" hidden="1" customWidth="1"/>
    <col min="37" max="37" width="8.53125" style="8" hidden="1" customWidth="1"/>
    <col min="38" max="62" width="8.53125" style="8" customWidth="1"/>
    <col min="63" max="16384" width="9.46484375" style="8"/>
  </cols>
  <sheetData>
    <row r="3" spans="2:62">
      <c r="C3" s="21" t="str">
        <f>'Income Statement'!H2</f>
        <v>Mar</v>
      </c>
      <c r="D3" s="21" t="str">
        <f>'Income Statement'!I2</f>
        <v>Jun</v>
      </c>
      <c r="E3" s="21" t="str">
        <f>'Income Statement'!J2</f>
        <v>Sep</v>
      </c>
      <c r="F3" s="21" t="str">
        <f>'Income Statement'!K2</f>
        <v>Dec</v>
      </c>
      <c r="G3" s="21"/>
      <c r="H3" s="21" t="str">
        <f>'Income Statement'!M2</f>
        <v>Mar</v>
      </c>
      <c r="I3" s="21" t="str">
        <f>'Income Statement'!N2</f>
        <v>Jun</v>
      </c>
      <c r="J3" s="21" t="str">
        <f>'Income Statement'!O2</f>
        <v>Sep</v>
      </c>
      <c r="K3" s="21" t="str">
        <f>'Income Statement'!P2</f>
        <v>Dec</v>
      </c>
      <c r="L3" s="21"/>
      <c r="M3" s="21" t="str">
        <f>'Income Statement'!R2</f>
        <v>Mar</v>
      </c>
      <c r="N3" s="21" t="str">
        <f>'Income Statement'!S2</f>
        <v>Jun</v>
      </c>
      <c r="O3" s="21" t="str">
        <f>'Income Statement'!T2</f>
        <v>Sep</v>
      </c>
      <c r="P3" s="21" t="str">
        <f>'Income Statement'!U2</f>
        <v>Dec</v>
      </c>
      <c r="Q3" s="21"/>
      <c r="R3" s="21" t="str">
        <f>'Income Statement'!W2</f>
        <v>Mar</v>
      </c>
      <c r="S3" s="21" t="str">
        <f>'Income Statement'!X2</f>
        <v>Jun</v>
      </c>
      <c r="T3" s="21" t="str">
        <f>'Income Statement'!Y2</f>
        <v>Sep</v>
      </c>
      <c r="U3" s="21" t="str">
        <f>'Income Statement'!Z2</f>
        <v>Dec</v>
      </c>
      <c r="V3" s="21"/>
      <c r="W3" s="21"/>
      <c r="X3" s="21"/>
      <c r="Y3" s="21"/>
      <c r="Z3" s="21"/>
      <c r="AA3" s="21"/>
      <c r="AB3" s="21" t="str">
        <f>'Income Statement'!AB2</f>
        <v>Mar</v>
      </c>
      <c r="AC3" s="21" t="str">
        <f>'Income Statement'!AC2</f>
        <v>Jun</v>
      </c>
      <c r="AD3" s="21" t="str">
        <f>'Income Statement'!AD2</f>
        <v>Sep</v>
      </c>
      <c r="AE3" s="21" t="str">
        <f>'Income Statement'!AE2</f>
        <v>Dec</v>
      </c>
      <c r="AF3" s="21"/>
      <c r="AG3" s="21" t="str">
        <f>'Income Statement'!AG2</f>
        <v>Mar</v>
      </c>
      <c r="AH3" s="21" t="str">
        <f>'Income Statement'!AH2</f>
        <v>Jun</v>
      </c>
      <c r="AI3" s="21" t="str">
        <f>'Income Statement'!AI2</f>
        <v>Sep</v>
      </c>
      <c r="AJ3" s="21" t="str">
        <f>'Income Statement'!AJ2</f>
        <v>Dec</v>
      </c>
      <c r="AK3" s="21"/>
      <c r="AL3" s="21" t="str">
        <f>'Income Statement'!AL2</f>
        <v>Mar</v>
      </c>
      <c r="AM3" s="21" t="str">
        <f>'Income Statement'!AM2</f>
        <v>Jun</v>
      </c>
      <c r="AN3" s="21" t="str">
        <f>'Income Statement'!AN2</f>
        <v>Sep</v>
      </c>
      <c r="AO3" s="21" t="str">
        <f>'Income Statement'!AO2</f>
        <v>Dec</v>
      </c>
      <c r="AP3" s="21"/>
      <c r="AQ3" s="21" t="str">
        <f>'Income Statement'!AQ2</f>
        <v>Mar</v>
      </c>
      <c r="AR3" s="21" t="str">
        <f>'Income Statement'!AR2</f>
        <v>Jun</v>
      </c>
      <c r="AS3" s="21" t="str">
        <f>'Income Statement'!AS2</f>
        <v>Sep</v>
      </c>
      <c r="AT3" s="21" t="str">
        <f>'Income Statement'!AT2</f>
        <v>Dec</v>
      </c>
      <c r="AU3" s="21"/>
      <c r="AV3" s="21" t="str">
        <f>'Income Statement'!AV2</f>
        <v>Mar</v>
      </c>
      <c r="AW3" s="21" t="str">
        <f>'Income Statement'!AW2</f>
        <v>Jun</v>
      </c>
      <c r="AX3" s="21" t="str">
        <f>'Income Statement'!AX2</f>
        <v>Sep</v>
      </c>
      <c r="AY3" s="21" t="str">
        <f>'Income Statement'!AY2</f>
        <v>Dec</v>
      </c>
      <c r="AZ3" s="21"/>
      <c r="BA3" s="21" t="str">
        <f>'Income Statement'!BA2</f>
        <v>Mar</v>
      </c>
      <c r="BB3" s="21" t="str">
        <f>'Income Statement'!BB2</f>
        <v>Jun</v>
      </c>
      <c r="BC3" s="21" t="str">
        <f>'Income Statement'!BC2</f>
        <v>Sep</v>
      </c>
      <c r="BD3" s="21" t="str">
        <f>'Income Statement'!BD2</f>
        <v>Dec</v>
      </c>
      <c r="BE3" s="21"/>
      <c r="BF3" s="21"/>
      <c r="BG3" s="21"/>
      <c r="BH3" s="21"/>
      <c r="BI3" s="21"/>
      <c r="BJ3" s="21"/>
    </row>
    <row r="4" spans="2:62">
      <c r="B4" s="19" t="s">
        <v>71</v>
      </c>
      <c r="C4" s="22" t="str">
        <f>'Income Statement'!H3</f>
        <v>1Q17</v>
      </c>
      <c r="D4" s="22" t="str">
        <f>'Income Statement'!I3</f>
        <v>2Q17</v>
      </c>
      <c r="E4" s="22" t="str">
        <f>'Income Statement'!J3</f>
        <v>3Q17</v>
      </c>
      <c r="F4" s="22" t="str">
        <f>'Income Statement'!K3</f>
        <v>4Q17</v>
      </c>
      <c r="G4" s="23">
        <f>'Income Statement'!L3</f>
        <v>2017</v>
      </c>
      <c r="H4" s="22" t="str">
        <f>'Income Statement'!M3</f>
        <v>1Q18</v>
      </c>
      <c r="I4" s="22" t="str">
        <f>'Income Statement'!N3</f>
        <v>2Q18</v>
      </c>
      <c r="J4" s="22" t="str">
        <f>'Income Statement'!O3</f>
        <v>3Q18</v>
      </c>
      <c r="K4" s="22" t="str">
        <f>'Income Statement'!P3</f>
        <v>4Q18</v>
      </c>
      <c r="L4" s="23">
        <f>'Income Statement'!Q3</f>
        <v>2018</v>
      </c>
      <c r="M4" s="22" t="str">
        <f>'Income Statement'!R3</f>
        <v>1Q19</v>
      </c>
      <c r="N4" s="22" t="str">
        <f>'Income Statement'!S3</f>
        <v>2Q19</v>
      </c>
      <c r="O4" s="22" t="str">
        <f>'Income Statement'!T3</f>
        <v>3Q19</v>
      </c>
      <c r="P4" s="22" t="str">
        <f>'Income Statement'!U3</f>
        <v>4Q19</v>
      </c>
      <c r="Q4" s="23">
        <f>'Income Statement'!V3</f>
        <v>2019</v>
      </c>
      <c r="R4" s="22" t="str">
        <f>'Income Statement'!W3</f>
        <v>1Q20</v>
      </c>
      <c r="S4" s="22" t="str">
        <f>'Income Statement'!X3</f>
        <v>2Q20</v>
      </c>
      <c r="T4" s="22" t="str">
        <f>'Income Statement'!Y3</f>
        <v>3Q20</v>
      </c>
      <c r="U4" s="22" t="str">
        <f>'Income Statement'!Z3</f>
        <v>4Q20</v>
      </c>
      <c r="V4" s="23">
        <f>'Income Statement'!AA3</f>
        <v>2020</v>
      </c>
      <c r="W4" s="23"/>
      <c r="X4" s="23"/>
      <c r="Y4" s="23"/>
      <c r="Z4" s="23"/>
      <c r="AA4" s="23"/>
      <c r="AB4" s="22" t="str">
        <f>'Income Statement'!AB3</f>
        <v>1Q21</v>
      </c>
      <c r="AC4" s="22" t="str">
        <f>'Income Statement'!AC3</f>
        <v>2Q21</v>
      </c>
      <c r="AD4" s="22" t="str">
        <f>'Income Statement'!AD3</f>
        <v>3Q21</v>
      </c>
      <c r="AE4" s="22" t="str">
        <f>'Income Statement'!AE3</f>
        <v>4Q21</v>
      </c>
      <c r="AF4" s="23">
        <f>'Income Statement'!AF3</f>
        <v>2021</v>
      </c>
      <c r="AG4" s="22" t="str">
        <f>'Income Statement'!AG3</f>
        <v>1Q22</v>
      </c>
      <c r="AH4" s="22" t="str">
        <f>'Income Statement'!AH3</f>
        <v>2Q22</v>
      </c>
      <c r="AI4" s="22" t="str">
        <f>'Income Statement'!AI3</f>
        <v>3Q22</v>
      </c>
      <c r="AJ4" s="22" t="str">
        <f>'Income Statement'!AJ3</f>
        <v>4Q22</v>
      </c>
      <c r="AK4" s="23">
        <f>'Income Statement'!AK3</f>
        <v>2022</v>
      </c>
      <c r="AL4" s="22" t="str">
        <f>'Income Statement'!AL3</f>
        <v>1Q23</v>
      </c>
      <c r="AM4" s="22" t="str">
        <f>'Income Statement'!AM3</f>
        <v>2Q23</v>
      </c>
      <c r="AN4" s="22" t="str">
        <f>'Income Statement'!AN3</f>
        <v>3Q23</v>
      </c>
      <c r="AO4" s="22" t="str">
        <f>'Income Statement'!AO3</f>
        <v>4Q23</v>
      </c>
      <c r="AP4" s="23">
        <f>'Income Statement'!AP3</f>
        <v>2023</v>
      </c>
      <c r="AQ4" s="22" t="str">
        <f>'Income Statement'!AQ3</f>
        <v>1Q24</v>
      </c>
      <c r="AR4" s="22" t="str">
        <f>'Income Statement'!AR3</f>
        <v>2Q24</v>
      </c>
      <c r="AS4" s="22" t="str">
        <f>'Income Statement'!AS3</f>
        <v>3Q24</v>
      </c>
      <c r="AT4" s="22" t="str">
        <f>'Income Statement'!AT3</f>
        <v>4Q24</v>
      </c>
      <c r="AU4" s="23">
        <f>'Income Statement'!AU3</f>
        <v>2024</v>
      </c>
      <c r="AV4" s="22" t="str">
        <f>'Income Statement'!AV3</f>
        <v>1Q25</v>
      </c>
      <c r="AW4" s="22" t="str">
        <f>'Income Statement'!AW3</f>
        <v>2Q25</v>
      </c>
      <c r="AX4" s="22" t="str">
        <f>'Income Statement'!AX3</f>
        <v>3Q25</v>
      </c>
      <c r="AY4" s="22" t="str">
        <f>'Income Statement'!AY3</f>
        <v>4Q25</v>
      </c>
      <c r="AZ4" s="23">
        <f>'Income Statement'!AZ3</f>
        <v>2025</v>
      </c>
      <c r="BA4" s="22" t="str">
        <f>'Income Statement'!BA3</f>
        <v>1Q26E</v>
      </c>
      <c r="BB4" s="22" t="str">
        <f>'Income Statement'!BB3</f>
        <v>2Q26E</v>
      </c>
      <c r="BC4" s="22" t="str">
        <f>'Income Statement'!BC3</f>
        <v>3Q26E</v>
      </c>
      <c r="BD4" s="22" t="str">
        <f>'Income Statement'!BD3</f>
        <v>4Q26E</v>
      </c>
      <c r="BE4" s="23" t="str">
        <f>'Income Statement'!BE3</f>
        <v>2026E</v>
      </c>
      <c r="BF4" s="23" t="str">
        <f>'Income Statement'!BF3</f>
        <v>2027E</v>
      </c>
      <c r="BG4" s="23" t="str">
        <f>'Income Statement'!BG3</f>
        <v>2028E</v>
      </c>
      <c r="BH4" s="23" t="str">
        <f>'Income Statement'!BH3</f>
        <v>2029E</v>
      </c>
      <c r="BI4" s="23" t="str">
        <f>'Income Statement'!BI3</f>
        <v>2030E</v>
      </c>
      <c r="BJ4" s="23" t="str">
        <f>'Income Statement'!BJ3</f>
        <v>2031E</v>
      </c>
    </row>
    <row r="5" spans="2:62">
      <c r="B5" s="17" t="s">
        <v>47</v>
      </c>
      <c r="G5" s="1"/>
      <c r="L5" s="1"/>
      <c r="Q5" s="1"/>
      <c r="V5" s="1"/>
      <c r="W5" s="1"/>
      <c r="X5" s="1"/>
      <c r="Y5" s="1"/>
      <c r="Z5" s="1"/>
      <c r="AA5" s="1"/>
      <c r="AF5" s="1"/>
      <c r="AK5" s="1"/>
      <c r="AP5" s="1"/>
      <c r="AT5" s="15"/>
      <c r="AU5" s="1"/>
      <c r="AZ5" s="1"/>
      <c r="BE5" s="1"/>
      <c r="BF5" s="1"/>
      <c r="BG5" s="1"/>
      <c r="BH5" s="1"/>
      <c r="BI5" s="1"/>
      <c r="BJ5" s="1"/>
    </row>
    <row r="6" spans="2:62">
      <c r="B6" s="8" t="s">
        <v>18</v>
      </c>
      <c r="C6" s="9">
        <v>-20.885000000000002</v>
      </c>
      <c r="D6" s="9">
        <v>-14.263999999999999</v>
      </c>
      <c r="E6" s="9">
        <v>-14.519</v>
      </c>
      <c r="F6" s="9">
        <v>-6.65</v>
      </c>
      <c r="G6" s="4">
        <f>SUM(C6:F6)</f>
        <v>-56.317999999999998</v>
      </c>
      <c r="H6" s="9">
        <v>-19.811</v>
      </c>
      <c r="I6" s="9">
        <v>-5.64</v>
      </c>
      <c r="J6" s="9">
        <v>-5.9160000000000004</v>
      </c>
      <c r="K6" s="9">
        <v>-5.7530000000000001</v>
      </c>
      <c r="L6" s="4">
        <f>SUM(H6:K6)</f>
        <v>-37.120000000000005</v>
      </c>
      <c r="M6" s="9">
        <v>-30.74</v>
      </c>
      <c r="N6" s="9">
        <v>-16.734000000000002</v>
      </c>
      <c r="O6" s="9">
        <v>-17.367000000000001</v>
      </c>
      <c r="P6" s="9">
        <v>-21.573</v>
      </c>
      <c r="Q6" s="4">
        <f>SUM(M6:P6)</f>
        <v>-86.414000000000016</v>
      </c>
      <c r="R6" s="9">
        <v>-39.152999999999999</v>
      </c>
      <c r="S6" s="9">
        <v>-57.735999999999997</v>
      </c>
      <c r="T6" s="9">
        <v>-56.841999999999999</v>
      </c>
      <c r="U6" s="9">
        <v>-62.789000000000001</v>
      </c>
      <c r="V6" s="4">
        <f>SUM(R6:U6)</f>
        <v>-216.51999999999998</v>
      </c>
      <c r="W6" s="4"/>
      <c r="X6" s="4"/>
      <c r="Y6" s="4"/>
      <c r="Z6" s="4"/>
      <c r="AA6" s="4"/>
      <c r="AB6" s="9">
        <v>-121.752</v>
      </c>
      <c r="AC6" s="9">
        <v>37.957000000000001</v>
      </c>
      <c r="AD6" s="9">
        <v>16.667000000000002</v>
      </c>
      <c r="AE6" s="9">
        <v>-111.01900000000001</v>
      </c>
      <c r="AF6" s="4">
        <f>SUM(AB6:AE6)</f>
        <v>-178.14699999999999</v>
      </c>
      <c r="AG6" s="9">
        <v>-227.28900000000004</v>
      </c>
      <c r="AH6" s="9">
        <v>-111.238</v>
      </c>
      <c r="AI6" s="9">
        <v>-47.360999999999997</v>
      </c>
      <c r="AJ6" s="9">
        <v>-38.975000000000001</v>
      </c>
      <c r="AK6" s="4">
        <f>SUM(AG6:AJ6)</f>
        <v>-424.86300000000006</v>
      </c>
      <c r="AL6" s="9">
        <v>-10.369</v>
      </c>
      <c r="AM6" s="9">
        <v>33.576999999999998</v>
      </c>
      <c r="AN6" s="9">
        <v>6.9749999999999996</v>
      </c>
      <c r="AO6" s="9">
        <v>2.9540000000000002</v>
      </c>
      <c r="AP6" s="4">
        <f>SUM(AL6:AO6)</f>
        <v>33.137</v>
      </c>
      <c r="AQ6" s="9">
        <v>24.001999999999999</v>
      </c>
      <c r="AR6" s="9">
        <v>39.518000000000001</v>
      </c>
      <c r="AS6" s="9">
        <v>26.777999999999999</v>
      </c>
      <c r="AT6" s="9">
        <v>48.024000000000001</v>
      </c>
      <c r="AU6" s="4">
        <f>SUM(AQ6:AT6)</f>
        <v>138.322</v>
      </c>
      <c r="AV6" s="9">
        <v>33.765999999999998</v>
      </c>
      <c r="AW6" s="9">
        <v>57.703000000000003</v>
      </c>
      <c r="AX6" s="9">
        <v>-0.58899999999999997</v>
      </c>
      <c r="AY6" s="9">
        <v>-40.234000000000002</v>
      </c>
      <c r="AZ6" s="4">
        <f>SUM(AV6:AY6)</f>
        <v>50.645999999999994</v>
      </c>
      <c r="BA6" s="208">
        <f>'Income Statement'!BA52</f>
        <v>-7.6978985640529167</v>
      </c>
      <c r="BB6" s="208">
        <f>'Income Statement'!BB52</f>
        <v>7.7650079296474717</v>
      </c>
      <c r="BC6" s="208">
        <f>'Income Statement'!BC52</f>
        <v>29.016397552061569</v>
      </c>
      <c r="BD6" s="208">
        <f>'Income Statement'!BD52</f>
        <v>50.8036597482429</v>
      </c>
      <c r="BE6" s="4">
        <f>SUM(BA6:BD6)</f>
        <v>79.887166665899031</v>
      </c>
      <c r="BF6" s="209">
        <f>'Income Statement'!BF52</f>
        <v>243.38245461325766</v>
      </c>
      <c r="BG6" s="209">
        <f>'Income Statement'!BG52</f>
        <v>372.98227001753378</v>
      </c>
      <c r="BH6" s="209">
        <f>'Income Statement'!BH52</f>
        <v>509.93681635130724</v>
      </c>
      <c r="BI6" s="209">
        <f>'Income Statement'!BI52</f>
        <v>640.93601376573497</v>
      </c>
      <c r="BJ6" s="209">
        <f>'Income Statement'!BJ52</f>
        <v>765.88005625376434</v>
      </c>
    </row>
    <row r="7" spans="2:62">
      <c r="B7" s="8" t="s">
        <v>48</v>
      </c>
      <c r="C7" s="9">
        <f>1.297+0.32</f>
        <v>1.617</v>
      </c>
      <c r="D7" s="9">
        <f>1.346+1.142</f>
        <v>2.488</v>
      </c>
      <c r="E7" s="9">
        <f>1.451+0.95</f>
        <v>2.4009999999999998</v>
      </c>
      <c r="F7" s="9">
        <f>1.56-0.341</f>
        <v>1.2190000000000001</v>
      </c>
      <c r="G7" s="4">
        <f t="shared" ref="G7:G14" si="0">SUM(C7:F7)</f>
        <v>7.7250000000000005</v>
      </c>
      <c r="H7" s="9">
        <f>1.897+0.588</f>
        <v>2.4849999999999999</v>
      </c>
      <c r="I7" s="9">
        <f>2.196+0.731</f>
        <v>2.927</v>
      </c>
      <c r="J7" s="9">
        <f>2.213+0.733</f>
        <v>2.9460000000000002</v>
      </c>
      <c r="K7" s="9">
        <f>2.418+0.732</f>
        <v>3.1500000000000004</v>
      </c>
      <c r="L7" s="4">
        <f t="shared" ref="L7:L15" si="1">SUM(H7:K7)</f>
        <v>11.508000000000001</v>
      </c>
      <c r="M7" s="9">
        <f>2.658+0.732</f>
        <v>3.3899999999999997</v>
      </c>
      <c r="N7" s="9">
        <f>2.927+0.738</f>
        <v>3.665</v>
      </c>
      <c r="O7" s="9">
        <f>3.194+0.733</f>
        <v>3.927</v>
      </c>
      <c r="P7" s="9">
        <f>3.347+2.385</f>
        <v>5.7319999999999993</v>
      </c>
      <c r="Q7" s="4">
        <f t="shared" ref="Q7:Q15" si="2">SUM(M7:P7)</f>
        <v>16.713999999999999</v>
      </c>
      <c r="R7" s="9">
        <f>3.572+0.566</f>
        <v>4.1379999999999999</v>
      </c>
      <c r="S7" s="9">
        <f>3.537+0.566</f>
        <v>4.1029999999999998</v>
      </c>
      <c r="T7" s="9">
        <f>3.712+0.826</f>
        <v>4.5380000000000003</v>
      </c>
      <c r="U7" s="9">
        <f>3.789+0.619</f>
        <v>4.4080000000000004</v>
      </c>
      <c r="V7" s="4">
        <f t="shared" ref="V7:V15" si="3">SUM(R7:U7)</f>
        <v>17.187000000000001</v>
      </c>
      <c r="W7" s="4"/>
      <c r="X7" s="4"/>
      <c r="Y7" s="4"/>
      <c r="Z7" s="4"/>
      <c r="AA7" s="4"/>
      <c r="AB7" s="9">
        <f>3.432+0.599</f>
        <v>4.0309999999999997</v>
      </c>
      <c r="AC7" s="9">
        <f>3.378+0.846</f>
        <v>4.2240000000000002</v>
      </c>
      <c r="AD7" s="9">
        <f>3.595+3.045</f>
        <v>6.6400000000000006</v>
      </c>
      <c r="AE7" s="9">
        <f>3.524+0.462</f>
        <v>3.9860000000000002</v>
      </c>
      <c r="AF7" s="4">
        <f t="shared" ref="AF7:AF15" si="4">SUM(AB7:AE7)</f>
        <v>18.881</v>
      </c>
      <c r="AG7" s="9">
        <f>3.535+1.574</f>
        <v>5.109</v>
      </c>
      <c r="AH7" s="9">
        <f>4.022+1.58</f>
        <v>5.6020000000000003</v>
      </c>
      <c r="AI7" s="9">
        <f>3.845+1.581</f>
        <v>5.4260000000000002</v>
      </c>
      <c r="AJ7" s="9">
        <f>5.209+1.511</f>
        <v>6.72</v>
      </c>
      <c r="AK7" s="4">
        <f t="shared" ref="AK7:AK15" si="5">SUM(AG7:AJ7)</f>
        <v>22.856999999999999</v>
      </c>
      <c r="AL7" s="9">
        <f>4.922+1.488</f>
        <v>6.41</v>
      </c>
      <c r="AM7" s="9">
        <f>4.497+1.489</f>
        <v>5.9859999999999998</v>
      </c>
      <c r="AN7" s="9">
        <f>4.348+1.489</f>
        <v>5.8369999999999997</v>
      </c>
      <c r="AO7" s="9">
        <f>6.725+1.489</f>
        <v>8.2140000000000004</v>
      </c>
      <c r="AP7" s="4">
        <f t="shared" ref="AP7:AP15" si="6">SUM(AL7:AO7)</f>
        <v>26.447000000000003</v>
      </c>
      <c r="AQ7" s="9">
        <f>6.442+1.483</f>
        <v>7.9250000000000007</v>
      </c>
      <c r="AR7" s="9">
        <f>6.427+1.465</f>
        <v>7.8919999999999995</v>
      </c>
      <c r="AS7" s="9">
        <f>6.099+1.461</f>
        <v>7.5600000000000005</v>
      </c>
      <c r="AT7" s="9">
        <f>6.278+1.46</f>
        <v>7.7379999999999995</v>
      </c>
      <c r="AU7" s="4">
        <f t="shared" ref="AU7:AU12" si="7">SUM(AQ7:AT7)</f>
        <v>31.115000000000002</v>
      </c>
      <c r="AV7" s="9">
        <f>6.137+1.461</f>
        <v>7.5979999999999999</v>
      </c>
      <c r="AW7" s="9">
        <f>6.099+1.246</f>
        <v>7.3450000000000006</v>
      </c>
      <c r="AX7" s="9">
        <f>6.19+1.37</f>
        <v>7.5600000000000005</v>
      </c>
      <c r="AY7" s="9">
        <f>6.065+2.885</f>
        <v>8.9499999999999993</v>
      </c>
      <c r="AZ7" s="4">
        <f t="shared" ref="AZ7:AZ8" si="8">SUM(AV7:AY7)</f>
        <v>31.452999999999999</v>
      </c>
      <c r="BA7" s="9">
        <f>+'Income Statement'!BA34+'Income Statement'!BA41</f>
        <v>8.9879999999999995</v>
      </c>
      <c r="BB7" s="9">
        <f>+'Income Statement'!BB34+'Income Statement'!BB41</f>
        <v>8.9879999999999995</v>
      </c>
      <c r="BC7" s="9">
        <f>+'Income Statement'!BC34+'Income Statement'!BC41</f>
        <v>8.9879999999999995</v>
      </c>
      <c r="BD7" s="9">
        <f>+'Income Statement'!BD34+'Income Statement'!BD41</f>
        <v>8.9879999999999995</v>
      </c>
      <c r="BE7" s="4">
        <f t="shared" ref="BE7:BE8" si="9">SUM(BA7:BD7)</f>
        <v>35.951999999999998</v>
      </c>
      <c r="BF7" s="209">
        <f>+'Income Statement'!BF34+'Income Statement'!BF41</f>
        <v>35.951999999999998</v>
      </c>
      <c r="BG7" s="209">
        <f>+'Income Statement'!BG34+'Income Statement'!BG41</f>
        <v>35.951999999999998</v>
      </c>
      <c r="BH7" s="209">
        <f>+'Income Statement'!BH34+'Income Statement'!BH41</f>
        <v>35.951999999999998</v>
      </c>
      <c r="BI7" s="209">
        <f>+'Income Statement'!BI34+'Income Statement'!BI41</f>
        <v>35.951999999999998</v>
      </c>
      <c r="BJ7" s="209">
        <f>+'Income Statement'!BJ34+'Income Statement'!BJ41</f>
        <v>35.951999999999998</v>
      </c>
    </row>
    <row r="8" spans="2:62">
      <c r="B8" s="8" t="s">
        <v>49</v>
      </c>
      <c r="C8" s="9">
        <v>8.9819999999999993</v>
      </c>
      <c r="D8" s="9">
        <v>11.98</v>
      </c>
      <c r="E8" s="9">
        <v>13.035</v>
      </c>
      <c r="F8" s="9">
        <v>13.704000000000001</v>
      </c>
      <c r="G8" s="4">
        <f t="shared" si="0"/>
        <v>47.701000000000001</v>
      </c>
      <c r="H8" s="9">
        <v>15.673999999999999</v>
      </c>
      <c r="I8" s="9">
        <v>17.768999999999998</v>
      </c>
      <c r="J8" s="9">
        <v>18.760000000000002</v>
      </c>
      <c r="K8" s="9">
        <v>20.126999999999999</v>
      </c>
      <c r="L8" s="4">
        <f t="shared" si="1"/>
        <v>72.33</v>
      </c>
      <c r="M8" s="9">
        <v>24.907</v>
      </c>
      <c r="N8" s="9">
        <v>27.565000000000001</v>
      </c>
      <c r="O8" s="9">
        <v>28.391999999999999</v>
      </c>
      <c r="P8" s="9">
        <v>28.472999999999999</v>
      </c>
      <c r="Q8" s="4">
        <f t="shared" si="2"/>
        <v>109.337</v>
      </c>
      <c r="R8" s="9">
        <v>30.718</v>
      </c>
      <c r="S8" s="9">
        <v>34.966999999999999</v>
      </c>
      <c r="T8" s="9">
        <v>38.921999999999997</v>
      </c>
      <c r="U8" s="9">
        <v>42.706000000000003</v>
      </c>
      <c r="V8" s="4">
        <f t="shared" si="3"/>
        <v>147.31299999999999</v>
      </c>
      <c r="W8" s="4"/>
      <c r="X8" s="4"/>
      <c r="Y8" s="4"/>
      <c r="Z8" s="4"/>
      <c r="AA8" s="4"/>
      <c r="AB8" s="9">
        <v>46.631</v>
      </c>
      <c r="AC8" s="9">
        <v>50.396000000000001</v>
      </c>
      <c r="AD8" s="9">
        <v>53.07</v>
      </c>
      <c r="AE8" s="9">
        <v>71.924000000000007</v>
      </c>
      <c r="AF8" s="4">
        <f t="shared" si="4"/>
        <v>222.02100000000002</v>
      </c>
      <c r="AG8" s="9">
        <v>60.984000000000002</v>
      </c>
      <c r="AH8" s="9">
        <v>59.139000000000003</v>
      </c>
      <c r="AI8" s="9">
        <v>56.795999999999999</v>
      </c>
      <c r="AJ8" s="9">
        <v>59.917000000000002</v>
      </c>
      <c r="AK8" s="4">
        <f t="shared" si="5"/>
        <v>236.83600000000001</v>
      </c>
      <c r="AL8" s="9">
        <v>54.521000000000001</v>
      </c>
      <c r="AM8" s="9">
        <v>53.66</v>
      </c>
      <c r="AN8" s="9">
        <v>58.249000000000002</v>
      </c>
      <c r="AO8" s="9">
        <v>58.195</v>
      </c>
      <c r="AP8" s="4">
        <f t="shared" si="6"/>
        <v>224.625</v>
      </c>
      <c r="AQ8" s="9">
        <v>58.142000000000003</v>
      </c>
      <c r="AR8" s="9">
        <v>59.886000000000003</v>
      </c>
      <c r="AS8" s="9">
        <v>60.892000000000003</v>
      </c>
      <c r="AT8" s="267">
        <v>61.801000000000002</v>
      </c>
      <c r="AU8" s="4">
        <f>SUM(AQ8:AT8)</f>
        <v>240.721</v>
      </c>
      <c r="AV8" s="9">
        <v>60.261000000000003</v>
      </c>
      <c r="AW8" s="9">
        <v>59.439</v>
      </c>
      <c r="AX8" s="9">
        <v>59.564999999999998</v>
      </c>
      <c r="AY8" s="9">
        <v>58.110999999999997</v>
      </c>
      <c r="AZ8" s="4">
        <f t="shared" si="8"/>
        <v>237.37599999999998</v>
      </c>
      <c r="BA8" s="9">
        <f>+AV8*1.01</f>
        <v>60.863610000000001</v>
      </c>
      <c r="BB8" s="9">
        <f t="shared" ref="BB8:BD8" si="10">+AW8*1.01</f>
        <v>60.033389999999997</v>
      </c>
      <c r="BC8" s="9">
        <f t="shared" si="10"/>
        <v>60.160649999999997</v>
      </c>
      <c r="BD8" s="9">
        <f t="shared" si="10"/>
        <v>58.69211</v>
      </c>
      <c r="BE8" s="4">
        <f t="shared" si="9"/>
        <v>239.74975999999998</v>
      </c>
      <c r="BF8" s="135">
        <f t="shared" ref="BF8:BJ8" si="11">+BE8*1.01</f>
        <v>242.14725759999999</v>
      </c>
      <c r="BG8" s="135">
        <f t="shared" si="11"/>
        <v>244.568730176</v>
      </c>
      <c r="BH8" s="135">
        <f t="shared" si="11"/>
        <v>247.01441747775999</v>
      </c>
      <c r="BI8" s="135">
        <f t="shared" si="11"/>
        <v>249.48456165253759</v>
      </c>
      <c r="BJ8" s="135">
        <f t="shared" si="11"/>
        <v>251.97940726906296</v>
      </c>
    </row>
    <row r="9" spans="2:62">
      <c r="B9" s="8" t="s">
        <v>98</v>
      </c>
      <c r="C9" s="9">
        <v>0</v>
      </c>
      <c r="D9" s="9">
        <v>0</v>
      </c>
      <c r="E9" s="9">
        <v>0</v>
      </c>
      <c r="F9" s="9">
        <v>0</v>
      </c>
      <c r="G9" s="4">
        <f t="shared" si="0"/>
        <v>0</v>
      </c>
      <c r="H9" s="9">
        <v>0</v>
      </c>
      <c r="I9" s="9">
        <v>0</v>
      </c>
      <c r="J9" s="9">
        <v>4.9649999999999999</v>
      </c>
      <c r="K9" s="9">
        <v>5.0389999999999997</v>
      </c>
      <c r="L9" s="4">
        <f t="shared" si="1"/>
        <v>10.004</v>
      </c>
      <c r="M9" s="9">
        <v>5.117</v>
      </c>
      <c r="N9" s="9">
        <v>5.194</v>
      </c>
      <c r="O9" s="9">
        <v>5.274</v>
      </c>
      <c r="P9" s="9">
        <v>5.3529999999999998</v>
      </c>
      <c r="Q9" s="4">
        <f t="shared" si="2"/>
        <v>20.938000000000002</v>
      </c>
      <c r="R9" s="9">
        <v>5.4329999999999998</v>
      </c>
      <c r="S9" s="9">
        <v>5.516</v>
      </c>
      <c r="T9" s="9">
        <v>7.5940000000000003</v>
      </c>
      <c r="U9" s="9">
        <v>11.411</v>
      </c>
      <c r="V9" s="4">
        <f t="shared" si="3"/>
        <v>29.954000000000001</v>
      </c>
      <c r="W9" s="4"/>
      <c r="X9" s="4"/>
      <c r="Y9" s="4"/>
      <c r="Z9" s="4"/>
      <c r="AA9" s="4"/>
      <c r="AB9" s="9">
        <v>62.344999999999999</v>
      </c>
      <c r="AC9" s="9">
        <v>1.296</v>
      </c>
      <c r="AD9" s="9">
        <v>1.2969999999999999</v>
      </c>
      <c r="AE9" s="9">
        <v>1.298</v>
      </c>
      <c r="AF9" s="4">
        <f t="shared" si="4"/>
        <v>66.236000000000004</v>
      </c>
      <c r="AG9" s="9">
        <v>1.3009999999999999</v>
      </c>
      <c r="AH9" s="9">
        <v>1.302</v>
      </c>
      <c r="AI9" s="9">
        <v>1.3049999999999999</v>
      </c>
      <c r="AJ9" s="9">
        <v>1.3049999999999999</v>
      </c>
      <c r="AK9" s="4">
        <f t="shared" si="5"/>
        <v>5.2129999999999992</v>
      </c>
      <c r="AL9" s="9">
        <v>1.3080000000000001</v>
      </c>
      <c r="AM9" s="9">
        <v>1.31</v>
      </c>
      <c r="AN9" s="9">
        <v>0.78700000000000003</v>
      </c>
      <c r="AO9" s="9">
        <v>0.78900000000000003</v>
      </c>
      <c r="AP9" s="4">
        <f t="shared" si="6"/>
        <v>4.194</v>
      </c>
      <c r="AQ9" s="9">
        <v>0.79</v>
      </c>
      <c r="AR9" s="9">
        <v>0.79100000000000004</v>
      </c>
      <c r="AS9" s="9">
        <v>0.79200000000000004</v>
      </c>
      <c r="AT9" s="9">
        <v>0.79300000000000004</v>
      </c>
      <c r="AU9" s="4">
        <f t="shared" si="7"/>
        <v>3.1660000000000004</v>
      </c>
      <c r="AV9" s="9">
        <v>0.79400000000000004</v>
      </c>
      <c r="AW9" s="9">
        <v>0.79500000000000004</v>
      </c>
      <c r="AX9" s="9">
        <v>0.95899999999999996</v>
      </c>
      <c r="AY9" s="9">
        <v>1.2829999999999999</v>
      </c>
      <c r="AZ9" s="4">
        <f t="shared" ref="AZ9:AZ10" si="12">SUM(AV9:AY9)</f>
        <v>3.831</v>
      </c>
      <c r="BA9" s="9">
        <f>AY9</f>
        <v>1.2829999999999999</v>
      </c>
      <c r="BB9" s="9">
        <f>BA9</f>
        <v>1.2829999999999999</v>
      </c>
      <c r="BC9" s="9">
        <f>BB9</f>
        <v>1.2829999999999999</v>
      </c>
      <c r="BD9" s="9">
        <f>BC9</f>
        <v>1.2829999999999999</v>
      </c>
      <c r="BE9" s="4">
        <f t="shared" ref="BE9:BE10" si="13">SUM(BA9:BD9)</f>
        <v>5.1319999999999997</v>
      </c>
      <c r="BF9" s="135">
        <f t="shared" ref="BF9:BJ9" si="14">+BE9*0.9</f>
        <v>4.6188000000000002</v>
      </c>
      <c r="BG9" s="135">
        <f t="shared" si="14"/>
        <v>4.1569200000000004</v>
      </c>
      <c r="BH9" s="135">
        <f t="shared" si="14"/>
        <v>3.7412280000000004</v>
      </c>
      <c r="BI9" s="135">
        <f t="shared" si="14"/>
        <v>3.3671052000000006</v>
      </c>
      <c r="BJ9" s="135">
        <f t="shared" si="14"/>
        <v>3.0303946800000006</v>
      </c>
    </row>
    <row r="10" spans="2:62">
      <c r="B10" s="8" t="s">
        <v>151</v>
      </c>
      <c r="C10" s="9">
        <v>-0.114</v>
      </c>
      <c r="D10" s="9">
        <v>-5.2999999999999999E-2</v>
      </c>
      <c r="E10" s="9">
        <v>7.0000000000000001E-3</v>
      </c>
      <c r="F10" s="9">
        <v>-0.39500000000000002</v>
      </c>
      <c r="G10" s="4">
        <f t="shared" si="0"/>
        <v>-0.55500000000000005</v>
      </c>
      <c r="H10" s="9">
        <v>-0.35199999999999998</v>
      </c>
      <c r="I10" s="9">
        <v>-0.54500000000000004</v>
      </c>
      <c r="J10" s="9">
        <v>0.49299999999999999</v>
      </c>
      <c r="K10" s="9">
        <v>0.80700000000000005</v>
      </c>
      <c r="L10" s="4">
        <f t="shared" si="1"/>
        <v>0.40300000000000002</v>
      </c>
      <c r="M10" s="9">
        <v>0.48899999999999999</v>
      </c>
      <c r="N10" s="9">
        <v>0.105</v>
      </c>
      <c r="O10" s="9">
        <v>0.13700000000000001</v>
      </c>
      <c r="P10" s="9">
        <v>1.7000000000000001E-2</v>
      </c>
      <c r="Q10" s="4">
        <f t="shared" si="2"/>
        <v>0.748</v>
      </c>
      <c r="R10" s="9">
        <v>4.7E-2</v>
      </c>
      <c r="S10" s="9">
        <v>1.4999999999999999E-2</v>
      </c>
      <c r="T10" s="9">
        <v>-3.5999999999999997E-2</v>
      </c>
      <c r="U10" s="9">
        <v>-6.9000000000000006E-2</v>
      </c>
      <c r="V10" s="4">
        <f t="shared" si="3"/>
        <v>-4.3000000000000003E-2</v>
      </c>
      <c r="W10" s="4"/>
      <c r="X10" s="4"/>
      <c r="Y10" s="4"/>
      <c r="Z10" s="4"/>
      <c r="AA10" s="4"/>
      <c r="AB10" s="9">
        <v>1.4999999999999999E-2</v>
      </c>
      <c r="AC10" s="9">
        <v>-6.3E-2</v>
      </c>
      <c r="AD10" s="9">
        <v>-5.7000000000000002E-2</v>
      </c>
      <c r="AE10" s="9">
        <v>8.5000000000000006E-2</v>
      </c>
      <c r="AF10" s="4">
        <f t="shared" si="4"/>
        <v>-2.0000000000000004E-2</v>
      </c>
      <c r="AG10" s="9">
        <v>4.4999999999999998E-2</v>
      </c>
      <c r="AH10" s="9">
        <v>-0.21</v>
      </c>
      <c r="AI10" s="9">
        <v>0.17199999999999999</v>
      </c>
      <c r="AJ10" s="9">
        <v>-9.2999999999999999E-2</v>
      </c>
      <c r="AK10" s="4">
        <f t="shared" si="5"/>
        <v>-8.5999999999999993E-2</v>
      </c>
      <c r="AL10" s="9">
        <f>20.834-0.025</f>
        <v>20.809000000000001</v>
      </c>
      <c r="AM10" s="9">
        <f>0.133+0.33</f>
        <v>0.46300000000000002</v>
      </c>
      <c r="AN10" s="9">
        <v>-1.9370000000000001</v>
      </c>
      <c r="AO10" s="9">
        <v>-0.58599999999999997</v>
      </c>
      <c r="AP10" s="4">
        <f t="shared" si="6"/>
        <v>18.749000000000002</v>
      </c>
      <c r="AQ10" s="9">
        <v>0.88</v>
      </c>
      <c r="AR10" s="9">
        <v>0.89</v>
      </c>
      <c r="AS10" s="9">
        <v>-0.28299999999999997</v>
      </c>
      <c r="AT10" s="9">
        <v>-0.63500000000000001</v>
      </c>
      <c r="AU10" s="4">
        <f t="shared" si="7"/>
        <v>0.85200000000000009</v>
      </c>
      <c r="AV10" s="9">
        <v>-0.224</v>
      </c>
      <c r="AW10" s="9">
        <v>0.126</v>
      </c>
      <c r="AX10" s="9">
        <v>-0.504</v>
      </c>
      <c r="AY10" s="9">
        <v>0.29399999999999998</v>
      </c>
      <c r="AZ10" s="4">
        <f t="shared" si="12"/>
        <v>-0.308</v>
      </c>
      <c r="BA10" s="9">
        <v>0</v>
      </c>
      <c r="BB10" s="9">
        <v>0</v>
      </c>
      <c r="BC10" s="9">
        <v>0</v>
      </c>
      <c r="BD10" s="9">
        <v>0</v>
      </c>
      <c r="BE10" s="4">
        <f t="shared" si="13"/>
        <v>0</v>
      </c>
      <c r="BF10" s="135">
        <v>0</v>
      </c>
      <c r="BG10" s="135">
        <v>0</v>
      </c>
      <c r="BH10" s="135">
        <v>0</v>
      </c>
      <c r="BI10" s="135">
        <v>0</v>
      </c>
      <c r="BJ10" s="135">
        <v>0</v>
      </c>
    </row>
    <row r="11" spans="2:62">
      <c r="B11" s="8" t="s">
        <v>295</v>
      </c>
      <c r="C11" s="9"/>
      <c r="D11" s="9"/>
      <c r="E11" s="9"/>
      <c r="F11" s="9"/>
      <c r="G11" s="4"/>
      <c r="H11" s="9"/>
      <c r="I11" s="9"/>
      <c r="J11" s="9"/>
      <c r="K11" s="9"/>
      <c r="L11" s="4"/>
      <c r="M11" s="9"/>
      <c r="N11" s="9"/>
      <c r="O11" s="9"/>
      <c r="P11" s="9"/>
      <c r="Q11" s="4"/>
      <c r="R11" s="9"/>
      <c r="S11" s="9"/>
      <c r="T11" s="9"/>
      <c r="U11" s="9"/>
      <c r="V11" s="4"/>
      <c r="W11" s="4"/>
      <c r="X11" s="4"/>
      <c r="Y11" s="4"/>
      <c r="Z11" s="4"/>
      <c r="AA11" s="4"/>
      <c r="AB11" s="9"/>
      <c r="AC11" s="9"/>
      <c r="AD11" s="9"/>
      <c r="AE11" s="9"/>
      <c r="AF11" s="4"/>
      <c r="AG11" s="9"/>
      <c r="AH11" s="9"/>
      <c r="AI11" s="9"/>
      <c r="AJ11" s="9"/>
      <c r="AK11" s="4"/>
      <c r="AL11" s="9"/>
      <c r="AM11" s="9"/>
      <c r="AN11" s="9"/>
      <c r="AO11" s="9">
        <v>3.5670000000000002</v>
      </c>
      <c r="AP11" s="4">
        <f t="shared" si="6"/>
        <v>3.5670000000000002</v>
      </c>
      <c r="AQ11" s="9">
        <f>5.024-3.652+0.553</f>
        <v>1.9249999999999998</v>
      </c>
      <c r="AR11" s="9">
        <v>0</v>
      </c>
      <c r="AS11" s="9">
        <v>0</v>
      </c>
      <c r="AT11" s="9">
        <v>0</v>
      </c>
      <c r="AU11" s="4"/>
      <c r="AV11" s="9">
        <v>0</v>
      </c>
      <c r="AW11" s="9">
        <v>0</v>
      </c>
      <c r="AX11" s="9">
        <v>0</v>
      </c>
      <c r="AY11" s="9">
        <v>0</v>
      </c>
      <c r="AZ11" s="135"/>
      <c r="BA11" s="9"/>
      <c r="BB11" s="9"/>
      <c r="BC11" s="9"/>
      <c r="BD11" s="9"/>
      <c r="BE11" s="135"/>
      <c r="BF11" s="135"/>
      <c r="BG11" s="135"/>
      <c r="BH11" s="135"/>
      <c r="BI11" s="135"/>
      <c r="BJ11" s="135"/>
    </row>
    <row r="12" spans="2:62">
      <c r="B12" s="8" t="s">
        <v>99</v>
      </c>
      <c r="C12" s="9">
        <v>0</v>
      </c>
      <c r="D12" s="9">
        <v>0</v>
      </c>
      <c r="E12" s="9">
        <v>0</v>
      </c>
      <c r="F12" s="9">
        <v>-7.6999999999999999E-2</v>
      </c>
      <c r="G12" s="4">
        <f t="shared" si="0"/>
        <v>-7.6999999999999999E-2</v>
      </c>
      <c r="H12" s="9">
        <v>0</v>
      </c>
      <c r="I12" s="9">
        <v>0</v>
      </c>
      <c r="J12" s="9">
        <v>7.3999999999999996E-2</v>
      </c>
      <c r="K12" s="9">
        <v>-0.185</v>
      </c>
      <c r="L12" s="4">
        <f t="shared" si="1"/>
        <v>-0.111</v>
      </c>
      <c r="M12" s="9">
        <v>5.0999999999999997E-2</v>
      </c>
      <c r="N12" s="9">
        <v>0</v>
      </c>
      <c r="O12" s="9">
        <v>-0.14000000000000001</v>
      </c>
      <c r="P12" s="9">
        <v>-0.247</v>
      </c>
      <c r="Q12" s="4">
        <f t="shared" si="2"/>
        <v>-0.33600000000000002</v>
      </c>
      <c r="R12" s="9">
        <v>0.27900000000000003</v>
      </c>
      <c r="S12" s="9">
        <v>0.438</v>
      </c>
      <c r="T12" s="9">
        <v>1.222</v>
      </c>
      <c r="U12" s="9">
        <v>2.532</v>
      </c>
      <c r="V12" s="4">
        <f t="shared" si="3"/>
        <v>4.4710000000000001</v>
      </c>
      <c r="W12" s="4"/>
      <c r="X12" s="4"/>
      <c r="Y12" s="4"/>
      <c r="Z12" s="4"/>
      <c r="AA12" s="4"/>
      <c r="AB12" s="9">
        <v>2.323</v>
      </c>
      <c r="AC12" s="9">
        <v>2.0819999999999999</v>
      </c>
      <c r="AD12" s="9">
        <v>1.796</v>
      </c>
      <c r="AE12" s="9">
        <v>1.6419999999999999</v>
      </c>
      <c r="AF12" s="4">
        <f t="shared" si="4"/>
        <v>7.843</v>
      </c>
      <c r="AG12" s="9">
        <v>1.5489999999999999</v>
      </c>
      <c r="AH12" s="9">
        <v>1.256</v>
      </c>
      <c r="AI12" s="9">
        <v>1</v>
      </c>
      <c r="AJ12" s="9">
        <v>2.4470000000000001</v>
      </c>
      <c r="AK12" s="4">
        <f t="shared" si="5"/>
        <v>6.2519999999999998</v>
      </c>
      <c r="AL12" s="9">
        <v>0.54</v>
      </c>
      <c r="AM12" s="9">
        <v>4.1319999999999997</v>
      </c>
      <c r="AN12" s="9">
        <f>1.968-0.563</f>
        <v>1.405</v>
      </c>
      <c r="AO12" s="9">
        <v>4.2370000000000001</v>
      </c>
      <c r="AP12" s="4">
        <f t="shared" si="6"/>
        <v>10.314</v>
      </c>
      <c r="AQ12" s="9">
        <v>0.59699999999999998</v>
      </c>
      <c r="AR12" s="9">
        <v>3.9369999999999998</v>
      </c>
      <c r="AS12" s="9">
        <v>-10.077</v>
      </c>
      <c r="AT12" s="9">
        <v>-7.8380000000000001</v>
      </c>
      <c r="AU12" s="4">
        <f t="shared" si="7"/>
        <v>-13.381</v>
      </c>
      <c r="AV12" s="9">
        <v>3.5569999999999999</v>
      </c>
      <c r="AW12" s="9">
        <v>-24.408999999999999</v>
      </c>
      <c r="AX12" s="9">
        <v>-5.65</v>
      </c>
      <c r="AY12" s="9">
        <v>-14.741</v>
      </c>
      <c r="AZ12" s="4">
        <f t="shared" ref="AZ12" si="15">SUM(AV12:AY12)</f>
        <v>-41.243000000000002</v>
      </c>
      <c r="BA12" s="9">
        <v>0</v>
      </c>
      <c r="BB12" s="9">
        <v>0</v>
      </c>
      <c r="BC12" s="9">
        <v>0</v>
      </c>
      <c r="BD12" s="9">
        <v>0</v>
      </c>
      <c r="BE12" s="4">
        <f t="shared" ref="BE12" si="16">SUM(BA12:BD12)</f>
        <v>0</v>
      </c>
      <c r="BF12" s="135">
        <v>0</v>
      </c>
      <c r="BG12" s="135">
        <v>0</v>
      </c>
      <c r="BH12" s="135">
        <v>0</v>
      </c>
      <c r="BI12" s="135">
        <v>0</v>
      </c>
      <c r="BJ12" s="135">
        <v>0</v>
      </c>
    </row>
    <row r="13" spans="2:62">
      <c r="B13" s="8" t="s">
        <v>184</v>
      </c>
      <c r="C13" s="9"/>
      <c r="D13" s="9"/>
      <c r="E13" s="9"/>
      <c r="F13" s="9"/>
      <c r="G13" s="4"/>
      <c r="H13" s="9"/>
      <c r="I13" s="9"/>
      <c r="J13" s="9"/>
      <c r="K13" s="9"/>
      <c r="L13" s="4"/>
      <c r="M13" s="9"/>
      <c r="N13" s="9"/>
      <c r="O13" s="9"/>
      <c r="P13" s="9"/>
      <c r="Q13" s="4"/>
      <c r="R13" s="9">
        <v>0</v>
      </c>
      <c r="S13" s="9">
        <v>0</v>
      </c>
      <c r="T13" s="9">
        <v>0</v>
      </c>
      <c r="U13" s="9">
        <v>0</v>
      </c>
      <c r="V13" s="4">
        <f t="shared" si="3"/>
        <v>0</v>
      </c>
      <c r="W13" s="4"/>
      <c r="X13" s="4"/>
      <c r="Y13" s="4"/>
      <c r="Z13" s="4"/>
      <c r="AA13" s="4"/>
      <c r="AB13" s="9">
        <v>0</v>
      </c>
      <c r="AC13" s="9">
        <v>-73.186000000000007</v>
      </c>
      <c r="AD13" s="9">
        <v>-110.855</v>
      </c>
      <c r="AE13" s="9">
        <v>17.718</v>
      </c>
      <c r="AF13" s="4">
        <f t="shared" si="4"/>
        <v>-166.32300000000001</v>
      </c>
      <c r="AG13" s="9">
        <v>151.64500000000001</v>
      </c>
      <c r="AH13" s="9">
        <v>54.92</v>
      </c>
      <c r="AI13" s="9">
        <v>-10.182</v>
      </c>
      <c r="AJ13" s="9">
        <v>3.9550000000000001</v>
      </c>
      <c r="AK13" s="4">
        <f t="shared" ref="AK13" si="17">SUM(AG13:AJ13)</f>
        <v>200.33800000000002</v>
      </c>
      <c r="AL13" s="9">
        <v>-13.898</v>
      </c>
      <c r="AM13" s="9">
        <v>-8.8140000000000001</v>
      </c>
      <c r="AN13" s="9">
        <v>2.4</v>
      </c>
      <c r="AO13" s="9">
        <v>-10.295999999999999</v>
      </c>
      <c r="AP13" s="4">
        <f t="shared" ref="AP13" si="18">SUM(AL13:AO13)</f>
        <v>-30.608000000000001</v>
      </c>
      <c r="AQ13" s="9">
        <v>-3.367</v>
      </c>
      <c r="AR13" s="9">
        <v>0</v>
      </c>
      <c r="AS13" s="9">
        <v>0</v>
      </c>
      <c r="AT13" s="9">
        <v>0</v>
      </c>
      <c r="AU13" s="4">
        <f t="shared" ref="AU13" si="19">SUM(AQ13:AT13)</f>
        <v>-3.367</v>
      </c>
      <c r="AV13" s="9">
        <v>0</v>
      </c>
      <c r="AW13" s="9">
        <v>0</v>
      </c>
      <c r="AX13" s="9">
        <v>-4.2000000000000003E-2</v>
      </c>
      <c r="AY13" s="9">
        <f>1.49-0.068</f>
        <v>1.4219999999999999</v>
      </c>
      <c r="AZ13" s="4">
        <f t="shared" ref="AZ13:AZ15" si="20">SUM(AV13:AY13)</f>
        <v>1.38</v>
      </c>
      <c r="BA13" s="9">
        <v>0</v>
      </c>
      <c r="BB13" s="9">
        <v>0</v>
      </c>
      <c r="BC13" s="9">
        <v>0</v>
      </c>
      <c r="BD13" s="9">
        <v>0</v>
      </c>
      <c r="BE13" s="4">
        <f t="shared" ref="BE13:BE15" si="21">SUM(BA13:BD13)</f>
        <v>0</v>
      </c>
      <c r="BF13" s="135">
        <v>0</v>
      </c>
      <c r="BG13" s="135">
        <v>0</v>
      </c>
      <c r="BH13" s="135">
        <v>0</v>
      </c>
      <c r="BI13" s="135">
        <v>0</v>
      </c>
      <c r="BJ13" s="135">
        <v>0</v>
      </c>
    </row>
    <row r="14" spans="2:62">
      <c r="B14" s="8" t="s">
        <v>100</v>
      </c>
      <c r="C14" s="9">
        <v>-0.21299999999999999</v>
      </c>
      <c r="D14" s="9">
        <v>-0.184</v>
      </c>
      <c r="E14" s="9">
        <v>0</v>
      </c>
      <c r="F14" s="9">
        <v>-2.278</v>
      </c>
      <c r="G14" s="4">
        <f t="shared" si="0"/>
        <v>-2.6749999999999998</v>
      </c>
      <c r="H14" s="9">
        <v>-9.8000000000000004E-2</v>
      </c>
      <c r="I14" s="9">
        <v>-0.307</v>
      </c>
      <c r="J14" s="9">
        <v>-0.34100000000000003</v>
      </c>
      <c r="K14" s="9">
        <v>-0.21299999999999999</v>
      </c>
      <c r="L14" s="4">
        <f t="shared" si="1"/>
        <v>-0.95899999999999996</v>
      </c>
      <c r="M14" s="9">
        <v>0.13100000000000001</v>
      </c>
      <c r="N14" s="9">
        <v>0.40200000000000002</v>
      </c>
      <c r="O14" s="9">
        <v>-0.34599999999999997</v>
      </c>
      <c r="P14" s="9">
        <v>0.748</v>
      </c>
      <c r="Q14" s="4">
        <f t="shared" si="2"/>
        <v>0.93500000000000005</v>
      </c>
      <c r="R14" s="9">
        <v>-1.6659999999999999</v>
      </c>
      <c r="S14" s="9">
        <v>-5.5E-2</v>
      </c>
      <c r="T14" s="9">
        <v>-1.696</v>
      </c>
      <c r="U14" s="9">
        <v>0.16300000000000001</v>
      </c>
      <c r="V14" s="4">
        <f t="shared" si="3"/>
        <v>-3.254</v>
      </c>
      <c r="W14" s="4"/>
      <c r="X14" s="4"/>
      <c r="Y14" s="4"/>
      <c r="Z14" s="4"/>
      <c r="AA14" s="4"/>
      <c r="AB14" s="9">
        <v>7.351</v>
      </c>
      <c r="AC14" s="9">
        <v>32.752000000000002</v>
      </c>
      <c r="AD14" s="9">
        <v>21.111000000000001</v>
      </c>
      <c r="AE14" s="9">
        <v>-6.76</v>
      </c>
      <c r="AF14" s="4">
        <f t="shared" si="4"/>
        <v>54.454000000000001</v>
      </c>
      <c r="AG14" s="9">
        <v>-35.575000000000003</v>
      </c>
      <c r="AH14" s="9">
        <v>-12.644</v>
      </c>
      <c r="AI14" s="9">
        <v>2.351</v>
      </c>
      <c r="AJ14" s="9">
        <v>-11.997</v>
      </c>
      <c r="AK14" s="4">
        <f t="shared" si="5"/>
        <v>-57.865000000000002</v>
      </c>
      <c r="AL14" s="9">
        <v>-4.1440000000000001</v>
      </c>
      <c r="AM14" s="9">
        <v>-6.3179999999999996</v>
      </c>
      <c r="AN14" s="9">
        <v>3.7130000000000001</v>
      </c>
      <c r="AO14" s="9">
        <v>-2.0350000000000001</v>
      </c>
      <c r="AP14" s="4">
        <f t="shared" si="6"/>
        <v>-8.7839999999999989</v>
      </c>
      <c r="AQ14" s="9">
        <v>-5.0110000000000001</v>
      </c>
      <c r="AR14" s="9">
        <v>-0.20799999999999999</v>
      </c>
      <c r="AS14" s="9">
        <v>0.03</v>
      </c>
      <c r="AT14" s="9">
        <v>-7.0000000000000001E-3</v>
      </c>
      <c r="AU14" s="4">
        <f t="shared" ref="AU14:AU15" si="22">SUM(AQ14:AT14)</f>
        <v>-5.1959999999999997</v>
      </c>
      <c r="AV14" s="9">
        <v>1E-3</v>
      </c>
      <c r="AW14" s="9">
        <v>-64.816999999999993</v>
      </c>
      <c r="AX14" s="220">
        <v>-2.097</v>
      </c>
      <c r="AY14" s="9">
        <v>-24.829000000000001</v>
      </c>
      <c r="AZ14" s="4">
        <f>SUM(AV14:AY14)</f>
        <v>-91.74199999999999</v>
      </c>
      <c r="BA14" s="9">
        <v>0</v>
      </c>
      <c r="BB14" s="9">
        <v>0</v>
      </c>
      <c r="BC14" s="9">
        <v>0</v>
      </c>
      <c r="BD14" s="9">
        <v>0</v>
      </c>
      <c r="BE14" s="4">
        <f>SUM(BA14:BD14)</f>
        <v>0</v>
      </c>
      <c r="BF14" s="135">
        <v>0</v>
      </c>
      <c r="BG14" s="135">
        <v>0</v>
      </c>
      <c r="BH14" s="135">
        <v>0</v>
      </c>
      <c r="BI14" s="135">
        <v>0</v>
      </c>
      <c r="BJ14" s="135">
        <v>0</v>
      </c>
    </row>
    <row r="15" spans="2:62">
      <c r="B15" s="8" t="s">
        <v>50</v>
      </c>
      <c r="C15" s="11">
        <f>16.397-SUM(C6:C14)</f>
        <v>27.009999999999998</v>
      </c>
      <c r="D15" s="11">
        <f>19.651-SUM(D6:D14)</f>
        <v>19.683999999999997</v>
      </c>
      <c r="E15" s="11">
        <f>22.063-SUM(E6:E14)</f>
        <v>21.138999999999999</v>
      </c>
      <c r="F15" s="11">
        <f>24.91-SUM(F6:F14)</f>
        <v>19.387</v>
      </c>
      <c r="G15" s="7">
        <f>SUM(C15:F15)</f>
        <v>87.22</v>
      </c>
      <c r="H15" s="11">
        <f>24.779-SUM(H6:H14)</f>
        <v>26.881</v>
      </c>
      <c r="I15" s="11">
        <f>27.268-SUM(I6:I14)</f>
        <v>13.064000000000002</v>
      </c>
      <c r="J15" s="11">
        <f>27.607-SUM(J6:J14)</f>
        <v>6.6259999999999977</v>
      </c>
      <c r="K15" s="11">
        <f>36.055-SUM(K6:K14)</f>
        <v>13.082999999999998</v>
      </c>
      <c r="L15" s="7">
        <f t="shared" si="1"/>
        <v>59.653999999999996</v>
      </c>
      <c r="M15" s="11">
        <f>35.074-SUM(M6:M14)</f>
        <v>31.728999999999996</v>
      </c>
      <c r="N15" s="11">
        <f>37.18-SUM(N6:N14)</f>
        <v>16.983000000000001</v>
      </c>
      <c r="O15" s="11">
        <f>36.073-SUM(O6:O14)</f>
        <v>16.196000000000002</v>
      </c>
      <c r="P15" s="11">
        <f>18.225-15.376-0.956+7.656-11.166-4.563+22.095+6.819</f>
        <v>22.733999999999998</v>
      </c>
      <c r="Q15" s="7">
        <f t="shared" si="2"/>
        <v>87.641999999999996</v>
      </c>
      <c r="R15" s="11">
        <f>4.288-5.229+0.148-14.674+8.802+12.109+32.871+6.916</f>
        <v>45.231000000000009</v>
      </c>
      <c r="S15" s="11">
        <f>5.158-4.588-1.765-6.931+26.172+11.585+29.792+3.287</f>
        <v>62.71</v>
      </c>
      <c r="T15" s="11">
        <f>3.907-3.377-4.329-7.183-3.331+14.014+26.761+4.35</f>
        <v>30.811999999999998</v>
      </c>
      <c r="U15" s="11">
        <f>4.514-2.613-0.511+6.111+10.324-12.382+23.847+0.898</f>
        <v>30.187999999999999</v>
      </c>
      <c r="V15" s="7">
        <f t="shared" si="3"/>
        <v>168.94099999999997</v>
      </c>
      <c r="W15" s="7"/>
      <c r="X15" s="7"/>
      <c r="Y15" s="7"/>
      <c r="Z15" s="7"/>
      <c r="AA15" s="7"/>
      <c r="AB15" s="11">
        <f>4.681-6.035-6.176-73.916-3.262+40.554+46.997+14.701</f>
        <v>17.544000000000004</v>
      </c>
      <c r="AC15" s="11">
        <f>8.379-7.578+0.875-30.304+2.234-27.407+21.81-1.634</f>
        <v>-33.625</v>
      </c>
      <c r="AD15" s="11">
        <f>SUM(5.907,-6.062,1.43,-0.652,6.727,-0.628,5.336,2.596)</f>
        <v>14.654</v>
      </c>
      <c r="AE15" s="11">
        <f>9.474-7.013-2.379+3.029+20.896+6.872+11.593+0.325-0.63</f>
        <v>42.167000000000002</v>
      </c>
      <c r="AF15" s="7">
        <f t="shared" si="4"/>
        <v>40.740000000000009</v>
      </c>
      <c r="AG15" s="11">
        <f>8.838-9.647-11.649-12.313+21.686-4.74+37.552-1.158</f>
        <v>28.568999999999996</v>
      </c>
      <c r="AH15" s="11">
        <f>9.737-15.525+1.216-15.032-9.573-0.324+7.731+20.974</f>
        <v>-0.79600000000000293</v>
      </c>
      <c r="AI15" s="11">
        <f>8.141-8.675+5.004-5.28-7.96-9.562+6.023+3.069</f>
        <v>-9.240000000000002</v>
      </c>
      <c r="AJ15" s="11">
        <f>18.724-11.204-6.29+26.713-22.667+17.506+4.081+3.092</f>
        <v>29.954999999999998</v>
      </c>
      <c r="AK15" s="7">
        <f t="shared" si="5"/>
        <v>48.487999999999985</v>
      </c>
      <c r="AL15" s="11">
        <f>5.796-8.121-10.474-10.858-41.67-10.042+60.975+5.178</f>
        <v>-9.2159999999999975</v>
      </c>
      <c r="AM15" s="11">
        <f>5.356-26.208-0.708+8-11.301-17.932+12.043-5.485</f>
        <v>-36.234999999999992</v>
      </c>
      <c r="AN15" s="11">
        <f>8.905-13.705-1.332-6.402-14.604+6.749+0.387+6.717</f>
        <v>-13.285</v>
      </c>
      <c r="AO15" s="11">
        <f>1.492+11.517+-2.794-1.123+16.262-8.307+2.788+5.505</f>
        <v>25.339999999999996</v>
      </c>
      <c r="AP15" s="7">
        <f t="shared" si="6"/>
        <v>-33.395999999999994</v>
      </c>
      <c r="AQ15" s="11">
        <f>1.119-12.568-2.123-2.429+41.319+2.635</f>
        <v>27.953000000000003</v>
      </c>
      <c r="AR15" s="11">
        <f>5.286-7.86+1.598+0.491-28.195-14.502+13.69+25.426+11.389</f>
        <v>7.3229999999999933</v>
      </c>
      <c r="AS15" s="11">
        <f>9.585-18.753-0.716+5.56+27.484+12.189+7.758+6.096-5.081</f>
        <v>44.122</v>
      </c>
      <c r="AT15" s="11">
        <f>4.351-2.821+2.471+4.058-63.684+17.329+66.407+1.609-5.86</f>
        <v>23.86</v>
      </c>
      <c r="AU15" s="7">
        <f t="shared" si="22"/>
        <v>103.258</v>
      </c>
      <c r="AV15" s="289">
        <f>4.803-8.763-2.006-2.654+58.289-9.338-64.148+44.362+19.193</f>
        <v>39.738000000000014</v>
      </c>
      <c r="AW15" s="289">
        <f>4.8+34.062-3.832-7.956-6.09-12.581+21.409+26.211+58.13</f>
        <v>114.15299999999999</v>
      </c>
      <c r="AX15" s="289">
        <f>4.842+10.736-11.876+0.666-16.673+6.907+11.326+18.316+45.253</f>
        <v>69.497</v>
      </c>
      <c r="AY15" s="289">
        <f>5.476+9.414-0.511+13.163+3.478+41.974-1.542+14.985+81.64</f>
        <v>168.077</v>
      </c>
      <c r="AZ15" s="7">
        <f t="shared" si="20"/>
        <v>391.46500000000003</v>
      </c>
      <c r="BA15" s="289">
        <v>37.5</v>
      </c>
      <c r="BB15" s="289">
        <v>37.5</v>
      </c>
      <c r="BC15" s="289">
        <v>37.5</v>
      </c>
      <c r="BD15" s="289">
        <v>37.5</v>
      </c>
      <c r="BE15" s="7">
        <f t="shared" si="21"/>
        <v>150</v>
      </c>
      <c r="BF15" s="143">
        <v>120</v>
      </c>
      <c r="BG15" s="143">
        <f t="shared" ref="BG15:BJ15" si="23">+BF15*0.8</f>
        <v>96</v>
      </c>
      <c r="BH15" s="143">
        <f t="shared" si="23"/>
        <v>76.800000000000011</v>
      </c>
      <c r="BI15" s="143">
        <f t="shared" si="23"/>
        <v>61.440000000000012</v>
      </c>
      <c r="BJ15" s="143">
        <f t="shared" si="23"/>
        <v>49.152000000000015</v>
      </c>
    </row>
    <row r="16" spans="2:62">
      <c r="B16" s="12" t="s">
        <v>51</v>
      </c>
      <c r="C16" s="13">
        <f t="shared" ref="C16:V16" si="24">SUM(C6:C15)</f>
        <v>16.396999999999998</v>
      </c>
      <c r="D16" s="13">
        <f t="shared" si="24"/>
        <v>19.651</v>
      </c>
      <c r="E16" s="13">
        <f t="shared" si="24"/>
        <v>22.062999999999999</v>
      </c>
      <c r="F16" s="13">
        <f t="shared" si="24"/>
        <v>24.91</v>
      </c>
      <c r="G16" s="5">
        <f t="shared" si="24"/>
        <v>83.021000000000001</v>
      </c>
      <c r="H16" s="13">
        <f t="shared" si="24"/>
        <v>24.779</v>
      </c>
      <c r="I16" s="13">
        <f t="shared" si="24"/>
        <v>27.268000000000001</v>
      </c>
      <c r="J16" s="13">
        <f t="shared" si="24"/>
        <v>27.606999999999999</v>
      </c>
      <c r="K16" s="13">
        <f t="shared" si="24"/>
        <v>36.055</v>
      </c>
      <c r="L16" s="5">
        <f t="shared" si="24"/>
        <v>115.70899999999999</v>
      </c>
      <c r="M16" s="13">
        <f t="shared" si="24"/>
        <v>35.073999999999998</v>
      </c>
      <c r="N16" s="13">
        <f t="shared" si="24"/>
        <v>37.18</v>
      </c>
      <c r="O16" s="13">
        <f t="shared" si="24"/>
        <v>36.073</v>
      </c>
      <c r="P16" s="13">
        <f t="shared" si="24"/>
        <v>41.236999999999995</v>
      </c>
      <c r="Q16" s="5">
        <f t="shared" si="24"/>
        <v>149.56399999999999</v>
      </c>
      <c r="R16" s="13">
        <f t="shared" si="24"/>
        <v>45.027000000000008</v>
      </c>
      <c r="S16" s="13">
        <f t="shared" si="24"/>
        <v>49.958000000000006</v>
      </c>
      <c r="T16" s="13">
        <f t="shared" si="24"/>
        <v>24.513999999999996</v>
      </c>
      <c r="U16" s="13">
        <f t="shared" si="24"/>
        <v>28.55</v>
      </c>
      <c r="V16" s="5">
        <f t="shared" si="24"/>
        <v>148.04899999999998</v>
      </c>
      <c r="W16" s="5"/>
      <c r="X16" s="5"/>
      <c r="Y16" s="5"/>
      <c r="Z16" s="5"/>
      <c r="AA16" s="5"/>
      <c r="AB16" s="13">
        <f t="shared" ref="AB16:BJ16" si="25">SUM(AB6:AB15)</f>
        <v>18.488000000000014</v>
      </c>
      <c r="AC16" s="13">
        <f t="shared" si="25"/>
        <v>21.832999999999991</v>
      </c>
      <c r="AD16" s="13">
        <f t="shared" si="25"/>
        <v>4.3230000000000075</v>
      </c>
      <c r="AE16" s="13">
        <f t="shared" si="25"/>
        <v>21.041000000000011</v>
      </c>
      <c r="AF16" s="5">
        <f t="shared" si="25"/>
        <v>65.685000000000031</v>
      </c>
      <c r="AG16" s="13">
        <f>SUM(AG6:AG15)</f>
        <v>-13.662000000000042</v>
      </c>
      <c r="AH16" s="13">
        <f t="shared" si="25"/>
        <v>-2.6689999999999952</v>
      </c>
      <c r="AI16" s="13">
        <f t="shared" si="25"/>
        <v>0.26700000000000301</v>
      </c>
      <c r="AJ16" s="13">
        <f t="shared" si="25"/>
        <v>53.233999999999995</v>
      </c>
      <c r="AK16" s="5">
        <f t="shared" si="25"/>
        <v>37.169999999999924</v>
      </c>
      <c r="AL16" s="13">
        <f t="shared" ref="AL16:AQ16" si="26">SUM(AL6:AL15)</f>
        <v>45.961000000000013</v>
      </c>
      <c r="AM16" s="13">
        <f t="shared" si="26"/>
        <v>47.761000000000003</v>
      </c>
      <c r="AN16" s="259">
        <f t="shared" si="26"/>
        <v>64.14400000000002</v>
      </c>
      <c r="AO16" s="13">
        <f t="shared" si="26"/>
        <v>90.379000000000019</v>
      </c>
      <c r="AP16" s="5">
        <f t="shared" si="26"/>
        <v>248.24500000000009</v>
      </c>
      <c r="AQ16" s="13">
        <f t="shared" si="26"/>
        <v>113.836</v>
      </c>
      <c r="AR16" s="13">
        <f t="shared" ref="AR16:AU16" si="27">SUM(AR6:AR15)</f>
        <v>120.02899999999998</v>
      </c>
      <c r="AS16" s="13">
        <f t="shared" si="27"/>
        <v>129.81400000000002</v>
      </c>
      <c r="AT16" s="13">
        <f t="shared" si="27"/>
        <v>133.73599999999999</v>
      </c>
      <c r="AU16" s="5">
        <f t="shared" si="27"/>
        <v>495.4899999999999</v>
      </c>
      <c r="AV16" s="13">
        <f t="shared" ref="AV16:AY16" si="28">SUM(AV6:AV15)</f>
        <v>145.49100000000001</v>
      </c>
      <c r="AW16" s="13">
        <f t="shared" si="28"/>
        <v>150.33499999999998</v>
      </c>
      <c r="AX16" s="13">
        <f t="shared" si="28"/>
        <v>128.69900000000001</v>
      </c>
      <c r="AY16" s="317">
        <f t="shared" si="28"/>
        <v>158.333</v>
      </c>
      <c r="AZ16" s="5">
        <f>SUM(BA6:BA15)</f>
        <v>100.93671143594709</v>
      </c>
      <c r="BA16" s="13">
        <f t="shared" si="25"/>
        <v>100.93671143594709</v>
      </c>
      <c r="BB16" s="13">
        <f t="shared" si="25"/>
        <v>115.56939792964747</v>
      </c>
      <c r="BC16" s="13">
        <f t="shared" si="25"/>
        <v>136.94804755206155</v>
      </c>
      <c r="BD16" s="13">
        <f t="shared" si="25"/>
        <v>157.26676974824289</v>
      </c>
      <c r="BE16" s="5">
        <f t="shared" ref="BE16" si="29">SUM(BE6:BE15)</f>
        <v>510.72092666589901</v>
      </c>
      <c r="BF16" s="5">
        <f t="shared" si="25"/>
        <v>646.10051221325762</v>
      </c>
      <c r="BG16" s="5">
        <f t="shared" si="25"/>
        <v>753.65992019353382</v>
      </c>
      <c r="BH16" s="5">
        <f t="shared" si="25"/>
        <v>873.44446182906722</v>
      </c>
      <c r="BI16" s="5">
        <f t="shared" si="25"/>
        <v>991.17968061827264</v>
      </c>
      <c r="BJ16" s="5">
        <f t="shared" si="25"/>
        <v>1105.9938582028274</v>
      </c>
    </row>
    <row r="17" spans="2:62">
      <c r="C17" s="10"/>
      <c r="D17" s="10"/>
      <c r="E17" s="10"/>
      <c r="F17" s="10"/>
      <c r="G17" s="4"/>
      <c r="H17" s="10"/>
      <c r="I17" s="10"/>
      <c r="J17" s="10"/>
      <c r="K17" s="10"/>
      <c r="L17" s="4"/>
      <c r="M17" s="10"/>
      <c r="N17" s="10"/>
      <c r="O17" s="10"/>
      <c r="P17" s="10"/>
      <c r="Q17" s="4"/>
      <c r="R17" s="10"/>
      <c r="S17" s="10"/>
      <c r="T17" s="10"/>
      <c r="U17" s="10"/>
      <c r="V17" s="4"/>
      <c r="W17" s="4"/>
      <c r="X17" s="4"/>
      <c r="Y17" s="4"/>
      <c r="Z17" s="4"/>
      <c r="AA17" s="4"/>
      <c r="AB17" s="10"/>
      <c r="AC17" s="10"/>
      <c r="AD17" s="10"/>
      <c r="AE17" s="10"/>
      <c r="AF17" s="4"/>
      <c r="AG17" s="10"/>
      <c r="AH17" s="10"/>
      <c r="AI17" s="10"/>
      <c r="AJ17" s="10"/>
      <c r="AK17" s="4"/>
      <c r="AL17" s="10"/>
      <c r="AM17" s="10"/>
      <c r="AN17" s="10"/>
      <c r="AO17" s="10"/>
      <c r="AP17" s="4"/>
      <c r="AQ17" s="10"/>
      <c r="AR17" s="10"/>
      <c r="AS17" s="10"/>
      <c r="AT17" s="10"/>
      <c r="AU17" s="4"/>
      <c r="AV17" s="10"/>
      <c r="AW17" s="10"/>
      <c r="AX17" s="10"/>
      <c r="AY17" s="10"/>
      <c r="AZ17" s="4"/>
      <c r="BA17" s="10"/>
      <c r="BB17" s="10"/>
      <c r="BC17" s="10"/>
      <c r="BD17" s="10"/>
      <c r="BE17" s="4"/>
      <c r="BF17" s="4"/>
      <c r="BG17" s="4"/>
      <c r="BH17" s="4"/>
      <c r="BI17" s="4"/>
      <c r="BJ17" s="4"/>
    </row>
    <row r="18" spans="2:62">
      <c r="B18" s="17" t="s">
        <v>52</v>
      </c>
      <c r="C18" s="10"/>
      <c r="D18" s="10"/>
      <c r="E18" s="10"/>
      <c r="F18" s="10"/>
      <c r="G18" s="4"/>
      <c r="H18" s="10"/>
      <c r="I18" s="10"/>
      <c r="J18" s="10"/>
      <c r="K18" s="10"/>
      <c r="L18" s="4"/>
      <c r="M18" s="10"/>
      <c r="N18" s="10"/>
      <c r="O18" s="10"/>
      <c r="P18" s="10"/>
      <c r="Q18" s="4"/>
      <c r="R18" s="10"/>
      <c r="S18" s="10"/>
      <c r="T18" s="10"/>
      <c r="U18" s="10"/>
      <c r="V18" s="4"/>
      <c r="W18" s="4"/>
      <c r="X18" s="4"/>
      <c r="Y18" s="4"/>
      <c r="Z18" s="4"/>
      <c r="AA18" s="4"/>
      <c r="AB18" s="10"/>
      <c r="AC18" s="10"/>
      <c r="AD18" s="10"/>
      <c r="AE18" s="9"/>
      <c r="AF18" s="4"/>
      <c r="AG18" s="10"/>
      <c r="AH18" s="10"/>
      <c r="AI18" s="10"/>
      <c r="AJ18" s="9"/>
      <c r="AK18" s="4"/>
      <c r="AL18" s="10"/>
      <c r="AM18" s="10"/>
      <c r="AN18" s="10"/>
      <c r="AO18" s="9"/>
      <c r="AP18" s="4"/>
      <c r="AQ18" s="10"/>
      <c r="AR18" s="10"/>
      <c r="AS18" s="10"/>
      <c r="AT18" s="9"/>
      <c r="AU18" s="4"/>
      <c r="AV18" s="10"/>
      <c r="AW18" s="10"/>
      <c r="AX18" s="10"/>
      <c r="AY18" s="9"/>
      <c r="AZ18" s="4"/>
      <c r="BA18" s="9"/>
      <c r="BB18" s="9"/>
      <c r="BC18" s="9"/>
      <c r="BD18" s="9"/>
      <c r="BE18" s="4"/>
      <c r="BF18" s="4"/>
      <c r="BG18" s="4"/>
      <c r="BH18" s="4"/>
      <c r="BI18" s="4"/>
      <c r="BJ18" s="4"/>
    </row>
    <row r="19" spans="2:62">
      <c r="B19" s="8" t="s">
        <v>101</v>
      </c>
      <c r="C19" s="9">
        <f>16.386-10.65</f>
        <v>5.7359999999999989</v>
      </c>
      <c r="D19" s="9">
        <f>16.664-5</f>
        <v>11.664000000000001</v>
      </c>
      <c r="E19" s="9">
        <f>17.392-41</f>
        <v>-23.608000000000001</v>
      </c>
      <c r="F19" s="9">
        <f>1.869-32.056</f>
        <v>-30.186999999999998</v>
      </c>
      <c r="G19" s="4">
        <f>SUM(C19:F19)</f>
        <v>-36.394999999999996</v>
      </c>
      <c r="H19" s="9">
        <f>13.774-26.779</f>
        <v>-13.005000000000001</v>
      </c>
      <c r="I19" s="9">
        <f>5.337-125.001</f>
        <v>-119.664</v>
      </c>
      <c r="J19" s="9">
        <f>96.015-172.999</f>
        <v>-76.983999999999995</v>
      </c>
      <c r="K19" s="9">
        <f>88.999-113.2</f>
        <v>-24.201000000000008</v>
      </c>
      <c r="L19" s="4">
        <f>SUM(H19:K19)</f>
        <v>-233.85400000000004</v>
      </c>
      <c r="M19" s="9">
        <f>26.775-26</f>
        <v>0.77499999999999858</v>
      </c>
      <c r="N19" s="9">
        <v>55</v>
      </c>
      <c r="O19" s="9">
        <f>164-175</f>
        <v>-11</v>
      </c>
      <c r="P19" s="9">
        <f>103-93</f>
        <v>10</v>
      </c>
      <c r="Q19" s="4">
        <f>SUM(M19:P19)</f>
        <v>54.774999999999999</v>
      </c>
      <c r="R19" s="9">
        <f>17-89</f>
        <v>-72</v>
      </c>
      <c r="S19" s="9">
        <f>9.225-49</f>
        <v>-39.774999999999999</v>
      </c>
      <c r="T19" s="9">
        <f>175-309.21</f>
        <v>-134.20999999999998</v>
      </c>
      <c r="U19" s="9">
        <f>93-129.79</f>
        <v>-36.789999999999992</v>
      </c>
      <c r="V19" s="4">
        <f>SUM(R19:U19)</f>
        <v>-282.77499999999998</v>
      </c>
      <c r="W19" s="4"/>
      <c r="X19" s="4"/>
      <c r="Y19" s="4"/>
      <c r="Z19" s="4"/>
      <c r="AA19" s="4"/>
      <c r="AB19" s="9">
        <f>138.015-0.602</f>
        <v>137.41299999999998</v>
      </c>
      <c r="AC19" s="9">
        <f>40-171.529</f>
        <v>-131.529</v>
      </c>
      <c r="AD19" s="9">
        <f>269-245</f>
        <v>24</v>
      </c>
      <c r="AE19" s="9">
        <f>285-155.5</f>
        <v>129.5</v>
      </c>
      <c r="AF19" s="4">
        <f>SUM(AB19:AE19)</f>
        <v>159.38399999999999</v>
      </c>
      <c r="AG19" s="9">
        <f>105-150</f>
        <v>-45</v>
      </c>
      <c r="AH19" s="9">
        <f>126.259-240.972</f>
        <v>-114.71300000000001</v>
      </c>
      <c r="AI19" s="9">
        <f>105.171-57.18</f>
        <v>47.991000000000007</v>
      </c>
      <c r="AJ19" s="9">
        <f>308.379-317.869</f>
        <v>-9.4900000000000091</v>
      </c>
      <c r="AK19" s="4">
        <f>SUM(AG19:AJ19)</f>
        <v>-121.21200000000002</v>
      </c>
      <c r="AL19" s="9">
        <f>56.091-58.98</f>
        <v>-2.8889999999999958</v>
      </c>
      <c r="AM19" s="9">
        <f>367.61-4.48</f>
        <v>363.13</v>
      </c>
      <c r="AN19" s="9">
        <v>70.040000000000006</v>
      </c>
      <c r="AO19" s="9">
        <v>131.75399999999999</v>
      </c>
      <c r="AP19" s="4">
        <f>SUM(AL19:AO19)</f>
        <v>562.03499999999997</v>
      </c>
      <c r="AQ19" s="9">
        <f>0.823-30.162</f>
        <v>-29.338999999999999</v>
      </c>
      <c r="AR19" s="9">
        <f>0.162-0.011</f>
        <v>0.151</v>
      </c>
      <c r="AS19" s="9">
        <f>178.661-114.619</f>
        <v>64.042000000000002</v>
      </c>
      <c r="AT19" s="9">
        <f>97.051-25.54</f>
        <v>71.510999999999996</v>
      </c>
      <c r="AU19" s="4">
        <f>SUM(AQ19:AT19)</f>
        <v>106.36499999999999</v>
      </c>
      <c r="AV19" s="9">
        <f>107.78-112.81</f>
        <v>-5.0300000000000011</v>
      </c>
      <c r="AW19" s="9">
        <v>-10.458</v>
      </c>
      <c r="AX19" s="9">
        <f>70.649-87.032</f>
        <v>-16.382999999999996</v>
      </c>
      <c r="AY19" s="9">
        <v>10.045999999999999</v>
      </c>
      <c r="AZ19" s="4">
        <f>SUM(AV19:AY19)</f>
        <v>-21.824999999999996</v>
      </c>
      <c r="BA19" s="9">
        <v>0</v>
      </c>
      <c r="BB19" s="9">
        <v>0</v>
      </c>
      <c r="BC19" s="9">
        <v>0</v>
      </c>
      <c r="BD19" s="9">
        <v>0</v>
      </c>
      <c r="BE19" s="4">
        <f>SUM(BA19:BD19)</f>
        <v>0</v>
      </c>
      <c r="BF19" s="135">
        <v>0</v>
      </c>
      <c r="BG19" s="135">
        <v>0</v>
      </c>
      <c r="BH19" s="135">
        <v>0</v>
      </c>
      <c r="BI19" s="135">
        <v>0</v>
      </c>
      <c r="BJ19" s="135">
        <v>0</v>
      </c>
    </row>
    <row r="20" spans="2:62">
      <c r="B20" s="8" t="s">
        <v>102</v>
      </c>
      <c r="C20" s="9">
        <v>0</v>
      </c>
      <c r="D20" s="9">
        <v>0</v>
      </c>
      <c r="E20" s="9">
        <v>0</v>
      </c>
      <c r="F20" s="9">
        <f>-33.189+0.245</f>
        <v>-32.944000000000003</v>
      </c>
      <c r="G20" s="4">
        <f>SUM(C20:F20)</f>
        <v>-32.944000000000003</v>
      </c>
      <c r="H20" s="9">
        <f>-3.403+2.94</f>
        <v>-0.46300000000000008</v>
      </c>
      <c r="I20" s="9">
        <f>-11.576+11.496</f>
        <v>-8.0000000000000071E-2</v>
      </c>
      <c r="J20" s="9">
        <f>-37.678+1.357</f>
        <v>-36.320999999999998</v>
      </c>
      <c r="K20" s="9">
        <f>-6.306+5.261</f>
        <v>-1.0449999999999999</v>
      </c>
      <c r="L20" s="4">
        <f>SUM(H20:K20)</f>
        <v>-37.908999999999999</v>
      </c>
      <c r="M20" s="9">
        <f>-27.923+7.455</f>
        <v>-20.467999999999996</v>
      </c>
      <c r="N20" s="9">
        <f>-108.693+21.601</f>
        <v>-87.091999999999999</v>
      </c>
      <c r="O20" s="9">
        <f>-127.967+32.246</f>
        <v>-95.721000000000004</v>
      </c>
      <c r="P20" s="9">
        <f>-138.191+71.603</f>
        <v>-66.588000000000008</v>
      </c>
      <c r="Q20" s="4">
        <f>SUM(M20:P20)</f>
        <v>-269.86900000000003</v>
      </c>
      <c r="R20" s="9">
        <f>-129.301+89.255</f>
        <v>-40.045999999999992</v>
      </c>
      <c r="S20" s="9">
        <f>-100.867+65.656</f>
        <v>-35.210999999999999</v>
      </c>
      <c r="T20" s="9">
        <f>-468.473+45.104</f>
        <v>-423.36900000000003</v>
      </c>
      <c r="U20" s="9">
        <f>-64.94+77.32</f>
        <v>12.379999999999995</v>
      </c>
      <c r="V20" s="4">
        <f>SUM(R20:U20)</f>
        <v>-486.24600000000004</v>
      </c>
      <c r="W20" s="4"/>
      <c r="X20" s="4"/>
      <c r="Y20" s="4"/>
      <c r="Z20" s="4"/>
      <c r="AA20" s="4"/>
      <c r="AB20" s="9">
        <f>90.097</f>
        <v>90.096999999999994</v>
      </c>
      <c r="AC20" s="9">
        <f>90.562</f>
        <v>90.561999999999998</v>
      </c>
      <c r="AD20" s="9">
        <v>80.909000000000006</v>
      </c>
      <c r="AE20" s="9">
        <f>-29.377+50.633</f>
        <v>21.256000000000004</v>
      </c>
      <c r="AF20" s="4">
        <f>SUM(AB20:AE20)</f>
        <v>282.82400000000001</v>
      </c>
      <c r="AG20" s="9">
        <f>-72.155+61.38</f>
        <v>-10.774999999999999</v>
      </c>
      <c r="AH20" s="9">
        <f>-92.408+78.87</f>
        <v>-13.537999999999997</v>
      </c>
      <c r="AI20" s="9">
        <f>-38.048+51.619</f>
        <v>13.570999999999998</v>
      </c>
      <c r="AJ20" s="9">
        <v>98.244</v>
      </c>
      <c r="AK20" s="4">
        <f t="shared" ref="AK20:AK21" si="30">SUM(AG20:AJ20)</f>
        <v>87.50200000000001</v>
      </c>
      <c r="AL20" s="9">
        <f>58.39</f>
        <v>58.39</v>
      </c>
      <c r="AM20" s="9">
        <v>115.979</v>
      </c>
      <c r="AN20" s="9">
        <f>+-134.732-4.125+42.901</f>
        <v>-95.955999999999989</v>
      </c>
      <c r="AO20" s="9">
        <f>-99.725-0.837+31.92</f>
        <v>-68.641999999999996</v>
      </c>
      <c r="AP20" s="4">
        <f>SUM(AL20:AO20)</f>
        <v>9.771000000000015</v>
      </c>
      <c r="AQ20" s="9">
        <f>-27.847+52.805</f>
        <v>24.957999999999998</v>
      </c>
      <c r="AR20" s="9">
        <f>-163.698+38.35</f>
        <v>-125.34800000000001</v>
      </c>
      <c r="AS20" s="9">
        <f>-75.664+19.021</f>
        <v>-56.643000000000001</v>
      </c>
      <c r="AT20" s="9">
        <v>15</v>
      </c>
      <c r="AU20" s="4">
        <f>SUM(AQ20:AT20)</f>
        <v>-142.03300000000002</v>
      </c>
      <c r="AV20" s="9">
        <f>-27.693+58.292</f>
        <v>30.599</v>
      </c>
      <c r="AW20" s="9">
        <f>20.7-163.313+162.525</f>
        <v>19.912000000000006</v>
      </c>
      <c r="AX20" s="9">
        <f>-345+8.51+87.032</f>
        <v>-249.45800000000003</v>
      </c>
      <c r="AY20" s="9">
        <f>-10.027-639.888+9.111</f>
        <v>-640.80400000000009</v>
      </c>
      <c r="AZ20" s="4">
        <f>SUM(AV20:AY20)</f>
        <v>-839.75100000000009</v>
      </c>
      <c r="BA20" s="9">
        <f>-('Balance Sheet'!BA16+'Balance Sheet'!BA9-'Balance Sheet'!AY9-'Balance Sheet'!AY16)</f>
        <v>199.99999999999994</v>
      </c>
      <c r="BB20" s="9">
        <f>-('Balance Sheet'!BB16+'Balance Sheet'!BB9-'Balance Sheet'!BA9-'Balance Sheet'!BA16)</f>
        <v>199.99999999999994</v>
      </c>
      <c r="BC20" s="9">
        <f>-('Balance Sheet'!BC16+'Balance Sheet'!BC9-'Balance Sheet'!BB9-'Balance Sheet'!BB16)</f>
        <v>200</v>
      </c>
      <c r="BD20" s="9">
        <f>-('Balance Sheet'!BD16+'Balance Sheet'!BD9-'Balance Sheet'!BC9-'Balance Sheet'!BC16)</f>
        <v>200</v>
      </c>
      <c r="BE20" s="4">
        <f>SUM(BA20:BD20)</f>
        <v>799.99999999999989</v>
      </c>
      <c r="BF20" s="135">
        <v>0</v>
      </c>
      <c r="BG20" s="135">
        <v>0</v>
      </c>
      <c r="BH20" s="135">
        <v>0</v>
      </c>
      <c r="BI20" s="135">
        <v>0</v>
      </c>
      <c r="BJ20" s="135">
        <v>0</v>
      </c>
    </row>
    <row r="21" spans="2:62">
      <c r="B21" s="8" t="s">
        <v>53</v>
      </c>
      <c r="C21" s="9">
        <v>-1.6160000000000001</v>
      </c>
      <c r="D21" s="9">
        <v>-2.2389999999999999</v>
      </c>
      <c r="E21" s="9">
        <v>-3.1280000000000001</v>
      </c>
      <c r="F21" s="9">
        <v>-5.2690000000000001</v>
      </c>
      <c r="G21" s="4">
        <f>SUM(C21:F21)</f>
        <v>-12.252000000000001</v>
      </c>
      <c r="H21" s="9">
        <v>-3.2109999999999999</v>
      </c>
      <c r="I21" s="9">
        <v>-3.2959999999999998</v>
      </c>
      <c r="J21" s="9">
        <v>-3.8650000000000002</v>
      </c>
      <c r="K21" s="9">
        <v>-3.3119999999999998</v>
      </c>
      <c r="L21" s="4">
        <f>SUM(H21:K21)</f>
        <v>-13.683999999999999</v>
      </c>
      <c r="M21" s="9">
        <v>-4.83</v>
      </c>
      <c r="N21" s="9">
        <v>-6.2350000000000003</v>
      </c>
      <c r="O21" s="9">
        <v>-6.7119999999999997</v>
      </c>
      <c r="P21" s="9">
        <v>-3.65</v>
      </c>
      <c r="Q21" s="4">
        <f>SUM(M21:P21)</f>
        <v>-21.427</v>
      </c>
      <c r="R21" s="9">
        <v>-4.9429999999999996</v>
      </c>
      <c r="S21" s="9">
        <v>-3.2639999999999998</v>
      </c>
      <c r="T21" s="9">
        <v>-4.9279999999999999</v>
      </c>
      <c r="U21" s="9">
        <v>-5.2679999999999998</v>
      </c>
      <c r="V21" s="4">
        <f>SUM(R21:U21)</f>
        <v>-18.402999999999999</v>
      </c>
      <c r="W21" s="4"/>
      <c r="X21" s="4"/>
      <c r="Y21" s="4"/>
      <c r="Z21" s="4"/>
      <c r="AA21" s="4"/>
      <c r="AB21" s="9">
        <v>-3.72</v>
      </c>
      <c r="AC21" s="9">
        <v>-6.657</v>
      </c>
      <c r="AD21" s="9">
        <v>-12.603999999999999</v>
      </c>
      <c r="AE21" s="9">
        <v>-12.789</v>
      </c>
      <c r="AF21" s="4">
        <f>SUM(AB21:AE21)</f>
        <v>-35.770000000000003</v>
      </c>
      <c r="AG21" s="9">
        <v>-19.283000000000001</v>
      </c>
      <c r="AH21" s="9">
        <v>-12.629</v>
      </c>
      <c r="AI21" s="9">
        <f>-22.208</f>
        <v>-22.207999999999998</v>
      </c>
      <c r="AJ21" s="9">
        <v>-14.433999999999999</v>
      </c>
      <c r="AK21" s="4">
        <f t="shared" si="30"/>
        <v>-68.554000000000002</v>
      </c>
      <c r="AL21" s="9">
        <v>-19.574000000000002</v>
      </c>
      <c r="AM21" s="9">
        <v>-15.175000000000001</v>
      </c>
      <c r="AN21" s="9">
        <v>-18.690000000000001</v>
      </c>
      <c r="AO21" s="9">
        <v>-9.5809999999999995</v>
      </c>
      <c r="AP21" s="4">
        <f>SUM(AL21:AO21)</f>
        <v>-63.02000000000001</v>
      </c>
      <c r="AQ21" s="9">
        <v>-7.7149999999999999</v>
      </c>
      <c r="AR21" s="9">
        <v>-6.8710000000000004</v>
      </c>
      <c r="AS21" s="9">
        <v>-1.665</v>
      </c>
      <c r="AT21" s="31">
        <v>-1.5620000000000001</v>
      </c>
      <c r="AU21" s="4">
        <f>SUM(AQ21:AT21)</f>
        <v>-17.813000000000002</v>
      </c>
      <c r="AV21" s="9">
        <v>-2.629</v>
      </c>
      <c r="AW21" s="9">
        <v>-2.2650000000000001</v>
      </c>
      <c r="AX21" s="9">
        <v>-1.1439999999999999</v>
      </c>
      <c r="AY21" s="31">
        <v>-2.5150000000000001</v>
      </c>
      <c r="AZ21" s="4">
        <f>SUM(AV21:AY21)</f>
        <v>-8.5530000000000008</v>
      </c>
      <c r="BA21" s="31">
        <f>+BA41-BA22</f>
        <v>0.25</v>
      </c>
      <c r="BB21" s="31">
        <f t="shared" ref="BB21:BD21" si="31">+BB41-BB22</f>
        <v>0.25</v>
      </c>
      <c r="BC21" s="31">
        <f t="shared" si="31"/>
        <v>0.25</v>
      </c>
      <c r="BD21" s="31">
        <f t="shared" si="31"/>
        <v>0.25</v>
      </c>
      <c r="BE21" s="4">
        <f>SUM(BA21:BD21)</f>
        <v>1</v>
      </c>
      <c r="BF21" s="270">
        <f t="shared" ref="BF21:BJ21" si="32">+BF41-BF22</f>
        <v>0.84999999999999964</v>
      </c>
      <c r="BG21" s="270">
        <f t="shared" si="32"/>
        <v>0.69549999999999912</v>
      </c>
      <c r="BH21" s="270">
        <f t="shared" si="32"/>
        <v>0.53636499999999909</v>
      </c>
      <c r="BI21" s="270">
        <f t="shared" si="32"/>
        <v>0.37245594999999909</v>
      </c>
      <c r="BJ21" s="270">
        <f t="shared" si="32"/>
        <v>0.20362962849999899</v>
      </c>
    </row>
    <row r="22" spans="2:62">
      <c r="B22" s="8" t="s">
        <v>54</v>
      </c>
      <c r="C22" s="9">
        <v>0</v>
      </c>
      <c r="D22" s="9">
        <v>0</v>
      </c>
      <c r="E22" s="9">
        <v>0</v>
      </c>
      <c r="F22" s="9">
        <v>-0.11700000000000001</v>
      </c>
      <c r="G22" s="4">
        <f>SUM(C22:F22)</f>
        <v>-0.11700000000000001</v>
      </c>
      <c r="H22" s="9">
        <v>-0.14699999999999999</v>
      </c>
      <c r="I22" s="9">
        <v>-0.115</v>
      </c>
      <c r="J22" s="9">
        <v>-5.0999999999999997E-2</v>
      </c>
      <c r="K22" s="9">
        <v>-7.9000000000000001E-2</v>
      </c>
      <c r="L22" s="4">
        <f>SUM(H22:K22)</f>
        <v>-0.39200000000000002</v>
      </c>
      <c r="M22" s="9">
        <v>-0.19800000000000001</v>
      </c>
      <c r="N22" s="9">
        <v>-0.191</v>
      </c>
      <c r="O22" s="9">
        <v>-0.13400000000000001</v>
      </c>
      <c r="P22" s="9">
        <v>-0.11600000000000001</v>
      </c>
      <c r="Q22" s="4">
        <f>SUM(M22:P22)</f>
        <v>-0.63900000000000001</v>
      </c>
      <c r="R22" s="9">
        <v>-0.13200000000000001</v>
      </c>
      <c r="S22" s="9">
        <v>0</v>
      </c>
      <c r="T22" s="9">
        <v>-0.20599999999999999</v>
      </c>
      <c r="U22" s="9">
        <v>-0.112</v>
      </c>
      <c r="V22" s="4">
        <f>SUM(R22:U22)</f>
        <v>-0.44999999999999996</v>
      </c>
      <c r="W22" s="4"/>
      <c r="X22" s="4"/>
      <c r="Y22" s="4"/>
      <c r="Z22" s="4"/>
      <c r="AA22" s="4"/>
      <c r="AB22" s="9">
        <v>-0.129</v>
      </c>
      <c r="AC22" s="9">
        <v>-0.46200000000000002</v>
      </c>
      <c r="AD22" s="9">
        <v>-0.42599999999999999</v>
      </c>
      <c r="AE22" s="9">
        <v>-0.91300000000000003</v>
      </c>
      <c r="AF22" s="4">
        <f>SUM(AB22:AE22)</f>
        <v>-1.93</v>
      </c>
      <c r="AG22" s="9">
        <v>-0.64100000000000001</v>
      </c>
      <c r="AH22" s="9">
        <v>-0.58799999999999997</v>
      </c>
      <c r="AI22" s="9">
        <v>-0.66600000000000004</v>
      </c>
      <c r="AJ22" s="9">
        <v>-0.215</v>
      </c>
      <c r="AK22" s="4">
        <f>SUM(AG22:AJ22)</f>
        <v>-2.11</v>
      </c>
      <c r="AL22" s="9">
        <v>-1.3580000000000001</v>
      </c>
      <c r="AM22" s="9">
        <v>-0.57599999999999996</v>
      </c>
      <c r="AN22" s="9">
        <v>-0.68600000000000005</v>
      </c>
      <c r="AO22" s="9">
        <v>-0.40799999999999997</v>
      </c>
      <c r="AP22" s="4">
        <f>SUM(AL22:AO22)</f>
        <v>-3.028</v>
      </c>
      <c r="AQ22" s="9">
        <v>-0.41</v>
      </c>
      <c r="AR22" s="9">
        <v>-0.32500000000000001</v>
      </c>
      <c r="AS22" s="9">
        <v>-0.38800000000000001</v>
      </c>
      <c r="AT22" s="9">
        <v>-0.40100000000000002</v>
      </c>
      <c r="AU22" s="4">
        <f>SUM(AQ22:AT22)</f>
        <v>-1.524</v>
      </c>
      <c r="AV22" s="9">
        <v>-0.42099999999999999</v>
      </c>
      <c r="AW22" s="9">
        <v>-0.40500000000000003</v>
      </c>
      <c r="AX22" s="9">
        <v>-0.27300000000000002</v>
      </c>
      <c r="AY22" s="9">
        <v>-0.249</v>
      </c>
      <c r="AZ22" s="4">
        <f>SUM(AV22:AY22)</f>
        <v>-1.3480000000000003</v>
      </c>
      <c r="BA22" s="9">
        <v>-1.5</v>
      </c>
      <c r="BB22" s="9">
        <v>-1.5</v>
      </c>
      <c r="BC22" s="9">
        <v>-1.5</v>
      </c>
      <c r="BD22" s="9">
        <v>-1.5</v>
      </c>
      <c r="BE22" s="4">
        <f>SUM(BA22:BD22)</f>
        <v>-6</v>
      </c>
      <c r="BF22" s="135">
        <v>-6</v>
      </c>
      <c r="BG22" s="135">
        <v>-6</v>
      </c>
      <c r="BH22" s="135">
        <v>-6</v>
      </c>
      <c r="BI22" s="135">
        <v>-6</v>
      </c>
      <c r="BJ22" s="135">
        <v>-6</v>
      </c>
    </row>
    <row r="23" spans="2:62">
      <c r="B23" s="8" t="s">
        <v>185</v>
      </c>
      <c r="C23" s="9"/>
      <c r="D23" s="9"/>
      <c r="E23" s="9"/>
      <c r="F23" s="9"/>
      <c r="G23" s="4"/>
      <c r="H23" s="9"/>
      <c r="I23" s="9"/>
      <c r="J23" s="9"/>
      <c r="K23" s="9"/>
      <c r="L23" s="4"/>
      <c r="M23" s="9"/>
      <c r="N23" s="9"/>
      <c r="O23" s="9"/>
      <c r="P23" s="9"/>
      <c r="Q23" s="4"/>
      <c r="R23" s="9">
        <v>0</v>
      </c>
      <c r="S23" s="9">
        <v>0</v>
      </c>
      <c r="T23" s="9">
        <v>0</v>
      </c>
      <c r="U23" s="9">
        <v>0</v>
      </c>
      <c r="V23" s="4">
        <f t="shared" ref="V23" si="33">SUM(R23:U23)</f>
        <v>0</v>
      </c>
      <c r="W23" s="4"/>
      <c r="X23" s="4"/>
      <c r="Y23" s="4"/>
      <c r="Z23" s="4"/>
      <c r="AA23" s="4"/>
      <c r="AB23" s="9">
        <v>0</v>
      </c>
      <c r="AC23" s="9">
        <v>-37.216999999999999</v>
      </c>
      <c r="AD23" s="9">
        <v>0.189</v>
      </c>
      <c r="AE23" s="9">
        <v>-0.115</v>
      </c>
      <c r="AF23" s="4">
        <f t="shared" ref="AF23" si="34">SUM(AB23:AE23)</f>
        <v>-37.143000000000001</v>
      </c>
      <c r="AG23" s="9">
        <v>0</v>
      </c>
      <c r="AH23" s="9">
        <v>0</v>
      </c>
      <c r="AI23" s="9">
        <v>0</v>
      </c>
      <c r="AJ23" s="9">
        <v>0</v>
      </c>
      <c r="AK23" s="4">
        <f t="shared" ref="AK23" si="35">SUM(AG23:AJ23)</f>
        <v>0</v>
      </c>
      <c r="AL23" s="9">
        <v>0</v>
      </c>
      <c r="AM23" s="9">
        <v>0</v>
      </c>
      <c r="AN23" s="9">
        <v>0</v>
      </c>
      <c r="AO23" s="9">
        <v>0</v>
      </c>
      <c r="AP23" s="4">
        <f t="shared" ref="AP23" si="36">SUM(AL23:AO23)</f>
        <v>0</v>
      </c>
      <c r="AQ23" s="9">
        <v>0</v>
      </c>
      <c r="AR23" s="9">
        <v>-0.46</v>
      </c>
      <c r="AS23" s="9">
        <v>-1.1499999999999999</v>
      </c>
      <c r="AT23" s="9">
        <v>-1</v>
      </c>
      <c r="AU23" s="4">
        <f t="shared" ref="AU23" si="37">SUM(AQ23:AT23)</f>
        <v>-2.61</v>
      </c>
      <c r="AV23" s="9">
        <v>-0.75</v>
      </c>
      <c r="AW23" s="9">
        <v>-18.545000000000002</v>
      </c>
      <c r="AX23" s="9">
        <v>-1.95</v>
      </c>
      <c r="AY23" s="9">
        <v>-5.335</v>
      </c>
      <c r="AZ23" s="4">
        <f t="shared" ref="AZ23" si="38">SUM(AV23:AY23)</f>
        <v>-26.580000000000002</v>
      </c>
      <c r="BA23" s="9">
        <v>0</v>
      </c>
      <c r="BB23" s="9">
        <v>0</v>
      </c>
      <c r="BC23" s="9">
        <v>0</v>
      </c>
      <c r="BD23" s="9">
        <v>0</v>
      </c>
      <c r="BE23" s="4">
        <f t="shared" ref="BE23" si="39">SUM(BA23:BD23)</f>
        <v>0</v>
      </c>
      <c r="BF23" s="135">
        <v>0</v>
      </c>
      <c r="BG23" s="135">
        <v>0</v>
      </c>
      <c r="BH23" s="135">
        <v>0</v>
      </c>
      <c r="BI23" s="135">
        <v>0</v>
      </c>
      <c r="BJ23" s="135">
        <v>0</v>
      </c>
    </row>
    <row r="24" spans="2:62">
      <c r="B24" s="8" t="s">
        <v>55</v>
      </c>
      <c r="C24" s="11">
        <v>-29.834</v>
      </c>
      <c r="D24" s="11">
        <v>-3.2570000000000001</v>
      </c>
      <c r="E24" s="11">
        <v>0</v>
      </c>
      <c r="F24" s="11">
        <v>-7.4999999999999997E-2</v>
      </c>
      <c r="G24" s="7">
        <f>SUM(C24:F24)</f>
        <v>-33.166000000000004</v>
      </c>
      <c r="H24" s="11">
        <v>0</v>
      </c>
      <c r="I24" s="11">
        <v>-0.5</v>
      </c>
      <c r="J24" s="11">
        <v>0</v>
      </c>
      <c r="K24" s="11">
        <v>-1.25</v>
      </c>
      <c r="L24" s="7">
        <f>SUM(H24:K24)</f>
        <v>-1.75</v>
      </c>
      <c r="M24" s="11">
        <v>0</v>
      </c>
      <c r="N24" s="11">
        <v>-2.8</v>
      </c>
      <c r="O24" s="11">
        <v>-0.26200000000000001</v>
      </c>
      <c r="P24" s="11">
        <f>-0.191-3.6</f>
        <v>-3.7909999999999999</v>
      </c>
      <c r="Q24" s="7">
        <f>SUM(M24:P24)</f>
        <v>-6.8529999999999998</v>
      </c>
      <c r="R24" s="11">
        <f>-3.5-6.626-1.5-0.1</f>
        <v>-11.726000000000001</v>
      </c>
      <c r="S24" s="11">
        <f>-0.643-0.685</f>
        <v>-1.3280000000000001</v>
      </c>
      <c r="T24" s="11">
        <v>0</v>
      </c>
      <c r="U24" s="11">
        <f>1.098-0.4</f>
        <v>0.69800000000000006</v>
      </c>
      <c r="V24" s="7">
        <f>SUM(R24:U24)</f>
        <v>-12.356</v>
      </c>
      <c r="W24" s="7"/>
      <c r="X24" s="7"/>
      <c r="Y24" s="7"/>
      <c r="Z24" s="7"/>
      <c r="AA24" s="7"/>
      <c r="AB24" s="11">
        <v>-5.5860000000000003</v>
      </c>
      <c r="AC24" s="11">
        <v>-1.5</v>
      </c>
      <c r="AD24" s="11">
        <f>18.771-2</f>
        <v>16.771000000000001</v>
      </c>
      <c r="AE24" s="11">
        <v>-0.18099999999999999</v>
      </c>
      <c r="AF24" s="7">
        <f>SUM(AB24:AE24)</f>
        <v>9.5040000000000013</v>
      </c>
      <c r="AG24" s="11">
        <f>-0.16+3.193</f>
        <v>3.0329999999999999</v>
      </c>
      <c r="AH24" s="11">
        <v>-1</v>
      </c>
      <c r="AI24" s="11">
        <f>-0.58-0.1</f>
        <v>-0.67999999999999994</v>
      </c>
      <c r="AJ24" s="11">
        <f>48.403-0.04</f>
        <v>48.363</v>
      </c>
      <c r="AK24" s="7">
        <f>SUM(AG24:AJ24)</f>
        <v>49.716000000000001</v>
      </c>
      <c r="AL24" s="11">
        <f>31.861-7.5</f>
        <v>24.361000000000001</v>
      </c>
      <c r="AM24" s="11">
        <f>-0.111+17.607</f>
        <v>17.495999999999999</v>
      </c>
      <c r="AN24" s="11">
        <v>-2.7E-2</v>
      </c>
      <c r="AO24" s="11">
        <f>19.203+-0.076</f>
        <v>19.126999999999999</v>
      </c>
      <c r="AP24" s="7">
        <f>SUM(AL24:AO24)</f>
        <v>60.956999999999994</v>
      </c>
      <c r="AQ24" s="11">
        <f>22.148-0.55</f>
        <v>21.597999999999999</v>
      </c>
      <c r="AR24" s="11">
        <v>0.55000000000000004</v>
      </c>
      <c r="AS24" s="11">
        <v>0</v>
      </c>
      <c r="AT24" s="11">
        <v>0</v>
      </c>
      <c r="AU24" s="7">
        <f>SUM(AQ24:AT24)</f>
        <v>22.148</v>
      </c>
      <c r="AV24" s="11">
        <v>0.41699999999999998</v>
      </c>
      <c r="AW24" s="11">
        <v>-2.3580000000000001</v>
      </c>
      <c r="AX24" s="11">
        <v>0</v>
      </c>
      <c r="AY24" s="11">
        <v>-2.15</v>
      </c>
      <c r="AZ24" s="7">
        <f>SUM(AV24:AY24)</f>
        <v>-4.0910000000000002</v>
      </c>
      <c r="BA24" s="11">
        <v>0</v>
      </c>
      <c r="BB24" s="11">
        <v>0</v>
      </c>
      <c r="BC24" s="11">
        <v>0</v>
      </c>
      <c r="BD24" s="11">
        <v>0</v>
      </c>
      <c r="BE24" s="7">
        <f>SUM(BA24:BD24)</f>
        <v>0</v>
      </c>
      <c r="BF24" s="143">
        <v>0</v>
      </c>
      <c r="BG24" s="143">
        <v>0</v>
      </c>
      <c r="BH24" s="143">
        <v>0</v>
      </c>
      <c r="BI24" s="143">
        <v>0</v>
      </c>
      <c r="BJ24" s="143">
        <v>0</v>
      </c>
    </row>
    <row r="25" spans="2:62">
      <c r="B25" s="12" t="s">
        <v>56</v>
      </c>
      <c r="C25" s="13">
        <f t="shared" ref="C25:V25" si="40">SUM(C19:C24)</f>
        <v>-25.713999999999999</v>
      </c>
      <c r="D25" s="13">
        <f t="shared" si="40"/>
        <v>6.168000000000001</v>
      </c>
      <c r="E25" s="13">
        <f t="shared" si="40"/>
        <v>-26.736000000000001</v>
      </c>
      <c r="F25" s="13">
        <f t="shared" si="40"/>
        <v>-68.592000000000013</v>
      </c>
      <c r="G25" s="5">
        <f t="shared" si="40"/>
        <v>-114.874</v>
      </c>
      <c r="H25" s="13">
        <f t="shared" si="40"/>
        <v>-16.825999999999997</v>
      </c>
      <c r="I25" s="13">
        <f t="shared" si="40"/>
        <v>-123.655</v>
      </c>
      <c r="J25" s="13">
        <f t="shared" si="40"/>
        <v>-117.22099999999999</v>
      </c>
      <c r="K25" s="13">
        <f t="shared" si="40"/>
        <v>-29.887000000000011</v>
      </c>
      <c r="L25" s="5">
        <f t="shared" si="40"/>
        <v>-287.58900000000006</v>
      </c>
      <c r="M25" s="13">
        <f t="shared" si="40"/>
        <v>-24.720999999999997</v>
      </c>
      <c r="N25" s="13">
        <f t="shared" si="40"/>
        <v>-41.317999999999998</v>
      </c>
      <c r="O25" s="13">
        <f t="shared" si="40"/>
        <v>-113.82900000000001</v>
      </c>
      <c r="P25" s="13">
        <f t="shared" si="40"/>
        <v>-64.14500000000001</v>
      </c>
      <c r="Q25" s="5">
        <f t="shared" si="40"/>
        <v>-244.01300000000003</v>
      </c>
      <c r="R25" s="13">
        <f t="shared" si="40"/>
        <v>-128.84700000000001</v>
      </c>
      <c r="S25" s="13">
        <f t="shared" si="40"/>
        <v>-79.577999999999989</v>
      </c>
      <c r="T25" s="13">
        <f t="shared" si="40"/>
        <v>-562.71299999999997</v>
      </c>
      <c r="U25" s="13">
        <f t="shared" si="40"/>
        <v>-29.091999999999995</v>
      </c>
      <c r="V25" s="5">
        <f t="shared" si="40"/>
        <v>-800.23</v>
      </c>
      <c r="W25" s="5"/>
      <c r="X25" s="5"/>
      <c r="Y25" s="5"/>
      <c r="Z25" s="5"/>
      <c r="AA25" s="5"/>
      <c r="AB25" s="13">
        <f t="shared" ref="AB25:BJ25" si="41">SUM(AB19:AB24)</f>
        <v>218.07499999999999</v>
      </c>
      <c r="AC25" s="13">
        <f t="shared" si="41"/>
        <v>-86.802999999999997</v>
      </c>
      <c r="AD25" s="13">
        <f t="shared" si="41"/>
        <v>108.839</v>
      </c>
      <c r="AE25" s="13">
        <f t="shared" si="41"/>
        <v>136.75799999999998</v>
      </c>
      <c r="AF25" s="5">
        <f t="shared" si="41"/>
        <v>376.86900000000003</v>
      </c>
      <c r="AG25" s="13">
        <f t="shared" si="41"/>
        <v>-72.665999999999997</v>
      </c>
      <c r="AH25" s="13">
        <f t="shared" si="41"/>
        <v>-142.46799999999999</v>
      </c>
      <c r="AI25" s="13">
        <f t="shared" si="41"/>
        <v>38.00800000000001</v>
      </c>
      <c r="AJ25" s="13">
        <f t="shared" si="41"/>
        <v>122.46799999999999</v>
      </c>
      <c r="AK25" s="5">
        <f t="shared" si="41"/>
        <v>-54.658000000000008</v>
      </c>
      <c r="AL25" s="13">
        <f t="shared" ref="AL25:AQ25" si="42">SUM(AL19:AL24)</f>
        <v>58.930000000000007</v>
      </c>
      <c r="AM25" s="13">
        <f t="shared" si="42"/>
        <v>480.85399999999993</v>
      </c>
      <c r="AN25" s="259">
        <f t="shared" si="42"/>
        <v>-45.318999999999981</v>
      </c>
      <c r="AO25" s="13">
        <f t="shared" si="42"/>
        <v>72.249999999999986</v>
      </c>
      <c r="AP25" s="5">
        <f t="shared" si="42"/>
        <v>566.71500000000003</v>
      </c>
      <c r="AQ25" s="13">
        <f t="shared" si="42"/>
        <v>9.0919999999999987</v>
      </c>
      <c r="AR25" s="13">
        <f t="shared" ref="AR25:AU25" si="43">SUM(AR19:AR24)</f>
        <v>-132.303</v>
      </c>
      <c r="AS25" s="13">
        <f t="shared" si="43"/>
        <v>4.1960000000000015</v>
      </c>
      <c r="AT25" s="13">
        <f t="shared" si="43"/>
        <v>83.548000000000002</v>
      </c>
      <c r="AU25" s="5">
        <f t="shared" si="43"/>
        <v>-35.467000000000027</v>
      </c>
      <c r="AV25" s="13">
        <f t="shared" ref="AV25:AY25" si="44">SUM(AV19:AV24)</f>
        <v>22.186</v>
      </c>
      <c r="AW25" s="13">
        <f t="shared" si="44"/>
        <v>-14.118999999999996</v>
      </c>
      <c r="AX25" s="13">
        <f t="shared" si="44"/>
        <v>-269.20800000000003</v>
      </c>
      <c r="AY25" s="13">
        <f t="shared" si="44"/>
        <v>-641.00700000000006</v>
      </c>
      <c r="AZ25" s="5">
        <f>SUM(BA19:BA24)</f>
        <v>198.74999999999994</v>
      </c>
      <c r="BA25" s="13">
        <f t="shared" ref="BA25:BE25" si="45">SUM(BA19:BA24)</f>
        <v>198.74999999999994</v>
      </c>
      <c r="BB25" s="13">
        <f t="shared" si="45"/>
        <v>198.74999999999994</v>
      </c>
      <c r="BC25" s="13">
        <f t="shared" si="45"/>
        <v>198.75</v>
      </c>
      <c r="BD25" s="13">
        <f t="shared" si="45"/>
        <v>198.75</v>
      </c>
      <c r="BE25" s="5">
        <f t="shared" si="45"/>
        <v>794.99999999999989</v>
      </c>
      <c r="BF25" s="5">
        <f t="shared" si="41"/>
        <v>-5.15</v>
      </c>
      <c r="BG25" s="5">
        <f t="shared" si="41"/>
        <v>-5.3045000000000009</v>
      </c>
      <c r="BH25" s="5">
        <f t="shared" si="41"/>
        <v>-5.4636350000000009</v>
      </c>
      <c r="BI25" s="5">
        <f t="shared" si="41"/>
        <v>-5.6275440500000009</v>
      </c>
      <c r="BJ25" s="5">
        <f t="shared" si="41"/>
        <v>-5.796370371500001</v>
      </c>
    </row>
    <row r="26" spans="2:62">
      <c r="C26" s="10"/>
      <c r="D26" s="10"/>
      <c r="E26" s="10"/>
      <c r="F26" s="10"/>
      <c r="G26" s="4"/>
      <c r="H26" s="10"/>
      <c r="I26" s="10"/>
      <c r="J26" s="10"/>
      <c r="K26" s="10"/>
      <c r="L26" s="4"/>
      <c r="M26" s="10"/>
      <c r="N26" s="10"/>
      <c r="O26" s="10"/>
      <c r="P26" s="10"/>
      <c r="Q26" s="4"/>
      <c r="R26" s="10"/>
      <c r="S26" s="10"/>
      <c r="T26" s="10"/>
      <c r="U26" s="10"/>
      <c r="V26" s="4"/>
      <c r="W26" s="4"/>
      <c r="X26" s="4"/>
      <c r="Y26" s="4"/>
      <c r="Z26" s="4"/>
      <c r="AA26" s="4"/>
      <c r="AB26" s="10"/>
      <c r="AC26" s="10"/>
      <c r="AD26" s="10"/>
      <c r="AE26" s="9"/>
      <c r="AF26" s="4"/>
      <c r="AG26" s="10"/>
      <c r="AH26" s="10"/>
      <c r="AI26" s="10"/>
      <c r="AJ26" s="9"/>
      <c r="AK26" s="4"/>
      <c r="AL26" s="10"/>
      <c r="AM26" s="10"/>
      <c r="AN26" s="10"/>
      <c r="AO26" s="9"/>
      <c r="AP26" s="4"/>
      <c r="AQ26" s="10"/>
      <c r="AR26" s="10"/>
      <c r="AS26" s="10"/>
      <c r="AT26" s="9"/>
      <c r="AU26" s="4"/>
      <c r="AV26" s="10"/>
      <c r="AW26" s="10"/>
      <c r="AX26" s="10"/>
      <c r="AY26" s="9"/>
      <c r="AZ26" s="4"/>
      <c r="BA26" s="9"/>
      <c r="BB26" s="9"/>
      <c r="BC26" s="9"/>
      <c r="BD26" s="9"/>
      <c r="BE26" s="4"/>
      <c r="BF26" s="4"/>
      <c r="BG26" s="4"/>
      <c r="BH26" s="4"/>
      <c r="BI26" s="4"/>
      <c r="BJ26" s="4"/>
    </row>
    <row r="27" spans="2:62">
      <c r="B27" s="17" t="s">
        <v>57</v>
      </c>
      <c r="C27" s="10"/>
      <c r="D27" s="10"/>
      <c r="E27" s="10"/>
      <c r="F27" s="10"/>
      <c r="G27" s="4"/>
      <c r="H27" s="10"/>
      <c r="I27" s="10"/>
      <c r="J27" s="10"/>
      <c r="K27" s="10"/>
      <c r="L27" s="4"/>
      <c r="M27" s="10"/>
      <c r="N27" s="10"/>
      <c r="O27" s="10"/>
      <c r="P27" s="10"/>
      <c r="Q27" s="4"/>
      <c r="R27" s="10"/>
      <c r="S27" s="10"/>
      <c r="T27" s="10"/>
      <c r="U27" s="10"/>
      <c r="V27" s="4"/>
      <c r="W27" s="4"/>
      <c r="X27" s="4"/>
      <c r="Y27" s="4"/>
      <c r="Z27" s="4"/>
      <c r="AA27" s="4"/>
      <c r="AB27" s="10"/>
      <c r="AC27" s="10"/>
      <c r="AD27" s="10"/>
      <c r="AE27" s="9"/>
      <c r="AF27" s="4"/>
      <c r="AG27" s="10"/>
      <c r="AH27" s="10"/>
      <c r="AI27" s="10"/>
      <c r="AJ27" s="9"/>
      <c r="AK27" s="4"/>
      <c r="AL27" s="10"/>
      <c r="AM27" s="10"/>
      <c r="AN27" s="10"/>
      <c r="AO27" s="9"/>
      <c r="AP27" s="4"/>
      <c r="AQ27" s="10"/>
      <c r="AR27" s="10"/>
      <c r="AS27" s="10"/>
      <c r="AT27" s="9"/>
      <c r="AU27" s="4"/>
      <c r="AV27" s="10"/>
      <c r="AW27" s="10"/>
      <c r="AX27" s="10"/>
      <c r="AY27" s="9"/>
      <c r="AZ27" s="4"/>
      <c r="BA27" s="9"/>
      <c r="BB27" s="9"/>
      <c r="BC27" s="9"/>
      <c r="BD27" s="9"/>
      <c r="BE27" s="4"/>
      <c r="BF27" s="4"/>
      <c r="BG27" s="4"/>
      <c r="BH27" s="4"/>
      <c r="BI27" s="4"/>
      <c r="BJ27" s="4"/>
    </row>
    <row r="28" spans="2:62">
      <c r="B28" s="8" t="s">
        <v>162</v>
      </c>
      <c r="C28" s="9">
        <f>7.32-0.17</f>
        <v>7.15</v>
      </c>
      <c r="D28" s="9">
        <v>7.4160000000000004</v>
      </c>
      <c r="E28" s="9">
        <v>4.444</v>
      </c>
      <c r="F28" s="9">
        <v>4.9779999999999998</v>
      </c>
      <c r="G28" s="4">
        <f>SUM(C28:F28)</f>
        <v>23.988</v>
      </c>
      <c r="H28" s="9">
        <v>10.304</v>
      </c>
      <c r="I28" s="9">
        <f>11.587+335.566</f>
        <v>347.15299999999996</v>
      </c>
      <c r="J28" s="9">
        <f>6.082+57.75</f>
        <v>63.832000000000001</v>
      </c>
      <c r="K28" s="9">
        <v>4.923</v>
      </c>
      <c r="L28" s="4">
        <f>SUM(H28:K28)</f>
        <v>426.21199999999993</v>
      </c>
      <c r="M28" s="9">
        <v>6.6779999999999999</v>
      </c>
      <c r="N28" s="9">
        <v>7.5119999999999996</v>
      </c>
      <c r="O28" s="9">
        <v>9.452</v>
      </c>
      <c r="P28" s="9">
        <v>7.8529999999999998</v>
      </c>
      <c r="Q28" s="4">
        <f>SUM(M28:P28)</f>
        <v>31.494999999999997</v>
      </c>
      <c r="R28" s="9">
        <v>6.9749999999999996</v>
      </c>
      <c r="S28" s="9">
        <v>12.311999999999999</v>
      </c>
      <c r="T28" s="9">
        <v>9.4179999999999993</v>
      </c>
      <c r="U28" s="9">
        <v>10.944000000000001</v>
      </c>
      <c r="V28" s="4">
        <f>SUM(R28:U28)</f>
        <v>39.649000000000001</v>
      </c>
      <c r="W28" s="4"/>
      <c r="X28" s="4"/>
      <c r="Y28" s="4"/>
      <c r="Z28" s="4"/>
      <c r="AA28" s="4"/>
      <c r="AB28" s="9">
        <v>10.422000000000001</v>
      </c>
      <c r="AC28" s="9">
        <v>11.38</v>
      </c>
      <c r="AD28" s="9">
        <v>11.752000000000001</v>
      </c>
      <c r="AE28" s="9">
        <v>6.3890000000000002</v>
      </c>
      <c r="AF28" s="4">
        <f>SUM(AB28:AE28)</f>
        <v>39.943000000000005</v>
      </c>
      <c r="AG28" s="9">
        <v>21.582000000000001</v>
      </c>
      <c r="AH28" s="9">
        <v>0.432</v>
      </c>
      <c r="AI28" s="9">
        <v>19.779</v>
      </c>
      <c r="AJ28" s="9">
        <v>0.91700000000000004</v>
      </c>
      <c r="AK28" s="4">
        <f>SUM(AG28:AJ28)</f>
        <v>42.71</v>
      </c>
      <c r="AL28" s="9">
        <v>19.655000000000001</v>
      </c>
      <c r="AM28" s="9">
        <v>1.1759999999999999</v>
      </c>
      <c r="AN28" s="9">
        <v>17.931000000000001</v>
      </c>
      <c r="AO28" s="9">
        <v>0.89800000000000002</v>
      </c>
      <c r="AP28" s="4">
        <f>SUM(AL28:AO28)</f>
        <v>39.660000000000004</v>
      </c>
      <c r="AQ28" s="9">
        <v>22.628</v>
      </c>
      <c r="AR28" s="9">
        <v>1.615</v>
      </c>
      <c r="AS28" s="9">
        <v>28.640999999999998</v>
      </c>
      <c r="AT28" s="9">
        <v>6.6920000000000002</v>
      </c>
      <c r="AU28" s="4">
        <f>SUM(AQ28:AT28)</f>
        <v>59.576000000000001</v>
      </c>
      <c r="AV28" s="9">
        <v>22.654</v>
      </c>
      <c r="AW28" s="9">
        <v>0.36</v>
      </c>
      <c r="AX28" s="9">
        <v>31.603999999999999</v>
      </c>
      <c r="AY28" s="9">
        <v>0.2</v>
      </c>
      <c r="AZ28" s="4">
        <f>SUM(AV28:AY28)</f>
        <v>54.817999999999998</v>
      </c>
      <c r="BA28" s="9">
        <v>0</v>
      </c>
      <c r="BB28" s="9">
        <v>0</v>
      </c>
      <c r="BC28" s="9">
        <v>0</v>
      </c>
      <c r="BD28" s="9">
        <v>0</v>
      </c>
      <c r="BE28" s="4">
        <f>SUM(BA28:BD28)</f>
        <v>0</v>
      </c>
      <c r="BF28" s="135">
        <v>0</v>
      </c>
      <c r="BG28" s="135">
        <v>0</v>
      </c>
      <c r="BH28" s="135">
        <v>0</v>
      </c>
      <c r="BI28" s="135">
        <v>0</v>
      </c>
      <c r="BJ28" s="135">
        <v>0</v>
      </c>
    </row>
    <row r="29" spans="2:62">
      <c r="B29" s="8" t="s">
        <v>103</v>
      </c>
      <c r="C29" s="9">
        <v>0</v>
      </c>
      <c r="D29" s="9">
        <v>0</v>
      </c>
      <c r="E29" s="9">
        <v>0</v>
      </c>
      <c r="F29" s="9">
        <v>0</v>
      </c>
      <c r="G29" s="4">
        <f>SUM(C29:F29)</f>
        <v>0</v>
      </c>
      <c r="H29" s="9">
        <v>0</v>
      </c>
      <c r="I29" s="9">
        <v>0</v>
      </c>
      <c r="J29" s="9">
        <v>-2.5910000000000002</v>
      </c>
      <c r="K29" s="9">
        <v>0</v>
      </c>
      <c r="L29" s="4">
        <f>SUM(H29:K29)</f>
        <v>-2.5910000000000002</v>
      </c>
      <c r="M29" s="9">
        <v>0</v>
      </c>
      <c r="N29" s="9">
        <v>0</v>
      </c>
      <c r="O29" s="9">
        <v>0</v>
      </c>
      <c r="P29" s="9">
        <v>0</v>
      </c>
      <c r="Q29" s="4">
        <f>SUM(M29:P29)</f>
        <v>0</v>
      </c>
      <c r="R29" s="9">
        <v>0</v>
      </c>
      <c r="S29" s="9">
        <v>0</v>
      </c>
      <c r="T29" s="9">
        <f>575-15.713</f>
        <v>559.28700000000003</v>
      </c>
      <c r="U29" s="9">
        <v>0</v>
      </c>
      <c r="V29" s="4">
        <f>SUM(R29:U29)</f>
        <v>559.28700000000003</v>
      </c>
      <c r="W29" s="4"/>
      <c r="X29" s="4"/>
      <c r="Y29" s="4"/>
      <c r="Z29" s="4"/>
      <c r="AA29" s="4"/>
      <c r="AB29" s="9">
        <v>0</v>
      </c>
      <c r="AC29" s="9">
        <v>0</v>
      </c>
      <c r="AD29" s="9">
        <v>0</v>
      </c>
      <c r="AE29" s="9">
        <v>0</v>
      </c>
      <c r="AF29" s="4">
        <f>SUM(AB29:AE29)</f>
        <v>0</v>
      </c>
      <c r="AG29" s="9">
        <v>0</v>
      </c>
      <c r="AH29" s="9">
        <v>0</v>
      </c>
      <c r="AI29" s="9">
        <v>0</v>
      </c>
      <c r="AJ29" s="9">
        <v>0</v>
      </c>
      <c r="AK29" s="4">
        <f>SUM(AG29:AJ29)</f>
        <v>0</v>
      </c>
      <c r="AL29" s="9">
        <v>0</v>
      </c>
      <c r="AM29" s="9">
        <v>0</v>
      </c>
      <c r="AN29" s="9">
        <v>0</v>
      </c>
      <c r="AO29" s="9">
        <v>0</v>
      </c>
      <c r="AP29" s="4">
        <f>SUM(AL29:AO29)</f>
        <v>0</v>
      </c>
      <c r="AQ29" s="9">
        <v>0</v>
      </c>
      <c r="AR29" s="9">
        <v>0</v>
      </c>
      <c r="AS29" s="9">
        <v>0</v>
      </c>
      <c r="AT29" s="9">
        <v>0</v>
      </c>
      <c r="AU29" s="4">
        <f>SUM(AQ29:AT29)</f>
        <v>0</v>
      </c>
      <c r="AV29" s="9">
        <v>0</v>
      </c>
      <c r="AW29" s="9">
        <v>0</v>
      </c>
      <c r="AX29" s="9">
        <v>-25.934000000000001</v>
      </c>
      <c r="AY29" s="9">
        <v>-8.0000000000000002E-3</v>
      </c>
      <c r="AZ29" s="4">
        <f>SUM(AV29:AY29)</f>
        <v>-25.942</v>
      </c>
      <c r="BA29" s="9">
        <v>0</v>
      </c>
      <c r="BB29" s="9">
        <v>0</v>
      </c>
      <c r="BC29" s="9">
        <v>0</v>
      </c>
      <c r="BD29" s="9">
        <v>0</v>
      </c>
      <c r="BE29" s="4">
        <f>SUM(BA29:BD29)</f>
        <v>0</v>
      </c>
      <c r="BF29" s="135">
        <v>0</v>
      </c>
      <c r="BG29" s="135">
        <v>0</v>
      </c>
      <c r="BH29" s="135">
        <v>0</v>
      </c>
      <c r="BI29" s="135">
        <v>0</v>
      </c>
      <c r="BJ29" s="135">
        <v>0</v>
      </c>
    </row>
    <row r="30" spans="2:62">
      <c r="B30" s="8" t="s">
        <v>278</v>
      </c>
      <c r="C30" s="9"/>
      <c r="D30" s="9"/>
      <c r="E30" s="9"/>
      <c r="F30" s="9"/>
      <c r="G30" s="4"/>
      <c r="H30" s="9"/>
      <c r="I30" s="9"/>
      <c r="J30" s="9"/>
      <c r="K30" s="9"/>
      <c r="L30" s="4"/>
      <c r="M30" s="9"/>
      <c r="N30" s="9"/>
      <c r="O30" s="9"/>
      <c r="P30" s="9"/>
      <c r="Q30" s="4"/>
      <c r="R30" s="9"/>
      <c r="S30" s="9"/>
      <c r="T30" s="9"/>
      <c r="U30" s="9"/>
      <c r="V30" s="4"/>
      <c r="W30" s="4"/>
      <c r="X30" s="4"/>
      <c r="Y30" s="4"/>
      <c r="Z30" s="4"/>
      <c r="AA30" s="4"/>
      <c r="AB30" s="9">
        <v>0</v>
      </c>
      <c r="AC30" s="9">
        <v>0</v>
      </c>
      <c r="AD30" s="9">
        <v>-200</v>
      </c>
      <c r="AE30" s="9">
        <v>0</v>
      </c>
      <c r="AF30" s="4">
        <f>SUM(AB30:AE30)</f>
        <v>-200</v>
      </c>
      <c r="AG30" s="9">
        <v>0</v>
      </c>
      <c r="AH30" s="9">
        <v>0</v>
      </c>
      <c r="AI30" s="9">
        <v>0</v>
      </c>
      <c r="AJ30" s="9">
        <v>-231.87299999999999</v>
      </c>
      <c r="AK30" s="4">
        <f>SUM(AG30:AJ30)</f>
        <v>-231.87299999999999</v>
      </c>
      <c r="AL30" s="9">
        <v>-18.318999999999999</v>
      </c>
      <c r="AM30" s="9">
        <v>-50</v>
      </c>
      <c r="AN30" s="9">
        <v>0</v>
      </c>
      <c r="AO30" s="9">
        <v>-58.698</v>
      </c>
      <c r="AP30" s="4">
        <f>SUM(AL30:AO30)</f>
        <v>-127.017</v>
      </c>
      <c r="AQ30" s="9">
        <v>-241.30199999999999</v>
      </c>
      <c r="AR30" s="9">
        <v>-225</v>
      </c>
      <c r="AS30" s="9">
        <v>0</v>
      </c>
      <c r="AT30" s="9">
        <v>0</v>
      </c>
      <c r="AU30" s="4">
        <f>SUM(AQ30:AT30)</f>
        <v>-466.30200000000002</v>
      </c>
      <c r="AV30" s="220">
        <v>-200</v>
      </c>
      <c r="AW30" s="9">
        <v>-100</v>
      </c>
      <c r="AX30" s="9">
        <v>-175</v>
      </c>
      <c r="AY30" s="9">
        <v>-99.998999999999995</v>
      </c>
      <c r="AZ30" s="4">
        <f>SUM(AV30:AY30)</f>
        <v>-574.99900000000002</v>
      </c>
      <c r="BA30" s="220">
        <v>-400</v>
      </c>
      <c r="BB30" s="220">
        <v>-400</v>
      </c>
      <c r="BC30" s="220">
        <v>-400</v>
      </c>
      <c r="BD30" s="220">
        <v>-400</v>
      </c>
      <c r="BE30" s="4">
        <f>SUM(BA30:BD30)</f>
        <v>-1600</v>
      </c>
      <c r="BF30" s="135">
        <v>-400</v>
      </c>
      <c r="BG30" s="135">
        <v>0</v>
      </c>
      <c r="BH30" s="135">
        <v>0</v>
      </c>
      <c r="BI30" s="135">
        <v>0</v>
      </c>
      <c r="BJ30" s="135">
        <v>0</v>
      </c>
    </row>
    <row r="31" spans="2:62">
      <c r="B31" s="8" t="s">
        <v>192</v>
      </c>
      <c r="C31" s="11">
        <v>0</v>
      </c>
      <c r="D31" s="11">
        <v>0</v>
      </c>
      <c r="E31" s="11">
        <v>0</v>
      </c>
      <c r="F31" s="11">
        <v>0</v>
      </c>
      <c r="G31" s="7">
        <f>SUM(C31:F31)</f>
        <v>0</v>
      </c>
      <c r="H31" s="11">
        <v>0</v>
      </c>
      <c r="I31" s="11">
        <v>0</v>
      </c>
      <c r="J31" s="11">
        <v>-5.9139999999999997</v>
      </c>
      <c r="K31" s="11">
        <v>0</v>
      </c>
      <c r="L31" s="7">
        <f>SUM(H31:K31)</f>
        <v>-5.9139999999999997</v>
      </c>
      <c r="M31" s="11">
        <v>0</v>
      </c>
      <c r="N31" s="11">
        <v>0</v>
      </c>
      <c r="O31" s="11">
        <v>0</v>
      </c>
      <c r="P31" s="11">
        <v>0</v>
      </c>
      <c r="Q31" s="7">
        <f>SUM(M31:P31)</f>
        <v>0</v>
      </c>
      <c r="R31" s="11">
        <v>0</v>
      </c>
      <c r="S31" s="11">
        <v>0</v>
      </c>
      <c r="T31" s="11">
        <v>-46</v>
      </c>
      <c r="U31" s="11">
        <v>0</v>
      </c>
      <c r="V31" s="7">
        <f>SUM(R31:U31)</f>
        <v>-46</v>
      </c>
      <c r="W31" s="7"/>
      <c r="X31" s="7"/>
      <c r="Y31" s="7"/>
      <c r="Z31" s="7"/>
      <c r="AA31" s="7"/>
      <c r="AB31" s="11">
        <v>0</v>
      </c>
      <c r="AC31" s="11">
        <v>0</v>
      </c>
      <c r="AD31" s="11">
        <v>0</v>
      </c>
      <c r="AE31" s="11">
        <v>0</v>
      </c>
      <c r="AF31" s="7">
        <f>SUM(AB31:AE31)</f>
        <v>0</v>
      </c>
      <c r="AG31" s="11">
        <v>0</v>
      </c>
      <c r="AH31" s="11">
        <v>0</v>
      </c>
      <c r="AI31" s="11">
        <v>0</v>
      </c>
      <c r="AJ31" s="11">
        <v>0</v>
      </c>
      <c r="AK31" s="7">
        <f>SUM(AG31:AJ31)</f>
        <v>0</v>
      </c>
      <c r="AL31" s="11">
        <v>0</v>
      </c>
      <c r="AM31" s="11">
        <v>-362.66699999999997</v>
      </c>
      <c r="AN31" s="11">
        <v>0</v>
      </c>
      <c r="AO31" s="11">
        <v>0</v>
      </c>
      <c r="AP31" s="7">
        <f>SUM(AL31:AO31)</f>
        <v>-362.66699999999997</v>
      </c>
      <c r="AQ31" s="11">
        <v>0</v>
      </c>
      <c r="AR31" s="11">
        <v>0</v>
      </c>
      <c r="AS31" s="11">
        <v>0</v>
      </c>
      <c r="AT31" s="11">
        <v>0</v>
      </c>
      <c r="AU31" s="7">
        <f>SUM(AQ31:AT31)</f>
        <v>0</v>
      </c>
      <c r="AV31" s="11">
        <v>0</v>
      </c>
      <c r="AW31" s="11">
        <v>0</v>
      </c>
      <c r="AX31" s="11">
        <f>1150-575-71.875</f>
        <v>503.125</v>
      </c>
      <c r="AY31" s="11">
        <v>0</v>
      </c>
      <c r="AZ31" s="7">
        <f>SUM(AV31:AY31)</f>
        <v>503.125</v>
      </c>
      <c r="BA31" s="11">
        <v>250</v>
      </c>
      <c r="BB31" s="11">
        <v>0</v>
      </c>
      <c r="BC31" s="11">
        <v>0</v>
      </c>
      <c r="BD31" s="11">
        <v>0</v>
      </c>
      <c r="BE31" s="7">
        <f>SUM(BA31:BD31)</f>
        <v>250</v>
      </c>
      <c r="BF31" s="143">
        <v>0</v>
      </c>
      <c r="BG31" s="143">
        <v>0</v>
      </c>
      <c r="BH31" s="143">
        <v>0</v>
      </c>
      <c r="BI31" s="143">
        <v>0</v>
      </c>
      <c r="BJ31" s="143">
        <v>0</v>
      </c>
    </row>
    <row r="32" spans="2:62">
      <c r="B32" s="12" t="s">
        <v>58</v>
      </c>
      <c r="C32" s="13">
        <f t="shared" ref="C32:V32" si="46">SUM(C28:C31)</f>
        <v>7.15</v>
      </c>
      <c r="D32" s="13">
        <f t="shared" si="46"/>
        <v>7.4160000000000004</v>
      </c>
      <c r="E32" s="13">
        <f t="shared" si="46"/>
        <v>4.444</v>
      </c>
      <c r="F32" s="13">
        <f t="shared" si="46"/>
        <v>4.9779999999999998</v>
      </c>
      <c r="G32" s="5">
        <f t="shared" si="46"/>
        <v>23.988</v>
      </c>
      <c r="H32" s="13">
        <f>SUM(H28:H31)</f>
        <v>10.304</v>
      </c>
      <c r="I32" s="13">
        <f>SUM(I28:I31)</f>
        <v>347.15299999999996</v>
      </c>
      <c r="J32" s="13">
        <f>SUM(J28:J31)</f>
        <v>55.326999999999998</v>
      </c>
      <c r="K32" s="13">
        <f>SUM(K28:K31)</f>
        <v>4.923</v>
      </c>
      <c r="L32" s="5">
        <f t="shared" si="46"/>
        <v>417.70699999999994</v>
      </c>
      <c r="M32" s="13">
        <f t="shared" si="46"/>
        <v>6.6779999999999999</v>
      </c>
      <c r="N32" s="13">
        <f t="shared" si="46"/>
        <v>7.5119999999999996</v>
      </c>
      <c r="O32" s="13">
        <f t="shared" si="46"/>
        <v>9.452</v>
      </c>
      <c r="P32" s="13">
        <f>SUM(P28:P31)</f>
        <v>7.8529999999999998</v>
      </c>
      <c r="Q32" s="5">
        <f t="shared" si="46"/>
        <v>31.494999999999997</v>
      </c>
      <c r="R32" s="13">
        <f>SUM(R28:R31)</f>
        <v>6.9749999999999996</v>
      </c>
      <c r="S32" s="13">
        <f>SUM(S28:S31)</f>
        <v>12.311999999999999</v>
      </c>
      <c r="T32" s="13">
        <f>SUM(T28:T31)</f>
        <v>522.70500000000004</v>
      </c>
      <c r="U32" s="13">
        <f>SUM(U28:U31)</f>
        <v>10.944000000000001</v>
      </c>
      <c r="V32" s="5">
        <f t="shared" si="46"/>
        <v>552.93600000000004</v>
      </c>
      <c r="W32" s="5"/>
      <c r="X32" s="5"/>
      <c r="Y32" s="5"/>
      <c r="Z32" s="5"/>
      <c r="AA32" s="5"/>
      <c r="AB32" s="13">
        <f t="shared" ref="AB32:BJ32" si="47">SUM(AB28:AB31)</f>
        <v>10.422000000000001</v>
      </c>
      <c r="AC32" s="13">
        <f t="shared" si="47"/>
        <v>11.38</v>
      </c>
      <c r="AD32" s="13">
        <f t="shared" si="47"/>
        <v>-188.24799999999999</v>
      </c>
      <c r="AE32" s="13">
        <f t="shared" si="47"/>
        <v>6.3890000000000002</v>
      </c>
      <c r="AF32" s="5">
        <f t="shared" si="47"/>
        <v>-160.05699999999999</v>
      </c>
      <c r="AG32" s="13">
        <f t="shared" si="47"/>
        <v>21.582000000000001</v>
      </c>
      <c r="AH32" s="13">
        <f t="shared" si="47"/>
        <v>0.432</v>
      </c>
      <c r="AI32" s="13">
        <f t="shared" si="47"/>
        <v>19.779</v>
      </c>
      <c r="AJ32" s="13">
        <f t="shared" si="47"/>
        <v>-230.95599999999999</v>
      </c>
      <c r="AK32" s="5">
        <f t="shared" si="47"/>
        <v>-189.16299999999998</v>
      </c>
      <c r="AL32" s="13">
        <f t="shared" ref="AL32:AP32" si="48">SUM(AL28:AL31)</f>
        <v>1.3360000000000021</v>
      </c>
      <c r="AM32" s="13">
        <f t="shared" si="48"/>
        <v>-411.49099999999999</v>
      </c>
      <c r="AN32" s="13">
        <f t="shared" si="48"/>
        <v>17.931000000000001</v>
      </c>
      <c r="AO32" s="13">
        <f t="shared" si="48"/>
        <v>-57.8</v>
      </c>
      <c r="AP32" s="5">
        <f t="shared" si="48"/>
        <v>-450.024</v>
      </c>
      <c r="AQ32" s="13">
        <f>SUM(AQ28:AQ31)</f>
        <v>-218.67399999999998</v>
      </c>
      <c r="AR32" s="13">
        <f t="shared" ref="AR32:AU32" si="49">SUM(AR28:AR31)</f>
        <v>-223.38499999999999</v>
      </c>
      <c r="AS32" s="13">
        <f t="shared" si="49"/>
        <v>28.640999999999998</v>
      </c>
      <c r="AT32" s="13">
        <f t="shared" si="49"/>
        <v>6.6920000000000002</v>
      </c>
      <c r="AU32" s="5">
        <f t="shared" si="49"/>
        <v>-406.726</v>
      </c>
      <c r="AV32" s="13">
        <f t="shared" ref="AV32:AY32" si="50">SUM(AV28:AV31)</f>
        <v>-177.346</v>
      </c>
      <c r="AW32" s="13">
        <f t="shared" si="50"/>
        <v>-99.64</v>
      </c>
      <c r="AX32" s="13">
        <f t="shared" si="50"/>
        <v>333.79499999999996</v>
      </c>
      <c r="AY32" s="13">
        <f t="shared" si="50"/>
        <v>-99.807000000000002</v>
      </c>
      <c r="AZ32" s="5">
        <f>SUM(BA28:BA31)</f>
        <v>-150</v>
      </c>
      <c r="BA32" s="13">
        <f t="shared" ref="BA32:BE32" si="51">SUM(BA28:BA31)</f>
        <v>-150</v>
      </c>
      <c r="BB32" s="13">
        <f t="shared" si="51"/>
        <v>-400</v>
      </c>
      <c r="BC32" s="13">
        <f t="shared" si="51"/>
        <v>-400</v>
      </c>
      <c r="BD32" s="13">
        <f t="shared" si="51"/>
        <v>-400</v>
      </c>
      <c r="BE32" s="5">
        <f t="shared" si="51"/>
        <v>-1350</v>
      </c>
      <c r="BF32" s="5">
        <f t="shared" si="47"/>
        <v>-400</v>
      </c>
      <c r="BG32" s="5">
        <f t="shared" si="47"/>
        <v>0</v>
      </c>
      <c r="BH32" s="5">
        <f t="shared" si="47"/>
        <v>0</v>
      </c>
      <c r="BI32" s="5">
        <f t="shared" si="47"/>
        <v>0</v>
      </c>
      <c r="BJ32" s="5">
        <f t="shared" si="47"/>
        <v>0</v>
      </c>
    </row>
    <row r="33" spans="2:64">
      <c r="B33" s="12"/>
      <c r="C33" s="10"/>
      <c r="D33" s="10"/>
      <c r="E33" s="10"/>
      <c r="F33" s="10"/>
      <c r="G33" s="4"/>
      <c r="H33" s="10"/>
      <c r="I33" s="10"/>
      <c r="J33" s="10"/>
      <c r="K33" s="10"/>
      <c r="L33" s="4"/>
      <c r="M33" s="10"/>
      <c r="N33" s="10"/>
      <c r="O33" s="10"/>
      <c r="P33" s="10"/>
      <c r="Q33" s="4"/>
      <c r="R33" s="10"/>
      <c r="S33" s="10"/>
      <c r="T33" s="10"/>
      <c r="U33" s="10"/>
      <c r="V33" s="4"/>
      <c r="W33" s="4"/>
      <c r="X33" s="4"/>
      <c r="Y33" s="4"/>
      <c r="Z33" s="4"/>
      <c r="AA33" s="4"/>
      <c r="AB33" s="10"/>
      <c r="AC33" s="10"/>
      <c r="AD33" s="10"/>
      <c r="AE33" s="10"/>
      <c r="AF33" s="4"/>
      <c r="AG33" s="10"/>
      <c r="AH33" s="10"/>
      <c r="AI33" s="10"/>
      <c r="AJ33" s="10"/>
      <c r="AK33" s="4"/>
      <c r="AL33" s="10"/>
      <c r="AM33" s="10"/>
      <c r="AN33" s="10"/>
      <c r="AO33" s="10"/>
      <c r="AP33" s="4"/>
      <c r="AQ33" s="10"/>
      <c r="AR33" s="10"/>
      <c r="AS33" s="10"/>
      <c r="AT33" s="10"/>
      <c r="AU33" s="4"/>
      <c r="AV33" s="10"/>
      <c r="AW33" s="10"/>
      <c r="AX33" s="10"/>
      <c r="AY33" s="10"/>
      <c r="AZ33" s="4"/>
      <c r="BA33" s="10"/>
      <c r="BB33" s="10"/>
      <c r="BC33" s="10"/>
      <c r="BD33" s="10"/>
      <c r="BE33" s="4"/>
      <c r="BF33" s="4"/>
      <c r="BG33" s="4"/>
      <c r="BH33" s="4"/>
      <c r="BI33" s="4"/>
      <c r="BJ33" s="4"/>
    </row>
    <row r="34" spans="2:64">
      <c r="B34" s="8" t="s">
        <v>59</v>
      </c>
      <c r="C34" s="9">
        <v>0</v>
      </c>
      <c r="D34" s="9">
        <v>0</v>
      </c>
      <c r="E34" s="9">
        <v>0</v>
      </c>
      <c r="F34" s="9">
        <v>0</v>
      </c>
      <c r="G34" s="4">
        <f>SUM(C34:F34)</f>
        <v>0</v>
      </c>
      <c r="H34" s="9">
        <v>0</v>
      </c>
      <c r="I34" s="9">
        <v>0</v>
      </c>
      <c r="J34" s="9">
        <v>0</v>
      </c>
      <c r="K34" s="9">
        <v>0</v>
      </c>
      <c r="L34" s="4">
        <f>SUM(H34:K34)</f>
        <v>0</v>
      </c>
      <c r="M34" s="9">
        <v>0</v>
      </c>
      <c r="N34" s="9">
        <v>0</v>
      </c>
      <c r="O34" s="9">
        <v>0</v>
      </c>
      <c r="P34" s="9">
        <v>0</v>
      </c>
      <c r="Q34" s="4">
        <f>SUM(M34:P34)</f>
        <v>0</v>
      </c>
      <c r="R34" s="9">
        <v>0</v>
      </c>
      <c r="S34" s="9">
        <v>0</v>
      </c>
      <c r="T34" s="9">
        <v>0</v>
      </c>
      <c r="U34" s="9">
        <v>0</v>
      </c>
      <c r="V34" s="4">
        <f>SUM(R34:U34)</f>
        <v>0</v>
      </c>
      <c r="W34" s="4"/>
      <c r="X34" s="4"/>
      <c r="Y34" s="4"/>
      <c r="Z34" s="4"/>
      <c r="AA34" s="4"/>
      <c r="AB34" s="9">
        <v>0</v>
      </c>
      <c r="AC34" s="9">
        <v>0</v>
      </c>
      <c r="AD34" s="9">
        <v>0</v>
      </c>
      <c r="AE34" s="9">
        <v>0</v>
      </c>
      <c r="AF34" s="4">
        <f>SUM(AB34:AE34)</f>
        <v>0</v>
      </c>
      <c r="AG34" s="9">
        <v>0</v>
      </c>
      <c r="AH34" s="9">
        <v>0</v>
      </c>
      <c r="AI34" s="9">
        <v>0</v>
      </c>
      <c r="AJ34" s="9">
        <v>0</v>
      </c>
      <c r="AK34" s="4">
        <f>SUM(AG34:AJ34)</f>
        <v>0</v>
      </c>
      <c r="AL34" s="9">
        <v>0</v>
      </c>
      <c r="AM34" s="9">
        <v>0</v>
      </c>
      <c r="AN34" s="9">
        <v>0</v>
      </c>
      <c r="AO34" s="9">
        <v>0</v>
      </c>
      <c r="AP34" s="4">
        <f>SUM(AL34:AO34)</f>
        <v>0</v>
      </c>
      <c r="AQ34" s="9">
        <v>-0.55300000000000005</v>
      </c>
      <c r="AR34" s="9">
        <v>-1.5980000000000001</v>
      </c>
      <c r="AS34" s="9">
        <v>0.71599999999999997</v>
      </c>
      <c r="AT34" s="9">
        <v>-2.4710000000000001</v>
      </c>
      <c r="AU34" s="4">
        <f>SUM(AQ34:AT34)</f>
        <v>-3.9060000000000006</v>
      </c>
      <c r="AV34" s="9">
        <v>2.0059999999999998</v>
      </c>
      <c r="AW34" s="9">
        <v>14.29</v>
      </c>
      <c r="AX34" s="9">
        <v>1.4179999999999999</v>
      </c>
      <c r="AY34" s="9">
        <v>0.51100000000000001</v>
      </c>
      <c r="AZ34" s="4">
        <f>SUM(AV34:AY34)</f>
        <v>18.224999999999998</v>
      </c>
      <c r="BA34" s="9">
        <v>0</v>
      </c>
      <c r="BB34" s="9">
        <v>0</v>
      </c>
      <c r="BC34" s="9">
        <v>0</v>
      </c>
      <c r="BD34" s="9">
        <v>0</v>
      </c>
      <c r="BE34" s="4">
        <f>SUM(BA34:BD34)</f>
        <v>0</v>
      </c>
      <c r="BF34" s="135">
        <v>0</v>
      </c>
      <c r="BG34" s="135">
        <v>0</v>
      </c>
      <c r="BH34" s="135">
        <v>0</v>
      </c>
      <c r="BI34" s="135">
        <v>0</v>
      </c>
      <c r="BJ34" s="135">
        <v>0</v>
      </c>
    </row>
    <row r="35" spans="2:64">
      <c r="C35" s="10"/>
      <c r="D35" s="10"/>
      <c r="E35" s="10"/>
      <c r="F35" s="10"/>
      <c r="G35" s="4"/>
      <c r="H35" s="10"/>
      <c r="I35" s="10"/>
      <c r="J35" s="10"/>
      <c r="K35" s="10"/>
      <c r="L35" s="4"/>
      <c r="M35" s="10"/>
      <c r="N35" s="10"/>
      <c r="O35" s="10"/>
      <c r="P35" s="10"/>
      <c r="Q35" s="4"/>
      <c r="R35" s="10"/>
      <c r="S35" s="10"/>
      <c r="T35" s="10"/>
      <c r="U35" s="10"/>
      <c r="V35" s="4"/>
      <c r="W35" s="4"/>
      <c r="X35" s="4"/>
      <c r="Y35" s="4"/>
      <c r="Z35" s="4"/>
      <c r="AA35" s="4"/>
      <c r="AB35" s="10"/>
      <c r="AC35" s="10"/>
      <c r="AD35" s="10"/>
      <c r="AE35" s="10"/>
      <c r="AF35" s="4"/>
      <c r="AG35" s="10"/>
      <c r="AH35" s="10"/>
      <c r="AI35" s="10"/>
      <c r="AJ35" s="10"/>
      <c r="AK35" s="4"/>
      <c r="AL35" s="10"/>
      <c r="AM35" s="10"/>
      <c r="AN35" s="10"/>
      <c r="AO35" s="10"/>
      <c r="AP35" s="4"/>
      <c r="AQ35" s="10"/>
      <c r="AR35" s="10"/>
      <c r="AS35" s="10"/>
      <c r="AT35" s="10"/>
      <c r="AU35" s="4"/>
      <c r="AV35" s="10"/>
      <c r="AW35" s="10"/>
      <c r="AX35" s="10"/>
      <c r="AY35" s="10"/>
      <c r="AZ35" s="4"/>
      <c r="BA35" s="10"/>
      <c r="BB35" s="10"/>
      <c r="BC35" s="10"/>
      <c r="BD35" s="10"/>
      <c r="BE35" s="4"/>
      <c r="BF35" s="4"/>
      <c r="BG35" s="4"/>
      <c r="BH35" s="4"/>
      <c r="BI35" s="4"/>
      <c r="BJ35" s="4"/>
    </row>
    <row r="36" spans="2:64" s="12" customFormat="1">
      <c r="B36" s="12" t="s">
        <v>60</v>
      </c>
      <c r="C36" s="13">
        <f t="shared" ref="C36:V36" si="52">C16+C25+C32+C34</f>
        <v>-2.1669999999999998</v>
      </c>
      <c r="D36" s="13">
        <f t="shared" si="52"/>
        <v>33.234999999999999</v>
      </c>
      <c r="E36" s="13">
        <f t="shared" si="52"/>
        <v>-0.22900000000000187</v>
      </c>
      <c r="F36" s="13">
        <f t="shared" si="52"/>
        <v>-38.704000000000015</v>
      </c>
      <c r="G36" s="5">
        <f t="shared" si="52"/>
        <v>-7.8649999999999949</v>
      </c>
      <c r="H36" s="13">
        <f t="shared" si="52"/>
        <v>18.257000000000005</v>
      </c>
      <c r="I36" s="13">
        <f t="shared" si="52"/>
        <v>250.76599999999996</v>
      </c>
      <c r="J36" s="13">
        <f t="shared" si="52"/>
        <v>-34.286999999999992</v>
      </c>
      <c r="K36" s="13">
        <f t="shared" si="52"/>
        <v>11.090999999999989</v>
      </c>
      <c r="L36" s="5">
        <f t="shared" si="52"/>
        <v>245.82699999999988</v>
      </c>
      <c r="M36" s="13">
        <f t="shared" si="52"/>
        <v>17.031000000000002</v>
      </c>
      <c r="N36" s="13">
        <f t="shared" si="52"/>
        <v>3.3740000000000014</v>
      </c>
      <c r="O36" s="13">
        <f t="shared" si="52"/>
        <v>-68.304000000000002</v>
      </c>
      <c r="P36" s="13">
        <f t="shared" si="52"/>
        <v>-15.055000000000016</v>
      </c>
      <c r="Q36" s="5">
        <f t="shared" si="52"/>
        <v>-62.954000000000043</v>
      </c>
      <c r="R36" s="13">
        <f t="shared" si="52"/>
        <v>-76.844999999999999</v>
      </c>
      <c r="S36" s="13">
        <f t="shared" si="52"/>
        <v>-17.307999999999986</v>
      </c>
      <c r="T36" s="13">
        <f t="shared" si="52"/>
        <v>-15.493999999999915</v>
      </c>
      <c r="U36" s="13">
        <f t="shared" si="52"/>
        <v>10.402000000000006</v>
      </c>
      <c r="V36" s="5">
        <f t="shared" si="52"/>
        <v>-99.245000000000005</v>
      </c>
      <c r="W36" s="5"/>
      <c r="X36" s="5"/>
      <c r="Y36" s="5"/>
      <c r="Z36" s="5"/>
      <c r="AA36" s="5"/>
      <c r="AB36" s="13">
        <f>AB16+AB25+AB32+AB34</f>
        <v>246.98499999999999</v>
      </c>
      <c r="AC36" s="13">
        <f t="shared" ref="AC36:BJ36" si="53">AC16+AC25+AC32+AC34</f>
        <v>-53.589999999999996</v>
      </c>
      <c r="AD36" s="13">
        <f t="shared" si="53"/>
        <v>-75.085999999999984</v>
      </c>
      <c r="AE36" s="13">
        <f t="shared" si="53"/>
        <v>164.18799999999999</v>
      </c>
      <c r="AF36" s="5">
        <f t="shared" si="53"/>
        <v>282.49700000000007</v>
      </c>
      <c r="AG36" s="13">
        <f t="shared" si="53"/>
        <v>-64.746000000000038</v>
      </c>
      <c r="AH36" s="13">
        <f t="shared" si="53"/>
        <v>-144.70499999999998</v>
      </c>
      <c r="AI36" s="13">
        <f t="shared" si="53"/>
        <v>58.054000000000016</v>
      </c>
      <c r="AJ36" s="13">
        <f t="shared" si="53"/>
        <v>-55.253999999999991</v>
      </c>
      <c r="AK36" s="5">
        <f t="shared" si="53"/>
        <v>-206.65100000000007</v>
      </c>
      <c r="AL36" s="13">
        <f t="shared" ref="AL36:AP36" si="54">AL16+AL25+AL32+AL34</f>
        <v>106.22700000000002</v>
      </c>
      <c r="AM36" s="13">
        <f>AM16+AM25+AM32+AM34</f>
        <v>117.12399999999991</v>
      </c>
      <c r="AN36" s="13">
        <f t="shared" si="54"/>
        <v>36.756000000000043</v>
      </c>
      <c r="AO36" s="13">
        <f t="shared" si="54"/>
        <v>104.82900000000002</v>
      </c>
      <c r="AP36" s="5">
        <f t="shared" si="54"/>
        <v>364.93600000000015</v>
      </c>
      <c r="AQ36" s="13">
        <f>AQ16+AQ25+AQ32+AQ34</f>
        <v>-96.298999999999978</v>
      </c>
      <c r="AR36" s="13">
        <f>AR16+AR25+AR32+AR34</f>
        <v>-237.25700000000001</v>
      </c>
      <c r="AS36" s="13">
        <f t="shared" ref="AS36:AU36" si="55">AS16+AS25+AS32+AS34</f>
        <v>163.36700000000002</v>
      </c>
      <c r="AT36" s="13">
        <f t="shared" si="55"/>
        <v>221.505</v>
      </c>
      <c r="AU36" s="5">
        <f t="shared" si="55"/>
        <v>49.390999999999856</v>
      </c>
      <c r="AV36" s="13">
        <f t="shared" ref="AV36:AY36" si="56">AV16+AV25+AV32+AV34</f>
        <v>-7.6629999999999825</v>
      </c>
      <c r="AW36" s="13">
        <f t="shared" si="56"/>
        <v>50.865999999999978</v>
      </c>
      <c r="AX36" s="13">
        <f t="shared" si="56"/>
        <v>194.70399999999995</v>
      </c>
      <c r="AY36" s="13">
        <f t="shared" si="56"/>
        <v>-581.97000000000014</v>
      </c>
      <c r="AZ36" s="5">
        <f>BA16+BA25+BA32+BA34</f>
        <v>149.68671143594702</v>
      </c>
      <c r="BA36" s="13">
        <f t="shared" ref="BA36:BE36" si="57">BA16+BA25+BA32+BA34</f>
        <v>149.68671143594702</v>
      </c>
      <c r="BB36" s="13">
        <f t="shared" si="57"/>
        <v>-85.68060207035262</v>
      </c>
      <c r="BC36" s="13">
        <f t="shared" si="57"/>
        <v>-64.301952447938447</v>
      </c>
      <c r="BD36" s="13">
        <f t="shared" si="57"/>
        <v>-43.983230251757107</v>
      </c>
      <c r="BE36" s="5">
        <f t="shared" si="57"/>
        <v>-44.279073334101213</v>
      </c>
      <c r="BF36" s="5">
        <f t="shared" si="53"/>
        <v>240.95051221325764</v>
      </c>
      <c r="BG36" s="5">
        <f t="shared" si="53"/>
        <v>748.35542019353386</v>
      </c>
      <c r="BH36" s="5">
        <f t="shared" si="53"/>
        <v>867.98082682906727</v>
      </c>
      <c r="BI36" s="5">
        <f t="shared" si="53"/>
        <v>985.55213656827266</v>
      </c>
      <c r="BJ36" s="5">
        <f t="shared" si="53"/>
        <v>1100.1974878313274</v>
      </c>
    </row>
    <row r="37" spans="2:64">
      <c r="V37" s="5"/>
      <c r="W37" s="5"/>
      <c r="X37" s="5"/>
      <c r="Y37" s="5"/>
      <c r="Z37" s="5"/>
      <c r="AA37" s="5"/>
      <c r="AF37" s="5"/>
      <c r="AK37" s="5"/>
      <c r="AP37" s="5"/>
      <c r="AU37" s="5"/>
      <c r="AZ37" s="5"/>
      <c r="BE37" s="5"/>
      <c r="BF37" s="5"/>
      <c r="BG37" s="5"/>
      <c r="BH37" s="5"/>
      <c r="BI37" s="5"/>
      <c r="BJ37" s="5"/>
    </row>
    <row r="38" spans="2:64">
      <c r="B38" s="12" t="s">
        <v>179</v>
      </c>
      <c r="R38" s="13">
        <v>268.10300000000001</v>
      </c>
      <c r="S38" s="13">
        <f>R39</f>
        <v>191.25800000000001</v>
      </c>
      <c r="T38" s="13">
        <f>S39</f>
        <v>173.95000000000002</v>
      </c>
      <c r="U38" s="13">
        <f>T39</f>
        <v>158.4560000000001</v>
      </c>
      <c r="V38" s="5"/>
      <c r="W38" s="5"/>
      <c r="X38" s="5"/>
      <c r="Y38" s="5"/>
      <c r="Z38" s="5"/>
      <c r="AA38" s="5"/>
      <c r="AB38" s="13">
        <f>U39</f>
        <v>168.85800000000012</v>
      </c>
      <c r="AC38" s="13">
        <f>AB39</f>
        <v>415.84300000000007</v>
      </c>
      <c r="AD38" s="13">
        <f>AC39</f>
        <v>362.2530000000001</v>
      </c>
      <c r="AE38" s="13">
        <f>AD39</f>
        <v>287.16700000000014</v>
      </c>
      <c r="AF38" s="5"/>
      <c r="AG38" s="13">
        <f>AE39</f>
        <v>451.35500000000013</v>
      </c>
      <c r="AH38" s="13">
        <f>AG39</f>
        <v>386.60900000000009</v>
      </c>
      <c r="AI38" s="13">
        <f>AH39</f>
        <v>241.90400000000011</v>
      </c>
      <c r="AJ38" s="13">
        <f>AI39</f>
        <v>299.95800000000014</v>
      </c>
      <c r="AK38" s="5"/>
      <c r="AL38" s="13">
        <f>AJ39</f>
        <v>244.70400000000015</v>
      </c>
      <c r="AM38" s="13">
        <f>AL39</f>
        <v>350.93100000000015</v>
      </c>
      <c r="AN38" s="13">
        <f>AM39</f>
        <v>468.05500000000006</v>
      </c>
      <c r="AO38" s="13">
        <f>AN39</f>
        <v>504.81100000000009</v>
      </c>
      <c r="AP38" s="5">
        <f>AO39</f>
        <v>609.6400000000001</v>
      </c>
      <c r="AQ38" s="13">
        <f>AO39</f>
        <v>609.6400000000001</v>
      </c>
      <c r="AR38" s="13">
        <f>AQ39</f>
        <v>513.34100000000012</v>
      </c>
      <c r="AS38" s="13">
        <f>AR39</f>
        <v>276.08400000000012</v>
      </c>
      <c r="AT38" s="13">
        <f>AS39</f>
        <v>439.45100000000014</v>
      </c>
      <c r="AU38" s="5">
        <f>AT39</f>
        <v>660.95600000000013</v>
      </c>
      <c r="AV38" s="13">
        <f>AT39</f>
        <v>660.95600000000013</v>
      </c>
      <c r="AW38" s="13">
        <f>AV39</f>
        <v>653.29300000000012</v>
      </c>
      <c r="AX38" s="13">
        <f>AW39</f>
        <v>704.15900000000011</v>
      </c>
      <c r="AY38" s="13">
        <f>AX39</f>
        <v>898.86300000000006</v>
      </c>
      <c r="AZ38" s="5">
        <f>AY39</f>
        <v>316.89299999999992</v>
      </c>
      <c r="BA38" s="13">
        <f>AY39</f>
        <v>316.89299999999992</v>
      </c>
      <c r="BB38" s="13">
        <f>BA39</f>
        <v>466.57971143594693</v>
      </c>
      <c r="BC38" s="13">
        <f>BB39</f>
        <v>380.89910936559431</v>
      </c>
      <c r="BD38" s="13">
        <f>BC39</f>
        <v>316.59715691765587</v>
      </c>
      <c r="BE38" s="5">
        <f>BD39</f>
        <v>272.61392666589876</v>
      </c>
      <c r="BF38" s="5">
        <f t="shared" ref="BF38:BJ38" si="58">BE39</f>
        <v>228.33485333179755</v>
      </c>
      <c r="BG38" s="5">
        <f t="shared" si="58"/>
        <v>469.28536554505519</v>
      </c>
      <c r="BH38" s="5">
        <f t="shared" si="58"/>
        <v>1217.6407857385891</v>
      </c>
      <c r="BI38" s="5">
        <f t="shared" si="58"/>
        <v>2085.6216125676565</v>
      </c>
      <c r="BJ38" s="5">
        <f t="shared" si="58"/>
        <v>3071.173749135929</v>
      </c>
    </row>
    <row r="39" spans="2:64">
      <c r="B39" s="12" t="s">
        <v>180</v>
      </c>
      <c r="R39" s="13">
        <f>R36+R38</f>
        <v>191.25800000000001</v>
      </c>
      <c r="S39" s="13">
        <f>S36+S38</f>
        <v>173.95000000000002</v>
      </c>
      <c r="T39" s="13">
        <f>T36+T38</f>
        <v>158.4560000000001</v>
      </c>
      <c r="U39" s="13">
        <f>U36+U38</f>
        <v>168.85800000000012</v>
      </c>
      <c r="V39" s="5"/>
      <c r="W39" s="5"/>
      <c r="X39" s="5"/>
      <c r="Y39" s="5"/>
      <c r="Z39" s="5"/>
      <c r="AA39" s="5"/>
      <c r="AB39" s="13">
        <f>AB36+AB38</f>
        <v>415.84300000000007</v>
      </c>
      <c r="AC39" s="13">
        <f>AC36+AC38</f>
        <v>362.2530000000001</v>
      </c>
      <c r="AD39" s="13">
        <f>AD36+AD38</f>
        <v>287.16700000000014</v>
      </c>
      <c r="AE39" s="13">
        <f>AE36+AE38</f>
        <v>451.35500000000013</v>
      </c>
      <c r="AF39" s="5"/>
      <c r="AG39" s="13">
        <f>AG36+AG38</f>
        <v>386.60900000000009</v>
      </c>
      <c r="AH39" s="13">
        <f>AH36+AH38</f>
        <v>241.90400000000011</v>
      </c>
      <c r="AI39" s="13">
        <f>AI36+AI38</f>
        <v>299.95800000000014</v>
      </c>
      <c r="AJ39" s="13">
        <f>AJ36+AJ38</f>
        <v>244.70400000000015</v>
      </c>
      <c r="AK39" s="5"/>
      <c r="AL39" s="13">
        <f t="shared" ref="AL39:AU39" si="59">AL36+AL38</f>
        <v>350.93100000000015</v>
      </c>
      <c r="AM39" s="13">
        <f t="shared" si="59"/>
        <v>468.05500000000006</v>
      </c>
      <c r="AN39" s="13">
        <f t="shared" si="59"/>
        <v>504.81100000000009</v>
      </c>
      <c r="AO39" s="13">
        <f t="shared" si="59"/>
        <v>609.6400000000001</v>
      </c>
      <c r="AP39" s="5">
        <f t="shared" si="59"/>
        <v>974.57600000000025</v>
      </c>
      <c r="AQ39" s="13">
        <f t="shared" si="59"/>
        <v>513.34100000000012</v>
      </c>
      <c r="AR39" s="13">
        <f t="shared" si="59"/>
        <v>276.08400000000012</v>
      </c>
      <c r="AS39" s="13">
        <f t="shared" si="59"/>
        <v>439.45100000000014</v>
      </c>
      <c r="AT39" s="13">
        <f t="shared" si="59"/>
        <v>660.95600000000013</v>
      </c>
      <c r="AU39" s="5">
        <f t="shared" si="59"/>
        <v>710.34699999999998</v>
      </c>
      <c r="AV39" s="13">
        <f t="shared" ref="AV39:AY39" si="60">AV36+AV38</f>
        <v>653.29300000000012</v>
      </c>
      <c r="AW39" s="13">
        <f t="shared" si="60"/>
        <v>704.15900000000011</v>
      </c>
      <c r="AX39" s="13">
        <f t="shared" si="60"/>
        <v>898.86300000000006</v>
      </c>
      <c r="AY39" s="13">
        <f t="shared" si="60"/>
        <v>316.89299999999992</v>
      </c>
      <c r="AZ39" s="5">
        <f>BA36+BA38</f>
        <v>466.57971143594693</v>
      </c>
      <c r="BA39" s="13">
        <f t="shared" ref="BA39:BE39" si="61">BA36+BA38</f>
        <v>466.57971143594693</v>
      </c>
      <c r="BB39" s="13">
        <f>BB36+BB38</f>
        <v>380.89910936559431</v>
      </c>
      <c r="BC39" s="13">
        <f t="shared" si="61"/>
        <v>316.59715691765587</v>
      </c>
      <c r="BD39" s="13">
        <f t="shared" si="61"/>
        <v>272.61392666589876</v>
      </c>
      <c r="BE39" s="5">
        <f t="shared" si="61"/>
        <v>228.33485333179755</v>
      </c>
      <c r="BF39" s="5">
        <f t="shared" ref="BF39:BJ39" si="62">BF36+BF38</f>
        <v>469.28536554505519</v>
      </c>
      <c r="BG39" s="5">
        <f t="shared" si="62"/>
        <v>1217.6407857385891</v>
      </c>
      <c r="BH39" s="5">
        <f t="shared" si="62"/>
        <v>2085.6216125676565</v>
      </c>
      <c r="BI39" s="5">
        <f t="shared" si="62"/>
        <v>3071.173749135929</v>
      </c>
      <c r="BJ39" s="5">
        <f t="shared" si="62"/>
        <v>4171.3712369672567</v>
      </c>
    </row>
    <row r="40" spans="2:64">
      <c r="E40" s="30"/>
      <c r="V40" s="5"/>
      <c r="W40" s="5"/>
      <c r="X40" s="5"/>
      <c r="Y40" s="5"/>
      <c r="Z40" s="5"/>
      <c r="AA40" s="5"/>
      <c r="AF40" s="5"/>
      <c r="AK40" s="5"/>
      <c r="AP40" s="5"/>
      <c r="AU40" s="5"/>
      <c r="AZ40" s="5"/>
      <c r="BE40" s="5"/>
      <c r="BF40" s="5"/>
      <c r="BG40" s="5"/>
      <c r="BH40" s="5"/>
      <c r="BI40" s="5"/>
      <c r="BJ40" s="5"/>
    </row>
    <row r="41" spans="2:64">
      <c r="B41" s="8" t="s">
        <v>195</v>
      </c>
      <c r="E41" s="30"/>
      <c r="R41" s="10">
        <f>SUM(R21:R22)</f>
        <v>-5.0749999999999993</v>
      </c>
      <c r="S41" s="10">
        <f>SUM(S21:S22)</f>
        <v>-3.2639999999999998</v>
      </c>
      <c r="T41" s="10">
        <f>SUM(T21:T22)</f>
        <v>-5.1340000000000003</v>
      </c>
      <c r="U41" s="10">
        <f>SUM(U21:U22)</f>
        <v>-5.38</v>
      </c>
      <c r="V41" s="4">
        <f>SUM(R41:U41)</f>
        <v>-18.852999999999998</v>
      </c>
      <c r="W41" s="4"/>
      <c r="X41" s="4"/>
      <c r="Y41" s="4"/>
      <c r="Z41" s="4"/>
      <c r="AA41" s="4"/>
      <c r="AB41" s="10">
        <f>SUM(AB21:AB22)</f>
        <v>-3.8490000000000002</v>
      </c>
      <c r="AC41" s="10">
        <f>SUM(AC21:AC22)</f>
        <v>-7.1189999999999998</v>
      </c>
      <c r="AD41" s="10">
        <f>SUM(AD21:AD22)</f>
        <v>-13.03</v>
      </c>
      <c r="AE41" s="10">
        <f>SUM(AE21:AE22)</f>
        <v>-13.702</v>
      </c>
      <c r="AF41" s="5">
        <f t="shared" ref="AF41:AF44" si="63">SUM(AB41:AE41)</f>
        <v>-37.699999999999996</v>
      </c>
      <c r="AG41" s="10">
        <f>SUM(AG21:AG22)</f>
        <v>-19.923999999999999</v>
      </c>
      <c r="AH41" s="10">
        <f>SUM(AH21:AH22)</f>
        <v>-13.216999999999999</v>
      </c>
      <c r="AI41" s="10">
        <f>SUM(AI21:AI22)</f>
        <v>-22.873999999999999</v>
      </c>
      <c r="AJ41" s="10">
        <f>SUM(AJ21:AJ22)</f>
        <v>-14.648999999999999</v>
      </c>
      <c r="AK41" s="5">
        <f>SUM(AG41:AJ41)</f>
        <v>-70.664000000000001</v>
      </c>
      <c r="AL41" s="10">
        <f>SUM(AL21:AL22)</f>
        <v>-20.932000000000002</v>
      </c>
      <c r="AM41" s="10">
        <f>SUM(AM21:AM22)</f>
        <v>-15.751000000000001</v>
      </c>
      <c r="AN41" s="10">
        <f>SUM(AN21:AN22)</f>
        <v>-19.376000000000001</v>
      </c>
      <c r="AO41" s="10">
        <f>SUM(AO21:AO22)</f>
        <v>-9.988999999999999</v>
      </c>
      <c r="AP41" s="5">
        <f>SUM(AL41:AO41)</f>
        <v>-66.048000000000016</v>
      </c>
      <c r="AQ41" s="10">
        <f>SUM(AQ21:AQ22)</f>
        <v>-8.125</v>
      </c>
      <c r="AR41" s="10">
        <f>SUM(AR21:AR22)</f>
        <v>-7.1960000000000006</v>
      </c>
      <c r="AS41" s="10">
        <f>SUM(AS21:AS22)</f>
        <v>-2.0529999999999999</v>
      </c>
      <c r="AT41" s="10">
        <f>SUM(AT21:AT22)</f>
        <v>-1.9630000000000001</v>
      </c>
      <c r="AU41" s="5">
        <f>SUM(AQ41:AT41)</f>
        <v>-19.337000000000003</v>
      </c>
      <c r="AV41" s="10">
        <f>SUM(AV21:AV22)</f>
        <v>-3.05</v>
      </c>
      <c r="AW41" s="10">
        <f>SUM(AW21:AW22)</f>
        <v>-2.67</v>
      </c>
      <c r="AX41" s="10">
        <f>SUM(AX21:AX22)</f>
        <v>-1.4169999999999998</v>
      </c>
      <c r="AY41" s="10">
        <f>+AY42+AY44</f>
        <v>-3.5</v>
      </c>
      <c r="AZ41" s="5">
        <f>SUM(AV41:AY41)</f>
        <v>-10.637</v>
      </c>
      <c r="BA41" s="10">
        <f>+BA42+BA44</f>
        <v>-1.25</v>
      </c>
      <c r="BB41" s="10">
        <f>+BB42+BB44</f>
        <v>-1.25</v>
      </c>
      <c r="BC41" s="10">
        <f>+BC42+BC44</f>
        <v>-1.25</v>
      </c>
      <c r="BD41" s="10">
        <f>+BD42+BD44</f>
        <v>-1.25</v>
      </c>
      <c r="BE41" s="5">
        <f>SUM(BA41:BD41)</f>
        <v>-5</v>
      </c>
      <c r="BF41" s="5">
        <f t="shared" ref="BF41:BJ41" si="64">+BF44</f>
        <v>-5.15</v>
      </c>
      <c r="BG41" s="5">
        <f t="shared" si="64"/>
        <v>-5.3045000000000009</v>
      </c>
      <c r="BH41" s="5">
        <f t="shared" si="64"/>
        <v>-5.4636350000000009</v>
      </c>
      <c r="BI41" s="5">
        <f t="shared" si="64"/>
        <v>-5.6275440500000009</v>
      </c>
      <c r="BJ41" s="5">
        <f t="shared" si="64"/>
        <v>-5.796370371500001</v>
      </c>
    </row>
    <row r="42" spans="2:64">
      <c r="B42" s="8" t="s">
        <v>193</v>
      </c>
      <c r="E42" s="30"/>
      <c r="R42" s="9">
        <v>-0.48299999999999998</v>
      </c>
      <c r="S42" s="9">
        <v>-0.40799999999999997</v>
      </c>
      <c r="T42" s="9">
        <v>-0.77900000000000003</v>
      </c>
      <c r="U42" s="9">
        <v>-0.79200000000000004</v>
      </c>
      <c r="V42" s="4">
        <f t="shared" ref="V42:V48" si="65">SUM(R42:U42)</f>
        <v>-2.4619999999999997</v>
      </c>
      <c r="W42" s="4"/>
      <c r="X42" s="4"/>
      <c r="Y42" s="4"/>
      <c r="Z42" s="4"/>
      <c r="AA42" s="4"/>
      <c r="AB42" s="9">
        <v>-0.83499999999999996</v>
      </c>
      <c r="AC42" s="9">
        <v>-2.1970000000000001</v>
      </c>
      <c r="AD42" s="9">
        <v>-10.37</v>
      </c>
      <c r="AE42" s="9">
        <v>-10</v>
      </c>
      <c r="AF42" s="5">
        <f t="shared" si="63"/>
        <v>-23.402000000000001</v>
      </c>
      <c r="AG42" s="9">
        <v>-20</v>
      </c>
      <c r="AH42" s="9">
        <v>-9.9</v>
      </c>
      <c r="AI42" s="9">
        <v>-27.166</v>
      </c>
      <c r="AJ42" s="9">
        <f>-52+38.6</f>
        <v>-13.399999999999999</v>
      </c>
      <c r="AK42" s="5">
        <f t="shared" ref="AK42:AK44" si="66">SUM(AG42:AJ42)</f>
        <v>-70.466000000000008</v>
      </c>
      <c r="AL42" s="220">
        <v>-16.949000000000002</v>
      </c>
      <c r="AM42" s="220">
        <v>-14.63</v>
      </c>
      <c r="AN42" s="220">
        <v>-18.042999999999999</v>
      </c>
      <c r="AO42" s="220">
        <v>-8.3239999999999998</v>
      </c>
      <c r="AP42" s="5">
        <f t="shared" ref="AP42:AP44" si="67">SUM(AL42:AO42)</f>
        <v>-57.945999999999998</v>
      </c>
      <c r="AQ42" s="220">
        <v>-5.3620000000000001</v>
      </c>
      <c r="AR42" s="220">
        <v>-4.9629999999999939</v>
      </c>
      <c r="AS42" s="220">
        <v>0</v>
      </c>
      <c r="AT42" s="220">
        <v>0</v>
      </c>
      <c r="AU42" s="5">
        <f>SUM(AQ42:AT42)</f>
        <v>-10.324999999999994</v>
      </c>
      <c r="AV42" s="220">
        <v>0</v>
      </c>
      <c r="AW42" s="220">
        <v>0</v>
      </c>
      <c r="AX42" s="220">
        <v>0</v>
      </c>
      <c r="AY42" s="220"/>
      <c r="AZ42" s="5">
        <f>SUM(AV42:AY42)</f>
        <v>0</v>
      </c>
      <c r="BA42" s="220"/>
      <c r="BB42" s="220"/>
      <c r="BC42" s="220"/>
      <c r="BD42" s="220"/>
      <c r="BE42" s="5">
        <f>SUM(BA42:BD42)</f>
        <v>0</v>
      </c>
      <c r="BF42" s="5">
        <f t="shared" ref="BF42:BJ42" si="68">BE42</f>
        <v>0</v>
      </c>
      <c r="BG42" s="5">
        <f t="shared" si="68"/>
        <v>0</v>
      </c>
      <c r="BH42" s="5">
        <f t="shared" si="68"/>
        <v>0</v>
      </c>
      <c r="BI42" s="5">
        <f t="shared" si="68"/>
        <v>0</v>
      </c>
      <c r="BJ42" s="5">
        <f t="shared" si="68"/>
        <v>0</v>
      </c>
    </row>
    <row r="43" spans="2:64">
      <c r="B43" s="8" t="s">
        <v>284</v>
      </c>
      <c r="E43" s="30"/>
      <c r="R43" s="9"/>
      <c r="S43" s="9"/>
      <c r="T43" s="9"/>
      <c r="U43" s="9"/>
      <c r="V43" s="4"/>
      <c r="W43" s="4"/>
      <c r="X43" s="4"/>
      <c r="Y43" s="4"/>
      <c r="Z43" s="4"/>
      <c r="AA43" s="4"/>
      <c r="AB43" s="9"/>
      <c r="AC43" s="9"/>
      <c r="AD43" s="9"/>
      <c r="AE43" s="9"/>
      <c r="AF43" s="5"/>
      <c r="AG43" s="9"/>
      <c r="AH43" s="9"/>
      <c r="AI43" s="9"/>
      <c r="AJ43" s="9"/>
      <c r="AK43" s="5"/>
      <c r="AL43" s="220">
        <v>-2.0510000000000002</v>
      </c>
      <c r="AM43" s="220">
        <v>-2.4529999999999998</v>
      </c>
      <c r="AN43" s="220">
        <v>0</v>
      </c>
      <c r="AO43" s="220">
        <v>-1.411</v>
      </c>
      <c r="AP43" s="5">
        <f t="shared" si="67"/>
        <v>-5.9149999999999991</v>
      </c>
      <c r="AQ43" s="220">
        <v>0</v>
      </c>
      <c r="AR43" s="220">
        <v>0</v>
      </c>
      <c r="AS43" s="220">
        <v>0</v>
      </c>
      <c r="AT43" s="220">
        <v>0</v>
      </c>
      <c r="AU43" s="5"/>
      <c r="AV43" s="220">
        <v>0</v>
      </c>
      <c r="AW43" s="220">
        <v>0</v>
      </c>
      <c r="AX43" s="220">
        <v>-32.128</v>
      </c>
      <c r="AY43" s="220"/>
      <c r="AZ43" s="5">
        <f>SUM(AV43:AY43)</f>
        <v>-32.128</v>
      </c>
      <c r="BA43" s="220"/>
      <c r="BB43" s="220"/>
      <c r="BC43" s="220"/>
      <c r="BD43" s="220"/>
      <c r="BE43" s="5">
        <f>SUM(BA43:BD43)</f>
        <v>0</v>
      </c>
      <c r="BF43" s="5"/>
      <c r="BG43" s="5"/>
      <c r="BH43" s="5"/>
      <c r="BI43" s="5"/>
      <c r="BJ43" s="5"/>
    </row>
    <row r="44" spans="2:64">
      <c r="B44" s="12" t="s">
        <v>194</v>
      </c>
      <c r="E44" s="30"/>
      <c r="R44" s="10">
        <f>R41-R42</f>
        <v>-4.5919999999999996</v>
      </c>
      <c r="S44" s="10">
        <f>S41-S42</f>
        <v>-2.8559999999999999</v>
      </c>
      <c r="T44" s="10">
        <f>T41-T42</f>
        <v>-4.3550000000000004</v>
      </c>
      <c r="U44" s="10">
        <f>U41-U42</f>
        <v>-4.5880000000000001</v>
      </c>
      <c r="V44" s="4">
        <f t="shared" si="65"/>
        <v>-16.391000000000002</v>
      </c>
      <c r="W44" s="4"/>
      <c r="X44" s="4"/>
      <c r="Y44" s="4"/>
      <c r="Z44" s="4"/>
      <c r="AA44" s="4"/>
      <c r="AB44" s="10">
        <f>AB41-AB42</f>
        <v>-3.0140000000000002</v>
      </c>
      <c r="AC44" s="10">
        <f>AC41-AC42</f>
        <v>-4.9219999999999997</v>
      </c>
      <c r="AD44" s="10">
        <f>AD41-AD42</f>
        <v>-2.66</v>
      </c>
      <c r="AE44" s="10">
        <f>AE41-AE42</f>
        <v>-3.702</v>
      </c>
      <c r="AF44" s="5">
        <f t="shared" si="63"/>
        <v>-14.298</v>
      </c>
      <c r="AG44" s="10">
        <f>AG41-AG42</f>
        <v>7.6000000000000512E-2</v>
      </c>
      <c r="AH44" s="10">
        <f>AH41-AH42</f>
        <v>-3.3169999999999984</v>
      </c>
      <c r="AI44" s="10">
        <f>AI41-AI42</f>
        <v>4.2920000000000016</v>
      </c>
      <c r="AJ44" s="10">
        <f>AJ41-AJ42</f>
        <v>-1.2490000000000006</v>
      </c>
      <c r="AK44" s="5">
        <f t="shared" si="66"/>
        <v>-0.19799999999999685</v>
      </c>
      <c r="AL44" s="277">
        <f>AL41-AL42</f>
        <v>-3.9830000000000005</v>
      </c>
      <c r="AM44" s="10">
        <f>AM41-AM42</f>
        <v>-1.1210000000000004</v>
      </c>
      <c r="AN44" s="10">
        <f>AN41-AN42</f>
        <v>-1.333000000000002</v>
      </c>
      <c r="AO44" s="10">
        <f>AO41-AO42</f>
        <v>-1.6649999999999991</v>
      </c>
      <c r="AP44" s="5">
        <f t="shared" si="67"/>
        <v>-8.1020000000000021</v>
      </c>
      <c r="AQ44" s="10">
        <f>AQ41-AQ42</f>
        <v>-2.7629999999999999</v>
      </c>
      <c r="AR44" s="10">
        <f>AR41-AR42</f>
        <v>-2.2330000000000068</v>
      </c>
      <c r="AS44" s="10">
        <f>AS41-AS42</f>
        <v>-2.0529999999999999</v>
      </c>
      <c r="AT44" s="10">
        <f>AT41-AT42</f>
        <v>-1.9630000000000001</v>
      </c>
      <c r="AU44" s="5">
        <f t="shared" ref="AU44" si="69">SUM(AQ44:AT44)</f>
        <v>-9.0120000000000076</v>
      </c>
      <c r="AV44" s="10">
        <f>AV41-AV42</f>
        <v>-3.05</v>
      </c>
      <c r="AW44" s="10">
        <f>AW41-AW42</f>
        <v>-2.67</v>
      </c>
      <c r="AX44" s="10">
        <f>AX41-AX42</f>
        <v>-1.4169999999999998</v>
      </c>
      <c r="AY44" s="9">
        <v>-3.5</v>
      </c>
      <c r="AZ44" s="5">
        <f t="shared" ref="AZ44" si="70">SUM(AV44:AY44)</f>
        <v>-10.637</v>
      </c>
      <c r="BA44" s="9">
        <v>-1.25</v>
      </c>
      <c r="BB44" s="9">
        <v>-1.25</v>
      </c>
      <c r="BC44" s="9">
        <v>-1.25</v>
      </c>
      <c r="BD44" s="9">
        <v>-1.25</v>
      </c>
      <c r="BE44" s="5">
        <f t="shared" ref="BE44" si="71">SUM(BA44:BD44)</f>
        <v>-5</v>
      </c>
      <c r="BF44" s="233">
        <f t="shared" ref="BF44:BJ44" si="72">+BE44*1.03</f>
        <v>-5.15</v>
      </c>
      <c r="BG44" s="233">
        <f t="shared" si="72"/>
        <v>-5.3045000000000009</v>
      </c>
      <c r="BH44" s="233">
        <f t="shared" si="72"/>
        <v>-5.4636350000000009</v>
      </c>
      <c r="BI44" s="233">
        <f t="shared" si="72"/>
        <v>-5.6275440500000009</v>
      </c>
      <c r="BJ44" s="233">
        <f t="shared" si="72"/>
        <v>-5.796370371500001</v>
      </c>
    </row>
    <row r="45" spans="2:64">
      <c r="E45" s="30"/>
      <c r="V45" s="1"/>
      <c r="W45" s="1"/>
      <c r="X45" s="1"/>
      <c r="Y45" s="1"/>
      <c r="Z45" s="1"/>
      <c r="AA45" s="1"/>
      <c r="AF45" s="5"/>
      <c r="AK45" s="5"/>
      <c r="AL45" s="278"/>
      <c r="AP45" s="5"/>
      <c r="AU45" s="5"/>
      <c r="AZ45" s="5"/>
      <c r="BE45" s="5"/>
      <c r="BF45" s="5"/>
      <c r="BG45" s="5"/>
      <c r="BH45" s="5"/>
      <c r="BI45" s="5"/>
      <c r="BJ45" s="5"/>
    </row>
    <row r="46" spans="2:64">
      <c r="B46" s="12" t="s">
        <v>22</v>
      </c>
      <c r="R46" s="13">
        <f t="shared" ref="R46:BJ46" si="73">R16+R21+R22</f>
        <v>39.952000000000012</v>
      </c>
      <c r="S46" s="13">
        <f t="shared" si="73"/>
        <v>46.694000000000003</v>
      </c>
      <c r="T46" s="13">
        <f t="shared" si="73"/>
        <v>19.379999999999995</v>
      </c>
      <c r="U46" s="13">
        <f t="shared" si="73"/>
        <v>23.17</v>
      </c>
      <c r="V46" s="5">
        <f t="shared" si="65"/>
        <v>129.19600000000003</v>
      </c>
      <c r="W46" s="5"/>
      <c r="X46" s="5"/>
      <c r="Y46" s="5"/>
      <c r="Z46" s="5"/>
      <c r="AA46" s="5"/>
      <c r="AB46" s="13">
        <f t="shared" si="73"/>
        <v>14.639000000000014</v>
      </c>
      <c r="AC46" s="13">
        <f t="shared" si="73"/>
        <v>14.713999999999992</v>
      </c>
      <c r="AD46" s="13">
        <f t="shared" si="73"/>
        <v>-8.7069999999999919</v>
      </c>
      <c r="AE46" s="10">
        <f t="shared" si="73"/>
        <v>7.3390000000000111</v>
      </c>
      <c r="AF46" s="5">
        <f t="shared" ref="AF46:AF48" si="74">SUM(AB46:AE46)</f>
        <v>27.985000000000028</v>
      </c>
      <c r="AG46" s="10">
        <f t="shared" si="73"/>
        <v>-33.586000000000041</v>
      </c>
      <c r="AH46" s="10">
        <f t="shared" si="73"/>
        <v>-15.885999999999994</v>
      </c>
      <c r="AI46" s="10">
        <f t="shared" si="73"/>
        <v>-22.606999999999996</v>
      </c>
      <c r="AJ46" s="10">
        <f t="shared" si="73"/>
        <v>38.584999999999994</v>
      </c>
      <c r="AK46" s="5">
        <f t="shared" ref="AK46" si="75">SUM(AG46:AJ46)</f>
        <v>-33.494000000000042</v>
      </c>
      <c r="AL46" s="279">
        <f>AL16+AL21+AL22</f>
        <v>25.029000000000011</v>
      </c>
      <c r="AM46" s="10">
        <f t="shared" ref="AM46:AN46" si="76">AM16+AM21+AM22</f>
        <v>32.01</v>
      </c>
      <c r="AN46" s="10">
        <f t="shared" si="76"/>
        <v>44.768000000000022</v>
      </c>
      <c r="AO46" s="10">
        <f>AO16+AO21+AO22</f>
        <v>80.390000000000015</v>
      </c>
      <c r="AP46" s="5">
        <f t="shared" ref="AP46" si="77">SUM(AL46:AO46)</f>
        <v>182.19700000000006</v>
      </c>
      <c r="AQ46" s="10">
        <f>AQ16+AQ21+AQ22</f>
        <v>105.711</v>
      </c>
      <c r="AR46" s="10">
        <f t="shared" ref="AR46:AT46" si="78">AR16+AR21+AR22</f>
        <v>112.83299999999998</v>
      </c>
      <c r="AS46" s="10">
        <f t="shared" si="78"/>
        <v>127.76100000000002</v>
      </c>
      <c r="AT46" s="10">
        <f t="shared" si="78"/>
        <v>131.77299999999997</v>
      </c>
      <c r="AU46" s="5">
        <f t="shared" ref="AU46" si="79">SUM(AQ46:AT46)</f>
        <v>478.07799999999997</v>
      </c>
      <c r="AV46" s="10">
        <f t="shared" ref="AV46:AW46" si="80">AV16+AV21+AV22</f>
        <v>142.44100000000003</v>
      </c>
      <c r="AW46" s="10">
        <f t="shared" si="80"/>
        <v>147.66499999999999</v>
      </c>
      <c r="AX46" s="10">
        <f>AX16+AX21+AX22</f>
        <v>127.28200000000001</v>
      </c>
      <c r="AY46" s="318">
        <f>AY16+AY21+AY22</f>
        <v>155.56900000000002</v>
      </c>
      <c r="AZ46" s="5">
        <f>BA16+BA21+BA22</f>
        <v>99.686711435947089</v>
      </c>
      <c r="BA46" s="10">
        <f>BA16+BA21+BA22</f>
        <v>99.686711435947089</v>
      </c>
      <c r="BB46" s="10">
        <f>BB16+BB21+BB22</f>
        <v>114.31939792964747</v>
      </c>
      <c r="BC46" s="10">
        <f>BC16+BC21+BC22</f>
        <v>135.69804755206155</v>
      </c>
      <c r="BD46" s="10">
        <f>BD16+BD21+BD22</f>
        <v>156.01676974824289</v>
      </c>
      <c r="BE46" s="5">
        <f t="shared" ref="BE46" si="81">BE16+BE21+BE22</f>
        <v>505.72092666589901</v>
      </c>
      <c r="BF46" s="5">
        <f t="shared" si="73"/>
        <v>640.95051221325764</v>
      </c>
      <c r="BG46" s="5">
        <f t="shared" si="73"/>
        <v>748.35542019353386</v>
      </c>
      <c r="BH46" s="5">
        <f t="shared" si="73"/>
        <v>867.98082682906727</v>
      </c>
      <c r="BI46" s="5">
        <f t="shared" si="73"/>
        <v>985.55213656827266</v>
      </c>
      <c r="BJ46" s="5">
        <f t="shared" si="73"/>
        <v>1100.1974878313274</v>
      </c>
    </row>
    <row r="47" spans="2:64">
      <c r="B47" s="12" t="s">
        <v>249</v>
      </c>
      <c r="R47" s="13"/>
      <c r="S47" s="13"/>
      <c r="T47" s="13"/>
      <c r="U47" s="13"/>
      <c r="V47" s="5"/>
      <c r="W47" s="5"/>
      <c r="X47" s="5"/>
      <c r="Y47" s="5"/>
      <c r="Z47" s="5"/>
      <c r="AA47" s="5"/>
      <c r="AB47" s="13"/>
      <c r="AC47" s="13"/>
      <c r="AD47" s="13"/>
      <c r="AE47" s="10"/>
      <c r="AF47" s="5"/>
      <c r="AG47" s="10"/>
      <c r="AH47" s="10"/>
      <c r="AI47" s="10"/>
      <c r="AJ47" s="10"/>
      <c r="AK47" s="230">
        <f>+AK46/'Income Statement'!AK$13</f>
        <v>-2.413693208596308E-2</v>
      </c>
      <c r="AL47" s="277"/>
      <c r="AM47" s="10"/>
      <c r="AN47" s="10"/>
      <c r="AO47" s="10"/>
      <c r="AP47" s="230">
        <f>+AP46/'Income Statement'!AP$13</f>
        <v>0.11666842760771361</v>
      </c>
      <c r="AQ47" s="10"/>
      <c r="AR47" s="10"/>
      <c r="AS47" s="10"/>
      <c r="AT47" s="10"/>
      <c r="AU47" s="230">
        <f>+AU46/'Income Statement'!AU$13</f>
        <v>0.27153494448073151</v>
      </c>
      <c r="AV47" s="10"/>
      <c r="AW47" s="10"/>
      <c r="AX47" s="10"/>
      <c r="AY47" s="10"/>
      <c r="AZ47" s="230">
        <f>+BA46/'Income Statement'!BA$13</f>
        <v>0.18398413444280956</v>
      </c>
      <c r="BA47" s="10"/>
      <c r="BB47" s="10"/>
      <c r="BC47" s="10"/>
      <c r="BD47" s="10"/>
      <c r="BE47" s="230">
        <f>+BE46/'Income Statement'!BE$13</f>
        <v>0.21946064723330727</v>
      </c>
      <c r="BF47" s="230">
        <f>+BF46/'Income Statement'!BF$13</f>
        <v>0.24891393142940232</v>
      </c>
      <c r="BG47" s="230">
        <f>+BG46/'Income Statement'!BG$13</f>
        <v>0.26542774953110077</v>
      </c>
      <c r="BH47" s="230">
        <f>+BH46/'Income Statement'!BH$13</f>
        <v>0.28587665708596888</v>
      </c>
      <c r="BI47" s="230">
        <f>+BI46/'Income Statement'!BI$13</f>
        <v>0.30553469400752536</v>
      </c>
      <c r="BJ47" s="230">
        <f>+BJ46/'Income Statement'!BJ$13</f>
        <v>0.32441591502996869</v>
      </c>
      <c r="BL47" s="8" t="s">
        <v>248</v>
      </c>
    </row>
    <row r="48" spans="2:64">
      <c r="B48" s="12" t="s">
        <v>196</v>
      </c>
      <c r="R48" s="13">
        <f>R46-R42</f>
        <v>40.435000000000009</v>
      </c>
      <c r="S48" s="13">
        <f>S46-S42</f>
        <v>47.102000000000004</v>
      </c>
      <c r="T48" s="13">
        <f>T46-T42</f>
        <v>20.158999999999995</v>
      </c>
      <c r="U48" s="13">
        <f>U46-U42</f>
        <v>23.962000000000003</v>
      </c>
      <c r="V48" s="5">
        <f t="shared" si="65"/>
        <v>131.65800000000002</v>
      </c>
      <c r="W48" s="5"/>
      <c r="X48" s="5"/>
      <c r="Y48" s="5"/>
      <c r="Z48" s="5"/>
      <c r="AA48" s="5"/>
      <c r="AB48" s="13">
        <f>AB46-AB42</f>
        <v>15.474000000000014</v>
      </c>
      <c r="AC48" s="13">
        <f>AC46-AC42</f>
        <v>16.910999999999991</v>
      </c>
      <c r="AD48" s="13">
        <f>AD46-AD42</f>
        <v>1.6630000000000074</v>
      </c>
      <c r="AE48" s="13">
        <f>AE46-AE42</f>
        <v>17.339000000000013</v>
      </c>
      <c r="AF48" s="5">
        <f t="shared" si="74"/>
        <v>51.387000000000029</v>
      </c>
      <c r="AG48" s="13">
        <f>AG46-AG42</f>
        <v>-13.586000000000041</v>
      </c>
      <c r="AH48" s="13">
        <f>AH46-AH42</f>
        <v>-5.9859999999999935</v>
      </c>
      <c r="AI48" s="13">
        <f>AI46-AI42</f>
        <v>4.5590000000000046</v>
      </c>
      <c r="AJ48" s="13">
        <f>AJ46-AJ42</f>
        <v>51.984999999999992</v>
      </c>
      <c r="AK48" s="5">
        <f t="shared" ref="AK48" si="82">SUM(AG48:AJ48)</f>
        <v>36.971999999999966</v>
      </c>
      <c r="AL48" s="259">
        <f>AL46-AL42-AL43</f>
        <v>44.029000000000011</v>
      </c>
      <c r="AM48" s="259">
        <f>AM46-AM42-AM43</f>
        <v>49.093000000000004</v>
      </c>
      <c r="AN48" s="259">
        <f>AN46-AN42-AN43</f>
        <v>62.811000000000021</v>
      </c>
      <c r="AO48" s="259">
        <f>AO46-AO42-AO43</f>
        <v>90.125000000000014</v>
      </c>
      <c r="AP48" s="5">
        <f t="shared" ref="AP48" si="83">SUM(AL48:AO48)</f>
        <v>246.05800000000005</v>
      </c>
      <c r="AQ48" s="259">
        <f>AQ46-AQ42-AQ43</f>
        <v>111.07299999999999</v>
      </c>
      <c r="AR48" s="259">
        <f>AR46-AR42-AR43</f>
        <v>117.79599999999998</v>
      </c>
      <c r="AS48" s="259">
        <f t="shared" ref="AS48:AT48" si="84">AS46-AS42-AS43</f>
        <v>127.76100000000002</v>
      </c>
      <c r="AT48" s="259">
        <f t="shared" si="84"/>
        <v>131.77299999999997</v>
      </c>
      <c r="AU48" s="5">
        <f t="shared" ref="AU48" si="85">SUM(AQ48:AT48)</f>
        <v>488.40299999999996</v>
      </c>
      <c r="AV48" s="259">
        <f t="shared" ref="AV48:AW48" si="86">AV46-AV42-AV43</f>
        <v>142.44100000000003</v>
      </c>
      <c r="AW48" s="259">
        <f t="shared" si="86"/>
        <v>147.66499999999999</v>
      </c>
      <c r="AX48" s="259">
        <f t="shared" ref="AX48:BE48" si="87">AX46-AX42-AX43</f>
        <v>159.41000000000003</v>
      </c>
      <c r="AY48" s="317">
        <f t="shared" si="87"/>
        <v>155.56900000000002</v>
      </c>
      <c r="AZ48" s="5">
        <f>BA46-BA42-BA43</f>
        <v>99.686711435947089</v>
      </c>
      <c r="BA48" s="259">
        <f t="shared" si="87"/>
        <v>99.686711435947089</v>
      </c>
      <c r="BB48" s="259">
        <f t="shared" si="87"/>
        <v>114.31939792964747</v>
      </c>
      <c r="BC48" s="259">
        <f t="shared" si="87"/>
        <v>135.69804755206155</v>
      </c>
      <c r="BD48" s="259">
        <f t="shared" si="87"/>
        <v>156.01676974824289</v>
      </c>
      <c r="BE48" s="5">
        <f t="shared" si="87"/>
        <v>505.72092666589901</v>
      </c>
      <c r="BF48" s="5">
        <f t="shared" ref="BF48:BJ48" si="88">BF46-BF42</f>
        <v>640.95051221325764</v>
      </c>
      <c r="BG48" s="5">
        <f t="shared" si="88"/>
        <v>748.35542019353386</v>
      </c>
      <c r="BH48" s="5">
        <f t="shared" si="88"/>
        <v>867.98082682906727</v>
      </c>
      <c r="BI48" s="5">
        <f t="shared" si="88"/>
        <v>985.55213656827266</v>
      </c>
      <c r="BJ48" s="5">
        <f t="shared" si="88"/>
        <v>1100.1974878313274</v>
      </c>
    </row>
    <row r="49" spans="2:62">
      <c r="B49" s="12" t="s">
        <v>249</v>
      </c>
      <c r="AK49" s="230">
        <f>+AK48/'Income Statement'!AK$13</f>
        <v>2.6643298891808234E-2</v>
      </c>
      <c r="AL49" s="232">
        <f>+AL48/'Income Statement'!AL$13</f>
        <v>0.11770068114500799</v>
      </c>
      <c r="AM49" s="232">
        <f>+AM48/'Income Statement'!AM$13</f>
        <v>0.12588691127938317</v>
      </c>
      <c r="AN49" s="232">
        <f>+AN48/'Income Statement'!AN$13</f>
        <v>0.1594831416739243</v>
      </c>
      <c r="AO49" s="232">
        <f>+AO48/'Income Statement'!AO$13</f>
        <v>0.22320820465065597</v>
      </c>
      <c r="AP49" s="230">
        <f>+AP48/'Income Statement'!AP$13</f>
        <v>0.15756132076981944</v>
      </c>
      <c r="AQ49" s="232">
        <f>+AQ48/'Income Statement'!AQ$13</f>
        <v>0.26460064415307211</v>
      </c>
      <c r="AR49" s="232">
        <f>+AR48/'Income Statement'!AR$13</f>
        <v>0.27033179880021846</v>
      </c>
      <c r="AS49" s="232">
        <f>+AS48/'Income Statement'!AS$13</f>
        <v>0.2873144985191366</v>
      </c>
      <c r="AT49" s="232">
        <f>+AT48/'Income Statement'!AT$13</f>
        <v>0.28617997415599777</v>
      </c>
      <c r="AU49" s="230">
        <f>+AU48/'Income Statement'!AU$13</f>
        <v>0.27739925595660692</v>
      </c>
      <c r="AV49" s="232">
        <f>+AV48/'Income Statement'!AV$13</f>
        <v>0.30072986228256682</v>
      </c>
      <c r="AW49" s="232">
        <f>+AW48/'Income Statement'!AW$13</f>
        <v>0.30140020002857548</v>
      </c>
      <c r="AX49" s="232">
        <f>+AX48/'Income Statement'!AX$13</f>
        <v>0.31554214816486348</v>
      </c>
      <c r="AY49" s="232">
        <f>+AY48/'Income Statement'!AY$13</f>
        <v>0.29673507302548885</v>
      </c>
      <c r="AZ49" s="230">
        <f>+BA48/'Income Statement'!BA$13</f>
        <v>0.18398413444280956</v>
      </c>
      <c r="BA49" s="232">
        <f>+BA48/'Income Statement'!BA$13</f>
        <v>0.18398413444280956</v>
      </c>
      <c r="BB49" s="232">
        <f>+BB48/'Income Statement'!BB$13</f>
        <v>0.20293095719094814</v>
      </c>
      <c r="BC49" s="232">
        <f>+BC48/'Income Statement'!BC$13</f>
        <v>0.23136115349194572</v>
      </c>
      <c r="BD49" s="232">
        <f>+BD48/'Income Statement'!BD$13</f>
        <v>0.25463944081965362</v>
      </c>
      <c r="BE49" s="230">
        <f>+BE48/'Income Statement'!BE$13</f>
        <v>0.21946064723330727</v>
      </c>
      <c r="BF49" s="230">
        <f>+BF48/'Income Statement'!BF$13</f>
        <v>0.24891393142940232</v>
      </c>
      <c r="BG49" s="230">
        <f>+BG48/'Income Statement'!BG$13</f>
        <v>0.26542774953110077</v>
      </c>
      <c r="BH49" s="230">
        <f>+BH48/'Income Statement'!BH$13</f>
        <v>0.28587665708596888</v>
      </c>
      <c r="BI49" s="230">
        <f>+BI48/'Income Statement'!BI$13</f>
        <v>0.30553469400752536</v>
      </c>
      <c r="BJ49" s="230">
        <f>+BJ48/'Income Statement'!BJ$13</f>
        <v>0.32441591502996869</v>
      </c>
    </row>
    <row r="50" spans="2:62">
      <c r="AG50" s="168"/>
      <c r="AH50" s="168"/>
      <c r="AI50" s="168"/>
      <c r="AJ50" s="168"/>
      <c r="AK50" s="168"/>
      <c r="AL50" s="168"/>
      <c r="AM50" s="168"/>
      <c r="AN50" s="168"/>
      <c r="AO50" s="168"/>
      <c r="AP50" s="247"/>
      <c r="AQ50" s="168"/>
      <c r="AR50" s="168"/>
      <c r="AS50" s="168"/>
      <c r="AT50" s="168"/>
      <c r="AU50" s="247"/>
      <c r="AV50" s="168"/>
      <c r="AW50" s="168"/>
      <c r="AX50" s="168"/>
      <c r="AY50" s="168"/>
      <c r="AZ50" s="247"/>
      <c r="BA50" s="168"/>
      <c r="BB50" s="168"/>
      <c r="BC50" s="168"/>
      <c r="BD50" s="168"/>
      <c r="BE50" s="247"/>
      <c r="BF50" s="247"/>
      <c r="BG50" s="247"/>
      <c r="BH50" s="247"/>
      <c r="BI50" s="247"/>
      <c r="BJ50" s="247"/>
    </row>
    <row r="51" spans="2:62">
      <c r="AL51" s="232"/>
      <c r="AM51" s="232"/>
      <c r="AN51" s="232"/>
      <c r="AO51" s="232"/>
      <c r="AP51" s="232"/>
      <c r="AQ51" s="232"/>
      <c r="AR51" s="232"/>
      <c r="AS51" s="232"/>
      <c r="AT51" s="232"/>
      <c r="AU51" s="232"/>
      <c r="AV51" s="232"/>
      <c r="AW51" s="232"/>
      <c r="AX51" s="232"/>
      <c r="AY51" s="232"/>
      <c r="AZ51" s="232"/>
      <c r="BA51" s="232"/>
      <c r="BB51" s="232"/>
      <c r="BC51" s="232"/>
      <c r="BD51" s="232"/>
      <c r="BE51" s="232"/>
      <c r="BF51" s="232"/>
      <c r="BG51" s="232"/>
      <c r="BH51" s="232"/>
      <c r="BI51" s="232"/>
      <c r="BJ51" s="232"/>
    </row>
    <row r="52" spans="2:62">
      <c r="B52" s="231" t="s">
        <v>257</v>
      </c>
      <c r="C52" s="9"/>
      <c r="D52" s="9"/>
      <c r="E52" s="9"/>
      <c r="F52" s="9"/>
      <c r="G52" s="9"/>
      <c r="H52" s="9">
        <v>21.88</v>
      </c>
      <c r="I52" s="9">
        <v>13.763</v>
      </c>
      <c r="J52" s="9">
        <v>7.1769999999999996</v>
      </c>
      <c r="K52" s="9">
        <v>11.861000000000001</v>
      </c>
      <c r="L52" s="233">
        <v>54.680999999999997</v>
      </c>
      <c r="M52" s="9">
        <v>26.088999999999999</v>
      </c>
      <c r="N52" s="9">
        <v>14.144</v>
      </c>
      <c r="O52" s="9">
        <v>9.0690000000000008</v>
      </c>
      <c r="P52" s="9">
        <v>22.094999999999999</v>
      </c>
      <c r="Q52" s="233">
        <v>71.397000000000006</v>
      </c>
      <c r="R52" s="9">
        <v>32.871000000000002</v>
      </c>
      <c r="S52" s="9">
        <v>29.792000000000002</v>
      </c>
      <c r="T52" s="9">
        <v>26.760999999999999</v>
      </c>
      <c r="U52" s="9">
        <v>23.847000000000001</v>
      </c>
      <c r="V52" s="233">
        <v>117.664</v>
      </c>
      <c r="W52" s="233"/>
      <c r="X52" s="233"/>
      <c r="Y52" s="233"/>
      <c r="Z52" s="233"/>
      <c r="AA52" s="233"/>
      <c r="AB52" s="9">
        <v>46.997</v>
      </c>
      <c r="AC52" s="9">
        <v>21.81</v>
      </c>
      <c r="AD52" s="9">
        <v>5.3360000000000003</v>
      </c>
      <c r="AE52" s="9">
        <v>11.593</v>
      </c>
      <c r="AF52" s="233">
        <v>82.361000000000004</v>
      </c>
      <c r="AG52" s="9">
        <v>37.552199999999999</v>
      </c>
      <c r="AH52" s="208">
        <f>'Balance Sheet'!AH24+'Balance Sheet'!AH30-('Balance Sheet'!AG24+'Balance Sheet'!AG30)</f>
        <v>7.7310000000001082</v>
      </c>
      <c r="AI52" s="208">
        <f>'Balance Sheet'!AI24+'Balance Sheet'!AI30-('Balance Sheet'!AH24+'Balance Sheet'!AH30)</f>
        <v>6.0229999999999109</v>
      </c>
      <c r="AJ52" s="208">
        <f>'Balance Sheet'!AJ24+'Balance Sheet'!AJ30-('Balance Sheet'!AI24+'Balance Sheet'!AI30)</f>
        <v>4.0810000000000173</v>
      </c>
      <c r="AK52" s="239">
        <f>'Balance Sheet'!AJ24+'Balance Sheet'!AJ30-('Balance Sheet'!AE24+'Balance Sheet'!AE30)</f>
        <v>55.386999999999944</v>
      </c>
      <c r="AL52" s="208">
        <f>'Balance Sheet'!AL24+'Balance Sheet'!AL30-('Balance Sheet'!AJ24+'Balance Sheet'!AJ30)</f>
        <v>60.975000000000023</v>
      </c>
      <c r="AM52" s="208">
        <f>'Balance Sheet'!AM24+'Balance Sheet'!AM30-('Balance Sheet'!AL24+'Balance Sheet'!AL30)</f>
        <v>12.043000000000006</v>
      </c>
      <c r="AN52" s="208">
        <f>'Balance Sheet'!AN24+'Balance Sheet'!AN30-('Balance Sheet'!AM24+'Balance Sheet'!AM30)</f>
        <v>0.38699999999994361</v>
      </c>
      <c r="AO52" s="208">
        <f>'Balance Sheet'!AO24+'Balance Sheet'!AO30-('Balance Sheet'!AN24+'Balance Sheet'!AN30)</f>
        <v>2.7880000000000109</v>
      </c>
      <c r="AP52" s="239">
        <f>'Balance Sheet'!AO24+'Balance Sheet'!AO30-('Balance Sheet'!AJ24+'Balance Sheet'!AJ30)</f>
        <v>76.192999999999984</v>
      </c>
      <c r="AQ52" s="208">
        <f>'Balance Sheet'!AQ24+'Balance Sheet'!AQ30-('Balance Sheet'!AO24+'Balance Sheet'!AO30)</f>
        <v>41.319000000000074</v>
      </c>
      <c r="AR52" s="208">
        <f>'Balance Sheet'!AR24+'Balance Sheet'!AR30-('Balance Sheet'!AQ24+'Balance Sheet'!AQ30)</f>
        <v>25.426000000000045</v>
      </c>
      <c r="AS52" s="208">
        <f>'Balance Sheet'!AS24+'Balance Sheet'!AS30-('Balance Sheet'!AR24+'Balance Sheet'!AR30)</f>
        <v>6.0960000000000036</v>
      </c>
      <c r="AT52" s="208">
        <f>'Balance Sheet'!AT24+'Balance Sheet'!AT30-('Balance Sheet'!AS24+'Balance Sheet'!AS30)</f>
        <v>1.6089999999999236</v>
      </c>
      <c r="AU52" s="239">
        <f>'Balance Sheet'!AT24+'Balance Sheet'!AT30-('Balance Sheet'!AO24+'Balance Sheet'!AO30)</f>
        <v>74.450000000000045</v>
      </c>
      <c r="AV52" s="208">
        <f>'Balance Sheet'!AV24+'Balance Sheet'!AV30-('Balance Sheet'!AT24+'Balance Sheet'!AT30)</f>
        <v>44.361999999999966</v>
      </c>
      <c r="AW52" s="208">
        <f>'Balance Sheet'!AW24+'Balance Sheet'!AW30-('Balance Sheet'!AV24+'Balance Sheet'!AV30)</f>
        <v>26.232000000000085</v>
      </c>
      <c r="AX52" s="208">
        <f>'Balance Sheet'!AX24+'Balance Sheet'!AX30-('Balance Sheet'!AW24+'Balance Sheet'!AW30)</f>
        <v>18.315999999999917</v>
      </c>
      <c r="AY52" s="208">
        <f>'Balance Sheet'!AY24+'Balance Sheet'!AY30-('Balance Sheet'!AX24+'Balance Sheet'!AX30)</f>
        <v>14.985000000000014</v>
      </c>
      <c r="AZ52" s="239">
        <f>'Balance Sheet'!BA24+'Balance Sheet'!BA30-('Balance Sheet'!AT24+'Balance Sheet'!AT30)</f>
        <v>138.8673</v>
      </c>
      <c r="BA52" s="208">
        <f>'Balance Sheet'!BA24+'Balance Sheet'!BA30-('Balance Sheet'!AY24+'Balance Sheet'!AY30)</f>
        <v>34.972300000000018</v>
      </c>
      <c r="BB52" s="208">
        <f>'Balance Sheet'!BB24+'Balance Sheet'!BB30-('Balance Sheet'!BA24+'Balance Sheet'!BA30)</f>
        <v>21.356499999999983</v>
      </c>
      <c r="BC52" s="208">
        <f>'Balance Sheet'!BC24+'Balance Sheet'!BC30-('Balance Sheet'!BB24+'Balance Sheet'!BB30)</f>
        <v>11.193599999999947</v>
      </c>
      <c r="BD52" s="208">
        <f>'Balance Sheet'!BD24+'Balance Sheet'!BD30-('Balance Sheet'!BC24+'Balance Sheet'!BC30)</f>
        <v>0</v>
      </c>
      <c r="BE52" s="239">
        <f>'Balance Sheet'!BE24+'Balance Sheet'!BE30-('Balance Sheet'!AY24+'Balance Sheet'!AY30)</f>
        <v>113.61536999999998</v>
      </c>
      <c r="BF52" s="239">
        <f>'Balance Sheet'!BE24+'Balance Sheet'!BE30-('Balance Sheet'!BD24+'Balance Sheet'!BD30)</f>
        <v>46.092970000000037</v>
      </c>
      <c r="BG52" s="239">
        <f>'Balance Sheet'!BF24+'Balance Sheet'!BF30-('Balance Sheet'!BE24+'Balance Sheet'!BE30)</f>
        <v>48.397618500000021</v>
      </c>
      <c r="BH52" s="239">
        <f>'Balance Sheet'!BG24+'Balance Sheet'!BG30-('Balance Sheet'!BF24+'Balance Sheet'!BF30)</f>
        <v>50.817499424999937</v>
      </c>
      <c r="BI52" s="239">
        <f>'Balance Sheet'!BH24+'Balance Sheet'!BH30-('Balance Sheet'!BG24+'Balance Sheet'!BG30)</f>
        <v>53.358374396250156</v>
      </c>
      <c r="BJ52" s="239">
        <f>'Balance Sheet'!BI24+'Balance Sheet'!BI30-('Balance Sheet'!BH24+'Balance Sheet'!BH30)</f>
        <v>56.026293116062561</v>
      </c>
    </row>
    <row r="53" spans="2:62">
      <c r="B53" s="8" t="s">
        <v>258</v>
      </c>
      <c r="H53" s="31">
        <f t="shared" ref="H53:AF53" si="89">H15-H52</f>
        <v>5.0010000000000012</v>
      </c>
      <c r="I53" s="31">
        <f t="shared" si="89"/>
        <v>-0.69899999999999807</v>
      </c>
      <c r="J53" s="31">
        <f t="shared" si="89"/>
        <v>-0.55100000000000193</v>
      </c>
      <c r="K53" s="31">
        <f t="shared" si="89"/>
        <v>1.2219999999999978</v>
      </c>
      <c r="L53" s="234">
        <f t="shared" si="89"/>
        <v>4.972999999999999</v>
      </c>
      <c r="M53" s="31">
        <f t="shared" si="89"/>
        <v>5.639999999999997</v>
      </c>
      <c r="N53" s="31">
        <f t="shared" si="89"/>
        <v>2.8390000000000004</v>
      </c>
      <c r="O53" s="31">
        <f t="shared" si="89"/>
        <v>7.1270000000000007</v>
      </c>
      <c r="P53" s="31">
        <f t="shared" si="89"/>
        <v>0.63899999999999935</v>
      </c>
      <c r="Q53" s="234">
        <f t="shared" si="89"/>
        <v>16.24499999999999</v>
      </c>
      <c r="R53" s="31">
        <f t="shared" si="89"/>
        <v>12.360000000000007</v>
      </c>
      <c r="S53" s="31">
        <f t="shared" si="89"/>
        <v>32.917999999999999</v>
      </c>
      <c r="T53" s="31">
        <f t="shared" si="89"/>
        <v>4.0509999999999984</v>
      </c>
      <c r="U53" s="31">
        <f t="shared" si="89"/>
        <v>6.3409999999999975</v>
      </c>
      <c r="V53" s="234">
        <f t="shared" si="89"/>
        <v>51.276999999999973</v>
      </c>
      <c r="W53" s="234"/>
      <c r="X53" s="234"/>
      <c r="Y53" s="234"/>
      <c r="Z53" s="234"/>
      <c r="AA53" s="234"/>
      <c r="AB53" s="31">
        <f t="shared" si="89"/>
        <v>-29.452999999999996</v>
      </c>
      <c r="AC53" s="31">
        <f t="shared" si="89"/>
        <v>-55.435000000000002</v>
      </c>
      <c r="AD53" s="31">
        <f t="shared" si="89"/>
        <v>9.3179999999999996</v>
      </c>
      <c r="AE53" s="31">
        <f t="shared" si="89"/>
        <v>30.574000000000002</v>
      </c>
      <c r="AF53" s="234">
        <f t="shared" si="89"/>
        <v>-41.620999999999995</v>
      </c>
      <c r="AG53" s="31">
        <f>AG15-AG52</f>
        <v>-8.9832000000000036</v>
      </c>
      <c r="AH53" s="31">
        <f t="shared" ref="AH53" si="90">AH15-AH52</f>
        <v>-8.5270000000001112</v>
      </c>
      <c r="AI53" s="31">
        <f t="shared" ref="AI53" si="91">AI15-AI52</f>
        <v>-15.262999999999913</v>
      </c>
      <c r="AJ53" s="31">
        <f t="shared" ref="AJ53" si="92">AJ15-AJ52</f>
        <v>25.873999999999981</v>
      </c>
      <c r="AK53" s="234">
        <f t="shared" ref="AK53" si="93">AK15-AK52</f>
        <v>-6.8989999999999583</v>
      </c>
      <c r="AL53" s="31">
        <f t="shared" ref="AL53" si="94">AL15-AL52</f>
        <v>-70.191000000000017</v>
      </c>
      <c r="AM53" s="31">
        <f t="shared" ref="AM53" si="95">AM15-AM52</f>
        <v>-48.277999999999999</v>
      </c>
      <c r="AN53" s="31">
        <f t="shared" ref="AN53" si="96">AN15-AN52</f>
        <v>-13.671999999999944</v>
      </c>
      <c r="AO53" s="31">
        <f t="shared" ref="AO53" si="97">AO15-AO52</f>
        <v>22.551999999999985</v>
      </c>
      <c r="AP53" s="234">
        <f t="shared" ref="AP53:AT53" si="98">AP15-AP52</f>
        <v>-109.58899999999997</v>
      </c>
      <c r="AQ53" s="31">
        <f t="shared" ref="AQ53" si="99">AQ15-AQ52</f>
        <v>-13.366000000000071</v>
      </c>
      <c r="AR53" s="31">
        <f t="shared" si="98"/>
        <v>-18.103000000000051</v>
      </c>
      <c r="AS53" s="31">
        <f t="shared" si="98"/>
        <v>38.025999999999996</v>
      </c>
      <c r="AT53" s="31">
        <f t="shared" si="98"/>
        <v>22.251000000000076</v>
      </c>
      <c r="AU53" s="234">
        <f t="shared" ref="AU53:AY53" si="100">AU15-AU52</f>
        <v>28.80799999999995</v>
      </c>
      <c r="AV53" s="31">
        <f t="shared" si="100"/>
        <v>-4.6239999999999526</v>
      </c>
      <c r="AW53" s="31">
        <f t="shared" si="100"/>
        <v>87.920999999999907</v>
      </c>
      <c r="AX53" s="31">
        <f t="shared" si="100"/>
        <v>51.181000000000083</v>
      </c>
      <c r="AY53" s="31">
        <f t="shared" si="100"/>
        <v>153.09199999999998</v>
      </c>
      <c r="AZ53" s="234">
        <f>BA15-BA52</f>
        <v>2.5276999999999816</v>
      </c>
      <c r="BA53" s="31">
        <f t="shared" ref="BA53:BD53" si="101">BA15-BA52</f>
        <v>2.5276999999999816</v>
      </c>
      <c r="BB53" s="31">
        <f t="shared" si="101"/>
        <v>16.143500000000017</v>
      </c>
      <c r="BC53" s="31">
        <f t="shared" si="101"/>
        <v>26.306400000000053</v>
      </c>
      <c r="BD53" s="31">
        <f t="shared" si="101"/>
        <v>37.5</v>
      </c>
      <c r="BE53" s="234">
        <f t="shared" ref="BE53" si="102">BE15-BE52</f>
        <v>36.384630000000016</v>
      </c>
      <c r="BF53" s="234">
        <f t="shared" ref="BF53" si="103">BF15-BF52</f>
        <v>73.907029999999963</v>
      </c>
      <c r="BG53" s="234">
        <f t="shared" ref="BG53" si="104">BG15-BG52</f>
        <v>47.602381499999979</v>
      </c>
      <c r="BH53" s="234">
        <f t="shared" ref="BH53" si="105">BH15-BH52</f>
        <v>25.982500575000074</v>
      </c>
      <c r="BI53" s="234">
        <f t="shared" ref="BI53" si="106">BI15-BI52</f>
        <v>8.0816256037498562</v>
      </c>
      <c r="BJ53" s="234">
        <f t="shared" ref="BJ53" si="107">BJ15-BJ52</f>
        <v>-6.874293116062546</v>
      </c>
    </row>
    <row r="54" spans="2:62">
      <c r="B54" s="8" t="s">
        <v>259</v>
      </c>
      <c r="H54" s="235">
        <f>H53/'Income Statement'!M13</f>
        <v>3.6298312465977145E-2</v>
      </c>
      <c r="I54" s="235">
        <f>I53/'Income Statement'!N13</f>
        <v>-4.7833465633810397E-3</v>
      </c>
      <c r="J54" s="235">
        <f>J53/'Income Statement'!O13</f>
        <v>-3.5411311053984693E-3</v>
      </c>
      <c r="K54" s="235">
        <f>K53/'Income Statement'!P13</f>
        <v>7.4422797006035296E-3</v>
      </c>
      <c r="L54" s="236">
        <f>L53/'Income Statement'!Q13</f>
        <v>8.2374806196414112E-3</v>
      </c>
      <c r="M54" s="235">
        <f>M53/'Income Statement'!R13</f>
        <v>3.2359860003442521E-2</v>
      </c>
      <c r="N54" s="235">
        <f>N53/'Income Statement'!S13</f>
        <v>1.5311267993031999E-2</v>
      </c>
      <c r="O54" s="235">
        <f>O53/'Income Statement'!T13</f>
        <v>3.621608711780519E-2</v>
      </c>
      <c r="P54" s="235">
        <f>P53/'Income Statement'!U13</f>
        <v>3.1233503431286262E-3</v>
      </c>
      <c r="Q54" s="236">
        <f>Q53/'Income Statement'!V13</f>
        <v>2.1344443743693226E-2</v>
      </c>
      <c r="R54" s="235">
        <f>R53/'Income Statement'!W13</f>
        <v>5.7225666359549447E-2</v>
      </c>
      <c r="S54" s="235">
        <f>S53/'Income Statement'!X13</f>
        <v>0.13944818880025756</v>
      </c>
      <c r="T54" s="235">
        <f>T53/'Income Statement'!Y13</f>
        <v>1.5937524588874021E-2</v>
      </c>
      <c r="U54" s="235">
        <f>U53/'Income Statement'!Z13</f>
        <v>2.244331655659141E-2</v>
      </c>
      <c r="V54" s="236">
        <f>V53/'Income Statement'!AA13</f>
        <v>5.1859905335976349E-2</v>
      </c>
      <c r="W54" s="236"/>
      <c r="X54" s="236"/>
      <c r="Y54" s="236"/>
      <c r="Z54" s="236"/>
      <c r="AA54" s="236"/>
      <c r="AB54" s="235">
        <f>AB53/'Income Statement'!AB13</f>
        <v>-9.684918714157939E-2</v>
      </c>
      <c r="AC54" s="235">
        <f>AC53/'Income Statement'!AC13</f>
        <v>-0.17520211373994171</v>
      </c>
      <c r="AD54" s="235">
        <f>AD53/'Income Statement'!AD13</f>
        <v>2.9046406294323198E-2</v>
      </c>
      <c r="AE54" s="235">
        <f>AE53/'Income Statement'!AE13</f>
        <v>9.3116323833076498E-2</v>
      </c>
      <c r="AF54" s="236">
        <f>AF53/'Income Statement'!AF13</f>
        <v>-3.2781294475594587E-2</v>
      </c>
      <c r="AG54" s="235">
        <f>AG53/'Income Statement'!AG13</f>
        <v>-2.6297654838889111E-2</v>
      </c>
      <c r="AH54" s="235">
        <f>AH53/'Income Statement'!AH13</f>
        <v>-2.4699904989224707E-2</v>
      </c>
      <c r="AI54" s="235">
        <f>AI53/'Income Statement'!AI13</f>
        <v>-4.4137591995488543E-2</v>
      </c>
      <c r="AJ54" s="235">
        <f>AJ53/'Income Statement'!AJ13</f>
        <v>7.2876295628661519E-2</v>
      </c>
      <c r="AK54" s="236">
        <f>AK53/'Income Statement'!AK13</f>
        <v>-4.9716574449470974E-3</v>
      </c>
      <c r="AL54" s="235">
        <f>AL53/'Income Statement'!AL13</f>
        <v>-0.18763834087190842</v>
      </c>
      <c r="AM54" s="235">
        <f>AM53/'Income Statement'!AM13</f>
        <v>-0.12379704444108243</v>
      </c>
      <c r="AN54" s="235">
        <f>AN53/'Income Statement'!AN13</f>
        <v>-3.4714516771996676E-2</v>
      </c>
      <c r="AO54" s="235">
        <f>AO53/'Income Statement'!AO13</f>
        <v>5.5853441678575193E-2</v>
      </c>
      <c r="AP54" s="236">
        <f>AP53/'Income Statement'!AP13</f>
        <v>-7.0174461232082402E-2</v>
      </c>
      <c r="AQ54" s="235">
        <f>AQ53/'Income Statement'!AQ13</f>
        <v>-3.1840791279158578E-2</v>
      </c>
      <c r="AR54" s="235">
        <f>AR53/'Income Statement'!AR13</f>
        <v>-4.1544844932598468E-2</v>
      </c>
      <c r="AS54" s="235">
        <f>AS53/'Income Statement'!AS13</f>
        <v>8.5514524155952787E-2</v>
      </c>
      <c r="AT54" s="235">
        <f>AT53/'Income Statement'!AT13</f>
        <v>4.832394045020702E-2</v>
      </c>
      <c r="AU54" s="236">
        <f>AU53/'Income Statement'!AU13</f>
        <v>1.6362138982762019E-2</v>
      </c>
      <c r="AV54" s="235">
        <f>AV53/'Income Statement'!AV13</f>
        <v>-9.7624622348521442E-3</v>
      </c>
      <c r="AW54" s="235">
        <f>AW53/'Income Statement'!AW13</f>
        <v>0.17945624885187661</v>
      </c>
      <c r="AX54" s="235">
        <f>AX53/'Income Statement'!AX13</f>
        <v>0.10130959591760806</v>
      </c>
      <c r="AY54" s="235">
        <f>AY53/'Income Statement'!AY13</f>
        <v>0.29201039924161065</v>
      </c>
      <c r="AZ54" s="5">
        <f>BA53/'Income Statement'!BA13</f>
        <v>4.6651824494170907E-3</v>
      </c>
      <c r="BA54" s="235">
        <f>BA53/'Income Statement'!BA13</f>
        <v>4.6651824494170907E-3</v>
      </c>
      <c r="BB54" s="235">
        <f>BB53/'Income Statement'!BB13</f>
        <v>2.865669314868283E-2</v>
      </c>
      <c r="BC54" s="235">
        <f>BC53/'Income Statement'!BC13</f>
        <v>4.4851633151799679E-2</v>
      </c>
      <c r="BD54" s="235">
        <f>BD53/'Income Statement'!BD13</f>
        <v>6.1204824623312989E-2</v>
      </c>
      <c r="BE54" s="236">
        <f>BE53/'Income Statement'!BE13</f>
        <v>1.5789329703612687E-2</v>
      </c>
      <c r="BF54" s="236">
        <f>BF53/'Income Statement'!BF13</f>
        <v>2.8701887348597476E-2</v>
      </c>
      <c r="BG54" s="236">
        <f>BG53/'Income Statement'!BG13</f>
        <v>1.6883679402760702E-2</v>
      </c>
      <c r="BH54" s="236">
        <f>BH53/'Income Statement'!BH13</f>
        <v>8.5575512471291627E-3</v>
      </c>
      <c r="BI54" s="236">
        <f>BI53/'Income Statement'!BI13</f>
        <v>2.5054148982143103E-3</v>
      </c>
      <c r="BJ54" s="236">
        <f>BJ53/'Income Statement'!BJ13</f>
        <v>-2.0270270711375679E-3</v>
      </c>
    </row>
    <row r="55" spans="2:62">
      <c r="V55" s="1"/>
      <c r="W55" s="1"/>
      <c r="X55" s="1"/>
      <c r="Y55" s="1"/>
      <c r="Z55" s="1"/>
      <c r="AA55" s="1"/>
      <c r="AF55" s="1"/>
      <c r="AK55" s="1"/>
      <c r="AP55" s="1"/>
      <c r="AU55" s="1"/>
      <c r="AZ55" s="1"/>
      <c r="BE55" s="1"/>
      <c r="BF55" s="1"/>
      <c r="BG55" s="1"/>
      <c r="BH55" s="1"/>
      <c r="BI55" s="1"/>
      <c r="BJ55" s="1"/>
    </row>
    <row r="56" spans="2:62">
      <c r="B56" s="12" t="s">
        <v>260</v>
      </c>
      <c r="H56" s="237"/>
      <c r="I56" s="237"/>
      <c r="J56" s="237"/>
      <c r="K56" s="237"/>
      <c r="L56" s="237"/>
      <c r="M56" s="237"/>
      <c r="N56" s="237"/>
      <c r="O56" s="237"/>
      <c r="P56" s="237"/>
      <c r="Q56" s="237"/>
      <c r="R56" s="238">
        <f>R46/'Income Statement'!W43</f>
        <v>1.2388601196936333</v>
      </c>
      <c r="S56" s="238">
        <f>S46/'Income Statement'!X43</f>
        <v>2.8606261103963782</v>
      </c>
      <c r="T56" s="238">
        <f>T46/'Income Statement'!Y43</f>
        <v>0.88211197086936677</v>
      </c>
      <c r="U56" s="238">
        <f>U46/'Income Statement'!Z43</f>
        <v>1.1586738010701607</v>
      </c>
      <c r="V56" s="236">
        <f>V46/'Income Statement'!AA43</f>
        <v>1.4269651752283559</v>
      </c>
      <c r="W56" s="236"/>
      <c r="X56" s="236"/>
      <c r="Y56" s="236"/>
      <c r="Z56" s="236"/>
      <c r="AA56" s="236"/>
      <c r="AB56" s="238">
        <f>AB46/'Income Statement'!AB43</f>
        <v>1.0337546783419227</v>
      </c>
      <c r="AC56" s="238">
        <f>AC46/'Income Statement'!AC43</f>
        <v>1.1903567672518394</v>
      </c>
      <c r="AD56" s="238">
        <f>AD46/'Income Statement'!AD43</f>
        <v>-0.19277348506653044</v>
      </c>
      <c r="AE56" s="238">
        <f>AE46/'Income Statement'!AE43</f>
        <v>2.8368766911480017</v>
      </c>
      <c r="AF56" s="236">
        <f>AF46/'Income Statement'!AF43</f>
        <v>0.37677042382465448</v>
      </c>
      <c r="AG56" s="238">
        <f>AG46/'Income Statement'!AG43</f>
        <v>-8.0004764173415861</v>
      </c>
      <c r="AH56" s="238">
        <f>AH46/'Income Statement'!AH43</f>
        <v>-34.163440860218316</v>
      </c>
      <c r="AI56" s="238">
        <f>AI46/'Income Statement'!AI43</f>
        <v>-3.0808122104115339</v>
      </c>
      <c r="AJ56" s="238">
        <f>AJ46/'Income Statement'!AJ43</f>
        <v>0.7324133480126036</v>
      </c>
      <c r="AK56" s="236">
        <f>AK46/'Income Statement'!AK43</f>
        <v>-0.51781766461048606</v>
      </c>
      <c r="AL56" s="238">
        <f>AL46/'Income Statement'!AL43</f>
        <v>0.26550615790981164</v>
      </c>
      <c r="AM56" s="238">
        <f>AM46/'Income Statement'!AM43</f>
        <v>0.38895707012406283</v>
      </c>
      <c r="AN56" s="238">
        <f>AN46/'Income Statement'!AN43</f>
        <v>0.77008291189321321</v>
      </c>
      <c r="AO56" s="238">
        <f>AO46/'Income Statement'!AO43</f>
        <v>1.3586506447633067</v>
      </c>
      <c r="AP56" s="236">
        <f>AP46/'Income Statement'!AP43</f>
        <v>0.6199939428793112</v>
      </c>
      <c r="AQ56" s="238">
        <f>AQ46/'Income Statement'!AQ43</f>
        <v>0.93245889492625789</v>
      </c>
      <c r="AR56" s="238">
        <f>AR46/'Income Statement'!AR43</f>
        <v>0.96153288963501415</v>
      </c>
      <c r="AS56" s="238">
        <f>AS46/'Income Statement'!AS43</f>
        <v>1.2682629024092438</v>
      </c>
      <c r="AT56" s="238">
        <f>AT46/'Income Statement'!AT43</f>
        <v>1.1875828008543696</v>
      </c>
      <c r="AU56" s="236">
        <f>AU46/'Income Statement'!AU43</f>
        <v>1.0806196048470764</v>
      </c>
      <c r="AV56" s="238">
        <f>AV46/'Income Statement'!AV43</f>
        <v>0.9945052643337895</v>
      </c>
      <c r="AW56" s="238">
        <f>AW46/'Income Statement'!AW43</f>
        <v>1.0838116348369866</v>
      </c>
      <c r="AX56" s="238">
        <f>AX46/'Income Statement'!AX43</f>
        <v>1.2068648366756742</v>
      </c>
      <c r="AY56" s="238">
        <f>AY46/'Income Statement'!AY43</f>
        <v>1.6895533086438526</v>
      </c>
      <c r="AZ56" s="5">
        <f>BA46/'Income Statement'!BA43</f>
        <v>1.2289595426962465</v>
      </c>
      <c r="BA56" s="238">
        <f>BA46/'Income Statement'!BA43</f>
        <v>1.2289595426962465</v>
      </c>
      <c r="BB56" s="238">
        <f>BB46/'Income Statement'!BB43</f>
        <v>1.3668440084983873</v>
      </c>
      <c r="BC56" s="238">
        <f>BC46/'Income Statement'!BC43</f>
        <v>1.3550696732594723</v>
      </c>
      <c r="BD56" s="238">
        <f>BD46/'Income Statement'!BD43</f>
        <v>1.3630448883140964</v>
      </c>
      <c r="BE56" s="236">
        <f>BE46/'Income Statement'!BE43</f>
        <v>1.3331067359578725</v>
      </c>
      <c r="BF56" s="236">
        <f>BF46/'Income Statement'!BF43</f>
        <v>1.0868653548746912</v>
      </c>
      <c r="BG56" s="236">
        <f>BG46/'Income Statement'!BG43</f>
        <v>1.0142730238298909</v>
      </c>
      <c r="BH56" s="236">
        <f>BH46/'Income Statement'!BH43</f>
        <v>0.98851983535036547</v>
      </c>
      <c r="BI56" s="236">
        <f>BI46/'Income Statement'!BI43</f>
        <v>0.97762023266478693</v>
      </c>
      <c r="BJ56" s="236">
        <f>BJ46/'Income Statement'!BJ43</f>
        <v>0.97540543378855216</v>
      </c>
    </row>
    <row r="59" spans="2:62">
      <c r="B59" s="8" t="s">
        <v>277</v>
      </c>
      <c r="AJ59" s="10">
        <f>AJ30</f>
        <v>-231.87299999999999</v>
      </c>
      <c r="AK59" s="10"/>
      <c r="AL59" s="10">
        <f t="shared" ref="AL59:AU59" si="108">AL30</f>
        <v>-18.318999999999999</v>
      </c>
      <c r="AM59" s="10">
        <f t="shared" si="108"/>
        <v>-50</v>
      </c>
      <c r="AN59" s="10">
        <f t="shared" si="108"/>
        <v>0</v>
      </c>
      <c r="AO59" s="10">
        <f t="shared" si="108"/>
        <v>-58.698</v>
      </c>
      <c r="AP59" s="10">
        <f t="shared" si="108"/>
        <v>-127.017</v>
      </c>
      <c r="AQ59" s="10">
        <f t="shared" si="108"/>
        <v>-241.30199999999999</v>
      </c>
      <c r="AR59" s="10">
        <f t="shared" si="108"/>
        <v>-225</v>
      </c>
      <c r="AS59" s="10">
        <f t="shared" si="108"/>
        <v>0</v>
      </c>
      <c r="AT59" s="10">
        <f t="shared" si="108"/>
        <v>0</v>
      </c>
      <c r="AU59" s="10">
        <f t="shared" si="108"/>
        <v>-466.30200000000002</v>
      </c>
      <c r="AV59" s="10">
        <f t="shared" ref="AV59:AY59" si="109">AV30</f>
        <v>-200</v>
      </c>
      <c r="AW59" s="10">
        <f t="shared" si="109"/>
        <v>-100</v>
      </c>
      <c r="AX59" s="10">
        <f t="shared" si="109"/>
        <v>-175</v>
      </c>
      <c r="AY59" s="10">
        <f t="shared" si="109"/>
        <v>-99.998999999999995</v>
      </c>
      <c r="AZ59" s="10">
        <f>BA30</f>
        <v>-400</v>
      </c>
      <c r="BA59" s="10">
        <f t="shared" ref="BA59:BJ59" si="110">BA30</f>
        <v>-400</v>
      </c>
      <c r="BB59" s="10">
        <f t="shared" si="110"/>
        <v>-400</v>
      </c>
      <c r="BC59" s="10">
        <f t="shared" si="110"/>
        <v>-400</v>
      </c>
      <c r="BD59" s="10">
        <f t="shared" si="110"/>
        <v>-400</v>
      </c>
      <c r="BE59" s="10">
        <f t="shared" ref="BE59" si="111">BE30</f>
        <v>-1600</v>
      </c>
      <c r="BF59" s="10">
        <f t="shared" si="110"/>
        <v>-400</v>
      </c>
      <c r="BG59" s="10">
        <f t="shared" si="110"/>
        <v>0</v>
      </c>
      <c r="BH59" s="10">
        <f t="shared" si="110"/>
        <v>0</v>
      </c>
      <c r="BI59" s="10">
        <f t="shared" si="110"/>
        <v>0</v>
      </c>
      <c r="BJ59" s="10">
        <f t="shared" si="110"/>
        <v>0</v>
      </c>
    </row>
    <row r="60" spans="2:62">
      <c r="B60" s="8" t="s">
        <v>279</v>
      </c>
      <c r="AJ60" s="251">
        <v>85</v>
      </c>
      <c r="AL60" s="253">
        <v>87.36</v>
      </c>
      <c r="AM60" s="253">
        <v>83.53</v>
      </c>
      <c r="AN60" s="253">
        <v>100</v>
      </c>
      <c r="AO60" s="253">
        <f>+AN60*1.05</f>
        <v>105</v>
      </c>
      <c r="AP60" s="252"/>
      <c r="AQ60" s="253">
        <v>125</v>
      </c>
      <c r="AR60" s="253">
        <v>160</v>
      </c>
      <c r="AS60" s="253">
        <f>+AR60+8</f>
        <v>168</v>
      </c>
      <c r="AT60" s="253">
        <v>220</v>
      </c>
      <c r="AU60" s="250">
        <f>AVERAGE(AQ60:AT60)</f>
        <v>168.25</v>
      </c>
      <c r="AV60" s="253">
        <f>+AT60*1.02</f>
        <v>224.4</v>
      </c>
      <c r="AW60" s="253">
        <f>+AV60*1.02</f>
        <v>228.88800000000001</v>
      </c>
      <c r="AX60" s="253">
        <v>175</v>
      </c>
      <c r="AY60" s="253">
        <f t="shared" ref="AY60" si="112">+AX60*1.02</f>
        <v>178.5</v>
      </c>
      <c r="AZ60" s="250">
        <f>+AVERAGE(AV60:AY60)</f>
        <v>201.697</v>
      </c>
      <c r="BA60" s="253">
        <v>85</v>
      </c>
      <c r="BB60" s="253">
        <v>95</v>
      </c>
      <c r="BC60" s="253">
        <v>105</v>
      </c>
      <c r="BD60" s="253">
        <v>115</v>
      </c>
      <c r="BE60" s="250">
        <f>+AVERAGE(BA60:BD60)</f>
        <v>100</v>
      </c>
      <c r="BF60" s="250">
        <f>+BD60*1.05</f>
        <v>120.75</v>
      </c>
      <c r="BG60" s="250">
        <f t="shared" ref="BG60:BJ60" si="113">BF60*1.1</f>
        <v>132.82500000000002</v>
      </c>
      <c r="BH60" s="250">
        <f t="shared" si="113"/>
        <v>146.10750000000004</v>
      </c>
      <c r="BI60" s="250">
        <f t="shared" si="113"/>
        <v>160.71825000000007</v>
      </c>
      <c r="BJ60" s="250">
        <f t="shared" si="113"/>
        <v>176.79007500000009</v>
      </c>
    </row>
    <row r="61" spans="2:62" s="281" customFormat="1">
      <c r="B61" s="281" t="s">
        <v>280</v>
      </c>
      <c r="AJ61" s="33">
        <f>-(AJ59)/AJ60</f>
        <v>2.7279176470588236</v>
      </c>
      <c r="AL61" s="33">
        <f>-(AL59)/AL60</f>
        <v>0.20969551282051282</v>
      </c>
      <c r="AM61" s="33">
        <f t="shared" ref="AM61:AO61" si="114">-(AM59)/AM60</f>
        <v>0.59858733389201479</v>
      </c>
      <c r="AN61" s="33">
        <f t="shared" si="114"/>
        <v>0</v>
      </c>
      <c r="AO61" s="33">
        <f t="shared" si="114"/>
        <v>0.55902857142857143</v>
      </c>
      <c r="AQ61" s="33">
        <f t="shared" ref="AQ61" si="115">-(AQ59)/AQ60</f>
        <v>1.9304159999999999</v>
      </c>
      <c r="AR61" s="33">
        <f t="shared" ref="AR61:AT61" si="116">-(AR59)/AR60</f>
        <v>1.40625</v>
      </c>
      <c r="AS61" s="33">
        <f t="shared" si="116"/>
        <v>0</v>
      </c>
      <c r="AT61" s="33">
        <f t="shared" si="116"/>
        <v>0</v>
      </c>
      <c r="AU61" s="33">
        <f>SUM(AQ61:AT61)</f>
        <v>3.3366660000000001</v>
      </c>
      <c r="AV61" s="33">
        <f t="shared" ref="AV61:AY61" si="117">-(AV59)/AV60</f>
        <v>0.89126559714795006</v>
      </c>
      <c r="AW61" s="33">
        <f t="shared" si="117"/>
        <v>0.43689490056272062</v>
      </c>
      <c r="AX61" s="33">
        <f t="shared" si="117"/>
        <v>1</v>
      </c>
      <c r="AY61" s="33">
        <f t="shared" si="117"/>
        <v>0.56021848739495794</v>
      </c>
      <c r="AZ61" s="33">
        <f>-(BA59)/BA60</f>
        <v>4.7058823529411766</v>
      </c>
      <c r="BA61" s="33">
        <f t="shared" ref="BA61:BD61" si="118">-(BA59)/BA60</f>
        <v>4.7058823529411766</v>
      </c>
      <c r="BB61" s="33">
        <f t="shared" si="118"/>
        <v>4.2105263157894735</v>
      </c>
      <c r="BC61" s="33">
        <f t="shared" si="118"/>
        <v>3.8095238095238093</v>
      </c>
      <c r="BD61" s="33">
        <f t="shared" si="118"/>
        <v>3.4782608695652173</v>
      </c>
      <c r="BE61" s="33">
        <f>-(BE59)/BE60</f>
        <v>16</v>
      </c>
      <c r="BF61" s="33">
        <f t="shared" ref="BF61:BJ61" si="119">-(BF59)/BF60</f>
        <v>3.3126293995859215</v>
      </c>
      <c r="BG61" s="33">
        <f t="shared" si="119"/>
        <v>0</v>
      </c>
      <c r="BH61" s="33">
        <f t="shared" si="119"/>
        <v>0</v>
      </c>
      <c r="BI61" s="33">
        <f t="shared" si="119"/>
        <v>0</v>
      </c>
      <c r="BJ61" s="33">
        <f t="shared" si="119"/>
        <v>0</v>
      </c>
    </row>
    <row r="62" spans="2:62">
      <c r="B62" s="8" t="s">
        <v>289</v>
      </c>
      <c r="AP62" s="257">
        <f>+AP59/AP46</f>
        <v>-0.69714100671251422</v>
      </c>
      <c r="AQ62" s="257"/>
      <c r="AR62" s="257"/>
      <c r="AS62" s="257"/>
      <c r="AT62" s="257"/>
      <c r="AU62" s="257">
        <f>+AU59/AU46</f>
        <v>-0.97536803617819701</v>
      </c>
      <c r="AV62" s="257"/>
      <c r="AW62" s="257"/>
      <c r="AX62" s="257"/>
      <c r="AY62" s="257"/>
      <c r="AZ62" s="257">
        <f>+BA59/BA46</f>
        <v>-4.0125709258351536</v>
      </c>
      <c r="BA62" s="257"/>
      <c r="BB62" s="257"/>
      <c r="BC62" s="257"/>
      <c r="BD62" s="257"/>
      <c r="BE62" s="257">
        <f t="shared" ref="BE62" si="120">+BE59/BE46</f>
        <v>-3.1638002614375274</v>
      </c>
    </row>
    <row r="64" spans="2:62">
      <c r="B64" s="8" t="s">
        <v>282</v>
      </c>
    </row>
    <row r="65" spans="2:62">
      <c r="B65" s="8" t="s">
        <v>283</v>
      </c>
      <c r="AK65" s="257">
        <f>+AK8/'Income Statement'!AK13</f>
        <v>0.17067219345289142</v>
      </c>
      <c r="AL65" s="257"/>
      <c r="AM65" s="257"/>
      <c r="AN65" s="257"/>
      <c r="AO65" s="257"/>
      <c r="AP65" s="257">
        <f>+AP8/'Income Statement'!AP13</f>
        <v>0.1438368664214156</v>
      </c>
      <c r="AQ65" s="257"/>
      <c r="AR65" s="257"/>
      <c r="AS65" s="257"/>
      <c r="AT65" s="257"/>
      <c r="AU65" s="257">
        <f>+AU8/'Income Statement'!AU13</f>
        <v>0.13672280123817906</v>
      </c>
      <c r="AV65" s="257"/>
      <c r="AW65" s="257"/>
      <c r="AX65" s="257"/>
      <c r="AY65" s="257"/>
      <c r="AZ65" s="257">
        <f>+BA8/'Income Statement'!BA13</f>
        <v>0.11233130718841976</v>
      </c>
      <c r="BA65" s="257"/>
      <c r="BB65" s="257"/>
      <c r="BC65" s="257"/>
      <c r="BD65" s="257"/>
      <c r="BE65" s="257">
        <f>+BE8/'Income Statement'!BE13</f>
        <v>0.10404085480605439</v>
      </c>
      <c r="BF65" s="257">
        <f>+BF8/'Income Statement'!BF13</f>
        <v>9.4038189728460425E-2</v>
      </c>
      <c r="BG65" s="257">
        <f>+BG8/'Income Statement'!BG13</f>
        <v>8.6743980072338883E-2</v>
      </c>
      <c r="BH65" s="257">
        <f>+BH8/'Income Statement'!BH13</f>
        <v>8.1356239375188877E-2</v>
      </c>
      <c r="BI65" s="257">
        <f>+BI8/'Income Statement'!BI13</f>
        <v>7.7343639545576909E-2</v>
      </c>
      <c r="BJ65" s="257">
        <f>+BJ8/'Income Statement'!BJ13</f>
        <v>7.4301323973241795E-2</v>
      </c>
    </row>
  </sheetData>
  <pageMargins left="0.7" right="0.7" top="0.75" bottom="0.75" header="0.3" footer="0.3"/>
  <pageSetup scale="64" orientation="landscape" r:id="rId1"/>
  <ignoredErrors>
    <ignoredError sqref="AK13 AB48:AF48 AK44 AK21:AK22 AK41:AK42 V48" formula="1"/>
    <ignoredError sqref="R44:U46 R41:U42" formulaRange="1"/>
    <ignoredError sqref="AB44:AF44 AB46:AF46 AB45:AE45 AB41:AF42 V41:V42 V44:V46" formula="1" formulaRange="1"/>
  </ignoredError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F7C1F-B0E0-44A5-8840-B5537B99D55D}">
  <dimension ref="B2:AA2194"/>
  <sheetViews>
    <sheetView topLeftCell="C1" workbookViewId="0">
      <selection activeCell="C14" sqref="C14"/>
    </sheetView>
  </sheetViews>
  <sheetFormatPr defaultRowHeight="14.25"/>
  <cols>
    <col min="2" max="2" width="10.46484375" bestFit="1" customWidth="1"/>
    <col min="7" max="7" width="20.53125" bestFit="1" customWidth="1"/>
  </cols>
  <sheetData>
    <row r="2" spans="2:27">
      <c r="C2" s="153" t="s">
        <v>269</v>
      </c>
      <c r="D2" s="153" t="s">
        <v>270</v>
      </c>
      <c r="E2" s="153" t="s">
        <v>271</v>
      </c>
    </row>
    <row r="3" spans="2:27">
      <c r="B3" s="244">
        <v>43466</v>
      </c>
      <c r="C3" s="245" t="e">
        <f ca="1">_xll.FDS("EURUSD","FG_PRICE("&amp;B3&amp;")")</f>
        <v>#NAME?</v>
      </c>
      <c r="D3" t="e">
        <f ca="1">_xll.FDS("GBPUSD","FG_PRICE("&amp;B3&amp;")")</f>
        <v>#NAME?</v>
      </c>
      <c r="E3" t="e">
        <f ca="1">_xll.FDSB("JPYUSD","FG_PRICE("&amp;B3&amp;")")</f>
        <v>#NAME?</v>
      </c>
    </row>
    <row r="4" spans="2:27">
      <c r="B4" s="244">
        <f>B3+1</f>
        <v>43467</v>
      </c>
      <c r="C4" s="245" t="e">
        <f ca="1">_xll.FDS("EURUSD","FG_PRICE("&amp;B4&amp;")")</f>
        <v>#NAME?</v>
      </c>
      <c r="D4" t="e">
        <f ca="1">_xll.FDS("GBPUSD","FG_PRICE("&amp;B4&amp;")")</f>
        <v>#NAME?</v>
      </c>
      <c r="E4" t="e">
        <f ca="1">_xll.FDSB("JPYUSD","FG_PRICE("&amp;B4&amp;")")</f>
        <v>#NAME?</v>
      </c>
    </row>
    <row r="5" spans="2:27">
      <c r="B5" s="244">
        <f t="shared" ref="B5:B16" si="0">B4+1</f>
        <v>43468</v>
      </c>
      <c r="C5" s="245" t="e">
        <f ca="1">_xll.FDS("EURUSD","FG_PRICE("&amp;B5&amp;")")</f>
        <v>#NAME?</v>
      </c>
      <c r="D5" t="e">
        <f ca="1">_xll.FDS("GBPUSD","FG_PRICE("&amp;B5&amp;")")</f>
        <v>#NAME?</v>
      </c>
      <c r="E5" t="e">
        <f ca="1">_xll.FDSB("JPYUSD","FG_PRICE("&amp;B5&amp;")")</f>
        <v>#NAME?</v>
      </c>
    </row>
    <row r="6" spans="2:27">
      <c r="B6" s="244">
        <f t="shared" si="0"/>
        <v>43469</v>
      </c>
      <c r="C6" s="245" t="e">
        <f ca="1">_xll.FDS("EURUSD","FG_PRICE("&amp;B6&amp;")")</f>
        <v>#NAME?</v>
      </c>
      <c r="D6" t="e">
        <f ca="1">_xll.FDS("GBPUSD","FG_PRICE("&amp;B6&amp;")")</f>
        <v>#NAME?</v>
      </c>
      <c r="E6" t="e">
        <f ca="1">_xll.FDSB("JPYUSD","FG_PRICE("&amp;B6&amp;")")</f>
        <v>#NAME?</v>
      </c>
      <c r="H6" s="153" t="str">
        <f>'Income Statement'!R3</f>
        <v>1Q19</v>
      </c>
      <c r="I6" s="153" t="str">
        <f>'Income Statement'!S3</f>
        <v>2Q19</v>
      </c>
      <c r="J6" s="153" t="str">
        <f>'Income Statement'!T3</f>
        <v>3Q19</v>
      </c>
      <c r="K6" s="153" t="str">
        <f>'Income Statement'!U3</f>
        <v>4Q19</v>
      </c>
      <c r="L6" s="153" t="str">
        <f>'Income Statement'!W3</f>
        <v>1Q20</v>
      </c>
      <c r="M6" s="153" t="str">
        <f>'Income Statement'!X3</f>
        <v>2Q20</v>
      </c>
      <c r="N6" s="153" t="str">
        <f>'Income Statement'!Y3</f>
        <v>3Q20</v>
      </c>
      <c r="O6" s="153" t="str">
        <f>'Income Statement'!Z3</f>
        <v>4Q20</v>
      </c>
      <c r="P6" s="153" t="str">
        <f>'Income Statement'!AB3</f>
        <v>1Q21</v>
      </c>
      <c r="Q6" s="153" t="str">
        <f>'Income Statement'!AC3</f>
        <v>2Q21</v>
      </c>
      <c r="R6" s="153" t="str">
        <f>'Income Statement'!AD3</f>
        <v>3Q21</v>
      </c>
      <c r="S6" s="153" t="str">
        <f>'Income Statement'!AE3</f>
        <v>4Q21</v>
      </c>
      <c r="T6" s="153" t="str">
        <f>'Income Statement'!AG3</f>
        <v>1Q22</v>
      </c>
      <c r="U6" s="153" t="str">
        <f>'Income Statement'!AH3</f>
        <v>2Q22</v>
      </c>
      <c r="V6" s="153" t="str">
        <f>'Income Statement'!AI3</f>
        <v>3Q22</v>
      </c>
      <c r="W6" s="153" t="str">
        <f>'Income Statement'!AJ3</f>
        <v>4Q22</v>
      </c>
      <c r="X6" s="153" t="str">
        <f>'Income Statement'!AL3</f>
        <v>1Q23</v>
      </c>
      <c r="Y6" s="153" t="str">
        <f>'Income Statement'!AM3</f>
        <v>2Q23</v>
      </c>
      <c r="Z6" s="153" t="str">
        <f>'Income Statement'!AN3</f>
        <v>3Q23</v>
      </c>
      <c r="AA6" s="153" t="str">
        <f>'Income Statement'!AO3</f>
        <v>4Q23</v>
      </c>
    </row>
    <row r="7" spans="2:27">
      <c r="B7" s="244">
        <f t="shared" si="0"/>
        <v>43470</v>
      </c>
      <c r="C7" s="245" t="e">
        <f ca="1">_xll.FDS("EURUSD","FG_PRICE("&amp;B7&amp;")")</f>
        <v>#NAME?</v>
      </c>
      <c r="D7" t="e">
        <f ca="1">_xll.FDS("GBPUSD","FG_PRICE("&amp;B7&amp;")")</f>
        <v>#NAME?</v>
      </c>
      <c r="E7" t="e">
        <f ca="1">_xll.FDSB("JPYUSD","FG_PRICE("&amp;B7&amp;")")</f>
        <v>#NAME?</v>
      </c>
      <c r="G7" t="s">
        <v>269</v>
      </c>
      <c r="H7" s="245" t="e">
        <f ca="1">AVERAGE(C3:C92)</f>
        <v>#NAME?</v>
      </c>
      <c r="I7" s="245" t="e">
        <f ca="1">AVERAGE(C93:C182)</f>
        <v>#NAME?</v>
      </c>
      <c r="J7" s="245" t="e">
        <f ca="1">AVERAGE(C184:C273)</f>
        <v>#NAME?</v>
      </c>
      <c r="K7" s="245" t="e">
        <f ca="1">AVERAGE(C276:C367)</f>
        <v>#NAME?</v>
      </c>
      <c r="L7" s="245" t="e">
        <f ca="1">AVERAGE(C368:C458)</f>
        <v>#NAME?</v>
      </c>
      <c r="M7" s="245" t="e">
        <f ca="1">AVERAGE(C459:C549)</f>
        <v>#NAME?</v>
      </c>
      <c r="N7" s="245" t="e">
        <f ca="1">AVERAGE(C550:C641)</f>
        <v>#NAME?</v>
      </c>
      <c r="O7" s="245" t="e">
        <f ca="1">AVERAGE(C642:C733)</f>
        <v>#NAME?</v>
      </c>
      <c r="P7" s="245" t="e">
        <f ca="1">AVERAGE(C734:C823)</f>
        <v>#NAME?</v>
      </c>
      <c r="Q7" s="245" t="e">
        <f ca="1">AVERAGE(C824:C914)</f>
        <v>#NAME?</v>
      </c>
      <c r="R7" s="245" t="e">
        <f ca="1">AVERAGE(C915:C1006)</f>
        <v>#NAME?</v>
      </c>
      <c r="S7" s="245" t="e">
        <f ca="1">AVERAGE(C1007:C1098)</f>
        <v>#NAME?</v>
      </c>
      <c r="T7" s="245" t="e">
        <f ca="1">AVERAGE(C1099:C1189)</f>
        <v>#NAME?</v>
      </c>
      <c r="U7" s="245" t="e">
        <f ca="1">AVERAGE(C1189:C1279)</f>
        <v>#NAME?</v>
      </c>
      <c r="V7" s="245" t="e">
        <f ca="1">AVERAGE(C1280:C1371)</f>
        <v>#NAME?</v>
      </c>
      <c r="W7" s="245" t="e">
        <f ca="1">AVERAGE(C1372:C1463)</f>
        <v>#NAME?</v>
      </c>
      <c r="X7" s="245" t="e">
        <f ca="1">AVERAGE(C1464:C1553)</f>
        <v>#NAME?</v>
      </c>
      <c r="Y7" s="245" t="e">
        <f ca="1">C1554</f>
        <v>#NAME?</v>
      </c>
      <c r="Z7" s="245" t="e">
        <f ca="1">Y7</f>
        <v>#NAME?</v>
      </c>
      <c r="AA7" s="245" t="e">
        <f ca="1">Z7</f>
        <v>#NAME?</v>
      </c>
    </row>
    <row r="8" spans="2:27">
      <c r="B8" s="244">
        <f t="shared" si="0"/>
        <v>43471</v>
      </c>
      <c r="C8" s="245" t="e">
        <f ca="1">_xll.FDS("EURUSD","FG_PRICE("&amp;B8&amp;")")</f>
        <v>#NAME?</v>
      </c>
      <c r="D8" t="e">
        <f ca="1">_xll.FDS("GBPUSD","FG_PRICE("&amp;B8&amp;")")</f>
        <v>#NAME?</v>
      </c>
      <c r="E8" t="e">
        <f ca="1">_xll.FDSB("JPYUSD","FG_PRICE("&amp;B8&amp;")")</f>
        <v>#NAME?</v>
      </c>
      <c r="G8" t="s">
        <v>84</v>
      </c>
      <c r="L8" s="39" t="e">
        <f ca="1">L7/H7-1</f>
        <v>#NAME?</v>
      </c>
      <c r="M8" s="39" t="e">
        <f t="shared" ref="M8:AA8" ca="1" si="1">M7/I7-1</f>
        <v>#NAME?</v>
      </c>
      <c r="N8" s="39" t="e">
        <f t="shared" ca="1" si="1"/>
        <v>#NAME?</v>
      </c>
      <c r="O8" s="39" t="e">
        <f t="shared" ca="1" si="1"/>
        <v>#NAME?</v>
      </c>
      <c r="P8" s="39" t="e">
        <f t="shared" ca="1" si="1"/>
        <v>#NAME?</v>
      </c>
      <c r="Q8" s="39" t="e">
        <f t="shared" ca="1" si="1"/>
        <v>#NAME?</v>
      </c>
      <c r="R8" s="39" t="e">
        <f t="shared" ca="1" si="1"/>
        <v>#NAME?</v>
      </c>
      <c r="S8" s="39" t="e">
        <f t="shared" ca="1" si="1"/>
        <v>#NAME?</v>
      </c>
      <c r="T8" s="39" t="e">
        <f t="shared" ca="1" si="1"/>
        <v>#NAME?</v>
      </c>
      <c r="U8" s="39" t="e">
        <f t="shared" ca="1" si="1"/>
        <v>#NAME?</v>
      </c>
      <c r="V8" s="39" t="e">
        <f ca="1">V7/R7-1</f>
        <v>#NAME?</v>
      </c>
      <c r="W8" s="39" t="e">
        <f ca="1">W7/S7-1</f>
        <v>#NAME?</v>
      </c>
      <c r="X8" s="39" t="e">
        <f t="shared" ca="1" si="1"/>
        <v>#NAME?</v>
      </c>
      <c r="Y8" s="39" t="e">
        <f t="shared" ca="1" si="1"/>
        <v>#NAME?</v>
      </c>
      <c r="Z8" s="39" t="e">
        <f t="shared" ca="1" si="1"/>
        <v>#NAME?</v>
      </c>
      <c r="AA8" s="39" t="e">
        <f t="shared" ca="1" si="1"/>
        <v>#NAME?</v>
      </c>
    </row>
    <row r="9" spans="2:27">
      <c r="B9" s="244">
        <f t="shared" si="0"/>
        <v>43472</v>
      </c>
      <c r="C9" s="245" t="e">
        <f ca="1">_xll.FDS("EURUSD","FG_PRICE("&amp;B9&amp;")")</f>
        <v>#NAME?</v>
      </c>
      <c r="D9" t="e">
        <f ca="1">_xll.FDS("GBPUSD","FG_PRICE("&amp;B9&amp;")")</f>
        <v>#NAME?</v>
      </c>
      <c r="E9" t="e">
        <f ca="1">_xll.FDSB("JPYUSD","FG_PRICE("&amp;B9&amp;")")</f>
        <v>#NAME?</v>
      </c>
    </row>
    <row r="10" spans="2:27">
      <c r="B10" s="244">
        <f t="shared" si="0"/>
        <v>43473</v>
      </c>
      <c r="C10" s="245" t="e">
        <f ca="1">_xll.FDS("EURUSD","FG_PRICE("&amp;B10&amp;")")</f>
        <v>#NAME?</v>
      </c>
      <c r="D10" t="e">
        <f ca="1">_xll.FDS("GBPUSD","FG_PRICE("&amp;B10&amp;")")</f>
        <v>#NAME?</v>
      </c>
      <c r="E10" t="e">
        <f ca="1">_xll.FDSB("JPYUSD","FG_PRICE("&amp;B10&amp;")")</f>
        <v>#NAME?</v>
      </c>
      <c r="G10" t="s">
        <v>270</v>
      </c>
      <c r="H10" s="245" t="e">
        <f ca="1">AVERAGE(D3:D92)</f>
        <v>#NAME?</v>
      </c>
      <c r="I10" s="245" t="e">
        <f ca="1">AVERAGE(D93:D182)</f>
        <v>#NAME?</v>
      </c>
      <c r="J10" s="245" t="e">
        <f ca="1">AVERAGE(D184:D273)</f>
        <v>#NAME?</v>
      </c>
      <c r="K10" s="245" t="e">
        <f ca="1">AVERAGE(D276:D367)</f>
        <v>#NAME?</v>
      </c>
      <c r="L10" s="245" t="e">
        <f ca="1">AVERAGE(D368:D458)</f>
        <v>#NAME?</v>
      </c>
      <c r="M10" s="245" t="e">
        <f ca="1">AVERAGE(D459:D549)</f>
        <v>#NAME?</v>
      </c>
      <c r="N10" s="245" t="e">
        <f ca="1">AVERAGE(D550:D641)</f>
        <v>#NAME?</v>
      </c>
      <c r="O10" s="245" t="e">
        <f ca="1">AVERAGE(D642:D733)</f>
        <v>#NAME?</v>
      </c>
      <c r="P10" s="245" t="e">
        <f ca="1">AVERAGE(D734:D823)</f>
        <v>#NAME?</v>
      </c>
      <c r="Q10" s="245" t="e">
        <f ca="1">AVERAGE(D824:D914)</f>
        <v>#NAME?</v>
      </c>
      <c r="R10" s="245" t="e">
        <f ca="1">AVERAGE(D915:D1006)</f>
        <v>#NAME?</v>
      </c>
      <c r="S10" s="245" t="e">
        <f ca="1">AVERAGE(D1007:D1098)</f>
        <v>#NAME?</v>
      </c>
      <c r="T10" s="245" t="e">
        <f ca="1">AVERAGE(D1099:D1188)</f>
        <v>#NAME?</v>
      </c>
      <c r="U10" s="245" t="e">
        <f ca="1">AVERAGE(D1189:D1279)</f>
        <v>#NAME?</v>
      </c>
      <c r="V10" s="245" t="e">
        <f ca="1">AVERAGE(D1280:D1371)</f>
        <v>#NAME?</v>
      </c>
      <c r="W10" s="245" t="e">
        <f ca="1">AVERAGE(D1372:D1463)</f>
        <v>#NAME?</v>
      </c>
      <c r="X10" s="245" t="e">
        <f ca="1">AVERAGE(D1464:D1553)</f>
        <v>#NAME?</v>
      </c>
      <c r="Y10" s="245" t="e">
        <f ca="1">D1554</f>
        <v>#NAME?</v>
      </c>
      <c r="Z10" s="245" t="e">
        <f ca="1">Y10</f>
        <v>#NAME?</v>
      </c>
      <c r="AA10" s="245" t="e">
        <f ca="1">Z10</f>
        <v>#NAME?</v>
      </c>
    </row>
    <row r="11" spans="2:27">
      <c r="B11" s="244">
        <f t="shared" si="0"/>
        <v>43474</v>
      </c>
      <c r="C11" s="245" t="e">
        <f ca="1">_xll.FDS("EURUSD","FG_PRICE("&amp;B11&amp;")")</f>
        <v>#NAME?</v>
      </c>
      <c r="D11" t="e">
        <f ca="1">_xll.FDS("GBPUSD","FG_PRICE("&amp;B11&amp;")")</f>
        <v>#NAME?</v>
      </c>
      <c r="E11" t="e">
        <f ca="1">_xll.FDSB("JPYUSD","FG_PRICE("&amp;B11&amp;")")</f>
        <v>#NAME?</v>
      </c>
      <c r="G11" t="s">
        <v>84</v>
      </c>
      <c r="L11" s="39" t="e">
        <f ca="1">L10/H10-1</f>
        <v>#NAME?</v>
      </c>
      <c r="M11" s="39" t="e">
        <f t="shared" ref="M11" ca="1" si="2">M10/I10-1</f>
        <v>#NAME?</v>
      </c>
      <c r="N11" s="39" t="e">
        <f t="shared" ref="N11" ca="1" si="3">N10/J10-1</f>
        <v>#NAME?</v>
      </c>
      <c r="O11" s="39" t="e">
        <f t="shared" ref="O11" ca="1" si="4">O10/K10-1</f>
        <v>#NAME?</v>
      </c>
      <c r="P11" s="39" t="e">
        <f t="shared" ref="P11" ca="1" si="5">P10/L10-1</f>
        <v>#NAME?</v>
      </c>
      <c r="Q11" s="39" t="e">
        <f t="shared" ref="Q11" ca="1" si="6">Q10/M10-1</f>
        <v>#NAME?</v>
      </c>
      <c r="R11" s="39" t="e">
        <f t="shared" ref="R11" ca="1" si="7">R10/N10-1</f>
        <v>#NAME?</v>
      </c>
      <c r="S11" s="39" t="e">
        <f t="shared" ref="S11" ca="1" si="8">S10/O10-1</f>
        <v>#NAME?</v>
      </c>
      <c r="T11" s="39" t="e">
        <f t="shared" ref="T11" ca="1" si="9">T10/P10-1</f>
        <v>#NAME?</v>
      </c>
      <c r="U11" s="39" t="e">
        <f t="shared" ref="U11" ca="1" si="10">U10/Q10-1</f>
        <v>#NAME?</v>
      </c>
      <c r="V11" s="39" t="e">
        <f t="shared" ref="V11" ca="1" si="11">V10/R10-1</f>
        <v>#NAME?</v>
      </c>
      <c r="W11" s="39" t="e">
        <f t="shared" ref="W11" ca="1" si="12">W10/S10-1</f>
        <v>#NAME?</v>
      </c>
      <c r="X11" s="39" t="e">
        <f t="shared" ref="X11" ca="1" si="13">X10/T10-1</f>
        <v>#NAME?</v>
      </c>
      <c r="Y11" s="39" t="e">
        <f t="shared" ref="Y11" ca="1" si="14">Y10/U10-1</f>
        <v>#NAME?</v>
      </c>
      <c r="Z11" s="39" t="e">
        <f t="shared" ref="Z11" ca="1" si="15">Z10/V10-1</f>
        <v>#NAME?</v>
      </c>
      <c r="AA11" s="39" t="e">
        <f t="shared" ref="AA11" ca="1" si="16">AA10/W10-1</f>
        <v>#NAME?</v>
      </c>
    </row>
    <row r="12" spans="2:27">
      <c r="B12" s="244">
        <f t="shared" si="0"/>
        <v>43475</v>
      </c>
      <c r="C12" s="245" t="e">
        <f ca="1">_xll.FDS("EURUSD","FG_PRICE("&amp;B12&amp;")")</f>
        <v>#NAME?</v>
      </c>
      <c r="D12" t="e">
        <f ca="1">_xll.FDS("GBPUSD","FG_PRICE("&amp;B12&amp;")")</f>
        <v>#NAME?</v>
      </c>
      <c r="E12" t="e">
        <f ca="1">_xll.FDSB("JPYUSD","FG_PRICE("&amp;B12&amp;")")</f>
        <v>#NAME?</v>
      </c>
    </row>
    <row r="13" spans="2:27">
      <c r="B13" s="244">
        <f t="shared" si="0"/>
        <v>43476</v>
      </c>
      <c r="C13" s="245" t="e">
        <f ca="1">_xll.FDS("EURUSD","FG_PRICE("&amp;B13&amp;")")</f>
        <v>#NAME?</v>
      </c>
      <c r="D13" t="e">
        <f ca="1">_xll.FDS("GBPUSD","FG_PRICE("&amp;B13&amp;")")</f>
        <v>#NAME?</v>
      </c>
      <c r="E13" t="e">
        <f ca="1">_xll.FDSB("JPYUSD","FG_PRICE("&amp;B13&amp;")")</f>
        <v>#NAME?</v>
      </c>
      <c r="G13" t="s">
        <v>271</v>
      </c>
      <c r="H13" t="e">
        <f ca="1">AVERAGE(E3:E93)</f>
        <v>#NAME?</v>
      </c>
      <c r="I13" t="e">
        <f ca="1">AVERAGE(E94:E184)</f>
        <v>#NAME?</v>
      </c>
      <c r="J13" t="e">
        <f ca="1">AVERAGE(E185:E276)</f>
        <v>#NAME?</v>
      </c>
      <c r="K13" t="e">
        <f ca="1">AVERAGE(E277:E368)</f>
        <v>#NAME?</v>
      </c>
      <c r="L13" t="e">
        <f ca="1">AVERAGE(E369:E459)</f>
        <v>#NAME?</v>
      </c>
      <c r="M13" t="e">
        <f ca="1">AVERAGE(E460:E550)</f>
        <v>#NAME?</v>
      </c>
      <c r="N13" t="e">
        <f ca="1">AVERAGE(E551:E642)</f>
        <v>#NAME?</v>
      </c>
      <c r="O13" t="e">
        <f ca="1">AVERAGE(E643:E734)</f>
        <v>#NAME?</v>
      </c>
      <c r="P13" t="e">
        <f ca="1">AVERAGE(E735:E824)</f>
        <v>#NAME?</v>
      </c>
      <c r="Q13" t="e">
        <f ca="1">AVERAGE(E825:E915)</f>
        <v>#NAME?</v>
      </c>
      <c r="R13" t="e">
        <f ca="1">AVERAGE(E916:E1007)</f>
        <v>#NAME?</v>
      </c>
      <c r="S13" t="e">
        <f ca="1">AVERAGE(E1008:E1099)</f>
        <v>#NAME?</v>
      </c>
      <c r="T13" t="e">
        <f ca="1">AVERAGE(E1010:E1189)</f>
        <v>#NAME?</v>
      </c>
      <c r="U13" t="e">
        <f ca="1">AVERAGE(E1190:E1280)</f>
        <v>#NAME?</v>
      </c>
      <c r="V13" t="e">
        <f ca="1">AVERAGE(E1281:E1372)</f>
        <v>#NAME?</v>
      </c>
      <c r="W13" t="e">
        <f ca="1">AVERAGE(E1372:E1463)</f>
        <v>#NAME?</v>
      </c>
      <c r="X13" t="e">
        <f ca="1">AVERAGE(E1464:E1553)</f>
        <v>#NAME?</v>
      </c>
      <c r="Y13" s="245" t="e">
        <f ca="1">E1554</f>
        <v>#NAME?</v>
      </c>
      <c r="Z13" t="e">
        <f t="shared" ref="Z13:AA13" ca="1" si="17">Y13</f>
        <v>#NAME?</v>
      </c>
      <c r="AA13" t="e">
        <f t="shared" ca="1" si="17"/>
        <v>#NAME?</v>
      </c>
    </row>
    <row r="14" spans="2:27">
      <c r="B14" s="244">
        <f t="shared" si="0"/>
        <v>43477</v>
      </c>
      <c r="C14" s="245" t="e">
        <f ca="1">_xll.FDS("EURUSD","FG_PRICE("&amp;B14&amp;")")</f>
        <v>#NAME?</v>
      </c>
      <c r="D14" t="e">
        <f ca="1">_xll.FDS("GBPUSD","FG_PRICE("&amp;B14&amp;")")</f>
        <v>#NAME?</v>
      </c>
      <c r="E14" t="e">
        <f ca="1">_xll.FDSB("JPYUSD","FG_PRICE("&amp;B14&amp;")")</f>
        <v>#NAME?</v>
      </c>
      <c r="G14" t="s">
        <v>84</v>
      </c>
      <c r="L14" s="39" t="e">
        <f ca="1">L13/H13-1</f>
        <v>#NAME?</v>
      </c>
      <c r="M14" s="39" t="e">
        <f t="shared" ref="M14" ca="1" si="18">M13/I13-1</f>
        <v>#NAME?</v>
      </c>
      <c r="N14" s="39" t="e">
        <f t="shared" ref="N14" ca="1" si="19">N13/J13-1</f>
        <v>#NAME?</v>
      </c>
      <c r="O14" s="39" t="e">
        <f t="shared" ref="O14" ca="1" si="20">O13/K13-1</f>
        <v>#NAME?</v>
      </c>
      <c r="P14" s="39" t="e">
        <f t="shared" ref="P14" ca="1" si="21">P13/L13-1</f>
        <v>#NAME?</v>
      </c>
      <c r="Q14" s="39" t="e">
        <f t="shared" ref="Q14" ca="1" si="22">Q13/M13-1</f>
        <v>#NAME?</v>
      </c>
      <c r="R14" s="39" t="e">
        <f t="shared" ref="R14" ca="1" si="23">R13/N13-1</f>
        <v>#NAME?</v>
      </c>
      <c r="S14" s="39" t="e">
        <f t="shared" ref="S14" ca="1" si="24">S13/O13-1</f>
        <v>#NAME?</v>
      </c>
      <c r="T14" s="39" t="e">
        <f t="shared" ref="T14" ca="1" si="25">T13/P13-1</f>
        <v>#NAME?</v>
      </c>
      <c r="U14" s="39" t="e">
        <f t="shared" ref="U14" ca="1" si="26">U13/Q13-1</f>
        <v>#NAME?</v>
      </c>
      <c r="V14" s="39" t="e">
        <f t="shared" ref="V14" ca="1" si="27">V13/R13-1</f>
        <v>#NAME?</v>
      </c>
      <c r="W14" s="39" t="e">
        <f t="shared" ref="W14" ca="1" si="28">W13/S13-1</f>
        <v>#NAME?</v>
      </c>
      <c r="X14" s="39" t="e">
        <f t="shared" ref="X14" ca="1" si="29">X13/T13-1</f>
        <v>#NAME?</v>
      </c>
      <c r="Y14" s="39" t="e">
        <f t="shared" ref="Y14" ca="1" si="30">Y13/U13-1</f>
        <v>#NAME?</v>
      </c>
      <c r="Z14" s="39" t="e">
        <f t="shared" ref="Z14" ca="1" si="31">Z13/V13-1</f>
        <v>#NAME?</v>
      </c>
      <c r="AA14" s="39" t="e">
        <f t="shared" ref="AA14" ca="1" si="32">AA13/W13-1</f>
        <v>#NAME?</v>
      </c>
    </row>
    <row r="15" spans="2:27">
      <c r="B15" s="244">
        <f t="shared" si="0"/>
        <v>43478</v>
      </c>
      <c r="C15" s="245" t="e">
        <f ca="1">_xll.FDS("EURUSD","FG_PRICE("&amp;B15&amp;")")</f>
        <v>#NAME?</v>
      </c>
      <c r="D15" t="e">
        <f ca="1">_xll.FDS("GBPUSD","FG_PRICE("&amp;B15&amp;")")</f>
        <v>#NAME?</v>
      </c>
      <c r="E15" t="e">
        <f ca="1">_xll.FDSB("JPYUSD","FG_PRICE("&amp;B15&amp;")")</f>
        <v>#NAME?</v>
      </c>
    </row>
    <row r="16" spans="2:27">
      <c r="B16" s="244">
        <f t="shared" si="0"/>
        <v>43479</v>
      </c>
      <c r="C16" s="245" t="e">
        <f ca="1">_xll.FDS("EURUSD","FG_PRICE("&amp;B16&amp;")")</f>
        <v>#NAME?</v>
      </c>
      <c r="D16" t="e">
        <f ca="1">_xll.FDS("GBPUSD","FG_PRICE("&amp;B16&amp;")")</f>
        <v>#NAME?</v>
      </c>
      <c r="E16" t="e">
        <f ca="1">_xll.FDSB("JPYUSD","FG_PRICE("&amp;B16&amp;")")</f>
        <v>#NAME?</v>
      </c>
      <c r="G16" t="s">
        <v>203</v>
      </c>
      <c r="H16" s="221">
        <f>'Income Statement'!R4</f>
        <v>200.37899999999999</v>
      </c>
      <c r="I16" s="221">
        <f>'Income Statement'!S4</f>
        <v>199.56299999999999</v>
      </c>
      <c r="J16" s="221">
        <f>'Income Statement'!T4</f>
        <v>205.86</v>
      </c>
      <c r="K16" s="221">
        <f>'Income Statement'!U4</f>
        <v>226.68299999999999</v>
      </c>
      <c r="L16" s="221">
        <f>'Income Statement'!W4</f>
        <v>248.858</v>
      </c>
      <c r="M16" s="221">
        <f>'Income Statement'!X4</f>
        <v>265.851</v>
      </c>
      <c r="N16" s="221">
        <f>'Income Statement'!Y4</f>
        <v>280.94099999999997</v>
      </c>
      <c r="O16" s="221">
        <f>'Income Statement'!Z4</f>
        <v>306.38099999999997</v>
      </c>
      <c r="P16" s="221">
        <f>'Income Statement'!AB4</f>
        <v>351.10900000000004</v>
      </c>
      <c r="Q16" s="221">
        <f>'Income Statement'!AC4</f>
        <v>342.86099999999999</v>
      </c>
      <c r="R16" s="221">
        <f>'Income Statement'!AD4</f>
        <v>373.29700000000003</v>
      </c>
      <c r="S16" s="221">
        <f>'Income Statement'!AE4</f>
        <v>351.55600000000004</v>
      </c>
      <c r="T16" s="221">
        <f>'Income Statement'!AG4</f>
        <v>393.24799999999999</v>
      </c>
      <c r="U16" s="221">
        <f>'Income Statement'!AH4</f>
        <v>354.59399999999999</v>
      </c>
      <c r="V16" s="221">
        <f>'Income Statement'!AI4</f>
        <v>352.464</v>
      </c>
      <c r="W16" s="221">
        <f>'Income Statement'!AJ4</f>
        <v>371.81299999999999</v>
      </c>
      <c r="X16" s="221">
        <f>'Income Statement'!AL4</f>
        <v>414.90499999999997</v>
      </c>
      <c r="Y16" s="221">
        <f>'Income Statement'!AM4</f>
        <v>398.49599999999998</v>
      </c>
      <c r="Z16" s="221">
        <f>'Income Statement'!AN4</f>
        <v>389.09499999999997</v>
      </c>
      <c r="AA16" s="221">
        <f>'Income Statement'!AO4</f>
        <v>395.00399999999996</v>
      </c>
    </row>
    <row r="17" spans="2:27">
      <c r="B17" s="244">
        <f t="shared" ref="B17:B48" si="33">B16+1</f>
        <v>43480</v>
      </c>
      <c r="C17" s="245" t="e">
        <f ca="1">_xll.FDS("EURUSD","FG_PRICE("&amp;B17&amp;")")</f>
        <v>#NAME?</v>
      </c>
      <c r="D17" t="e">
        <f ca="1">_xll.FDS("GBPUSD","FG_PRICE("&amp;B17&amp;")")</f>
        <v>#NAME?</v>
      </c>
      <c r="E17" t="e">
        <f ca="1">_xll.FDSB("JPYUSD","FG_PRICE("&amp;B17&amp;")")</f>
        <v>#NAME?</v>
      </c>
      <c r="G17" t="str">
        <f>'Income Statement'!B13</f>
        <v>Revenue</v>
      </c>
      <c r="H17" s="221">
        <f>'Income Statement'!R13</f>
        <v>174.29</v>
      </c>
      <c r="I17" s="221">
        <f>'Income Statement'!S13</f>
        <v>185.41900000000001</v>
      </c>
      <c r="J17" s="221">
        <f>'Income Statement'!T13</f>
        <v>196.791</v>
      </c>
      <c r="K17" s="221">
        <f>'Income Statement'!U13</f>
        <v>204.58799999999999</v>
      </c>
      <c r="L17" s="221">
        <f>'Income Statement'!W13</f>
        <v>215.98699999999999</v>
      </c>
      <c r="M17" s="221">
        <f>'Income Statement'!X13</f>
        <v>236.05900000000003</v>
      </c>
      <c r="N17" s="221">
        <f>'Income Statement'!Y13</f>
        <v>254.18</v>
      </c>
      <c r="O17" s="221">
        <f>'Income Statement'!Z13</f>
        <v>282.53399999999999</v>
      </c>
      <c r="P17" s="221">
        <f>'Income Statement'!AB13</f>
        <v>304.11200000000002</v>
      </c>
      <c r="Q17" s="221">
        <f>'Income Statement'!AC13</f>
        <v>316.40600000000001</v>
      </c>
      <c r="R17" s="221">
        <f>'Income Statement'!AD13</f>
        <v>320.79700000000003</v>
      </c>
      <c r="S17" s="221">
        <f>'Income Statement'!AE13</f>
        <v>328.34199999999998</v>
      </c>
      <c r="T17" s="221">
        <f>'Income Statement'!AG13</f>
        <v>341.59699999999998</v>
      </c>
      <c r="U17" s="221">
        <f>'Income Statement'!AH13</f>
        <v>345.22400000000005</v>
      </c>
      <c r="V17" s="221">
        <f>'Income Statement'!AI13</f>
        <v>345.80499999999995</v>
      </c>
      <c r="W17" s="221">
        <f>'Income Statement'!AJ13</f>
        <v>355.03999999999996</v>
      </c>
      <c r="X17" s="221">
        <f>'Income Statement'!AL13</f>
        <v>374.07600000000002</v>
      </c>
      <c r="Y17" s="221">
        <f>'Income Statement'!AM13</f>
        <v>389.97699999999998</v>
      </c>
      <c r="Z17" s="221">
        <f>'Income Statement'!AN13</f>
        <v>393.84100000000001</v>
      </c>
      <c r="AA17" s="221">
        <f>'Income Statement'!AO13</f>
        <v>403.77100000000002</v>
      </c>
    </row>
    <row r="18" spans="2:27">
      <c r="B18" s="244">
        <f t="shared" si="33"/>
        <v>43481</v>
      </c>
      <c r="C18" s="245" t="e">
        <f ca="1">_xll.FDS("EURUSD","FG_PRICE("&amp;B18&amp;")")</f>
        <v>#NAME?</v>
      </c>
      <c r="D18" t="e">
        <f ca="1">_xll.FDS("GBPUSD","FG_PRICE("&amp;B18&amp;")")</f>
        <v>#NAME?</v>
      </c>
      <c r="E18" t="e">
        <f ca="1">_xll.FDSB("JPYUSD","FG_PRICE("&amp;B18&amp;")")</f>
        <v>#NAME?</v>
      </c>
    </row>
    <row r="19" spans="2:27">
      <c r="B19" s="244">
        <f t="shared" si="33"/>
        <v>43482</v>
      </c>
      <c r="C19" s="245" t="e">
        <f ca="1">_xll.FDS("EURUSD","FG_PRICE("&amp;B19&amp;")")</f>
        <v>#NAME?</v>
      </c>
      <c r="D19" t="e">
        <f ca="1">_xll.FDS("GBPUSD","FG_PRICE("&amp;B19&amp;")")</f>
        <v>#NAME?</v>
      </c>
      <c r="E19" t="e">
        <f ca="1">_xll.FDSB("JPYUSD","FG_PRICE("&amp;B19&amp;")")</f>
        <v>#NAME?</v>
      </c>
      <c r="G19" t="str">
        <f>'Income Statement'!B215</f>
        <v>Revenue by geography</v>
      </c>
    </row>
    <row r="20" spans="2:27">
      <c r="B20" s="244">
        <f t="shared" si="33"/>
        <v>43483</v>
      </c>
      <c r="C20" s="245" t="e">
        <f ca="1">_xll.FDS("EURUSD","FG_PRICE("&amp;B20&amp;")")</f>
        <v>#NAME?</v>
      </c>
      <c r="D20" t="e">
        <f ca="1">_xll.FDS("GBPUSD","FG_PRICE("&amp;B20&amp;")")</f>
        <v>#NAME?</v>
      </c>
      <c r="E20" t="e">
        <f ca="1">_xll.FDSB("JPYUSD","FG_PRICE("&amp;B20&amp;")")</f>
        <v>#NAME?</v>
      </c>
      <c r="G20" t="str">
        <f>'Income Statement'!B216</f>
        <v>North America</v>
      </c>
      <c r="H20" s="240">
        <f>'Income Statement'!R216</f>
        <v>0.53</v>
      </c>
      <c r="I20" s="240">
        <f>'Income Statement'!S216</f>
        <v>0.53</v>
      </c>
      <c r="J20" s="240">
        <f>'Income Statement'!T216</f>
        <v>0.55000000000000004</v>
      </c>
      <c r="K20" s="240">
        <f>'Income Statement'!U216</f>
        <v>0.55000000000000004</v>
      </c>
      <c r="L20" s="240">
        <f>'Income Statement'!W216</f>
        <v>0.56000000000000005</v>
      </c>
      <c r="M20" s="240">
        <f>'Income Statement'!X216</f>
        <v>0.56999999999999995</v>
      </c>
      <c r="N20" s="240">
        <f>'Income Statement'!Y216</f>
        <v>0.56999999999999995</v>
      </c>
      <c r="O20" s="240">
        <f>'Income Statement'!Z216</f>
        <v>0.56999999999999995</v>
      </c>
      <c r="P20" s="240">
        <f>'Income Statement'!AB216</f>
        <v>0.56999999999999995</v>
      </c>
      <c r="Q20" s="240">
        <f>'Income Statement'!AC216</f>
        <v>0.57999999999999996</v>
      </c>
      <c r="R20" s="240">
        <f>'Income Statement'!AD216</f>
        <v>0.57999999999999996</v>
      </c>
      <c r="S20" s="240">
        <f>'Income Statement'!AE216</f>
        <v>0.56000000000000005</v>
      </c>
      <c r="T20" s="240">
        <f>'Income Statement'!AG216</f>
        <v>0.57999999999999996</v>
      </c>
      <c r="U20" s="240">
        <f>'Income Statement'!AH216</f>
        <v>0.57999999999999996</v>
      </c>
      <c r="V20" s="240">
        <f>'Income Statement'!AI216</f>
        <v>0.59</v>
      </c>
      <c r="W20" s="246">
        <f t="shared" ref="W20:AA20" si="34">V20</f>
        <v>0.59</v>
      </c>
      <c r="X20" s="246">
        <f t="shared" si="34"/>
        <v>0.59</v>
      </c>
      <c r="Y20" s="246">
        <f t="shared" si="34"/>
        <v>0.59</v>
      </c>
      <c r="Z20" s="246">
        <f t="shared" si="34"/>
        <v>0.59</v>
      </c>
      <c r="AA20" s="246">
        <f t="shared" si="34"/>
        <v>0.59</v>
      </c>
    </row>
    <row r="21" spans="2:27">
      <c r="B21" s="244">
        <f t="shared" si="33"/>
        <v>43484</v>
      </c>
      <c r="C21" s="245" t="e">
        <f ca="1">_xll.FDS("EURUSD","FG_PRICE("&amp;B21&amp;")")</f>
        <v>#NAME?</v>
      </c>
      <c r="D21" t="e">
        <f ca="1">_xll.FDS("GBPUSD","FG_PRICE("&amp;B21&amp;")")</f>
        <v>#NAME?</v>
      </c>
      <c r="E21" t="e">
        <f ca="1">_xll.FDSB("JPYUSD","FG_PRICE("&amp;B21&amp;")")</f>
        <v>#NAME?</v>
      </c>
      <c r="G21" t="str">
        <f>'Income Statement'!B217</f>
        <v>Europe</v>
      </c>
      <c r="H21" s="240">
        <f>'Income Statement'!R217</f>
        <v>0.27</v>
      </c>
      <c r="I21" s="240">
        <f>'Income Statement'!S217</f>
        <v>0.27</v>
      </c>
      <c r="J21" s="240">
        <f>'Income Statement'!T217</f>
        <v>0.25</v>
      </c>
      <c r="K21" s="240">
        <f>'Income Statement'!U217</f>
        <v>0.26</v>
      </c>
      <c r="L21" s="240">
        <f>'Income Statement'!W217</f>
        <v>0.25</v>
      </c>
      <c r="M21" s="240">
        <f>'Income Statement'!X217</f>
        <v>0.25</v>
      </c>
      <c r="N21" s="240">
        <f>'Income Statement'!Y217</f>
        <v>0.25</v>
      </c>
      <c r="O21" s="240">
        <f>'Income Statement'!Z217</f>
        <v>0.26</v>
      </c>
      <c r="P21" s="240">
        <f>'Income Statement'!AB217</f>
        <v>0.27</v>
      </c>
      <c r="Q21" s="240">
        <f>'Income Statement'!AC217</f>
        <v>0.25</v>
      </c>
      <c r="R21" s="240">
        <f>'Income Statement'!AD217</f>
        <v>0.25</v>
      </c>
      <c r="S21" s="240">
        <f>'Income Statement'!AE217</f>
        <v>0.27</v>
      </c>
      <c r="T21" s="240">
        <f>'Income Statement'!AG217</f>
        <v>0.26</v>
      </c>
      <c r="U21" s="240">
        <f>'Income Statement'!AH217</f>
        <v>0.26</v>
      </c>
      <c r="V21" s="240">
        <f>'Income Statement'!AI217</f>
        <v>0.26</v>
      </c>
      <c r="W21" s="246">
        <f t="shared" ref="W21:AA21" si="35">V21</f>
        <v>0.26</v>
      </c>
      <c r="X21" s="246">
        <f t="shared" si="35"/>
        <v>0.26</v>
      </c>
      <c r="Y21" s="246">
        <f t="shared" si="35"/>
        <v>0.26</v>
      </c>
      <c r="Z21" s="246">
        <f t="shared" si="35"/>
        <v>0.26</v>
      </c>
      <c r="AA21" s="246">
        <f t="shared" si="35"/>
        <v>0.26</v>
      </c>
    </row>
    <row r="22" spans="2:27">
      <c r="B22" s="244">
        <f t="shared" si="33"/>
        <v>43485</v>
      </c>
      <c r="C22" s="245" t="e">
        <f ca="1">_xll.FDS("EURUSD","FG_PRICE("&amp;B22&amp;")")</f>
        <v>#NAME?</v>
      </c>
      <c r="D22" t="e">
        <f ca="1">_xll.FDS("GBPUSD","FG_PRICE("&amp;B22&amp;")")</f>
        <v>#NAME?</v>
      </c>
      <c r="E22" t="e">
        <f ca="1">_xll.FDSB("JPYUSD","FG_PRICE("&amp;B22&amp;")")</f>
        <v>#NAME?</v>
      </c>
      <c r="G22" t="str">
        <f>'Income Statement'!B218</f>
        <v>Latin America</v>
      </c>
      <c r="H22" s="240">
        <f>'Income Statement'!R218</f>
        <v>7.0000000000000007E-2</v>
      </c>
      <c r="I22" s="240">
        <f>'Income Statement'!S218</f>
        <v>7.0000000000000007E-2</v>
      </c>
      <c r="J22" s="240">
        <f>'Income Statement'!T218</f>
        <v>7.0000000000000007E-2</v>
      </c>
      <c r="K22" s="240">
        <f>'Income Statement'!U218</f>
        <v>0.06</v>
      </c>
      <c r="L22" s="240">
        <f>'Income Statement'!W218</f>
        <v>0.06</v>
      </c>
      <c r="M22" s="240">
        <f>'Income Statement'!X218</f>
        <v>0.05</v>
      </c>
      <c r="N22" s="240">
        <f>'Income Statement'!Y218</f>
        <v>0.06</v>
      </c>
      <c r="O22" s="240">
        <f>'Income Statement'!Z218</f>
        <v>0.05</v>
      </c>
      <c r="P22" s="240">
        <f>'Income Statement'!AB218</f>
        <v>0.04</v>
      </c>
      <c r="Q22" s="240">
        <f>'Income Statement'!AC218</f>
        <v>0.05</v>
      </c>
      <c r="R22" s="240">
        <f>'Income Statement'!AD218</f>
        <v>0.04</v>
      </c>
      <c r="S22" s="240">
        <f>'Income Statement'!AE218</f>
        <v>0.04</v>
      </c>
      <c r="T22" s="240">
        <f>'Income Statement'!AG218</f>
        <v>0.04</v>
      </c>
      <c r="U22" s="240">
        <f>'Income Statement'!AH218</f>
        <v>0.04</v>
      </c>
      <c r="V22" s="240">
        <f>'Income Statement'!AI218</f>
        <v>0.04</v>
      </c>
      <c r="W22" s="246">
        <f t="shared" ref="W22:AA22" si="36">V22</f>
        <v>0.04</v>
      </c>
      <c r="X22" s="246">
        <f t="shared" si="36"/>
        <v>0.04</v>
      </c>
      <c r="Y22" s="246">
        <f t="shared" si="36"/>
        <v>0.04</v>
      </c>
      <c r="Z22" s="246">
        <f t="shared" si="36"/>
        <v>0.04</v>
      </c>
      <c r="AA22" s="246">
        <f t="shared" si="36"/>
        <v>0.04</v>
      </c>
    </row>
    <row r="23" spans="2:27">
      <c r="B23" s="244">
        <f t="shared" si="33"/>
        <v>43486</v>
      </c>
      <c r="C23" s="245" t="e">
        <f ca="1">_xll.FDS("EURUSD","FG_PRICE("&amp;B23&amp;")")</f>
        <v>#NAME?</v>
      </c>
      <c r="D23" t="e">
        <f ca="1">_xll.FDS("GBPUSD","FG_PRICE("&amp;B23&amp;")")</f>
        <v>#NAME?</v>
      </c>
      <c r="E23" t="e">
        <f ca="1">_xll.FDSB("JPYUSD","FG_PRICE("&amp;B23&amp;")")</f>
        <v>#NAME?</v>
      </c>
      <c r="G23" t="str">
        <f>'Income Statement'!B219</f>
        <v>Asia and Others</v>
      </c>
      <c r="H23" s="240">
        <f>'Income Statement'!R219</f>
        <v>0.13</v>
      </c>
      <c r="I23" s="240">
        <f>'Income Statement'!S219</f>
        <v>0.13</v>
      </c>
      <c r="J23" s="240">
        <f>'Income Statement'!T219</f>
        <v>0.13</v>
      </c>
      <c r="K23" s="240">
        <f>'Income Statement'!U219</f>
        <v>0.13</v>
      </c>
      <c r="L23" s="240">
        <f>'Income Statement'!W219</f>
        <v>0.13</v>
      </c>
      <c r="M23" s="240">
        <f>'Income Statement'!X219</f>
        <v>0.13</v>
      </c>
      <c r="N23" s="240">
        <f>'Income Statement'!Y219</f>
        <v>0.12</v>
      </c>
      <c r="O23" s="240">
        <f>'Income Statement'!Z219</f>
        <v>0.12</v>
      </c>
      <c r="P23" s="240">
        <f>'Income Statement'!AB219</f>
        <v>0.12</v>
      </c>
      <c r="Q23" s="240">
        <f>'Income Statement'!AC219</f>
        <v>0.12</v>
      </c>
      <c r="R23" s="240">
        <f>'Income Statement'!AD219</f>
        <v>0.13</v>
      </c>
      <c r="S23" s="240">
        <f>'Income Statement'!AE219</f>
        <v>0.13</v>
      </c>
      <c r="T23" s="240">
        <f>'Income Statement'!AG219</f>
        <v>0.12</v>
      </c>
      <c r="U23" s="240">
        <f>'Income Statement'!AH219</f>
        <v>0.12</v>
      </c>
      <c r="V23" s="240">
        <f>'Income Statement'!AI219</f>
        <v>0.11</v>
      </c>
      <c r="W23" s="246">
        <f t="shared" ref="W23:AA23" si="37">V23</f>
        <v>0.11</v>
      </c>
      <c r="X23" s="246">
        <f t="shared" si="37"/>
        <v>0.11</v>
      </c>
      <c r="Y23" s="246">
        <f t="shared" si="37"/>
        <v>0.11</v>
      </c>
      <c r="Z23" s="246">
        <f t="shared" si="37"/>
        <v>0.11</v>
      </c>
      <c r="AA23" s="246">
        <f t="shared" si="37"/>
        <v>0.11</v>
      </c>
    </row>
    <row r="24" spans="2:27">
      <c r="B24" s="244">
        <f t="shared" si="33"/>
        <v>43487</v>
      </c>
      <c r="C24" s="245" t="e">
        <f ca="1">_xll.FDS("EURUSD","FG_PRICE("&amp;B24&amp;")")</f>
        <v>#NAME?</v>
      </c>
      <c r="D24" t="e">
        <f ca="1">_xll.FDS("GBPUSD","FG_PRICE("&amp;B24&amp;")")</f>
        <v>#NAME?</v>
      </c>
      <c r="E24" t="e">
        <f ca="1">_xll.FDSB("JPYUSD","FG_PRICE("&amp;B24&amp;")")</f>
        <v>#NAME?</v>
      </c>
    </row>
    <row r="25" spans="2:27">
      <c r="B25" s="244">
        <f t="shared" si="33"/>
        <v>43488</v>
      </c>
      <c r="C25" s="245" t="e">
        <f ca="1">_xll.FDS("EURUSD","FG_PRICE("&amp;B25&amp;")")</f>
        <v>#NAME?</v>
      </c>
      <c r="D25" t="e">
        <f ca="1">_xll.FDS("GBPUSD","FG_PRICE("&amp;B25&amp;")")</f>
        <v>#NAME?</v>
      </c>
      <c r="E25" t="e">
        <f ca="1">_xll.FDSB("JPYUSD","FG_PRICE("&amp;B25&amp;")")</f>
        <v>#NAME?</v>
      </c>
      <c r="G25" t="s">
        <v>272</v>
      </c>
      <c r="H25" s="221">
        <f>H17*H21</f>
        <v>47.058300000000003</v>
      </c>
      <c r="I25" s="221">
        <f t="shared" ref="I25:AA25" si="38">I17*I21</f>
        <v>50.063130000000008</v>
      </c>
      <c r="J25" s="221">
        <f t="shared" si="38"/>
        <v>49.197749999999999</v>
      </c>
      <c r="K25" s="221">
        <f t="shared" si="38"/>
        <v>53.192880000000002</v>
      </c>
      <c r="L25" s="221">
        <f t="shared" si="38"/>
        <v>53.996749999999999</v>
      </c>
      <c r="M25" s="221">
        <f t="shared" si="38"/>
        <v>59.014750000000006</v>
      </c>
      <c r="N25" s="221">
        <f t="shared" si="38"/>
        <v>63.545000000000002</v>
      </c>
      <c r="O25" s="221">
        <f t="shared" si="38"/>
        <v>73.458839999999995</v>
      </c>
      <c r="P25" s="221">
        <f t="shared" si="38"/>
        <v>82.110240000000005</v>
      </c>
      <c r="Q25" s="221">
        <f t="shared" si="38"/>
        <v>79.101500000000001</v>
      </c>
      <c r="R25" s="221">
        <f t="shared" si="38"/>
        <v>80.199250000000006</v>
      </c>
      <c r="S25" s="221">
        <f t="shared" si="38"/>
        <v>88.652339999999995</v>
      </c>
      <c r="T25" s="221">
        <f t="shared" si="38"/>
        <v>88.815219999999997</v>
      </c>
      <c r="U25" s="221">
        <f t="shared" si="38"/>
        <v>89.758240000000015</v>
      </c>
      <c r="V25" s="221">
        <f t="shared" si="38"/>
        <v>89.909299999999988</v>
      </c>
      <c r="W25" s="221">
        <f t="shared" si="38"/>
        <v>92.310399999999987</v>
      </c>
      <c r="X25" s="221">
        <f>X17*X21</f>
        <v>97.259760000000014</v>
      </c>
      <c r="Y25" s="221">
        <f t="shared" si="38"/>
        <v>101.39402</v>
      </c>
      <c r="Z25" s="221">
        <f t="shared" si="38"/>
        <v>102.39866000000001</v>
      </c>
      <c r="AA25" s="221">
        <f t="shared" si="38"/>
        <v>104.98046000000001</v>
      </c>
    </row>
    <row r="26" spans="2:27">
      <c r="B26" s="244">
        <f t="shared" si="33"/>
        <v>43489</v>
      </c>
      <c r="C26" s="245" t="e">
        <f ca="1">_xll.FDS("EURUSD","FG_PRICE("&amp;B26&amp;")")</f>
        <v>#NAME?</v>
      </c>
      <c r="D26" t="e">
        <f ca="1">_xll.FDS("GBPUSD","FG_PRICE("&amp;B26&amp;")")</f>
        <v>#NAME?</v>
      </c>
      <c r="E26" t="e">
        <f ca="1">_xll.FDSB("JPYUSD","FG_PRICE("&amp;B26&amp;")")</f>
        <v>#NAME?</v>
      </c>
      <c r="G26" t="s">
        <v>273</v>
      </c>
      <c r="H26" s="221">
        <f>H17*H23</f>
        <v>22.657699999999998</v>
      </c>
      <c r="I26" s="221">
        <f t="shared" ref="I26:AA26" si="39">I17*I23</f>
        <v>24.104470000000003</v>
      </c>
      <c r="J26" s="221">
        <f t="shared" si="39"/>
        <v>25.582830000000001</v>
      </c>
      <c r="K26" s="221">
        <f t="shared" si="39"/>
        <v>26.596440000000001</v>
      </c>
      <c r="L26" s="221">
        <f t="shared" si="39"/>
        <v>28.078310000000002</v>
      </c>
      <c r="M26" s="221">
        <f t="shared" si="39"/>
        <v>30.687670000000004</v>
      </c>
      <c r="N26" s="221">
        <f t="shared" si="39"/>
        <v>30.5016</v>
      </c>
      <c r="O26" s="221">
        <f t="shared" si="39"/>
        <v>33.90408</v>
      </c>
      <c r="P26" s="221">
        <f t="shared" si="39"/>
        <v>36.49344</v>
      </c>
      <c r="Q26" s="221">
        <f t="shared" si="39"/>
        <v>37.968719999999998</v>
      </c>
      <c r="R26" s="221">
        <f t="shared" si="39"/>
        <v>41.703610000000005</v>
      </c>
      <c r="S26" s="221">
        <f t="shared" si="39"/>
        <v>42.684460000000001</v>
      </c>
      <c r="T26" s="221">
        <f t="shared" si="39"/>
        <v>40.991639999999997</v>
      </c>
      <c r="U26" s="221">
        <f t="shared" si="39"/>
        <v>41.426880000000004</v>
      </c>
      <c r="V26" s="221">
        <f t="shared" si="39"/>
        <v>38.038549999999994</v>
      </c>
      <c r="W26" s="221">
        <f t="shared" si="39"/>
        <v>39.054399999999994</v>
      </c>
      <c r="X26" s="221">
        <f t="shared" si="39"/>
        <v>41.148360000000004</v>
      </c>
      <c r="Y26" s="221">
        <f t="shared" si="39"/>
        <v>42.897469999999998</v>
      </c>
      <c r="Z26" s="221">
        <f t="shared" si="39"/>
        <v>43.322510000000001</v>
      </c>
      <c r="AA26" s="221">
        <f t="shared" si="39"/>
        <v>44.414810000000003</v>
      </c>
    </row>
    <row r="27" spans="2:27">
      <c r="B27" s="244">
        <f t="shared" si="33"/>
        <v>43490</v>
      </c>
      <c r="C27" s="245" t="e">
        <f ca="1">_xll.FDS("EURUSD","FG_PRICE("&amp;B27&amp;")")</f>
        <v>#NAME?</v>
      </c>
      <c r="D27" t="e">
        <f ca="1">_xll.FDS("GBPUSD","FG_PRICE("&amp;B27&amp;")")</f>
        <v>#NAME?</v>
      </c>
      <c r="E27" t="e">
        <f ca="1">_xll.FDSB("JPYUSD","FG_PRICE("&amp;B27&amp;")")</f>
        <v>#NAME?</v>
      </c>
    </row>
    <row r="28" spans="2:27">
      <c r="B28" s="244">
        <f t="shared" si="33"/>
        <v>43491</v>
      </c>
      <c r="C28" s="245" t="e">
        <f ca="1">_xll.FDS("EURUSD","FG_PRICE("&amp;B28&amp;")")</f>
        <v>#NAME?</v>
      </c>
      <c r="D28" t="e">
        <f ca="1">_xll.FDS("GBPUSD","FG_PRICE("&amp;B28&amp;")")</f>
        <v>#NAME?</v>
      </c>
      <c r="E28" t="e">
        <f ca="1">_xll.FDSB("JPYUSD","FG_PRICE("&amp;B28&amp;")")</f>
        <v>#NAME?</v>
      </c>
      <c r="G28" t="s">
        <v>274</v>
      </c>
      <c r="H28" s="221" t="e">
        <f ca="1">((H25*H7)+(H25*H10))/2</f>
        <v>#NAME?</v>
      </c>
      <c r="I28" s="221" t="e">
        <f t="shared" ref="I28:AA28" ca="1" si="40">((I25*I7)+(I25*I10))/2</f>
        <v>#NAME?</v>
      </c>
      <c r="J28" s="221" t="e">
        <f t="shared" ca="1" si="40"/>
        <v>#NAME?</v>
      </c>
      <c r="K28" s="221" t="e">
        <f t="shared" ca="1" si="40"/>
        <v>#NAME?</v>
      </c>
      <c r="L28" s="221" t="e">
        <f t="shared" ca="1" si="40"/>
        <v>#NAME?</v>
      </c>
      <c r="M28" s="221" t="e">
        <f t="shared" ca="1" si="40"/>
        <v>#NAME?</v>
      </c>
      <c r="N28" s="221" t="e">
        <f t="shared" ca="1" si="40"/>
        <v>#NAME?</v>
      </c>
      <c r="O28" s="221" t="e">
        <f t="shared" ca="1" si="40"/>
        <v>#NAME?</v>
      </c>
      <c r="P28" s="221" t="e">
        <f t="shared" ca="1" si="40"/>
        <v>#NAME?</v>
      </c>
      <c r="Q28" s="221" t="e">
        <f t="shared" ca="1" si="40"/>
        <v>#NAME?</v>
      </c>
      <c r="R28" s="221" t="e">
        <f t="shared" ca="1" si="40"/>
        <v>#NAME?</v>
      </c>
      <c r="S28" s="221" t="e">
        <f t="shared" ca="1" si="40"/>
        <v>#NAME?</v>
      </c>
      <c r="T28" s="221" t="e">
        <f t="shared" ca="1" si="40"/>
        <v>#NAME?</v>
      </c>
      <c r="U28" s="221" t="e">
        <f t="shared" ca="1" si="40"/>
        <v>#NAME?</v>
      </c>
      <c r="V28" s="221" t="e">
        <f t="shared" ca="1" si="40"/>
        <v>#NAME?</v>
      </c>
      <c r="W28" s="221" t="e">
        <f t="shared" ca="1" si="40"/>
        <v>#NAME?</v>
      </c>
      <c r="X28" s="221" t="e">
        <f t="shared" ca="1" si="40"/>
        <v>#NAME?</v>
      </c>
      <c r="Y28" s="221" t="e">
        <f t="shared" ca="1" si="40"/>
        <v>#NAME?</v>
      </c>
      <c r="Z28" s="221" t="e">
        <f ca="1">((Z25*Z7)+(Z25*Z10))/2</f>
        <v>#NAME?</v>
      </c>
      <c r="AA28" s="221" t="e">
        <f t="shared" ca="1" si="40"/>
        <v>#NAME?</v>
      </c>
    </row>
    <row r="29" spans="2:27">
      <c r="B29" s="244">
        <f t="shared" si="33"/>
        <v>43492</v>
      </c>
      <c r="C29" s="245" t="e">
        <f ca="1">_xll.FDS("EURUSD","FG_PRICE("&amp;B29&amp;")")</f>
        <v>#NAME?</v>
      </c>
      <c r="D29" t="e">
        <f ca="1">_xll.FDS("GBPUSD","FG_PRICE("&amp;B29&amp;")")</f>
        <v>#NAME?</v>
      </c>
      <c r="E29" t="e">
        <f ca="1">_xll.FDSB("JPYUSD","FG_PRICE("&amp;B29&amp;")")</f>
        <v>#NAME?</v>
      </c>
      <c r="G29" t="s">
        <v>261</v>
      </c>
      <c r="H29" s="240"/>
      <c r="I29" s="240"/>
      <c r="J29" s="240"/>
      <c r="K29" s="240"/>
      <c r="L29" s="240"/>
      <c r="M29" s="240"/>
      <c r="N29" s="240"/>
      <c r="O29" s="240"/>
      <c r="P29" s="240"/>
      <c r="Q29" s="240"/>
      <c r="R29" s="240"/>
      <c r="S29" s="240"/>
      <c r="T29" s="240"/>
      <c r="U29" s="240"/>
      <c r="V29" s="240"/>
      <c r="W29" s="240"/>
      <c r="X29" s="240"/>
      <c r="Y29" s="240"/>
      <c r="Z29" s="240"/>
      <c r="AA29" s="240"/>
    </row>
    <row r="30" spans="2:27">
      <c r="B30" s="244">
        <f t="shared" si="33"/>
        <v>43493</v>
      </c>
      <c r="C30" s="245" t="e">
        <f ca="1">_xll.FDS("EURUSD","FG_PRICE("&amp;B30&amp;")")</f>
        <v>#NAME?</v>
      </c>
      <c r="D30" t="e">
        <f ca="1">_xll.FDS("GBPUSD","FG_PRICE("&amp;B30&amp;")")</f>
        <v>#NAME?</v>
      </c>
      <c r="E30" t="e">
        <f ca="1">_xll.FDSB("JPYUSD","FG_PRICE("&amp;B30&amp;")")</f>
        <v>#NAME?</v>
      </c>
    </row>
    <row r="31" spans="2:27">
      <c r="B31" s="244">
        <f t="shared" si="33"/>
        <v>43494</v>
      </c>
      <c r="C31" s="245" t="e">
        <f ca="1">_xll.FDS("EURUSD","FG_PRICE("&amp;B31&amp;")")</f>
        <v>#NAME?</v>
      </c>
      <c r="D31" t="e">
        <f ca="1">_xll.FDS("GBPUSD","FG_PRICE("&amp;B31&amp;")")</f>
        <v>#NAME?</v>
      </c>
      <c r="E31" t="e">
        <f ca="1">_xll.FDSB("JPYUSD","FG_PRICE("&amp;B31&amp;")")</f>
        <v>#NAME?</v>
      </c>
      <c r="G31" t="s">
        <v>275</v>
      </c>
      <c r="H31" s="221" t="e">
        <f ca="1">H26/H13</f>
        <v>#NAME?</v>
      </c>
      <c r="I31" s="221" t="e">
        <f t="shared" ref="I31:AA31" ca="1" si="41">I26/I13</f>
        <v>#NAME?</v>
      </c>
      <c r="J31" s="221" t="e">
        <f t="shared" ca="1" si="41"/>
        <v>#NAME?</v>
      </c>
      <c r="K31" s="221" t="e">
        <f t="shared" ca="1" si="41"/>
        <v>#NAME?</v>
      </c>
      <c r="L31" s="221" t="e">
        <f t="shared" ca="1" si="41"/>
        <v>#NAME?</v>
      </c>
      <c r="M31" s="221" t="e">
        <f t="shared" ca="1" si="41"/>
        <v>#NAME?</v>
      </c>
      <c r="N31" s="221" t="e">
        <f t="shared" ca="1" si="41"/>
        <v>#NAME?</v>
      </c>
      <c r="O31" s="221" t="e">
        <f t="shared" ca="1" si="41"/>
        <v>#NAME?</v>
      </c>
      <c r="P31" s="221" t="e">
        <f t="shared" ca="1" si="41"/>
        <v>#NAME?</v>
      </c>
      <c r="Q31" s="221" t="e">
        <f t="shared" ca="1" si="41"/>
        <v>#NAME?</v>
      </c>
      <c r="R31" s="221" t="e">
        <f t="shared" ca="1" si="41"/>
        <v>#NAME?</v>
      </c>
      <c r="S31" s="221" t="e">
        <f t="shared" ca="1" si="41"/>
        <v>#NAME?</v>
      </c>
      <c r="T31" s="221" t="e">
        <f t="shared" ca="1" si="41"/>
        <v>#NAME?</v>
      </c>
      <c r="U31" s="221" t="e">
        <f t="shared" ca="1" si="41"/>
        <v>#NAME?</v>
      </c>
      <c r="V31" s="221" t="e">
        <f t="shared" ca="1" si="41"/>
        <v>#NAME?</v>
      </c>
      <c r="W31" s="221" t="e">
        <f t="shared" ca="1" si="41"/>
        <v>#NAME?</v>
      </c>
      <c r="X31" s="221" t="e">
        <f t="shared" ca="1" si="41"/>
        <v>#NAME?</v>
      </c>
      <c r="Y31" s="221" t="e">
        <f t="shared" ca="1" si="41"/>
        <v>#NAME?</v>
      </c>
      <c r="Z31" s="221" t="e">
        <f t="shared" ca="1" si="41"/>
        <v>#NAME?</v>
      </c>
      <c r="AA31" s="221" t="e">
        <f t="shared" ca="1" si="41"/>
        <v>#NAME?</v>
      </c>
    </row>
    <row r="32" spans="2:27">
      <c r="B32" s="244">
        <f t="shared" si="33"/>
        <v>43495</v>
      </c>
      <c r="C32" s="245" t="e">
        <f ca="1">_xll.FDS("EURUSD","FG_PRICE("&amp;B32&amp;")")</f>
        <v>#NAME?</v>
      </c>
      <c r="D32" t="e">
        <f ca="1">_xll.FDS("GBPUSD","FG_PRICE("&amp;B32&amp;")")</f>
        <v>#NAME?</v>
      </c>
      <c r="E32" t="e">
        <f ca="1">_xll.FDSB("JPYUSD","FG_PRICE("&amp;B32&amp;")")</f>
        <v>#NAME?</v>
      </c>
    </row>
    <row r="33" spans="2:5">
      <c r="B33" s="244">
        <f t="shared" si="33"/>
        <v>43496</v>
      </c>
      <c r="C33" s="245" t="e">
        <f ca="1">_xll.FDS("EURUSD","FG_PRICE("&amp;B33&amp;")")</f>
        <v>#NAME?</v>
      </c>
      <c r="D33" t="e">
        <f ca="1">_xll.FDS("GBPUSD","FG_PRICE("&amp;B33&amp;")")</f>
        <v>#NAME?</v>
      </c>
      <c r="E33" t="e">
        <f ca="1">_xll.FDSB("JPYUSD","FG_PRICE("&amp;B33&amp;")")</f>
        <v>#NAME?</v>
      </c>
    </row>
    <row r="34" spans="2:5">
      <c r="B34" s="244">
        <f t="shared" si="33"/>
        <v>43497</v>
      </c>
      <c r="C34" s="245" t="e">
        <f ca="1">_xll.FDS("EURUSD","FG_PRICE("&amp;B34&amp;")")</f>
        <v>#NAME?</v>
      </c>
      <c r="D34" t="e">
        <f ca="1">_xll.FDS("GBPUSD","FG_PRICE("&amp;B34&amp;")")</f>
        <v>#NAME?</v>
      </c>
      <c r="E34" t="e">
        <f ca="1">_xll.FDSB("JPYUSD","FG_PRICE("&amp;B34&amp;")")</f>
        <v>#NAME?</v>
      </c>
    </row>
    <row r="35" spans="2:5">
      <c r="B35" s="244">
        <f t="shared" si="33"/>
        <v>43498</v>
      </c>
      <c r="C35" s="245" t="e">
        <f ca="1">_xll.FDS("EURUSD","FG_PRICE("&amp;B35&amp;")")</f>
        <v>#NAME?</v>
      </c>
      <c r="D35" t="e">
        <f ca="1">_xll.FDS("GBPUSD","FG_PRICE("&amp;B35&amp;")")</f>
        <v>#NAME?</v>
      </c>
      <c r="E35" t="e">
        <f ca="1">_xll.FDSB("JPYUSD","FG_PRICE("&amp;B35&amp;")")</f>
        <v>#NAME?</v>
      </c>
    </row>
    <row r="36" spans="2:5">
      <c r="B36" s="244">
        <f t="shared" si="33"/>
        <v>43499</v>
      </c>
      <c r="C36" s="245" t="e">
        <f ca="1">_xll.FDS("EURUSD","FG_PRICE("&amp;B36&amp;")")</f>
        <v>#NAME?</v>
      </c>
      <c r="D36" t="e">
        <f ca="1">_xll.FDS("GBPUSD","FG_PRICE("&amp;B36&amp;")")</f>
        <v>#NAME?</v>
      </c>
      <c r="E36" t="e">
        <f ca="1">_xll.FDSB("JPYUSD","FG_PRICE("&amp;B36&amp;")")</f>
        <v>#NAME?</v>
      </c>
    </row>
    <row r="37" spans="2:5">
      <c r="B37" s="244">
        <f t="shared" si="33"/>
        <v>43500</v>
      </c>
      <c r="C37" s="245" t="e">
        <f ca="1">_xll.FDS("EURUSD","FG_PRICE("&amp;B37&amp;")")</f>
        <v>#NAME?</v>
      </c>
      <c r="D37" t="e">
        <f ca="1">_xll.FDS("GBPUSD","FG_PRICE("&amp;B37&amp;")")</f>
        <v>#NAME?</v>
      </c>
      <c r="E37" t="e">
        <f ca="1">_xll.FDSB("JPYUSD","FG_PRICE("&amp;B37&amp;")")</f>
        <v>#NAME?</v>
      </c>
    </row>
    <row r="38" spans="2:5">
      <c r="B38" s="244">
        <f t="shared" si="33"/>
        <v>43501</v>
      </c>
      <c r="C38" s="245" t="e">
        <f ca="1">_xll.FDS("EURUSD","FG_PRICE("&amp;B38&amp;")")</f>
        <v>#NAME?</v>
      </c>
      <c r="D38" t="e">
        <f ca="1">_xll.FDS("GBPUSD","FG_PRICE("&amp;B38&amp;")")</f>
        <v>#NAME?</v>
      </c>
      <c r="E38" t="e">
        <f ca="1">_xll.FDSB("JPYUSD","FG_PRICE("&amp;B38&amp;")")</f>
        <v>#NAME?</v>
      </c>
    </row>
    <row r="39" spans="2:5">
      <c r="B39" s="244">
        <f t="shared" si="33"/>
        <v>43502</v>
      </c>
      <c r="C39" s="245" t="e">
        <f ca="1">_xll.FDS("EURUSD","FG_PRICE("&amp;B39&amp;")")</f>
        <v>#NAME?</v>
      </c>
      <c r="D39" t="e">
        <f ca="1">_xll.FDS("GBPUSD","FG_PRICE("&amp;B39&amp;")")</f>
        <v>#NAME?</v>
      </c>
      <c r="E39" t="e">
        <f ca="1">_xll.FDSB("JPYUSD","FG_PRICE("&amp;B39&amp;")")</f>
        <v>#NAME?</v>
      </c>
    </row>
    <row r="40" spans="2:5">
      <c r="B40" s="244">
        <f t="shared" si="33"/>
        <v>43503</v>
      </c>
      <c r="C40" s="245" t="e">
        <f ca="1">_xll.FDS("EURUSD","FG_PRICE("&amp;B40&amp;")")</f>
        <v>#NAME?</v>
      </c>
      <c r="D40" t="e">
        <f ca="1">_xll.FDS("GBPUSD","FG_PRICE("&amp;B40&amp;")")</f>
        <v>#NAME?</v>
      </c>
      <c r="E40" t="e">
        <f ca="1">_xll.FDSB("JPYUSD","FG_PRICE("&amp;B40&amp;")")</f>
        <v>#NAME?</v>
      </c>
    </row>
    <row r="41" spans="2:5">
      <c r="B41" s="244">
        <f t="shared" si="33"/>
        <v>43504</v>
      </c>
      <c r="C41" s="245" t="e">
        <f ca="1">_xll.FDS("EURUSD","FG_PRICE("&amp;B41&amp;")")</f>
        <v>#NAME?</v>
      </c>
      <c r="D41" t="e">
        <f ca="1">_xll.FDS("GBPUSD","FG_PRICE("&amp;B41&amp;")")</f>
        <v>#NAME?</v>
      </c>
      <c r="E41" t="e">
        <f ca="1">_xll.FDSB("JPYUSD","FG_PRICE("&amp;B41&amp;")")</f>
        <v>#NAME?</v>
      </c>
    </row>
    <row r="42" spans="2:5">
      <c r="B42" s="244">
        <f t="shared" si="33"/>
        <v>43505</v>
      </c>
      <c r="C42" s="245" t="e">
        <f ca="1">_xll.FDS("EURUSD","FG_PRICE("&amp;B42&amp;")")</f>
        <v>#NAME?</v>
      </c>
      <c r="D42" t="e">
        <f ca="1">_xll.FDS("GBPUSD","FG_PRICE("&amp;B42&amp;")")</f>
        <v>#NAME?</v>
      </c>
      <c r="E42" t="e">
        <f ca="1">_xll.FDSB("JPYUSD","FG_PRICE("&amp;B42&amp;")")</f>
        <v>#NAME?</v>
      </c>
    </row>
    <row r="43" spans="2:5">
      <c r="B43" s="244">
        <f t="shared" si="33"/>
        <v>43506</v>
      </c>
      <c r="C43" s="245" t="e">
        <f ca="1">_xll.FDS("EURUSD","FG_PRICE("&amp;B43&amp;")")</f>
        <v>#NAME?</v>
      </c>
      <c r="D43" t="e">
        <f ca="1">_xll.FDS("GBPUSD","FG_PRICE("&amp;B43&amp;")")</f>
        <v>#NAME?</v>
      </c>
      <c r="E43" t="e">
        <f ca="1">_xll.FDSB("JPYUSD","FG_PRICE("&amp;B43&amp;")")</f>
        <v>#NAME?</v>
      </c>
    </row>
    <row r="44" spans="2:5">
      <c r="B44" s="244">
        <f t="shared" si="33"/>
        <v>43507</v>
      </c>
      <c r="C44" s="245" t="e">
        <f ca="1">_xll.FDS("EURUSD","FG_PRICE("&amp;B44&amp;")")</f>
        <v>#NAME?</v>
      </c>
      <c r="D44" t="e">
        <f ca="1">_xll.FDS("GBPUSD","FG_PRICE("&amp;B44&amp;")")</f>
        <v>#NAME?</v>
      </c>
      <c r="E44" t="e">
        <f ca="1">_xll.FDSB("JPYUSD","FG_PRICE("&amp;B44&amp;")")</f>
        <v>#NAME?</v>
      </c>
    </row>
    <row r="45" spans="2:5">
      <c r="B45" s="244">
        <f t="shared" si="33"/>
        <v>43508</v>
      </c>
      <c r="C45" s="245" t="e">
        <f ca="1">_xll.FDS("EURUSD","FG_PRICE("&amp;B45&amp;")")</f>
        <v>#NAME?</v>
      </c>
      <c r="D45" t="e">
        <f ca="1">_xll.FDS("GBPUSD","FG_PRICE("&amp;B45&amp;")")</f>
        <v>#NAME?</v>
      </c>
      <c r="E45" t="e">
        <f ca="1">_xll.FDSB("JPYUSD","FG_PRICE("&amp;B45&amp;")")</f>
        <v>#NAME?</v>
      </c>
    </row>
    <row r="46" spans="2:5">
      <c r="B46" s="244">
        <f t="shared" si="33"/>
        <v>43509</v>
      </c>
      <c r="C46" s="245" t="e">
        <f ca="1">_xll.FDS("EURUSD","FG_PRICE("&amp;B46&amp;")")</f>
        <v>#NAME?</v>
      </c>
      <c r="D46" t="e">
        <f ca="1">_xll.FDS("GBPUSD","FG_PRICE("&amp;B46&amp;")")</f>
        <v>#NAME?</v>
      </c>
      <c r="E46" t="e">
        <f ca="1">_xll.FDSB("JPYUSD","FG_PRICE("&amp;B46&amp;")")</f>
        <v>#NAME?</v>
      </c>
    </row>
    <row r="47" spans="2:5">
      <c r="B47" s="244">
        <f t="shared" si="33"/>
        <v>43510</v>
      </c>
      <c r="C47" s="245" t="e">
        <f ca="1">_xll.FDS("EURUSD","FG_PRICE("&amp;B47&amp;")")</f>
        <v>#NAME?</v>
      </c>
      <c r="D47" t="e">
        <f ca="1">_xll.FDS("GBPUSD","FG_PRICE("&amp;B47&amp;")")</f>
        <v>#NAME?</v>
      </c>
      <c r="E47" t="e">
        <f ca="1">_xll.FDSB("JPYUSD","FG_PRICE("&amp;B47&amp;")")</f>
        <v>#NAME?</v>
      </c>
    </row>
    <row r="48" spans="2:5">
      <c r="B48" s="244">
        <f t="shared" si="33"/>
        <v>43511</v>
      </c>
      <c r="C48" s="245" t="e">
        <f ca="1">_xll.FDS("EURUSD","FG_PRICE("&amp;B48&amp;")")</f>
        <v>#NAME?</v>
      </c>
      <c r="D48" t="e">
        <f ca="1">_xll.FDS("GBPUSD","FG_PRICE("&amp;B48&amp;")")</f>
        <v>#NAME?</v>
      </c>
      <c r="E48" t="e">
        <f ca="1">_xll.FDSB("JPYUSD","FG_PRICE("&amp;B48&amp;")")</f>
        <v>#NAME?</v>
      </c>
    </row>
    <row r="49" spans="2:5">
      <c r="B49" s="244">
        <f t="shared" ref="B49:B68" si="42">B48+1</f>
        <v>43512</v>
      </c>
      <c r="C49" s="245" t="e">
        <f ca="1">_xll.FDS("EURUSD","FG_PRICE("&amp;B49&amp;")")</f>
        <v>#NAME?</v>
      </c>
      <c r="D49" t="e">
        <f ca="1">_xll.FDS("GBPUSD","FG_PRICE("&amp;B49&amp;")")</f>
        <v>#NAME?</v>
      </c>
      <c r="E49" t="e">
        <f ca="1">_xll.FDSB("JPYUSD","FG_PRICE("&amp;B49&amp;")")</f>
        <v>#NAME?</v>
      </c>
    </row>
    <row r="50" spans="2:5">
      <c r="B50" s="244">
        <f t="shared" si="42"/>
        <v>43513</v>
      </c>
      <c r="C50" s="245" t="e">
        <f ca="1">_xll.FDS("EURUSD","FG_PRICE("&amp;B50&amp;")")</f>
        <v>#NAME?</v>
      </c>
      <c r="D50" t="e">
        <f ca="1">_xll.FDS("GBPUSD","FG_PRICE("&amp;B50&amp;")")</f>
        <v>#NAME?</v>
      </c>
      <c r="E50" t="e">
        <f ca="1">_xll.FDSB("JPYUSD","FG_PRICE("&amp;B50&amp;")")</f>
        <v>#NAME?</v>
      </c>
    </row>
    <row r="51" spans="2:5">
      <c r="B51" s="244">
        <f t="shared" si="42"/>
        <v>43514</v>
      </c>
      <c r="C51" s="245" t="e">
        <f ca="1">_xll.FDS("EURUSD","FG_PRICE("&amp;B51&amp;")")</f>
        <v>#NAME?</v>
      </c>
      <c r="D51" t="e">
        <f ca="1">_xll.FDS("GBPUSD","FG_PRICE("&amp;B51&amp;")")</f>
        <v>#NAME?</v>
      </c>
      <c r="E51" t="e">
        <f ca="1">_xll.FDSB("JPYUSD","FG_PRICE("&amp;B51&amp;")")</f>
        <v>#NAME?</v>
      </c>
    </row>
    <row r="52" spans="2:5">
      <c r="B52" s="244">
        <f t="shared" si="42"/>
        <v>43515</v>
      </c>
      <c r="C52" s="245" t="e">
        <f ca="1">_xll.FDS("EURUSD","FG_PRICE("&amp;B52&amp;")")</f>
        <v>#NAME?</v>
      </c>
      <c r="D52" t="e">
        <f ca="1">_xll.FDS("GBPUSD","FG_PRICE("&amp;B52&amp;")")</f>
        <v>#NAME?</v>
      </c>
      <c r="E52" t="e">
        <f ca="1">_xll.FDSB("JPYUSD","FG_PRICE("&amp;B52&amp;")")</f>
        <v>#NAME?</v>
      </c>
    </row>
    <row r="53" spans="2:5">
      <c r="B53" s="244">
        <f t="shared" si="42"/>
        <v>43516</v>
      </c>
      <c r="C53" s="245" t="e">
        <f ca="1">_xll.FDS("EURUSD","FG_PRICE("&amp;B53&amp;")")</f>
        <v>#NAME?</v>
      </c>
      <c r="D53" t="e">
        <f ca="1">_xll.FDS("GBPUSD","FG_PRICE("&amp;B53&amp;")")</f>
        <v>#NAME?</v>
      </c>
      <c r="E53" t="e">
        <f ca="1">_xll.FDSB("JPYUSD","FG_PRICE("&amp;B53&amp;")")</f>
        <v>#NAME?</v>
      </c>
    </row>
    <row r="54" spans="2:5">
      <c r="B54" s="244">
        <f t="shared" si="42"/>
        <v>43517</v>
      </c>
      <c r="C54" s="245" t="e">
        <f ca="1">_xll.FDS("EURUSD","FG_PRICE("&amp;B54&amp;")")</f>
        <v>#NAME?</v>
      </c>
      <c r="D54" t="e">
        <f ca="1">_xll.FDS("GBPUSD","FG_PRICE("&amp;B54&amp;")")</f>
        <v>#NAME?</v>
      </c>
      <c r="E54" t="e">
        <f ca="1">_xll.FDSB("JPYUSD","FG_PRICE("&amp;B54&amp;")")</f>
        <v>#NAME?</v>
      </c>
    </row>
    <row r="55" spans="2:5">
      <c r="B55" s="244">
        <f t="shared" si="42"/>
        <v>43518</v>
      </c>
      <c r="C55" s="245" t="e">
        <f ca="1">_xll.FDS("EURUSD","FG_PRICE("&amp;B55&amp;")")</f>
        <v>#NAME?</v>
      </c>
      <c r="D55" t="e">
        <f ca="1">_xll.FDS("GBPUSD","FG_PRICE("&amp;B55&amp;")")</f>
        <v>#NAME?</v>
      </c>
      <c r="E55" t="e">
        <f ca="1">_xll.FDSB("JPYUSD","FG_PRICE("&amp;B55&amp;")")</f>
        <v>#NAME?</v>
      </c>
    </row>
    <row r="56" spans="2:5">
      <c r="B56" s="244">
        <f t="shared" si="42"/>
        <v>43519</v>
      </c>
      <c r="C56" s="245" t="e">
        <f ca="1">_xll.FDS("EURUSD","FG_PRICE("&amp;B56&amp;")")</f>
        <v>#NAME?</v>
      </c>
      <c r="D56" t="e">
        <f ca="1">_xll.FDS("GBPUSD","FG_PRICE("&amp;B56&amp;")")</f>
        <v>#NAME?</v>
      </c>
      <c r="E56" t="e">
        <f ca="1">_xll.FDSB("JPYUSD","FG_PRICE("&amp;B56&amp;")")</f>
        <v>#NAME?</v>
      </c>
    </row>
    <row r="57" spans="2:5">
      <c r="B57" s="244">
        <f t="shared" si="42"/>
        <v>43520</v>
      </c>
      <c r="C57" s="245" t="e">
        <f ca="1">_xll.FDS("EURUSD","FG_PRICE("&amp;B57&amp;")")</f>
        <v>#NAME?</v>
      </c>
      <c r="D57" t="e">
        <f ca="1">_xll.FDS("GBPUSD","FG_PRICE("&amp;B57&amp;")")</f>
        <v>#NAME?</v>
      </c>
      <c r="E57" t="e">
        <f ca="1">_xll.FDSB("JPYUSD","FG_PRICE("&amp;B57&amp;")")</f>
        <v>#NAME?</v>
      </c>
    </row>
    <row r="58" spans="2:5">
      <c r="B58" s="244">
        <f t="shared" si="42"/>
        <v>43521</v>
      </c>
      <c r="C58" s="245" t="e">
        <f ca="1">_xll.FDS("EURUSD","FG_PRICE("&amp;B58&amp;")")</f>
        <v>#NAME?</v>
      </c>
      <c r="D58" t="e">
        <f ca="1">_xll.FDS("GBPUSD","FG_PRICE("&amp;B58&amp;")")</f>
        <v>#NAME?</v>
      </c>
      <c r="E58" t="e">
        <f ca="1">_xll.FDSB("JPYUSD","FG_PRICE("&amp;B58&amp;")")</f>
        <v>#NAME?</v>
      </c>
    </row>
    <row r="59" spans="2:5">
      <c r="B59" s="244">
        <f t="shared" si="42"/>
        <v>43522</v>
      </c>
      <c r="C59" s="245" t="e">
        <f ca="1">_xll.FDS("EURUSD","FG_PRICE("&amp;B59&amp;")")</f>
        <v>#NAME?</v>
      </c>
      <c r="D59" t="e">
        <f ca="1">_xll.FDS("GBPUSD","FG_PRICE("&amp;B59&amp;")")</f>
        <v>#NAME?</v>
      </c>
      <c r="E59" t="e">
        <f ca="1">_xll.FDSB("JPYUSD","FG_PRICE("&amp;B59&amp;")")</f>
        <v>#NAME?</v>
      </c>
    </row>
    <row r="60" spans="2:5">
      <c r="B60" s="244">
        <f t="shared" si="42"/>
        <v>43523</v>
      </c>
      <c r="C60" s="245" t="e">
        <f ca="1">_xll.FDS("EURUSD","FG_PRICE("&amp;B60&amp;")")</f>
        <v>#NAME?</v>
      </c>
      <c r="D60" t="e">
        <f ca="1">_xll.FDS("GBPUSD","FG_PRICE("&amp;B60&amp;")")</f>
        <v>#NAME?</v>
      </c>
      <c r="E60" t="e">
        <f ca="1">_xll.FDSB("JPYUSD","FG_PRICE("&amp;B60&amp;")")</f>
        <v>#NAME?</v>
      </c>
    </row>
    <row r="61" spans="2:5">
      <c r="B61" s="244">
        <f t="shared" si="42"/>
        <v>43524</v>
      </c>
      <c r="C61" s="245" t="e">
        <f ca="1">_xll.FDS("EURUSD","FG_PRICE("&amp;B61&amp;")")</f>
        <v>#NAME?</v>
      </c>
      <c r="D61" t="e">
        <f ca="1">_xll.FDS("GBPUSD","FG_PRICE("&amp;B61&amp;")")</f>
        <v>#NAME?</v>
      </c>
      <c r="E61" t="e">
        <f ca="1">_xll.FDSB("JPYUSD","FG_PRICE("&amp;B61&amp;")")</f>
        <v>#NAME?</v>
      </c>
    </row>
    <row r="62" spans="2:5">
      <c r="B62" s="244">
        <f t="shared" si="42"/>
        <v>43525</v>
      </c>
      <c r="C62" s="245" t="e">
        <f ca="1">_xll.FDS("EURUSD","FG_PRICE("&amp;B62&amp;")")</f>
        <v>#NAME?</v>
      </c>
      <c r="D62" t="e">
        <f ca="1">_xll.FDS("GBPUSD","FG_PRICE("&amp;B62&amp;")")</f>
        <v>#NAME?</v>
      </c>
      <c r="E62" t="e">
        <f ca="1">_xll.FDSB("JPYUSD","FG_PRICE("&amp;B62&amp;")")</f>
        <v>#NAME?</v>
      </c>
    </row>
    <row r="63" spans="2:5">
      <c r="B63" s="244">
        <f t="shared" si="42"/>
        <v>43526</v>
      </c>
      <c r="C63" s="245" t="e">
        <f ca="1">_xll.FDS("EURUSD","FG_PRICE("&amp;B63&amp;")")</f>
        <v>#NAME?</v>
      </c>
      <c r="D63" t="e">
        <f ca="1">_xll.FDS("GBPUSD","FG_PRICE("&amp;B63&amp;")")</f>
        <v>#NAME?</v>
      </c>
      <c r="E63" t="e">
        <f ca="1">_xll.FDSB("JPYUSD","FG_PRICE("&amp;B63&amp;")")</f>
        <v>#NAME?</v>
      </c>
    </row>
    <row r="64" spans="2:5">
      <c r="B64" s="244">
        <f t="shared" si="42"/>
        <v>43527</v>
      </c>
      <c r="C64" s="245" t="e">
        <f ca="1">_xll.FDS("EURUSD","FG_PRICE("&amp;B64&amp;")")</f>
        <v>#NAME?</v>
      </c>
      <c r="D64" t="e">
        <f ca="1">_xll.FDS("GBPUSD","FG_PRICE("&amp;B64&amp;")")</f>
        <v>#NAME?</v>
      </c>
      <c r="E64" t="e">
        <f ca="1">_xll.FDSB("JPYUSD","FG_PRICE("&amp;B64&amp;")")</f>
        <v>#NAME?</v>
      </c>
    </row>
    <row r="65" spans="2:5">
      <c r="B65" s="244">
        <f t="shared" si="42"/>
        <v>43528</v>
      </c>
      <c r="C65" s="245" t="e">
        <f ca="1">_xll.FDS("EURUSD","FG_PRICE("&amp;B65&amp;")")</f>
        <v>#NAME?</v>
      </c>
      <c r="D65" t="e">
        <f ca="1">_xll.FDS("GBPUSD","FG_PRICE("&amp;B65&amp;")")</f>
        <v>#NAME?</v>
      </c>
      <c r="E65" t="e">
        <f ca="1">_xll.FDSB("JPYUSD","FG_PRICE("&amp;B65&amp;")")</f>
        <v>#NAME?</v>
      </c>
    </row>
    <row r="66" spans="2:5">
      <c r="B66" s="244">
        <f t="shared" si="42"/>
        <v>43529</v>
      </c>
      <c r="C66" s="245" t="e">
        <f ca="1">_xll.FDS("EURUSD","FG_PRICE("&amp;B66&amp;")")</f>
        <v>#NAME?</v>
      </c>
      <c r="D66" t="e">
        <f ca="1">_xll.FDS("GBPUSD","FG_PRICE("&amp;B66&amp;")")</f>
        <v>#NAME?</v>
      </c>
      <c r="E66" t="e">
        <f ca="1">_xll.FDSB("JPYUSD","FG_PRICE("&amp;B66&amp;")")</f>
        <v>#NAME?</v>
      </c>
    </row>
    <row r="67" spans="2:5">
      <c r="B67" s="244">
        <f t="shared" si="42"/>
        <v>43530</v>
      </c>
      <c r="C67" s="245" t="e">
        <f ca="1">_xll.FDS("EURUSD","FG_PRICE("&amp;B67&amp;")")</f>
        <v>#NAME?</v>
      </c>
      <c r="D67" t="e">
        <f ca="1">_xll.FDS("GBPUSD","FG_PRICE("&amp;B67&amp;")")</f>
        <v>#NAME?</v>
      </c>
      <c r="E67" t="e">
        <f ca="1">_xll.FDSB("JPYUSD","FG_PRICE("&amp;B67&amp;")")</f>
        <v>#NAME?</v>
      </c>
    </row>
    <row r="68" spans="2:5">
      <c r="B68" s="244">
        <f t="shared" si="42"/>
        <v>43531</v>
      </c>
      <c r="C68" s="245" t="e">
        <f ca="1">_xll.FDS("EURUSD","FG_PRICE("&amp;B68&amp;")")</f>
        <v>#NAME?</v>
      </c>
      <c r="D68" t="e">
        <f ca="1">_xll.FDS("GBPUSD","FG_PRICE("&amp;B68&amp;")")</f>
        <v>#NAME?</v>
      </c>
      <c r="E68" t="e">
        <f ca="1">_xll.FDSB("JPYUSD","FG_PRICE("&amp;B68&amp;")")</f>
        <v>#NAME?</v>
      </c>
    </row>
    <row r="69" spans="2:5">
      <c r="B69" s="244">
        <f t="shared" ref="B69:B132" si="43">B68+1</f>
        <v>43532</v>
      </c>
      <c r="C69" s="245" t="e">
        <f ca="1">_xll.FDS("EURUSD","FG_PRICE("&amp;B69&amp;")")</f>
        <v>#NAME?</v>
      </c>
      <c r="D69" t="e">
        <f ca="1">_xll.FDS("GBPUSD","FG_PRICE("&amp;B69&amp;")")</f>
        <v>#NAME?</v>
      </c>
      <c r="E69" t="e">
        <f ca="1">_xll.FDSB("JPYUSD","FG_PRICE("&amp;B69&amp;")")</f>
        <v>#NAME?</v>
      </c>
    </row>
    <row r="70" spans="2:5">
      <c r="B70" s="244">
        <f t="shared" si="43"/>
        <v>43533</v>
      </c>
      <c r="C70" s="245" t="e">
        <f ca="1">_xll.FDS("EURUSD","FG_PRICE("&amp;B70&amp;")")</f>
        <v>#NAME?</v>
      </c>
      <c r="D70" t="e">
        <f ca="1">_xll.FDS("GBPUSD","FG_PRICE("&amp;B70&amp;")")</f>
        <v>#NAME?</v>
      </c>
      <c r="E70" t="e">
        <f ca="1">_xll.FDSB("JPYUSD","FG_PRICE("&amp;B70&amp;")")</f>
        <v>#NAME?</v>
      </c>
    </row>
    <row r="71" spans="2:5">
      <c r="B71" s="244">
        <f t="shared" si="43"/>
        <v>43534</v>
      </c>
      <c r="C71" s="245" t="e">
        <f ca="1">_xll.FDS("EURUSD","FG_PRICE("&amp;B71&amp;")")</f>
        <v>#NAME?</v>
      </c>
      <c r="D71" t="e">
        <f ca="1">_xll.FDS("GBPUSD","FG_PRICE("&amp;B71&amp;")")</f>
        <v>#NAME?</v>
      </c>
      <c r="E71" t="e">
        <f ca="1">_xll.FDSB("JPYUSD","FG_PRICE("&amp;B71&amp;")")</f>
        <v>#NAME?</v>
      </c>
    </row>
    <row r="72" spans="2:5">
      <c r="B72" s="244">
        <f t="shared" si="43"/>
        <v>43535</v>
      </c>
      <c r="C72" s="245" t="e">
        <f ca="1">_xll.FDS("EURUSD","FG_PRICE("&amp;B72&amp;")")</f>
        <v>#NAME?</v>
      </c>
      <c r="D72" t="e">
        <f ca="1">_xll.FDS("GBPUSD","FG_PRICE("&amp;B72&amp;")")</f>
        <v>#NAME?</v>
      </c>
      <c r="E72" t="e">
        <f ca="1">_xll.FDSB("JPYUSD","FG_PRICE("&amp;B72&amp;")")</f>
        <v>#NAME?</v>
      </c>
    </row>
    <row r="73" spans="2:5">
      <c r="B73" s="244">
        <f t="shared" si="43"/>
        <v>43536</v>
      </c>
      <c r="C73" s="245" t="e">
        <f ca="1">_xll.FDS("EURUSD","FG_PRICE("&amp;B73&amp;")")</f>
        <v>#NAME?</v>
      </c>
      <c r="D73" t="e">
        <f ca="1">_xll.FDS("GBPUSD","FG_PRICE("&amp;B73&amp;")")</f>
        <v>#NAME?</v>
      </c>
      <c r="E73" t="e">
        <f ca="1">_xll.FDSB("JPYUSD","FG_PRICE("&amp;B73&amp;")")</f>
        <v>#NAME?</v>
      </c>
    </row>
    <row r="74" spans="2:5">
      <c r="B74" s="244">
        <f t="shared" si="43"/>
        <v>43537</v>
      </c>
      <c r="C74" s="245" t="e">
        <f ca="1">_xll.FDS("EURUSD","FG_PRICE("&amp;B74&amp;")")</f>
        <v>#NAME?</v>
      </c>
      <c r="D74" t="e">
        <f ca="1">_xll.FDS("GBPUSD","FG_PRICE("&amp;B74&amp;")")</f>
        <v>#NAME?</v>
      </c>
      <c r="E74" t="e">
        <f ca="1">_xll.FDSB("JPYUSD","FG_PRICE("&amp;B74&amp;")")</f>
        <v>#NAME?</v>
      </c>
    </row>
    <row r="75" spans="2:5">
      <c r="B75" s="244">
        <f t="shared" si="43"/>
        <v>43538</v>
      </c>
      <c r="C75" s="245" t="e">
        <f ca="1">_xll.FDS("EURUSD","FG_PRICE("&amp;B75&amp;")")</f>
        <v>#NAME?</v>
      </c>
      <c r="D75" t="e">
        <f ca="1">_xll.FDS("GBPUSD","FG_PRICE("&amp;B75&amp;")")</f>
        <v>#NAME?</v>
      </c>
      <c r="E75" t="e">
        <f ca="1">_xll.FDSB("JPYUSD","FG_PRICE("&amp;B75&amp;")")</f>
        <v>#NAME?</v>
      </c>
    </row>
    <row r="76" spans="2:5">
      <c r="B76" s="244">
        <f t="shared" si="43"/>
        <v>43539</v>
      </c>
      <c r="C76" s="245" t="e">
        <f ca="1">_xll.FDS("EURUSD","FG_PRICE("&amp;B76&amp;")")</f>
        <v>#NAME?</v>
      </c>
      <c r="D76" t="e">
        <f ca="1">_xll.FDS("GBPUSD","FG_PRICE("&amp;B76&amp;")")</f>
        <v>#NAME?</v>
      </c>
      <c r="E76" t="e">
        <f ca="1">_xll.FDSB("JPYUSD","FG_PRICE("&amp;B76&amp;")")</f>
        <v>#NAME?</v>
      </c>
    </row>
    <row r="77" spans="2:5">
      <c r="B77" s="244">
        <f t="shared" si="43"/>
        <v>43540</v>
      </c>
      <c r="C77" s="245" t="e">
        <f ca="1">_xll.FDS("EURUSD","FG_PRICE("&amp;B77&amp;")")</f>
        <v>#NAME?</v>
      </c>
      <c r="D77" t="e">
        <f ca="1">_xll.FDS("GBPUSD","FG_PRICE("&amp;B77&amp;")")</f>
        <v>#NAME?</v>
      </c>
      <c r="E77" t="e">
        <f ca="1">_xll.FDSB("JPYUSD","FG_PRICE("&amp;B77&amp;")")</f>
        <v>#NAME?</v>
      </c>
    </row>
    <row r="78" spans="2:5">
      <c r="B78" s="244">
        <f t="shared" si="43"/>
        <v>43541</v>
      </c>
      <c r="C78" s="245" t="e">
        <f ca="1">_xll.FDS("EURUSD","FG_PRICE("&amp;B78&amp;")")</f>
        <v>#NAME?</v>
      </c>
      <c r="D78" t="e">
        <f ca="1">_xll.FDS("GBPUSD","FG_PRICE("&amp;B78&amp;")")</f>
        <v>#NAME?</v>
      </c>
      <c r="E78" t="e">
        <f ca="1">_xll.FDSB("JPYUSD","FG_PRICE("&amp;B78&amp;")")</f>
        <v>#NAME?</v>
      </c>
    </row>
    <row r="79" spans="2:5">
      <c r="B79" s="244">
        <f t="shared" si="43"/>
        <v>43542</v>
      </c>
      <c r="C79" s="245" t="e">
        <f ca="1">_xll.FDS("EURUSD","FG_PRICE("&amp;B79&amp;")")</f>
        <v>#NAME?</v>
      </c>
      <c r="D79" t="e">
        <f ca="1">_xll.FDS("GBPUSD","FG_PRICE("&amp;B79&amp;")")</f>
        <v>#NAME?</v>
      </c>
      <c r="E79" t="e">
        <f ca="1">_xll.FDSB("JPYUSD","FG_PRICE("&amp;B79&amp;")")</f>
        <v>#NAME?</v>
      </c>
    </row>
    <row r="80" spans="2:5">
      <c r="B80" s="244">
        <f t="shared" si="43"/>
        <v>43543</v>
      </c>
      <c r="C80" s="245" t="e">
        <f ca="1">_xll.FDS("EURUSD","FG_PRICE("&amp;B80&amp;")")</f>
        <v>#NAME?</v>
      </c>
      <c r="D80" t="e">
        <f ca="1">_xll.FDS("GBPUSD","FG_PRICE("&amp;B80&amp;")")</f>
        <v>#NAME?</v>
      </c>
      <c r="E80" t="e">
        <f ca="1">_xll.FDSB("JPYUSD","FG_PRICE("&amp;B80&amp;")")</f>
        <v>#NAME?</v>
      </c>
    </row>
    <row r="81" spans="2:5">
      <c r="B81" s="244">
        <f t="shared" si="43"/>
        <v>43544</v>
      </c>
      <c r="C81" s="245" t="e">
        <f ca="1">_xll.FDS("EURUSD","FG_PRICE("&amp;B81&amp;")")</f>
        <v>#NAME?</v>
      </c>
      <c r="D81" t="e">
        <f ca="1">_xll.FDS("GBPUSD","FG_PRICE("&amp;B81&amp;")")</f>
        <v>#NAME?</v>
      </c>
      <c r="E81" t="e">
        <f ca="1">_xll.FDSB("JPYUSD","FG_PRICE("&amp;B81&amp;")")</f>
        <v>#NAME?</v>
      </c>
    </row>
    <row r="82" spans="2:5">
      <c r="B82" s="244">
        <f t="shared" si="43"/>
        <v>43545</v>
      </c>
      <c r="C82" s="245" t="e">
        <f ca="1">_xll.FDS("EURUSD","FG_PRICE("&amp;B82&amp;")")</f>
        <v>#NAME?</v>
      </c>
      <c r="D82" t="e">
        <f ca="1">_xll.FDS("GBPUSD","FG_PRICE("&amp;B82&amp;")")</f>
        <v>#NAME?</v>
      </c>
      <c r="E82" t="e">
        <f ca="1">_xll.FDSB("JPYUSD","FG_PRICE("&amp;B82&amp;")")</f>
        <v>#NAME?</v>
      </c>
    </row>
    <row r="83" spans="2:5">
      <c r="B83" s="244">
        <f t="shared" si="43"/>
        <v>43546</v>
      </c>
      <c r="C83" s="245" t="e">
        <f ca="1">_xll.FDS("EURUSD","FG_PRICE("&amp;B83&amp;")")</f>
        <v>#NAME?</v>
      </c>
      <c r="D83" t="e">
        <f ca="1">_xll.FDS("GBPUSD","FG_PRICE("&amp;B83&amp;")")</f>
        <v>#NAME?</v>
      </c>
      <c r="E83" t="e">
        <f ca="1">_xll.FDSB("JPYUSD","FG_PRICE("&amp;B83&amp;")")</f>
        <v>#NAME?</v>
      </c>
    </row>
    <row r="84" spans="2:5">
      <c r="B84" s="244">
        <f t="shared" si="43"/>
        <v>43547</v>
      </c>
      <c r="C84" s="245" t="e">
        <f ca="1">_xll.FDS("EURUSD","FG_PRICE("&amp;B84&amp;")")</f>
        <v>#NAME?</v>
      </c>
      <c r="D84" t="e">
        <f ca="1">_xll.FDS("GBPUSD","FG_PRICE("&amp;B84&amp;")")</f>
        <v>#NAME?</v>
      </c>
      <c r="E84" t="e">
        <f ca="1">_xll.FDSB("JPYUSD","FG_PRICE("&amp;B84&amp;")")</f>
        <v>#NAME?</v>
      </c>
    </row>
    <row r="85" spans="2:5">
      <c r="B85" s="244">
        <f t="shared" si="43"/>
        <v>43548</v>
      </c>
      <c r="C85" s="245" t="e">
        <f ca="1">_xll.FDS("EURUSD","FG_PRICE("&amp;B85&amp;")")</f>
        <v>#NAME?</v>
      </c>
      <c r="D85" t="e">
        <f ca="1">_xll.FDS("GBPUSD","FG_PRICE("&amp;B85&amp;")")</f>
        <v>#NAME?</v>
      </c>
      <c r="E85" t="e">
        <f ca="1">_xll.FDSB("JPYUSD","FG_PRICE("&amp;B85&amp;")")</f>
        <v>#NAME?</v>
      </c>
    </row>
    <row r="86" spans="2:5">
      <c r="B86" s="244">
        <f t="shared" si="43"/>
        <v>43549</v>
      </c>
      <c r="C86" s="245" t="e">
        <f ca="1">_xll.FDS("EURUSD","FG_PRICE("&amp;B86&amp;")")</f>
        <v>#NAME?</v>
      </c>
      <c r="D86" t="e">
        <f ca="1">_xll.FDS("GBPUSD","FG_PRICE("&amp;B86&amp;")")</f>
        <v>#NAME?</v>
      </c>
      <c r="E86" t="e">
        <f ca="1">_xll.FDSB("JPYUSD","FG_PRICE("&amp;B86&amp;")")</f>
        <v>#NAME?</v>
      </c>
    </row>
    <row r="87" spans="2:5">
      <c r="B87" s="244">
        <f t="shared" si="43"/>
        <v>43550</v>
      </c>
      <c r="C87" s="245" t="e">
        <f ca="1">_xll.FDS("EURUSD","FG_PRICE("&amp;B87&amp;")")</f>
        <v>#NAME?</v>
      </c>
      <c r="D87" t="e">
        <f ca="1">_xll.FDS("GBPUSD","FG_PRICE("&amp;B87&amp;")")</f>
        <v>#NAME?</v>
      </c>
      <c r="E87" t="e">
        <f ca="1">_xll.FDSB("JPYUSD","FG_PRICE("&amp;B87&amp;")")</f>
        <v>#NAME?</v>
      </c>
    </row>
    <row r="88" spans="2:5">
      <c r="B88" s="244">
        <f t="shared" si="43"/>
        <v>43551</v>
      </c>
      <c r="C88" s="245" t="e">
        <f ca="1">_xll.FDS("EURUSD","FG_PRICE("&amp;B88&amp;")")</f>
        <v>#NAME?</v>
      </c>
      <c r="D88" t="e">
        <f ca="1">_xll.FDS("GBPUSD","FG_PRICE("&amp;B88&amp;")")</f>
        <v>#NAME?</v>
      </c>
      <c r="E88" t="e">
        <f ca="1">_xll.FDSB("JPYUSD","FG_PRICE("&amp;B88&amp;")")</f>
        <v>#NAME?</v>
      </c>
    </row>
    <row r="89" spans="2:5">
      <c r="B89" s="244">
        <f t="shared" si="43"/>
        <v>43552</v>
      </c>
      <c r="C89" s="245" t="e">
        <f ca="1">_xll.FDS("EURUSD","FG_PRICE("&amp;B89&amp;")")</f>
        <v>#NAME?</v>
      </c>
      <c r="D89" t="e">
        <f ca="1">_xll.FDS("GBPUSD","FG_PRICE("&amp;B89&amp;")")</f>
        <v>#NAME?</v>
      </c>
      <c r="E89" t="e">
        <f ca="1">_xll.FDSB("JPYUSD","FG_PRICE("&amp;B89&amp;")")</f>
        <v>#NAME?</v>
      </c>
    </row>
    <row r="90" spans="2:5">
      <c r="B90" s="244">
        <f t="shared" si="43"/>
        <v>43553</v>
      </c>
      <c r="C90" s="245" t="e">
        <f ca="1">_xll.FDS("EURUSD","FG_PRICE("&amp;B90&amp;")")</f>
        <v>#NAME?</v>
      </c>
      <c r="D90" t="e">
        <f ca="1">_xll.FDS("GBPUSD","FG_PRICE("&amp;B90&amp;")")</f>
        <v>#NAME?</v>
      </c>
      <c r="E90" t="e">
        <f ca="1">_xll.FDSB("JPYUSD","FG_PRICE("&amp;B90&amp;")")</f>
        <v>#NAME?</v>
      </c>
    </row>
    <row r="91" spans="2:5">
      <c r="B91" s="244">
        <f t="shared" si="43"/>
        <v>43554</v>
      </c>
      <c r="C91" s="245" t="e">
        <f ca="1">_xll.FDS("EURUSD","FG_PRICE("&amp;B91&amp;")")</f>
        <v>#NAME?</v>
      </c>
      <c r="D91" t="e">
        <f ca="1">_xll.FDS("GBPUSD","FG_PRICE("&amp;B91&amp;")")</f>
        <v>#NAME?</v>
      </c>
      <c r="E91" t="e">
        <f ca="1">_xll.FDSB("JPYUSD","FG_PRICE("&amp;B91&amp;")")</f>
        <v>#NAME?</v>
      </c>
    </row>
    <row r="92" spans="2:5">
      <c r="B92" s="244">
        <f t="shared" si="43"/>
        <v>43555</v>
      </c>
      <c r="C92" s="245" t="e">
        <f ca="1">_xll.FDS("EURUSD","FG_PRICE("&amp;B92&amp;")")</f>
        <v>#NAME?</v>
      </c>
      <c r="D92" t="e">
        <f ca="1">_xll.FDS("GBPUSD","FG_PRICE("&amp;B92&amp;")")</f>
        <v>#NAME?</v>
      </c>
      <c r="E92" t="e">
        <f ca="1">_xll.FDSB("JPYUSD","FG_PRICE("&amp;B92&amp;")")</f>
        <v>#NAME?</v>
      </c>
    </row>
    <row r="93" spans="2:5">
      <c r="B93" s="244">
        <f t="shared" si="43"/>
        <v>43556</v>
      </c>
      <c r="C93" s="245" t="e">
        <f ca="1">_xll.FDS("EURUSD","FG_PRICE("&amp;B93&amp;")")</f>
        <v>#NAME?</v>
      </c>
      <c r="D93" t="e">
        <f ca="1">_xll.FDS("GBPUSD","FG_PRICE("&amp;B93&amp;")")</f>
        <v>#NAME?</v>
      </c>
      <c r="E93" t="e">
        <f ca="1">_xll.FDSB("JPYUSD","FG_PRICE("&amp;B93&amp;")")</f>
        <v>#NAME?</v>
      </c>
    </row>
    <row r="94" spans="2:5">
      <c r="B94" s="244">
        <f t="shared" si="43"/>
        <v>43557</v>
      </c>
      <c r="C94" s="245" t="e">
        <f ca="1">_xll.FDS("EURUSD","FG_PRICE("&amp;B94&amp;")")</f>
        <v>#NAME?</v>
      </c>
      <c r="D94" t="e">
        <f ca="1">_xll.FDS("GBPUSD","FG_PRICE("&amp;B94&amp;")")</f>
        <v>#NAME?</v>
      </c>
      <c r="E94" t="e">
        <f ca="1">_xll.FDSB("JPYUSD","FG_PRICE("&amp;B94&amp;")")</f>
        <v>#NAME?</v>
      </c>
    </row>
    <row r="95" spans="2:5">
      <c r="B95" s="244">
        <f t="shared" si="43"/>
        <v>43558</v>
      </c>
      <c r="C95" s="245" t="e">
        <f ca="1">_xll.FDS("EURUSD","FG_PRICE("&amp;B95&amp;")")</f>
        <v>#NAME?</v>
      </c>
      <c r="D95" t="e">
        <f ca="1">_xll.FDS("GBPUSD","FG_PRICE("&amp;B95&amp;")")</f>
        <v>#NAME?</v>
      </c>
      <c r="E95" t="e">
        <f ca="1">_xll.FDSB("JPYUSD","FG_PRICE("&amp;B95&amp;")")</f>
        <v>#NAME?</v>
      </c>
    </row>
    <row r="96" spans="2:5">
      <c r="B96" s="244">
        <f t="shared" si="43"/>
        <v>43559</v>
      </c>
      <c r="C96" s="245" t="e">
        <f ca="1">_xll.FDS("EURUSD","FG_PRICE("&amp;B96&amp;")")</f>
        <v>#NAME?</v>
      </c>
      <c r="D96" t="e">
        <f ca="1">_xll.FDS("GBPUSD","FG_PRICE("&amp;B96&amp;")")</f>
        <v>#NAME?</v>
      </c>
      <c r="E96" t="e">
        <f ca="1">_xll.FDSB("JPYUSD","FG_PRICE("&amp;B96&amp;")")</f>
        <v>#NAME?</v>
      </c>
    </row>
    <row r="97" spans="2:5">
      <c r="B97" s="244">
        <f t="shared" si="43"/>
        <v>43560</v>
      </c>
      <c r="C97" s="245" t="e">
        <f ca="1">_xll.FDS("EURUSD","FG_PRICE("&amp;B97&amp;")")</f>
        <v>#NAME?</v>
      </c>
      <c r="D97" t="e">
        <f ca="1">_xll.FDS("GBPUSD","FG_PRICE("&amp;B97&amp;")")</f>
        <v>#NAME?</v>
      </c>
      <c r="E97" t="e">
        <f ca="1">_xll.FDSB("JPYUSD","FG_PRICE("&amp;B97&amp;")")</f>
        <v>#NAME?</v>
      </c>
    </row>
    <row r="98" spans="2:5">
      <c r="B98" s="244">
        <f t="shared" si="43"/>
        <v>43561</v>
      </c>
      <c r="C98" s="245" t="e">
        <f ca="1">_xll.FDS("EURUSD","FG_PRICE("&amp;B98&amp;")")</f>
        <v>#NAME?</v>
      </c>
      <c r="D98" t="e">
        <f ca="1">_xll.FDS("GBPUSD","FG_PRICE("&amp;B98&amp;")")</f>
        <v>#NAME?</v>
      </c>
      <c r="E98" t="e">
        <f ca="1">_xll.FDSB("JPYUSD","FG_PRICE("&amp;B98&amp;")")</f>
        <v>#NAME?</v>
      </c>
    </row>
    <row r="99" spans="2:5">
      <c r="B99" s="244">
        <f t="shared" si="43"/>
        <v>43562</v>
      </c>
      <c r="C99" s="245" t="e">
        <f ca="1">_xll.FDS("EURUSD","FG_PRICE("&amp;B99&amp;")")</f>
        <v>#NAME?</v>
      </c>
      <c r="D99" t="e">
        <f ca="1">_xll.FDS("GBPUSD","FG_PRICE("&amp;B99&amp;")")</f>
        <v>#NAME?</v>
      </c>
      <c r="E99" t="e">
        <f ca="1">_xll.FDSB("JPYUSD","FG_PRICE("&amp;B99&amp;")")</f>
        <v>#NAME?</v>
      </c>
    </row>
    <row r="100" spans="2:5">
      <c r="B100" s="244">
        <f t="shared" si="43"/>
        <v>43563</v>
      </c>
      <c r="C100" s="245" t="e">
        <f ca="1">_xll.FDS("EURUSD","FG_PRICE("&amp;B100&amp;")")</f>
        <v>#NAME?</v>
      </c>
      <c r="D100" t="e">
        <f ca="1">_xll.FDS("GBPUSD","FG_PRICE("&amp;B100&amp;")")</f>
        <v>#NAME?</v>
      </c>
      <c r="E100" t="e">
        <f ca="1">_xll.FDSB("JPYUSD","FG_PRICE("&amp;B100&amp;")")</f>
        <v>#NAME?</v>
      </c>
    </row>
    <row r="101" spans="2:5">
      <c r="B101" s="244">
        <f t="shared" si="43"/>
        <v>43564</v>
      </c>
      <c r="C101" s="245" t="e">
        <f ca="1">_xll.FDS("EURUSD","FG_PRICE("&amp;B101&amp;")")</f>
        <v>#NAME?</v>
      </c>
      <c r="D101" t="e">
        <f ca="1">_xll.FDS("GBPUSD","FG_PRICE("&amp;B101&amp;")")</f>
        <v>#NAME?</v>
      </c>
      <c r="E101" t="e">
        <f ca="1">_xll.FDSB("JPYUSD","FG_PRICE("&amp;B101&amp;")")</f>
        <v>#NAME?</v>
      </c>
    </row>
    <row r="102" spans="2:5">
      <c r="B102" s="244">
        <f t="shared" si="43"/>
        <v>43565</v>
      </c>
      <c r="C102" s="245" t="e">
        <f ca="1">_xll.FDS("EURUSD","FG_PRICE("&amp;B102&amp;")")</f>
        <v>#NAME?</v>
      </c>
      <c r="D102" t="e">
        <f ca="1">_xll.FDS("GBPUSD","FG_PRICE("&amp;B102&amp;")")</f>
        <v>#NAME?</v>
      </c>
      <c r="E102" t="e">
        <f ca="1">_xll.FDSB("JPYUSD","FG_PRICE("&amp;B102&amp;")")</f>
        <v>#NAME?</v>
      </c>
    </row>
    <row r="103" spans="2:5">
      <c r="B103" s="244">
        <f t="shared" si="43"/>
        <v>43566</v>
      </c>
      <c r="C103" s="245" t="e">
        <f ca="1">_xll.FDS("EURUSD","FG_PRICE("&amp;B103&amp;")")</f>
        <v>#NAME?</v>
      </c>
      <c r="D103" t="e">
        <f ca="1">_xll.FDS("GBPUSD","FG_PRICE("&amp;B103&amp;")")</f>
        <v>#NAME?</v>
      </c>
      <c r="E103" t="e">
        <f ca="1">_xll.FDSB("JPYUSD","FG_PRICE("&amp;B103&amp;")")</f>
        <v>#NAME?</v>
      </c>
    </row>
    <row r="104" spans="2:5">
      <c r="B104" s="244">
        <f t="shared" si="43"/>
        <v>43567</v>
      </c>
      <c r="C104" s="245" t="e">
        <f ca="1">_xll.FDS("EURUSD","FG_PRICE("&amp;B104&amp;")")</f>
        <v>#NAME?</v>
      </c>
      <c r="D104" t="e">
        <f ca="1">_xll.FDS("GBPUSD","FG_PRICE("&amp;B104&amp;")")</f>
        <v>#NAME?</v>
      </c>
      <c r="E104" t="e">
        <f ca="1">_xll.FDSB("JPYUSD","FG_PRICE("&amp;B104&amp;")")</f>
        <v>#NAME?</v>
      </c>
    </row>
    <row r="105" spans="2:5">
      <c r="B105" s="244">
        <f t="shared" si="43"/>
        <v>43568</v>
      </c>
      <c r="C105" s="245" t="e">
        <f ca="1">_xll.FDS("EURUSD","FG_PRICE("&amp;B105&amp;")")</f>
        <v>#NAME?</v>
      </c>
      <c r="D105" t="e">
        <f ca="1">_xll.FDS("GBPUSD","FG_PRICE("&amp;B105&amp;")")</f>
        <v>#NAME?</v>
      </c>
      <c r="E105" t="e">
        <f ca="1">_xll.FDSB("JPYUSD","FG_PRICE("&amp;B105&amp;")")</f>
        <v>#NAME?</v>
      </c>
    </row>
    <row r="106" spans="2:5">
      <c r="B106" s="244">
        <f t="shared" si="43"/>
        <v>43569</v>
      </c>
      <c r="C106" s="245" t="e">
        <f ca="1">_xll.FDS("EURUSD","FG_PRICE("&amp;B106&amp;")")</f>
        <v>#NAME?</v>
      </c>
      <c r="D106" t="e">
        <f ca="1">_xll.FDS("GBPUSD","FG_PRICE("&amp;B106&amp;")")</f>
        <v>#NAME?</v>
      </c>
      <c r="E106" t="e">
        <f ca="1">_xll.FDSB("JPYUSD","FG_PRICE("&amp;B106&amp;")")</f>
        <v>#NAME?</v>
      </c>
    </row>
    <row r="107" spans="2:5">
      <c r="B107" s="244">
        <f t="shared" si="43"/>
        <v>43570</v>
      </c>
      <c r="C107" s="245" t="e">
        <f ca="1">_xll.FDS("EURUSD","FG_PRICE("&amp;B107&amp;")")</f>
        <v>#NAME?</v>
      </c>
      <c r="D107" t="e">
        <f ca="1">_xll.FDS("GBPUSD","FG_PRICE("&amp;B107&amp;")")</f>
        <v>#NAME?</v>
      </c>
      <c r="E107" t="e">
        <f ca="1">_xll.FDSB("JPYUSD","FG_PRICE("&amp;B107&amp;")")</f>
        <v>#NAME?</v>
      </c>
    </row>
    <row r="108" spans="2:5">
      <c r="B108" s="244">
        <f t="shared" si="43"/>
        <v>43571</v>
      </c>
      <c r="C108" s="245" t="e">
        <f ca="1">_xll.FDS("EURUSD","FG_PRICE("&amp;B108&amp;")")</f>
        <v>#NAME?</v>
      </c>
      <c r="D108" t="e">
        <f ca="1">_xll.FDS("GBPUSD","FG_PRICE("&amp;B108&amp;")")</f>
        <v>#NAME?</v>
      </c>
      <c r="E108" t="e">
        <f ca="1">_xll.FDSB("JPYUSD","FG_PRICE("&amp;B108&amp;")")</f>
        <v>#NAME?</v>
      </c>
    </row>
    <row r="109" spans="2:5">
      <c r="B109" s="244">
        <f t="shared" si="43"/>
        <v>43572</v>
      </c>
      <c r="C109" s="245" t="e">
        <f ca="1">_xll.FDS("EURUSD","FG_PRICE("&amp;B109&amp;")")</f>
        <v>#NAME?</v>
      </c>
      <c r="D109" t="e">
        <f ca="1">_xll.FDS("GBPUSD","FG_PRICE("&amp;B109&amp;")")</f>
        <v>#NAME?</v>
      </c>
      <c r="E109" t="e">
        <f ca="1">_xll.FDSB("JPYUSD","FG_PRICE("&amp;B109&amp;")")</f>
        <v>#NAME?</v>
      </c>
    </row>
    <row r="110" spans="2:5">
      <c r="B110" s="244">
        <f t="shared" si="43"/>
        <v>43573</v>
      </c>
      <c r="C110" s="245" t="e">
        <f ca="1">_xll.FDS("EURUSD","FG_PRICE("&amp;B110&amp;")")</f>
        <v>#NAME?</v>
      </c>
      <c r="D110" t="e">
        <f ca="1">_xll.FDS("GBPUSD","FG_PRICE("&amp;B110&amp;")")</f>
        <v>#NAME?</v>
      </c>
      <c r="E110" t="e">
        <f ca="1">_xll.FDSB("JPYUSD","FG_PRICE("&amp;B110&amp;")")</f>
        <v>#NAME?</v>
      </c>
    </row>
    <row r="111" spans="2:5">
      <c r="B111" s="244">
        <f t="shared" si="43"/>
        <v>43574</v>
      </c>
      <c r="C111" s="245" t="e">
        <f ca="1">_xll.FDS("EURUSD","FG_PRICE("&amp;B111&amp;")")</f>
        <v>#NAME?</v>
      </c>
      <c r="D111" t="e">
        <f ca="1">_xll.FDS("GBPUSD","FG_PRICE("&amp;B111&amp;")")</f>
        <v>#NAME?</v>
      </c>
      <c r="E111" t="e">
        <f ca="1">_xll.FDSB("JPYUSD","FG_PRICE("&amp;B111&amp;")")</f>
        <v>#NAME?</v>
      </c>
    </row>
    <row r="112" spans="2:5">
      <c r="B112" s="244">
        <f t="shared" si="43"/>
        <v>43575</v>
      </c>
      <c r="C112" s="245" t="e">
        <f ca="1">_xll.FDS("EURUSD","FG_PRICE("&amp;B112&amp;")")</f>
        <v>#NAME?</v>
      </c>
      <c r="D112" t="e">
        <f ca="1">_xll.FDS("GBPUSD","FG_PRICE("&amp;B112&amp;")")</f>
        <v>#NAME?</v>
      </c>
      <c r="E112" t="e">
        <f ca="1">_xll.FDSB("JPYUSD","FG_PRICE("&amp;B112&amp;")")</f>
        <v>#NAME?</v>
      </c>
    </row>
    <row r="113" spans="2:5">
      <c r="B113" s="244">
        <f t="shared" si="43"/>
        <v>43576</v>
      </c>
      <c r="C113" s="245" t="e">
        <f ca="1">_xll.FDS("EURUSD","FG_PRICE("&amp;B113&amp;")")</f>
        <v>#NAME?</v>
      </c>
      <c r="D113" t="e">
        <f ca="1">_xll.FDS("GBPUSD","FG_PRICE("&amp;B113&amp;")")</f>
        <v>#NAME?</v>
      </c>
      <c r="E113" t="e">
        <f ca="1">_xll.FDSB("JPYUSD","FG_PRICE("&amp;B113&amp;")")</f>
        <v>#NAME?</v>
      </c>
    </row>
    <row r="114" spans="2:5">
      <c r="B114" s="244">
        <f t="shared" si="43"/>
        <v>43577</v>
      </c>
      <c r="C114" s="245" t="e">
        <f ca="1">_xll.FDS("EURUSD","FG_PRICE("&amp;B114&amp;")")</f>
        <v>#NAME?</v>
      </c>
      <c r="D114" t="e">
        <f ca="1">_xll.FDS("GBPUSD","FG_PRICE("&amp;B114&amp;")")</f>
        <v>#NAME?</v>
      </c>
      <c r="E114" t="e">
        <f ca="1">_xll.FDSB("JPYUSD","FG_PRICE("&amp;B114&amp;")")</f>
        <v>#NAME?</v>
      </c>
    </row>
    <row r="115" spans="2:5">
      <c r="B115" s="244">
        <f t="shared" si="43"/>
        <v>43578</v>
      </c>
      <c r="C115" s="245" t="e">
        <f ca="1">_xll.FDS("EURUSD","FG_PRICE("&amp;B115&amp;")")</f>
        <v>#NAME?</v>
      </c>
      <c r="D115" t="e">
        <f ca="1">_xll.FDS("GBPUSD","FG_PRICE("&amp;B115&amp;")")</f>
        <v>#NAME?</v>
      </c>
      <c r="E115" t="e">
        <f ca="1">_xll.FDSB("JPYUSD","FG_PRICE("&amp;B115&amp;")")</f>
        <v>#NAME?</v>
      </c>
    </row>
    <row r="116" spans="2:5">
      <c r="B116" s="244">
        <f t="shared" si="43"/>
        <v>43579</v>
      </c>
      <c r="C116" s="245" t="e">
        <f ca="1">_xll.FDS("EURUSD","FG_PRICE("&amp;B116&amp;")")</f>
        <v>#NAME?</v>
      </c>
      <c r="D116" t="e">
        <f ca="1">_xll.FDS("GBPUSD","FG_PRICE("&amp;B116&amp;")")</f>
        <v>#NAME?</v>
      </c>
      <c r="E116" t="e">
        <f ca="1">_xll.FDSB("JPYUSD","FG_PRICE("&amp;B116&amp;")")</f>
        <v>#NAME?</v>
      </c>
    </row>
    <row r="117" spans="2:5">
      <c r="B117" s="244">
        <f t="shared" si="43"/>
        <v>43580</v>
      </c>
      <c r="C117" s="245" t="e">
        <f ca="1">_xll.FDS("EURUSD","FG_PRICE("&amp;B117&amp;")")</f>
        <v>#NAME?</v>
      </c>
      <c r="D117" t="e">
        <f ca="1">_xll.FDS("GBPUSD","FG_PRICE("&amp;B117&amp;")")</f>
        <v>#NAME?</v>
      </c>
      <c r="E117" t="e">
        <f ca="1">_xll.FDSB("JPYUSD","FG_PRICE("&amp;B117&amp;")")</f>
        <v>#NAME?</v>
      </c>
    </row>
    <row r="118" spans="2:5">
      <c r="B118" s="244">
        <f t="shared" si="43"/>
        <v>43581</v>
      </c>
      <c r="C118" s="245" t="e">
        <f ca="1">_xll.FDS("EURUSD","FG_PRICE("&amp;B118&amp;")")</f>
        <v>#NAME?</v>
      </c>
      <c r="D118" t="e">
        <f ca="1">_xll.FDS("GBPUSD","FG_PRICE("&amp;B118&amp;")")</f>
        <v>#NAME?</v>
      </c>
      <c r="E118" t="e">
        <f ca="1">_xll.FDSB("JPYUSD","FG_PRICE("&amp;B118&amp;")")</f>
        <v>#NAME?</v>
      </c>
    </row>
    <row r="119" spans="2:5">
      <c r="B119" s="244">
        <f t="shared" si="43"/>
        <v>43582</v>
      </c>
      <c r="C119" s="245" t="e">
        <f ca="1">_xll.FDS("EURUSD","FG_PRICE("&amp;B119&amp;")")</f>
        <v>#NAME?</v>
      </c>
      <c r="D119" t="e">
        <f ca="1">_xll.FDS("GBPUSD","FG_PRICE("&amp;B119&amp;")")</f>
        <v>#NAME?</v>
      </c>
      <c r="E119" t="e">
        <f ca="1">_xll.FDSB("JPYUSD","FG_PRICE("&amp;B119&amp;")")</f>
        <v>#NAME?</v>
      </c>
    </row>
    <row r="120" spans="2:5">
      <c r="B120" s="244">
        <f t="shared" si="43"/>
        <v>43583</v>
      </c>
      <c r="C120" s="245" t="e">
        <f ca="1">_xll.FDS("EURUSD","FG_PRICE("&amp;B120&amp;")")</f>
        <v>#NAME?</v>
      </c>
      <c r="D120" t="e">
        <f ca="1">_xll.FDS("GBPUSD","FG_PRICE("&amp;B120&amp;")")</f>
        <v>#NAME?</v>
      </c>
      <c r="E120" t="e">
        <f ca="1">_xll.FDSB("JPYUSD","FG_PRICE("&amp;B120&amp;")")</f>
        <v>#NAME?</v>
      </c>
    </row>
    <row r="121" spans="2:5">
      <c r="B121" s="244">
        <f t="shared" si="43"/>
        <v>43584</v>
      </c>
      <c r="C121" s="245" t="e">
        <f ca="1">_xll.FDS("EURUSD","FG_PRICE("&amp;B121&amp;")")</f>
        <v>#NAME?</v>
      </c>
      <c r="D121" t="e">
        <f ca="1">_xll.FDS("GBPUSD","FG_PRICE("&amp;B121&amp;")")</f>
        <v>#NAME?</v>
      </c>
      <c r="E121" t="e">
        <f ca="1">_xll.FDSB("JPYUSD","FG_PRICE("&amp;B121&amp;")")</f>
        <v>#NAME?</v>
      </c>
    </row>
    <row r="122" spans="2:5">
      <c r="B122" s="244">
        <f t="shared" si="43"/>
        <v>43585</v>
      </c>
      <c r="C122" s="245" t="e">
        <f ca="1">_xll.FDS("EURUSD","FG_PRICE("&amp;B122&amp;")")</f>
        <v>#NAME?</v>
      </c>
      <c r="D122" t="e">
        <f ca="1">_xll.FDS("GBPUSD","FG_PRICE("&amp;B122&amp;")")</f>
        <v>#NAME?</v>
      </c>
      <c r="E122" t="e">
        <f ca="1">_xll.FDSB("JPYUSD","FG_PRICE("&amp;B122&amp;")")</f>
        <v>#NAME?</v>
      </c>
    </row>
    <row r="123" spans="2:5">
      <c r="B123" s="244">
        <f t="shared" si="43"/>
        <v>43586</v>
      </c>
      <c r="C123" s="245" t="e">
        <f ca="1">_xll.FDS("EURUSD","FG_PRICE("&amp;B123&amp;")")</f>
        <v>#NAME?</v>
      </c>
      <c r="D123" t="e">
        <f ca="1">_xll.FDS("GBPUSD","FG_PRICE("&amp;B123&amp;")")</f>
        <v>#NAME?</v>
      </c>
      <c r="E123" t="e">
        <f ca="1">_xll.FDSB("JPYUSD","FG_PRICE("&amp;B123&amp;")")</f>
        <v>#NAME?</v>
      </c>
    </row>
    <row r="124" spans="2:5">
      <c r="B124" s="244">
        <f t="shared" si="43"/>
        <v>43587</v>
      </c>
      <c r="C124" s="245" t="e">
        <f ca="1">_xll.FDS("EURUSD","FG_PRICE("&amp;B124&amp;")")</f>
        <v>#NAME?</v>
      </c>
      <c r="D124" t="e">
        <f ca="1">_xll.FDS("GBPUSD","FG_PRICE("&amp;B124&amp;")")</f>
        <v>#NAME?</v>
      </c>
      <c r="E124" t="e">
        <f ca="1">_xll.FDSB("JPYUSD","FG_PRICE("&amp;B124&amp;")")</f>
        <v>#NAME?</v>
      </c>
    </row>
    <row r="125" spans="2:5">
      <c r="B125" s="244">
        <f t="shared" si="43"/>
        <v>43588</v>
      </c>
      <c r="C125" s="245" t="e">
        <f ca="1">_xll.FDS("EURUSD","FG_PRICE("&amp;B125&amp;")")</f>
        <v>#NAME?</v>
      </c>
      <c r="D125" t="e">
        <f ca="1">_xll.FDS("GBPUSD","FG_PRICE("&amp;B125&amp;")")</f>
        <v>#NAME?</v>
      </c>
      <c r="E125" t="e">
        <f ca="1">_xll.FDSB("JPYUSD","FG_PRICE("&amp;B125&amp;")")</f>
        <v>#NAME?</v>
      </c>
    </row>
    <row r="126" spans="2:5">
      <c r="B126" s="244">
        <f t="shared" si="43"/>
        <v>43589</v>
      </c>
      <c r="C126" s="245" t="e">
        <f ca="1">_xll.FDS("EURUSD","FG_PRICE("&amp;B126&amp;")")</f>
        <v>#NAME?</v>
      </c>
      <c r="D126" t="e">
        <f ca="1">_xll.FDS("GBPUSD","FG_PRICE("&amp;B126&amp;")")</f>
        <v>#NAME?</v>
      </c>
      <c r="E126" t="e">
        <f ca="1">_xll.FDSB("JPYUSD","FG_PRICE("&amp;B126&amp;")")</f>
        <v>#NAME?</v>
      </c>
    </row>
    <row r="127" spans="2:5">
      <c r="B127" s="244">
        <f t="shared" si="43"/>
        <v>43590</v>
      </c>
      <c r="C127" s="245" t="e">
        <f ca="1">_xll.FDS("EURUSD","FG_PRICE("&amp;B127&amp;")")</f>
        <v>#NAME?</v>
      </c>
      <c r="D127" t="e">
        <f ca="1">_xll.FDS("GBPUSD","FG_PRICE("&amp;B127&amp;")")</f>
        <v>#NAME?</v>
      </c>
      <c r="E127" t="e">
        <f ca="1">_xll.FDSB("JPYUSD","FG_PRICE("&amp;B127&amp;")")</f>
        <v>#NAME?</v>
      </c>
    </row>
    <row r="128" spans="2:5">
      <c r="B128" s="244">
        <f t="shared" si="43"/>
        <v>43591</v>
      </c>
      <c r="C128" s="245" t="e">
        <f ca="1">_xll.FDS("EURUSD","FG_PRICE("&amp;B128&amp;")")</f>
        <v>#NAME?</v>
      </c>
      <c r="D128" t="e">
        <f ca="1">_xll.FDS("GBPUSD","FG_PRICE("&amp;B128&amp;")")</f>
        <v>#NAME?</v>
      </c>
      <c r="E128" t="e">
        <f ca="1">_xll.FDSB("JPYUSD","FG_PRICE("&amp;B128&amp;")")</f>
        <v>#NAME?</v>
      </c>
    </row>
    <row r="129" spans="2:5">
      <c r="B129" s="244">
        <f t="shared" si="43"/>
        <v>43592</v>
      </c>
      <c r="C129" s="245" t="e">
        <f ca="1">_xll.FDS("EURUSD","FG_PRICE("&amp;B129&amp;")")</f>
        <v>#NAME?</v>
      </c>
      <c r="D129" t="e">
        <f ca="1">_xll.FDS("GBPUSD","FG_PRICE("&amp;B129&amp;")")</f>
        <v>#NAME?</v>
      </c>
      <c r="E129" t="e">
        <f ca="1">_xll.FDSB("JPYUSD","FG_PRICE("&amp;B129&amp;")")</f>
        <v>#NAME?</v>
      </c>
    </row>
    <row r="130" spans="2:5">
      <c r="B130" s="244">
        <f t="shared" si="43"/>
        <v>43593</v>
      </c>
      <c r="C130" s="245" t="e">
        <f ca="1">_xll.FDS("EURUSD","FG_PRICE("&amp;B130&amp;")")</f>
        <v>#NAME?</v>
      </c>
      <c r="D130" t="e">
        <f ca="1">_xll.FDS("GBPUSD","FG_PRICE("&amp;B130&amp;")")</f>
        <v>#NAME?</v>
      </c>
      <c r="E130" t="e">
        <f ca="1">_xll.FDSB("JPYUSD","FG_PRICE("&amp;B130&amp;")")</f>
        <v>#NAME?</v>
      </c>
    </row>
    <row r="131" spans="2:5">
      <c r="B131" s="244">
        <f t="shared" si="43"/>
        <v>43594</v>
      </c>
      <c r="C131" s="245" t="e">
        <f ca="1">_xll.FDS("EURUSD","FG_PRICE("&amp;B131&amp;")")</f>
        <v>#NAME?</v>
      </c>
      <c r="D131" t="e">
        <f ca="1">_xll.FDS("GBPUSD","FG_PRICE("&amp;B131&amp;")")</f>
        <v>#NAME?</v>
      </c>
      <c r="E131" t="e">
        <f ca="1">_xll.FDSB("JPYUSD","FG_PRICE("&amp;B131&amp;")")</f>
        <v>#NAME?</v>
      </c>
    </row>
    <row r="132" spans="2:5">
      <c r="B132" s="244">
        <f t="shared" si="43"/>
        <v>43595</v>
      </c>
      <c r="C132" s="245" t="e">
        <f ca="1">_xll.FDS("EURUSD","FG_PRICE("&amp;B132&amp;")")</f>
        <v>#NAME?</v>
      </c>
      <c r="D132" t="e">
        <f ca="1">_xll.FDS("GBPUSD","FG_PRICE("&amp;B132&amp;")")</f>
        <v>#NAME?</v>
      </c>
      <c r="E132" t="e">
        <f ca="1">_xll.FDSB("JPYUSD","FG_PRICE("&amp;B132&amp;")")</f>
        <v>#NAME?</v>
      </c>
    </row>
    <row r="133" spans="2:5">
      <c r="B133" s="244">
        <f t="shared" ref="B133:B196" si="44">B132+1</f>
        <v>43596</v>
      </c>
      <c r="C133" s="245" t="e">
        <f ca="1">_xll.FDS("EURUSD","FG_PRICE("&amp;B133&amp;")")</f>
        <v>#NAME?</v>
      </c>
      <c r="D133" t="e">
        <f ca="1">_xll.FDS("GBPUSD","FG_PRICE("&amp;B133&amp;")")</f>
        <v>#NAME?</v>
      </c>
      <c r="E133" t="e">
        <f ca="1">_xll.FDSB("JPYUSD","FG_PRICE("&amp;B133&amp;")")</f>
        <v>#NAME?</v>
      </c>
    </row>
    <row r="134" spans="2:5">
      <c r="B134" s="244">
        <f t="shared" si="44"/>
        <v>43597</v>
      </c>
      <c r="C134" s="245" t="e">
        <f ca="1">_xll.FDS("EURUSD","FG_PRICE("&amp;B134&amp;")")</f>
        <v>#NAME?</v>
      </c>
      <c r="D134" t="e">
        <f ca="1">_xll.FDS("GBPUSD","FG_PRICE("&amp;B134&amp;")")</f>
        <v>#NAME?</v>
      </c>
      <c r="E134" t="e">
        <f ca="1">_xll.FDSB("JPYUSD","FG_PRICE("&amp;B134&amp;")")</f>
        <v>#NAME?</v>
      </c>
    </row>
    <row r="135" spans="2:5">
      <c r="B135" s="244">
        <f t="shared" si="44"/>
        <v>43598</v>
      </c>
      <c r="C135" s="245" t="e">
        <f ca="1">_xll.FDS("EURUSD","FG_PRICE("&amp;B135&amp;")")</f>
        <v>#NAME?</v>
      </c>
      <c r="D135" t="e">
        <f ca="1">_xll.FDS("GBPUSD","FG_PRICE("&amp;B135&amp;")")</f>
        <v>#NAME?</v>
      </c>
      <c r="E135" t="e">
        <f ca="1">_xll.FDSB("JPYUSD","FG_PRICE("&amp;B135&amp;")")</f>
        <v>#NAME?</v>
      </c>
    </row>
    <row r="136" spans="2:5">
      <c r="B136" s="244">
        <f t="shared" si="44"/>
        <v>43599</v>
      </c>
      <c r="C136" s="245" t="e">
        <f ca="1">_xll.FDS("EURUSD","FG_PRICE("&amp;B136&amp;")")</f>
        <v>#NAME?</v>
      </c>
      <c r="D136" t="e">
        <f ca="1">_xll.FDS("GBPUSD","FG_PRICE("&amp;B136&amp;")")</f>
        <v>#NAME?</v>
      </c>
      <c r="E136" t="e">
        <f ca="1">_xll.FDSB("JPYUSD","FG_PRICE("&amp;B136&amp;")")</f>
        <v>#NAME?</v>
      </c>
    </row>
    <row r="137" spans="2:5">
      <c r="B137" s="244">
        <f t="shared" si="44"/>
        <v>43600</v>
      </c>
      <c r="C137" s="245" t="e">
        <f ca="1">_xll.FDS("EURUSD","FG_PRICE("&amp;B137&amp;")")</f>
        <v>#NAME?</v>
      </c>
      <c r="D137" t="e">
        <f ca="1">_xll.FDS("GBPUSD","FG_PRICE("&amp;B137&amp;")")</f>
        <v>#NAME?</v>
      </c>
      <c r="E137" t="e">
        <f ca="1">_xll.FDSB("JPYUSD","FG_PRICE("&amp;B137&amp;")")</f>
        <v>#NAME?</v>
      </c>
    </row>
    <row r="138" spans="2:5">
      <c r="B138" s="244">
        <f t="shared" si="44"/>
        <v>43601</v>
      </c>
      <c r="C138" s="245" t="e">
        <f ca="1">_xll.FDS("EURUSD","FG_PRICE("&amp;B138&amp;")")</f>
        <v>#NAME?</v>
      </c>
      <c r="D138" t="e">
        <f ca="1">_xll.FDS("GBPUSD","FG_PRICE("&amp;B138&amp;")")</f>
        <v>#NAME?</v>
      </c>
      <c r="E138" t="e">
        <f ca="1">_xll.FDSB("JPYUSD","FG_PRICE("&amp;B138&amp;")")</f>
        <v>#NAME?</v>
      </c>
    </row>
    <row r="139" spans="2:5">
      <c r="B139" s="244">
        <f t="shared" si="44"/>
        <v>43602</v>
      </c>
      <c r="C139" s="245" t="e">
        <f ca="1">_xll.FDS("EURUSD","FG_PRICE("&amp;B139&amp;")")</f>
        <v>#NAME?</v>
      </c>
      <c r="D139" t="e">
        <f ca="1">_xll.FDS("GBPUSD","FG_PRICE("&amp;B139&amp;")")</f>
        <v>#NAME?</v>
      </c>
      <c r="E139" t="e">
        <f ca="1">_xll.FDSB("JPYUSD","FG_PRICE("&amp;B139&amp;")")</f>
        <v>#NAME?</v>
      </c>
    </row>
    <row r="140" spans="2:5">
      <c r="B140" s="244">
        <f t="shared" si="44"/>
        <v>43603</v>
      </c>
      <c r="C140" s="245" t="e">
        <f ca="1">_xll.FDS("EURUSD","FG_PRICE("&amp;B140&amp;")")</f>
        <v>#NAME?</v>
      </c>
      <c r="D140" t="e">
        <f ca="1">_xll.FDS("GBPUSD","FG_PRICE("&amp;B140&amp;")")</f>
        <v>#NAME?</v>
      </c>
      <c r="E140" t="e">
        <f ca="1">_xll.FDSB("JPYUSD","FG_PRICE("&amp;B140&amp;")")</f>
        <v>#NAME?</v>
      </c>
    </row>
    <row r="141" spans="2:5">
      <c r="B141" s="244">
        <f t="shared" si="44"/>
        <v>43604</v>
      </c>
      <c r="C141" s="245" t="e">
        <f ca="1">_xll.FDS("EURUSD","FG_PRICE("&amp;B141&amp;")")</f>
        <v>#NAME?</v>
      </c>
      <c r="D141" t="e">
        <f ca="1">_xll.FDS("GBPUSD","FG_PRICE("&amp;B141&amp;")")</f>
        <v>#NAME?</v>
      </c>
      <c r="E141" t="e">
        <f ca="1">_xll.FDSB("JPYUSD","FG_PRICE("&amp;B141&amp;")")</f>
        <v>#NAME?</v>
      </c>
    </row>
    <row r="142" spans="2:5">
      <c r="B142" s="244">
        <f t="shared" si="44"/>
        <v>43605</v>
      </c>
      <c r="C142" s="245" t="e">
        <f ca="1">_xll.FDS("EURUSD","FG_PRICE("&amp;B142&amp;")")</f>
        <v>#NAME?</v>
      </c>
      <c r="D142" t="e">
        <f ca="1">_xll.FDS("GBPUSD","FG_PRICE("&amp;B142&amp;")")</f>
        <v>#NAME?</v>
      </c>
      <c r="E142" t="e">
        <f ca="1">_xll.FDSB("JPYUSD","FG_PRICE("&amp;B142&amp;")")</f>
        <v>#NAME?</v>
      </c>
    </row>
    <row r="143" spans="2:5">
      <c r="B143" s="244">
        <f t="shared" si="44"/>
        <v>43606</v>
      </c>
      <c r="C143" s="245" t="e">
        <f ca="1">_xll.FDS("EURUSD","FG_PRICE("&amp;B143&amp;")")</f>
        <v>#NAME?</v>
      </c>
      <c r="D143" t="e">
        <f ca="1">_xll.FDS("GBPUSD","FG_PRICE("&amp;B143&amp;")")</f>
        <v>#NAME?</v>
      </c>
      <c r="E143" t="e">
        <f ca="1">_xll.FDSB("JPYUSD","FG_PRICE("&amp;B143&amp;")")</f>
        <v>#NAME?</v>
      </c>
    </row>
    <row r="144" spans="2:5">
      <c r="B144" s="244">
        <f t="shared" si="44"/>
        <v>43607</v>
      </c>
      <c r="C144" s="245" t="e">
        <f ca="1">_xll.FDS("EURUSD","FG_PRICE("&amp;B144&amp;")")</f>
        <v>#NAME?</v>
      </c>
      <c r="D144" t="e">
        <f ca="1">_xll.FDS("GBPUSD","FG_PRICE("&amp;B144&amp;")")</f>
        <v>#NAME?</v>
      </c>
      <c r="E144" t="e">
        <f ca="1">_xll.FDSB("JPYUSD","FG_PRICE("&amp;B144&amp;")")</f>
        <v>#NAME?</v>
      </c>
    </row>
    <row r="145" spans="2:5">
      <c r="B145" s="244">
        <f t="shared" si="44"/>
        <v>43608</v>
      </c>
      <c r="C145" s="245" t="e">
        <f ca="1">_xll.FDS("EURUSD","FG_PRICE("&amp;B145&amp;")")</f>
        <v>#NAME?</v>
      </c>
      <c r="D145" t="e">
        <f ca="1">_xll.FDS("GBPUSD","FG_PRICE("&amp;B145&amp;")")</f>
        <v>#NAME?</v>
      </c>
      <c r="E145" t="e">
        <f ca="1">_xll.FDSB("JPYUSD","FG_PRICE("&amp;B145&amp;")")</f>
        <v>#NAME?</v>
      </c>
    </row>
    <row r="146" spans="2:5">
      <c r="B146" s="244">
        <f t="shared" si="44"/>
        <v>43609</v>
      </c>
      <c r="C146" s="245" t="e">
        <f ca="1">_xll.FDS("EURUSD","FG_PRICE("&amp;B146&amp;")")</f>
        <v>#NAME?</v>
      </c>
      <c r="D146" t="e">
        <f ca="1">_xll.FDS("GBPUSD","FG_PRICE("&amp;B146&amp;")")</f>
        <v>#NAME?</v>
      </c>
      <c r="E146" t="e">
        <f ca="1">_xll.FDSB("JPYUSD","FG_PRICE("&amp;B146&amp;")")</f>
        <v>#NAME?</v>
      </c>
    </row>
    <row r="147" spans="2:5">
      <c r="B147" s="244">
        <f t="shared" si="44"/>
        <v>43610</v>
      </c>
      <c r="C147" s="245" t="e">
        <f ca="1">_xll.FDS("EURUSD","FG_PRICE("&amp;B147&amp;")")</f>
        <v>#NAME?</v>
      </c>
      <c r="D147" t="e">
        <f ca="1">_xll.FDS("GBPUSD","FG_PRICE("&amp;B147&amp;")")</f>
        <v>#NAME?</v>
      </c>
      <c r="E147" t="e">
        <f ca="1">_xll.FDSB("JPYUSD","FG_PRICE("&amp;B147&amp;")")</f>
        <v>#NAME?</v>
      </c>
    </row>
    <row r="148" spans="2:5">
      <c r="B148" s="244">
        <f t="shared" si="44"/>
        <v>43611</v>
      </c>
      <c r="C148" s="245" t="e">
        <f ca="1">_xll.FDS("EURUSD","FG_PRICE("&amp;B148&amp;")")</f>
        <v>#NAME?</v>
      </c>
      <c r="D148" t="e">
        <f ca="1">_xll.FDS("GBPUSD","FG_PRICE("&amp;B148&amp;")")</f>
        <v>#NAME?</v>
      </c>
      <c r="E148" t="e">
        <f ca="1">_xll.FDSB("JPYUSD","FG_PRICE("&amp;B148&amp;")")</f>
        <v>#NAME?</v>
      </c>
    </row>
    <row r="149" spans="2:5">
      <c r="B149" s="244">
        <f t="shared" si="44"/>
        <v>43612</v>
      </c>
      <c r="C149" s="245" t="e">
        <f ca="1">_xll.FDS("EURUSD","FG_PRICE("&amp;B149&amp;")")</f>
        <v>#NAME?</v>
      </c>
      <c r="D149" t="e">
        <f ca="1">_xll.FDS("GBPUSD","FG_PRICE("&amp;B149&amp;")")</f>
        <v>#NAME?</v>
      </c>
      <c r="E149" t="e">
        <f ca="1">_xll.FDSB("JPYUSD","FG_PRICE("&amp;B149&amp;")")</f>
        <v>#NAME?</v>
      </c>
    </row>
    <row r="150" spans="2:5">
      <c r="B150" s="244">
        <f t="shared" si="44"/>
        <v>43613</v>
      </c>
      <c r="C150" s="245" t="e">
        <f ca="1">_xll.FDS("EURUSD","FG_PRICE("&amp;B150&amp;")")</f>
        <v>#NAME?</v>
      </c>
      <c r="D150" t="e">
        <f ca="1">_xll.FDS("GBPUSD","FG_PRICE("&amp;B150&amp;")")</f>
        <v>#NAME?</v>
      </c>
      <c r="E150" t="e">
        <f ca="1">_xll.FDSB("JPYUSD","FG_PRICE("&amp;B150&amp;")")</f>
        <v>#NAME?</v>
      </c>
    </row>
    <row r="151" spans="2:5">
      <c r="B151" s="244">
        <f t="shared" si="44"/>
        <v>43614</v>
      </c>
      <c r="C151" s="245" t="e">
        <f ca="1">_xll.FDS("EURUSD","FG_PRICE("&amp;B151&amp;")")</f>
        <v>#NAME?</v>
      </c>
      <c r="D151" t="e">
        <f ca="1">_xll.FDS("GBPUSD","FG_PRICE("&amp;B151&amp;")")</f>
        <v>#NAME?</v>
      </c>
      <c r="E151" t="e">
        <f ca="1">_xll.FDSB("JPYUSD","FG_PRICE("&amp;B151&amp;")")</f>
        <v>#NAME?</v>
      </c>
    </row>
    <row r="152" spans="2:5">
      <c r="B152" s="244">
        <f t="shared" si="44"/>
        <v>43615</v>
      </c>
      <c r="C152" s="245" t="e">
        <f ca="1">_xll.FDS("EURUSD","FG_PRICE("&amp;B152&amp;")")</f>
        <v>#NAME?</v>
      </c>
      <c r="D152" t="e">
        <f ca="1">_xll.FDS("GBPUSD","FG_PRICE("&amp;B152&amp;")")</f>
        <v>#NAME?</v>
      </c>
      <c r="E152" t="e">
        <f ca="1">_xll.FDSB("JPYUSD","FG_PRICE("&amp;B152&amp;")")</f>
        <v>#NAME?</v>
      </c>
    </row>
    <row r="153" spans="2:5">
      <c r="B153" s="244">
        <f t="shared" si="44"/>
        <v>43616</v>
      </c>
      <c r="C153" s="245" t="e">
        <f ca="1">_xll.FDS("EURUSD","FG_PRICE("&amp;B153&amp;")")</f>
        <v>#NAME?</v>
      </c>
      <c r="D153" t="e">
        <f ca="1">_xll.FDS("GBPUSD","FG_PRICE("&amp;B153&amp;")")</f>
        <v>#NAME?</v>
      </c>
      <c r="E153" t="e">
        <f ca="1">_xll.FDSB("JPYUSD","FG_PRICE("&amp;B153&amp;")")</f>
        <v>#NAME?</v>
      </c>
    </row>
    <row r="154" spans="2:5">
      <c r="B154" s="244">
        <f t="shared" si="44"/>
        <v>43617</v>
      </c>
      <c r="C154" s="245" t="e">
        <f ca="1">_xll.FDS("EURUSD","FG_PRICE("&amp;B154&amp;")")</f>
        <v>#NAME?</v>
      </c>
      <c r="D154" t="e">
        <f ca="1">_xll.FDS("GBPUSD","FG_PRICE("&amp;B154&amp;")")</f>
        <v>#NAME?</v>
      </c>
      <c r="E154" t="e">
        <f ca="1">_xll.FDSB("JPYUSD","FG_PRICE("&amp;B154&amp;")")</f>
        <v>#NAME?</v>
      </c>
    </row>
    <row r="155" spans="2:5">
      <c r="B155" s="244">
        <f t="shared" si="44"/>
        <v>43618</v>
      </c>
      <c r="C155" s="245" t="e">
        <f ca="1">_xll.FDS("EURUSD","FG_PRICE("&amp;B155&amp;")")</f>
        <v>#NAME?</v>
      </c>
      <c r="D155" t="e">
        <f ca="1">_xll.FDS("GBPUSD","FG_PRICE("&amp;B155&amp;")")</f>
        <v>#NAME?</v>
      </c>
      <c r="E155" t="e">
        <f ca="1">_xll.FDSB("JPYUSD","FG_PRICE("&amp;B155&amp;")")</f>
        <v>#NAME?</v>
      </c>
    </row>
    <row r="156" spans="2:5">
      <c r="B156" s="244">
        <f t="shared" si="44"/>
        <v>43619</v>
      </c>
      <c r="C156" s="245" t="e">
        <f ca="1">_xll.FDS("EURUSD","FG_PRICE("&amp;B156&amp;")")</f>
        <v>#NAME?</v>
      </c>
      <c r="D156" t="e">
        <f ca="1">_xll.FDS("GBPUSD","FG_PRICE("&amp;B156&amp;")")</f>
        <v>#NAME?</v>
      </c>
      <c r="E156" t="e">
        <f ca="1">_xll.FDSB("JPYUSD","FG_PRICE("&amp;B156&amp;")")</f>
        <v>#NAME?</v>
      </c>
    </row>
    <row r="157" spans="2:5">
      <c r="B157" s="244">
        <f t="shared" si="44"/>
        <v>43620</v>
      </c>
      <c r="C157" s="245" t="e">
        <f ca="1">_xll.FDS("EURUSD","FG_PRICE("&amp;B157&amp;")")</f>
        <v>#NAME?</v>
      </c>
      <c r="D157" t="e">
        <f ca="1">_xll.FDS("GBPUSD","FG_PRICE("&amp;B157&amp;")")</f>
        <v>#NAME?</v>
      </c>
      <c r="E157" t="e">
        <f ca="1">_xll.FDSB("JPYUSD","FG_PRICE("&amp;B157&amp;")")</f>
        <v>#NAME?</v>
      </c>
    </row>
    <row r="158" spans="2:5">
      <c r="B158" s="244">
        <f t="shared" si="44"/>
        <v>43621</v>
      </c>
      <c r="C158" s="245" t="e">
        <f ca="1">_xll.FDS("EURUSD","FG_PRICE("&amp;B158&amp;")")</f>
        <v>#NAME?</v>
      </c>
      <c r="D158" t="e">
        <f ca="1">_xll.FDS("GBPUSD","FG_PRICE("&amp;B158&amp;")")</f>
        <v>#NAME?</v>
      </c>
      <c r="E158" t="e">
        <f ca="1">_xll.FDSB("JPYUSD","FG_PRICE("&amp;B158&amp;")")</f>
        <v>#NAME?</v>
      </c>
    </row>
    <row r="159" spans="2:5">
      <c r="B159" s="244">
        <f t="shared" si="44"/>
        <v>43622</v>
      </c>
      <c r="C159" s="245" t="e">
        <f ca="1">_xll.FDS("EURUSD","FG_PRICE("&amp;B159&amp;")")</f>
        <v>#NAME?</v>
      </c>
      <c r="D159" t="e">
        <f ca="1">_xll.FDS("GBPUSD","FG_PRICE("&amp;B159&amp;")")</f>
        <v>#NAME?</v>
      </c>
      <c r="E159" t="e">
        <f ca="1">_xll.FDSB("JPYUSD","FG_PRICE("&amp;B159&amp;")")</f>
        <v>#NAME?</v>
      </c>
    </row>
    <row r="160" spans="2:5">
      <c r="B160" s="244">
        <f t="shared" si="44"/>
        <v>43623</v>
      </c>
      <c r="C160" s="245" t="e">
        <f ca="1">_xll.FDS("EURUSD","FG_PRICE("&amp;B160&amp;")")</f>
        <v>#NAME?</v>
      </c>
      <c r="D160" t="e">
        <f ca="1">_xll.FDS("GBPUSD","FG_PRICE("&amp;B160&amp;")")</f>
        <v>#NAME?</v>
      </c>
      <c r="E160" t="e">
        <f ca="1">_xll.FDSB("JPYUSD","FG_PRICE("&amp;B160&amp;")")</f>
        <v>#NAME?</v>
      </c>
    </row>
    <row r="161" spans="2:5">
      <c r="B161" s="244">
        <f t="shared" si="44"/>
        <v>43624</v>
      </c>
      <c r="C161" s="245" t="e">
        <f ca="1">_xll.FDS("EURUSD","FG_PRICE("&amp;B161&amp;")")</f>
        <v>#NAME?</v>
      </c>
      <c r="D161" t="e">
        <f ca="1">_xll.FDS("GBPUSD","FG_PRICE("&amp;B161&amp;")")</f>
        <v>#NAME?</v>
      </c>
      <c r="E161" t="e">
        <f ca="1">_xll.FDSB("JPYUSD","FG_PRICE("&amp;B161&amp;")")</f>
        <v>#NAME?</v>
      </c>
    </row>
    <row r="162" spans="2:5">
      <c r="B162" s="244">
        <f t="shared" si="44"/>
        <v>43625</v>
      </c>
      <c r="C162" s="245" t="e">
        <f ca="1">_xll.FDS("EURUSD","FG_PRICE("&amp;B162&amp;")")</f>
        <v>#NAME?</v>
      </c>
      <c r="D162" t="e">
        <f ca="1">_xll.FDS("GBPUSD","FG_PRICE("&amp;B162&amp;")")</f>
        <v>#NAME?</v>
      </c>
      <c r="E162" t="e">
        <f ca="1">_xll.FDSB("JPYUSD","FG_PRICE("&amp;B162&amp;")")</f>
        <v>#NAME?</v>
      </c>
    </row>
    <row r="163" spans="2:5">
      <c r="B163" s="244">
        <f t="shared" si="44"/>
        <v>43626</v>
      </c>
      <c r="C163" s="245" t="e">
        <f ca="1">_xll.FDS("EURUSD","FG_PRICE("&amp;B163&amp;")")</f>
        <v>#NAME?</v>
      </c>
      <c r="D163" t="e">
        <f ca="1">_xll.FDS("GBPUSD","FG_PRICE("&amp;B163&amp;")")</f>
        <v>#NAME?</v>
      </c>
      <c r="E163" t="e">
        <f ca="1">_xll.FDSB("JPYUSD","FG_PRICE("&amp;B163&amp;")")</f>
        <v>#NAME?</v>
      </c>
    </row>
    <row r="164" spans="2:5">
      <c r="B164" s="244">
        <f t="shared" si="44"/>
        <v>43627</v>
      </c>
      <c r="C164" s="245" t="e">
        <f ca="1">_xll.FDS("EURUSD","FG_PRICE("&amp;B164&amp;")")</f>
        <v>#NAME?</v>
      </c>
      <c r="D164" t="e">
        <f ca="1">_xll.FDS("GBPUSD","FG_PRICE("&amp;B164&amp;")")</f>
        <v>#NAME?</v>
      </c>
      <c r="E164" t="e">
        <f ca="1">_xll.FDSB("JPYUSD","FG_PRICE("&amp;B164&amp;")")</f>
        <v>#NAME?</v>
      </c>
    </row>
    <row r="165" spans="2:5">
      <c r="B165" s="244">
        <f t="shared" si="44"/>
        <v>43628</v>
      </c>
      <c r="C165" s="245" t="e">
        <f ca="1">_xll.FDS("EURUSD","FG_PRICE("&amp;B165&amp;")")</f>
        <v>#NAME?</v>
      </c>
      <c r="D165" t="e">
        <f ca="1">_xll.FDS("GBPUSD","FG_PRICE("&amp;B165&amp;")")</f>
        <v>#NAME?</v>
      </c>
      <c r="E165" t="e">
        <f ca="1">_xll.FDSB("JPYUSD","FG_PRICE("&amp;B165&amp;")")</f>
        <v>#NAME?</v>
      </c>
    </row>
    <row r="166" spans="2:5">
      <c r="B166" s="244">
        <f t="shared" si="44"/>
        <v>43629</v>
      </c>
      <c r="C166" s="245" t="e">
        <f ca="1">_xll.FDS("EURUSD","FG_PRICE("&amp;B166&amp;")")</f>
        <v>#NAME?</v>
      </c>
      <c r="D166" t="e">
        <f ca="1">_xll.FDS("GBPUSD","FG_PRICE("&amp;B166&amp;")")</f>
        <v>#NAME?</v>
      </c>
      <c r="E166" t="e">
        <f ca="1">_xll.FDSB("JPYUSD","FG_PRICE("&amp;B166&amp;")")</f>
        <v>#NAME?</v>
      </c>
    </row>
    <row r="167" spans="2:5">
      <c r="B167" s="244">
        <f t="shared" si="44"/>
        <v>43630</v>
      </c>
      <c r="C167" s="245" t="e">
        <f ca="1">_xll.FDS("EURUSD","FG_PRICE("&amp;B167&amp;")")</f>
        <v>#NAME?</v>
      </c>
      <c r="D167" t="e">
        <f ca="1">_xll.FDS("GBPUSD","FG_PRICE("&amp;B167&amp;")")</f>
        <v>#NAME?</v>
      </c>
      <c r="E167" t="e">
        <f ca="1">_xll.FDSB("JPYUSD","FG_PRICE("&amp;B167&amp;")")</f>
        <v>#NAME?</v>
      </c>
    </row>
    <row r="168" spans="2:5">
      <c r="B168" s="244">
        <f t="shared" si="44"/>
        <v>43631</v>
      </c>
      <c r="C168" s="245" t="e">
        <f ca="1">_xll.FDS("EURUSD","FG_PRICE("&amp;B168&amp;")")</f>
        <v>#NAME?</v>
      </c>
      <c r="D168" t="e">
        <f ca="1">_xll.FDS("GBPUSD","FG_PRICE("&amp;B168&amp;")")</f>
        <v>#NAME?</v>
      </c>
      <c r="E168" t="e">
        <f ca="1">_xll.FDSB("JPYUSD","FG_PRICE("&amp;B168&amp;")")</f>
        <v>#NAME?</v>
      </c>
    </row>
    <row r="169" spans="2:5">
      <c r="B169" s="244">
        <f t="shared" si="44"/>
        <v>43632</v>
      </c>
      <c r="C169" s="245" t="e">
        <f ca="1">_xll.FDS("EURUSD","FG_PRICE("&amp;B169&amp;")")</f>
        <v>#NAME?</v>
      </c>
      <c r="D169" t="e">
        <f ca="1">_xll.FDS("GBPUSD","FG_PRICE("&amp;B169&amp;")")</f>
        <v>#NAME?</v>
      </c>
      <c r="E169" t="e">
        <f ca="1">_xll.FDSB("JPYUSD","FG_PRICE("&amp;B169&amp;")")</f>
        <v>#NAME?</v>
      </c>
    </row>
    <row r="170" spans="2:5">
      <c r="B170" s="244">
        <f t="shared" si="44"/>
        <v>43633</v>
      </c>
      <c r="C170" s="245" t="e">
        <f ca="1">_xll.FDS("EURUSD","FG_PRICE("&amp;B170&amp;")")</f>
        <v>#NAME?</v>
      </c>
      <c r="D170" t="e">
        <f ca="1">_xll.FDS("GBPUSD","FG_PRICE("&amp;B170&amp;")")</f>
        <v>#NAME?</v>
      </c>
      <c r="E170" t="e">
        <f ca="1">_xll.FDSB("JPYUSD","FG_PRICE("&amp;B170&amp;")")</f>
        <v>#NAME?</v>
      </c>
    </row>
    <row r="171" spans="2:5">
      <c r="B171" s="244">
        <f t="shared" si="44"/>
        <v>43634</v>
      </c>
      <c r="C171" s="245" t="e">
        <f ca="1">_xll.FDS("EURUSD","FG_PRICE("&amp;B171&amp;")")</f>
        <v>#NAME?</v>
      </c>
      <c r="D171" t="e">
        <f ca="1">_xll.FDS("GBPUSD","FG_PRICE("&amp;B171&amp;")")</f>
        <v>#NAME?</v>
      </c>
      <c r="E171" t="e">
        <f ca="1">_xll.FDSB("JPYUSD","FG_PRICE("&amp;B171&amp;")")</f>
        <v>#NAME?</v>
      </c>
    </row>
    <row r="172" spans="2:5">
      <c r="B172" s="244">
        <f t="shared" si="44"/>
        <v>43635</v>
      </c>
      <c r="C172" s="245" t="e">
        <f ca="1">_xll.FDS("EURUSD","FG_PRICE("&amp;B172&amp;")")</f>
        <v>#NAME?</v>
      </c>
      <c r="D172" t="e">
        <f ca="1">_xll.FDS("GBPUSD","FG_PRICE("&amp;B172&amp;")")</f>
        <v>#NAME?</v>
      </c>
      <c r="E172" t="e">
        <f ca="1">_xll.FDSB("JPYUSD","FG_PRICE("&amp;B172&amp;")")</f>
        <v>#NAME?</v>
      </c>
    </row>
    <row r="173" spans="2:5">
      <c r="B173" s="244">
        <f t="shared" si="44"/>
        <v>43636</v>
      </c>
      <c r="C173" s="245" t="e">
        <f ca="1">_xll.FDS("EURUSD","FG_PRICE("&amp;B173&amp;")")</f>
        <v>#NAME?</v>
      </c>
      <c r="D173" t="e">
        <f ca="1">_xll.FDS("GBPUSD","FG_PRICE("&amp;B173&amp;")")</f>
        <v>#NAME?</v>
      </c>
      <c r="E173" t="e">
        <f ca="1">_xll.FDSB("JPYUSD","FG_PRICE("&amp;B173&amp;")")</f>
        <v>#NAME?</v>
      </c>
    </row>
    <row r="174" spans="2:5">
      <c r="B174" s="244">
        <f t="shared" si="44"/>
        <v>43637</v>
      </c>
      <c r="C174" s="245" t="e">
        <f ca="1">_xll.FDS("EURUSD","FG_PRICE("&amp;B174&amp;")")</f>
        <v>#NAME?</v>
      </c>
      <c r="D174" t="e">
        <f ca="1">_xll.FDS("GBPUSD","FG_PRICE("&amp;B174&amp;")")</f>
        <v>#NAME?</v>
      </c>
      <c r="E174" t="e">
        <f ca="1">_xll.FDSB("JPYUSD","FG_PRICE("&amp;B174&amp;")")</f>
        <v>#NAME?</v>
      </c>
    </row>
    <row r="175" spans="2:5">
      <c r="B175" s="244">
        <f t="shared" si="44"/>
        <v>43638</v>
      </c>
      <c r="C175" s="245" t="e">
        <f ca="1">_xll.FDS("EURUSD","FG_PRICE("&amp;B175&amp;")")</f>
        <v>#NAME?</v>
      </c>
      <c r="D175" t="e">
        <f ca="1">_xll.FDS("GBPUSD","FG_PRICE("&amp;B175&amp;")")</f>
        <v>#NAME?</v>
      </c>
      <c r="E175" t="e">
        <f ca="1">_xll.FDSB("JPYUSD","FG_PRICE("&amp;B175&amp;")")</f>
        <v>#NAME?</v>
      </c>
    </row>
    <row r="176" spans="2:5">
      <c r="B176" s="244">
        <f t="shared" si="44"/>
        <v>43639</v>
      </c>
      <c r="C176" s="245" t="e">
        <f ca="1">_xll.FDS("EURUSD","FG_PRICE("&amp;B176&amp;")")</f>
        <v>#NAME?</v>
      </c>
      <c r="D176" t="e">
        <f ca="1">_xll.FDS("GBPUSD","FG_PRICE("&amp;B176&amp;")")</f>
        <v>#NAME?</v>
      </c>
      <c r="E176" t="e">
        <f ca="1">_xll.FDSB("JPYUSD","FG_PRICE("&amp;B176&amp;")")</f>
        <v>#NAME?</v>
      </c>
    </row>
    <row r="177" spans="2:5">
      <c r="B177" s="244">
        <f t="shared" si="44"/>
        <v>43640</v>
      </c>
      <c r="C177" s="245" t="e">
        <f ca="1">_xll.FDS("EURUSD","FG_PRICE("&amp;B177&amp;")")</f>
        <v>#NAME?</v>
      </c>
      <c r="D177" t="e">
        <f ca="1">_xll.FDS("GBPUSD","FG_PRICE("&amp;B177&amp;")")</f>
        <v>#NAME?</v>
      </c>
      <c r="E177" t="e">
        <f ca="1">_xll.FDSB("JPYUSD","FG_PRICE("&amp;B177&amp;")")</f>
        <v>#NAME?</v>
      </c>
    </row>
    <row r="178" spans="2:5">
      <c r="B178" s="244">
        <f t="shared" si="44"/>
        <v>43641</v>
      </c>
      <c r="C178" s="245" t="e">
        <f ca="1">_xll.FDS("EURUSD","FG_PRICE("&amp;B178&amp;")")</f>
        <v>#NAME?</v>
      </c>
      <c r="D178" t="e">
        <f ca="1">_xll.FDS("GBPUSD","FG_PRICE("&amp;B178&amp;")")</f>
        <v>#NAME?</v>
      </c>
      <c r="E178" t="e">
        <f ca="1">_xll.FDSB("JPYUSD","FG_PRICE("&amp;B178&amp;")")</f>
        <v>#NAME?</v>
      </c>
    </row>
    <row r="179" spans="2:5">
      <c r="B179" s="244">
        <f t="shared" si="44"/>
        <v>43642</v>
      </c>
      <c r="C179" s="245" t="e">
        <f ca="1">_xll.FDS("EURUSD","FG_PRICE("&amp;B179&amp;")")</f>
        <v>#NAME?</v>
      </c>
      <c r="D179" t="e">
        <f ca="1">_xll.FDS("GBPUSD","FG_PRICE("&amp;B179&amp;")")</f>
        <v>#NAME?</v>
      </c>
      <c r="E179" t="e">
        <f ca="1">_xll.FDSB("JPYUSD","FG_PRICE("&amp;B179&amp;")")</f>
        <v>#NAME?</v>
      </c>
    </row>
    <row r="180" spans="2:5">
      <c r="B180" s="244">
        <f t="shared" si="44"/>
        <v>43643</v>
      </c>
      <c r="C180" s="245" t="e">
        <f ca="1">_xll.FDS("EURUSD","FG_PRICE("&amp;B180&amp;")")</f>
        <v>#NAME?</v>
      </c>
      <c r="D180" t="e">
        <f ca="1">_xll.FDS("GBPUSD","FG_PRICE("&amp;B180&amp;")")</f>
        <v>#NAME?</v>
      </c>
      <c r="E180" t="e">
        <f ca="1">_xll.FDSB("JPYUSD","FG_PRICE("&amp;B180&amp;")")</f>
        <v>#NAME?</v>
      </c>
    </row>
    <row r="181" spans="2:5">
      <c r="B181" s="244">
        <f t="shared" si="44"/>
        <v>43644</v>
      </c>
      <c r="C181" s="245" t="e">
        <f ca="1">_xll.FDS("EURUSD","FG_PRICE("&amp;B181&amp;")")</f>
        <v>#NAME?</v>
      </c>
      <c r="D181" t="e">
        <f ca="1">_xll.FDS("GBPUSD","FG_PRICE("&amp;B181&amp;")")</f>
        <v>#NAME?</v>
      </c>
      <c r="E181" t="e">
        <f ca="1">_xll.FDSB("JPYUSD","FG_PRICE("&amp;B181&amp;")")</f>
        <v>#NAME?</v>
      </c>
    </row>
    <row r="182" spans="2:5">
      <c r="B182" s="244">
        <f t="shared" si="44"/>
        <v>43645</v>
      </c>
      <c r="C182" s="245" t="e">
        <f ca="1">_xll.FDS("EURUSD","FG_PRICE("&amp;B182&amp;")")</f>
        <v>#NAME?</v>
      </c>
      <c r="D182" t="e">
        <f ca="1">_xll.FDS("GBPUSD","FG_PRICE("&amp;B182&amp;")")</f>
        <v>#NAME?</v>
      </c>
      <c r="E182" t="e">
        <f ca="1">_xll.FDSB("JPYUSD","FG_PRICE("&amp;B182&amp;")")</f>
        <v>#NAME?</v>
      </c>
    </row>
    <row r="183" spans="2:5">
      <c r="B183" s="244">
        <f t="shared" si="44"/>
        <v>43646</v>
      </c>
      <c r="C183" s="245" t="e">
        <f ca="1">_xll.FDS("EURUSD","FG_PRICE("&amp;B183&amp;")")</f>
        <v>#NAME?</v>
      </c>
      <c r="D183" t="e">
        <f ca="1">_xll.FDS("GBPUSD","FG_PRICE("&amp;B183&amp;")")</f>
        <v>#NAME?</v>
      </c>
      <c r="E183" t="e">
        <f ca="1">_xll.FDSB("JPYUSD","FG_PRICE("&amp;B183&amp;")")</f>
        <v>#NAME?</v>
      </c>
    </row>
    <row r="184" spans="2:5">
      <c r="B184" s="244">
        <f t="shared" si="44"/>
        <v>43647</v>
      </c>
      <c r="C184" s="245" t="e">
        <f ca="1">_xll.FDS("EURUSD","FG_PRICE("&amp;B184&amp;")")</f>
        <v>#NAME?</v>
      </c>
      <c r="D184" t="e">
        <f ca="1">_xll.FDS("GBPUSD","FG_PRICE("&amp;B184&amp;")")</f>
        <v>#NAME?</v>
      </c>
      <c r="E184" t="e">
        <f ca="1">_xll.FDSB("JPYUSD","FG_PRICE("&amp;B184&amp;")")</f>
        <v>#NAME?</v>
      </c>
    </row>
    <row r="185" spans="2:5">
      <c r="B185" s="244">
        <f t="shared" si="44"/>
        <v>43648</v>
      </c>
      <c r="C185" s="245" t="e">
        <f ca="1">_xll.FDS("EURUSD","FG_PRICE("&amp;B185&amp;")")</f>
        <v>#NAME?</v>
      </c>
      <c r="D185" t="e">
        <f ca="1">_xll.FDS("GBPUSD","FG_PRICE("&amp;B185&amp;")")</f>
        <v>#NAME?</v>
      </c>
      <c r="E185" t="e">
        <f ca="1">_xll.FDSB("JPYUSD","FG_PRICE("&amp;B185&amp;")")</f>
        <v>#NAME?</v>
      </c>
    </row>
    <row r="186" spans="2:5">
      <c r="B186" s="244">
        <f t="shared" si="44"/>
        <v>43649</v>
      </c>
      <c r="C186" s="245" t="e">
        <f ca="1">_xll.FDS("EURUSD","FG_PRICE("&amp;B186&amp;")")</f>
        <v>#NAME?</v>
      </c>
      <c r="D186" t="e">
        <f ca="1">_xll.FDS("GBPUSD","FG_PRICE("&amp;B186&amp;")")</f>
        <v>#NAME?</v>
      </c>
      <c r="E186" t="e">
        <f ca="1">_xll.FDSB("JPYUSD","FG_PRICE("&amp;B186&amp;")")</f>
        <v>#NAME?</v>
      </c>
    </row>
    <row r="187" spans="2:5">
      <c r="B187" s="244">
        <f t="shared" si="44"/>
        <v>43650</v>
      </c>
      <c r="C187" s="245" t="e">
        <f ca="1">_xll.FDS("EURUSD","FG_PRICE("&amp;B187&amp;")")</f>
        <v>#NAME?</v>
      </c>
      <c r="D187" t="e">
        <f ca="1">_xll.FDS("GBPUSD","FG_PRICE("&amp;B187&amp;")")</f>
        <v>#NAME?</v>
      </c>
      <c r="E187" t="e">
        <f ca="1">_xll.FDSB("JPYUSD","FG_PRICE("&amp;B187&amp;")")</f>
        <v>#NAME?</v>
      </c>
    </row>
    <row r="188" spans="2:5">
      <c r="B188" s="244">
        <f t="shared" si="44"/>
        <v>43651</v>
      </c>
      <c r="C188" s="245" t="e">
        <f ca="1">_xll.FDS("EURUSD","FG_PRICE("&amp;B188&amp;")")</f>
        <v>#NAME?</v>
      </c>
      <c r="D188" t="e">
        <f ca="1">_xll.FDS("GBPUSD","FG_PRICE("&amp;B188&amp;")")</f>
        <v>#NAME?</v>
      </c>
      <c r="E188" t="e">
        <f ca="1">_xll.FDSB("JPYUSD","FG_PRICE("&amp;B188&amp;")")</f>
        <v>#NAME?</v>
      </c>
    </row>
    <row r="189" spans="2:5">
      <c r="B189" s="244">
        <f t="shared" si="44"/>
        <v>43652</v>
      </c>
      <c r="C189" s="245" t="e">
        <f ca="1">_xll.FDS("EURUSD","FG_PRICE("&amp;B189&amp;")")</f>
        <v>#NAME?</v>
      </c>
      <c r="D189" t="e">
        <f ca="1">_xll.FDS("GBPUSD","FG_PRICE("&amp;B189&amp;")")</f>
        <v>#NAME?</v>
      </c>
      <c r="E189" t="e">
        <f ca="1">_xll.FDSB("JPYUSD","FG_PRICE("&amp;B189&amp;")")</f>
        <v>#NAME?</v>
      </c>
    </row>
    <row r="190" spans="2:5">
      <c r="B190" s="244">
        <f t="shared" si="44"/>
        <v>43653</v>
      </c>
      <c r="C190" s="245" t="e">
        <f ca="1">_xll.FDS("EURUSD","FG_PRICE("&amp;B190&amp;")")</f>
        <v>#NAME?</v>
      </c>
      <c r="D190" t="e">
        <f ca="1">_xll.FDS("GBPUSD","FG_PRICE("&amp;B190&amp;")")</f>
        <v>#NAME?</v>
      </c>
      <c r="E190" t="e">
        <f ca="1">_xll.FDSB("JPYUSD","FG_PRICE("&amp;B190&amp;")")</f>
        <v>#NAME?</v>
      </c>
    </row>
    <row r="191" spans="2:5">
      <c r="B191" s="244">
        <f t="shared" si="44"/>
        <v>43654</v>
      </c>
      <c r="C191" s="245" t="e">
        <f ca="1">_xll.FDS("EURUSD","FG_PRICE("&amp;B191&amp;")")</f>
        <v>#NAME?</v>
      </c>
      <c r="D191" t="e">
        <f ca="1">_xll.FDS("GBPUSD","FG_PRICE("&amp;B191&amp;")")</f>
        <v>#NAME?</v>
      </c>
      <c r="E191" t="e">
        <f ca="1">_xll.FDSB("JPYUSD","FG_PRICE("&amp;B191&amp;")")</f>
        <v>#NAME?</v>
      </c>
    </row>
    <row r="192" spans="2:5">
      <c r="B192" s="244">
        <f t="shared" si="44"/>
        <v>43655</v>
      </c>
      <c r="C192" s="245" t="e">
        <f ca="1">_xll.FDS("EURUSD","FG_PRICE("&amp;B192&amp;")")</f>
        <v>#NAME?</v>
      </c>
      <c r="D192" t="e">
        <f ca="1">_xll.FDS("GBPUSD","FG_PRICE("&amp;B192&amp;")")</f>
        <v>#NAME?</v>
      </c>
      <c r="E192" t="e">
        <f ca="1">_xll.FDSB("JPYUSD","FG_PRICE("&amp;B192&amp;")")</f>
        <v>#NAME?</v>
      </c>
    </row>
    <row r="193" spans="2:5">
      <c r="B193" s="244">
        <f t="shared" si="44"/>
        <v>43656</v>
      </c>
      <c r="C193" s="245" t="e">
        <f ca="1">_xll.FDS("EURUSD","FG_PRICE("&amp;B193&amp;")")</f>
        <v>#NAME?</v>
      </c>
      <c r="D193" t="e">
        <f ca="1">_xll.FDS("GBPUSD","FG_PRICE("&amp;B193&amp;")")</f>
        <v>#NAME?</v>
      </c>
      <c r="E193" t="e">
        <f ca="1">_xll.FDSB("JPYUSD","FG_PRICE("&amp;B193&amp;")")</f>
        <v>#NAME?</v>
      </c>
    </row>
    <row r="194" spans="2:5">
      <c r="B194" s="244">
        <f t="shared" si="44"/>
        <v>43657</v>
      </c>
      <c r="C194" s="245" t="e">
        <f ca="1">_xll.FDS("EURUSD","FG_PRICE("&amp;B194&amp;")")</f>
        <v>#NAME?</v>
      </c>
      <c r="D194" t="e">
        <f ca="1">_xll.FDS("GBPUSD","FG_PRICE("&amp;B194&amp;")")</f>
        <v>#NAME?</v>
      </c>
      <c r="E194" t="e">
        <f ca="1">_xll.FDSB("JPYUSD","FG_PRICE("&amp;B194&amp;")")</f>
        <v>#NAME?</v>
      </c>
    </row>
    <row r="195" spans="2:5">
      <c r="B195" s="244">
        <f t="shared" si="44"/>
        <v>43658</v>
      </c>
      <c r="C195" s="245" t="e">
        <f ca="1">_xll.FDS("EURUSD","FG_PRICE("&amp;B195&amp;")")</f>
        <v>#NAME?</v>
      </c>
      <c r="D195" t="e">
        <f ca="1">_xll.FDS("GBPUSD","FG_PRICE("&amp;B195&amp;")")</f>
        <v>#NAME?</v>
      </c>
      <c r="E195" t="e">
        <f ca="1">_xll.FDSB("JPYUSD","FG_PRICE("&amp;B195&amp;")")</f>
        <v>#NAME?</v>
      </c>
    </row>
    <row r="196" spans="2:5">
      <c r="B196" s="244">
        <f t="shared" si="44"/>
        <v>43659</v>
      </c>
      <c r="C196" s="245" t="e">
        <f ca="1">_xll.FDS("EURUSD","FG_PRICE("&amp;B196&amp;")")</f>
        <v>#NAME?</v>
      </c>
      <c r="D196" t="e">
        <f ca="1">_xll.FDS("GBPUSD","FG_PRICE("&amp;B196&amp;")")</f>
        <v>#NAME?</v>
      </c>
      <c r="E196" t="e">
        <f ca="1">_xll.FDSB("JPYUSD","FG_PRICE("&amp;B196&amp;")")</f>
        <v>#NAME?</v>
      </c>
    </row>
    <row r="197" spans="2:5">
      <c r="B197" s="244">
        <f t="shared" ref="B197:B260" si="45">B196+1</f>
        <v>43660</v>
      </c>
      <c r="C197" s="245" t="e">
        <f ca="1">_xll.FDS("EURUSD","FG_PRICE("&amp;B197&amp;")")</f>
        <v>#NAME?</v>
      </c>
      <c r="D197" t="e">
        <f ca="1">_xll.FDS("GBPUSD","FG_PRICE("&amp;B197&amp;")")</f>
        <v>#NAME?</v>
      </c>
      <c r="E197" t="e">
        <f ca="1">_xll.FDSB("JPYUSD","FG_PRICE("&amp;B197&amp;")")</f>
        <v>#NAME?</v>
      </c>
    </row>
    <row r="198" spans="2:5">
      <c r="B198" s="244">
        <f t="shared" si="45"/>
        <v>43661</v>
      </c>
      <c r="C198" s="245" t="e">
        <f ca="1">_xll.FDS("EURUSD","FG_PRICE("&amp;B198&amp;")")</f>
        <v>#NAME?</v>
      </c>
      <c r="D198" t="e">
        <f ca="1">_xll.FDS("GBPUSD","FG_PRICE("&amp;B198&amp;")")</f>
        <v>#NAME?</v>
      </c>
      <c r="E198" t="e">
        <f ca="1">_xll.FDSB("JPYUSD","FG_PRICE("&amp;B198&amp;")")</f>
        <v>#NAME?</v>
      </c>
    </row>
    <row r="199" spans="2:5">
      <c r="B199" s="244">
        <f t="shared" si="45"/>
        <v>43662</v>
      </c>
      <c r="C199" s="245" t="e">
        <f ca="1">_xll.FDS("EURUSD","FG_PRICE("&amp;B199&amp;")")</f>
        <v>#NAME?</v>
      </c>
      <c r="D199" t="e">
        <f ca="1">_xll.FDS("GBPUSD","FG_PRICE("&amp;B199&amp;")")</f>
        <v>#NAME?</v>
      </c>
      <c r="E199" t="e">
        <f ca="1">_xll.FDSB("JPYUSD","FG_PRICE("&amp;B199&amp;")")</f>
        <v>#NAME?</v>
      </c>
    </row>
    <row r="200" spans="2:5">
      <c r="B200" s="244">
        <f t="shared" si="45"/>
        <v>43663</v>
      </c>
      <c r="C200" s="245" t="e">
        <f ca="1">_xll.FDS("EURUSD","FG_PRICE("&amp;B200&amp;")")</f>
        <v>#NAME?</v>
      </c>
      <c r="D200" t="e">
        <f ca="1">_xll.FDS("GBPUSD","FG_PRICE("&amp;B200&amp;")")</f>
        <v>#NAME?</v>
      </c>
      <c r="E200" t="e">
        <f ca="1">_xll.FDSB("JPYUSD","FG_PRICE("&amp;B200&amp;")")</f>
        <v>#NAME?</v>
      </c>
    </row>
    <row r="201" spans="2:5">
      <c r="B201" s="244">
        <f t="shared" si="45"/>
        <v>43664</v>
      </c>
      <c r="C201" s="245" t="e">
        <f ca="1">_xll.FDS("EURUSD","FG_PRICE("&amp;B201&amp;")")</f>
        <v>#NAME?</v>
      </c>
      <c r="D201" t="e">
        <f ca="1">_xll.FDS("GBPUSD","FG_PRICE("&amp;B201&amp;")")</f>
        <v>#NAME?</v>
      </c>
      <c r="E201" t="e">
        <f ca="1">_xll.FDSB("JPYUSD","FG_PRICE("&amp;B201&amp;")")</f>
        <v>#NAME?</v>
      </c>
    </row>
    <row r="202" spans="2:5">
      <c r="B202" s="244">
        <f t="shared" si="45"/>
        <v>43665</v>
      </c>
      <c r="C202" s="245" t="e">
        <f ca="1">_xll.FDS("EURUSD","FG_PRICE("&amp;B202&amp;")")</f>
        <v>#NAME?</v>
      </c>
      <c r="D202" t="e">
        <f ca="1">_xll.FDS("GBPUSD","FG_PRICE("&amp;B202&amp;")")</f>
        <v>#NAME?</v>
      </c>
      <c r="E202" t="e">
        <f ca="1">_xll.FDSB("JPYUSD","FG_PRICE("&amp;B202&amp;")")</f>
        <v>#NAME?</v>
      </c>
    </row>
    <row r="203" spans="2:5">
      <c r="B203" s="244">
        <f t="shared" si="45"/>
        <v>43666</v>
      </c>
      <c r="C203" s="245" t="e">
        <f ca="1">_xll.FDS("EURUSD","FG_PRICE("&amp;B203&amp;")")</f>
        <v>#NAME?</v>
      </c>
      <c r="D203" t="e">
        <f ca="1">_xll.FDS("GBPUSD","FG_PRICE("&amp;B203&amp;")")</f>
        <v>#NAME?</v>
      </c>
      <c r="E203" t="e">
        <f ca="1">_xll.FDSB("JPYUSD","FG_PRICE("&amp;B203&amp;")")</f>
        <v>#NAME?</v>
      </c>
    </row>
    <row r="204" spans="2:5">
      <c r="B204" s="244">
        <f t="shared" si="45"/>
        <v>43667</v>
      </c>
      <c r="C204" s="245" t="e">
        <f ca="1">_xll.FDS("EURUSD","FG_PRICE("&amp;B204&amp;")")</f>
        <v>#NAME?</v>
      </c>
      <c r="D204" t="e">
        <f ca="1">_xll.FDS("GBPUSD","FG_PRICE("&amp;B204&amp;")")</f>
        <v>#NAME?</v>
      </c>
      <c r="E204" t="e">
        <f ca="1">_xll.FDSB("JPYUSD","FG_PRICE("&amp;B204&amp;")")</f>
        <v>#NAME?</v>
      </c>
    </row>
    <row r="205" spans="2:5">
      <c r="B205" s="244">
        <f t="shared" si="45"/>
        <v>43668</v>
      </c>
      <c r="C205" s="245" t="e">
        <f ca="1">_xll.FDS("EURUSD","FG_PRICE("&amp;B205&amp;")")</f>
        <v>#NAME?</v>
      </c>
      <c r="D205" t="e">
        <f ca="1">_xll.FDS("GBPUSD","FG_PRICE("&amp;B205&amp;")")</f>
        <v>#NAME?</v>
      </c>
      <c r="E205" t="e">
        <f ca="1">_xll.FDSB("JPYUSD","FG_PRICE("&amp;B205&amp;")")</f>
        <v>#NAME?</v>
      </c>
    </row>
    <row r="206" spans="2:5">
      <c r="B206" s="244">
        <f t="shared" si="45"/>
        <v>43669</v>
      </c>
      <c r="C206" s="245" t="e">
        <f ca="1">_xll.FDS("EURUSD","FG_PRICE("&amp;B206&amp;")")</f>
        <v>#NAME?</v>
      </c>
      <c r="D206" t="e">
        <f ca="1">_xll.FDS("GBPUSD","FG_PRICE("&amp;B206&amp;")")</f>
        <v>#NAME?</v>
      </c>
      <c r="E206" t="e">
        <f ca="1">_xll.FDSB("JPYUSD","FG_PRICE("&amp;B206&amp;")")</f>
        <v>#NAME?</v>
      </c>
    </row>
    <row r="207" spans="2:5">
      <c r="B207" s="244">
        <f t="shared" si="45"/>
        <v>43670</v>
      </c>
      <c r="C207" s="245" t="e">
        <f ca="1">_xll.FDS("EURUSD","FG_PRICE("&amp;B207&amp;")")</f>
        <v>#NAME?</v>
      </c>
      <c r="D207" t="e">
        <f ca="1">_xll.FDS("GBPUSD","FG_PRICE("&amp;B207&amp;")")</f>
        <v>#NAME?</v>
      </c>
      <c r="E207" t="e">
        <f ca="1">_xll.FDSB("JPYUSD","FG_PRICE("&amp;B207&amp;")")</f>
        <v>#NAME?</v>
      </c>
    </row>
    <row r="208" spans="2:5">
      <c r="B208" s="244">
        <f t="shared" si="45"/>
        <v>43671</v>
      </c>
      <c r="C208" s="245" t="e">
        <f ca="1">_xll.FDS("EURUSD","FG_PRICE("&amp;B208&amp;")")</f>
        <v>#NAME?</v>
      </c>
      <c r="D208" t="e">
        <f ca="1">_xll.FDS("GBPUSD","FG_PRICE("&amp;B208&amp;")")</f>
        <v>#NAME?</v>
      </c>
      <c r="E208" t="e">
        <f ca="1">_xll.FDSB("JPYUSD","FG_PRICE("&amp;B208&amp;")")</f>
        <v>#NAME?</v>
      </c>
    </row>
    <row r="209" spans="2:5">
      <c r="B209" s="244">
        <f t="shared" si="45"/>
        <v>43672</v>
      </c>
      <c r="C209" s="245" t="e">
        <f ca="1">_xll.FDS("EURUSD","FG_PRICE("&amp;B209&amp;")")</f>
        <v>#NAME?</v>
      </c>
      <c r="D209" t="e">
        <f ca="1">_xll.FDS("GBPUSD","FG_PRICE("&amp;B209&amp;")")</f>
        <v>#NAME?</v>
      </c>
      <c r="E209" t="e">
        <f ca="1">_xll.FDSB("JPYUSD","FG_PRICE("&amp;B209&amp;")")</f>
        <v>#NAME?</v>
      </c>
    </row>
    <row r="210" spans="2:5">
      <c r="B210" s="244">
        <f t="shared" si="45"/>
        <v>43673</v>
      </c>
      <c r="C210" s="245" t="e">
        <f ca="1">_xll.FDS("EURUSD","FG_PRICE("&amp;B210&amp;")")</f>
        <v>#NAME?</v>
      </c>
      <c r="D210" t="e">
        <f ca="1">_xll.FDS("GBPUSD","FG_PRICE("&amp;B210&amp;")")</f>
        <v>#NAME?</v>
      </c>
      <c r="E210" t="e">
        <f ca="1">_xll.FDSB("JPYUSD","FG_PRICE("&amp;B210&amp;")")</f>
        <v>#NAME?</v>
      </c>
    </row>
    <row r="211" spans="2:5">
      <c r="B211" s="244">
        <f t="shared" si="45"/>
        <v>43674</v>
      </c>
      <c r="C211" s="245" t="e">
        <f ca="1">_xll.FDS("EURUSD","FG_PRICE("&amp;B211&amp;")")</f>
        <v>#NAME?</v>
      </c>
      <c r="D211" t="e">
        <f ca="1">_xll.FDS("GBPUSD","FG_PRICE("&amp;B211&amp;")")</f>
        <v>#NAME?</v>
      </c>
      <c r="E211" t="e">
        <f ca="1">_xll.FDSB("JPYUSD","FG_PRICE("&amp;B211&amp;")")</f>
        <v>#NAME?</v>
      </c>
    </row>
    <row r="212" spans="2:5">
      <c r="B212" s="244">
        <f t="shared" si="45"/>
        <v>43675</v>
      </c>
      <c r="C212" s="245" t="e">
        <f ca="1">_xll.FDS("EURUSD","FG_PRICE("&amp;B212&amp;")")</f>
        <v>#NAME?</v>
      </c>
      <c r="D212" t="e">
        <f ca="1">_xll.FDS("GBPUSD","FG_PRICE("&amp;B212&amp;")")</f>
        <v>#NAME?</v>
      </c>
      <c r="E212" t="e">
        <f ca="1">_xll.FDSB("JPYUSD","FG_PRICE("&amp;B212&amp;")")</f>
        <v>#NAME?</v>
      </c>
    </row>
    <row r="213" spans="2:5">
      <c r="B213" s="244">
        <f t="shared" si="45"/>
        <v>43676</v>
      </c>
      <c r="C213" s="245" t="e">
        <f ca="1">_xll.FDS("EURUSD","FG_PRICE("&amp;B213&amp;")")</f>
        <v>#NAME?</v>
      </c>
      <c r="D213" t="e">
        <f ca="1">_xll.FDS("GBPUSD","FG_PRICE("&amp;B213&amp;")")</f>
        <v>#NAME?</v>
      </c>
      <c r="E213" t="e">
        <f ca="1">_xll.FDSB("JPYUSD","FG_PRICE("&amp;B213&amp;")")</f>
        <v>#NAME?</v>
      </c>
    </row>
    <row r="214" spans="2:5">
      <c r="B214" s="244">
        <f t="shared" si="45"/>
        <v>43677</v>
      </c>
      <c r="C214" s="245" t="e">
        <f ca="1">_xll.FDS("EURUSD","FG_PRICE("&amp;B214&amp;")")</f>
        <v>#NAME?</v>
      </c>
      <c r="D214" t="e">
        <f ca="1">_xll.FDS("GBPUSD","FG_PRICE("&amp;B214&amp;")")</f>
        <v>#NAME?</v>
      </c>
      <c r="E214" t="e">
        <f ca="1">_xll.FDSB("JPYUSD","FG_PRICE("&amp;B214&amp;")")</f>
        <v>#NAME?</v>
      </c>
    </row>
    <row r="215" spans="2:5">
      <c r="B215" s="244">
        <f t="shared" si="45"/>
        <v>43678</v>
      </c>
      <c r="C215" s="245" t="e">
        <f ca="1">_xll.FDS("EURUSD","FG_PRICE("&amp;B215&amp;")")</f>
        <v>#NAME?</v>
      </c>
      <c r="D215" t="e">
        <f ca="1">_xll.FDS("GBPUSD","FG_PRICE("&amp;B215&amp;")")</f>
        <v>#NAME?</v>
      </c>
      <c r="E215" t="e">
        <f ca="1">_xll.FDSB("JPYUSD","FG_PRICE("&amp;B215&amp;")")</f>
        <v>#NAME?</v>
      </c>
    </row>
    <row r="216" spans="2:5">
      <c r="B216" s="244">
        <f t="shared" si="45"/>
        <v>43679</v>
      </c>
      <c r="C216" s="245" t="e">
        <f ca="1">_xll.FDS("EURUSD","FG_PRICE("&amp;B216&amp;")")</f>
        <v>#NAME?</v>
      </c>
      <c r="D216" t="e">
        <f ca="1">_xll.FDS("GBPUSD","FG_PRICE("&amp;B216&amp;")")</f>
        <v>#NAME?</v>
      </c>
      <c r="E216" t="e">
        <f ca="1">_xll.FDSB("JPYUSD","FG_PRICE("&amp;B216&amp;")")</f>
        <v>#NAME?</v>
      </c>
    </row>
    <row r="217" spans="2:5">
      <c r="B217" s="244">
        <f t="shared" si="45"/>
        <v>43680</v>
      </c>
      <c r="C217" s="245" t="e">
        <f ca="1">_xll.FDS("EURUSD","FG_PRICE("&amp;B217&amp;")")</f>
        <v>#NAME?</v>
      </c>
      <c r="D217" t="e">
        <f ca="1">_xll.FDS("GBPUSD","FG_PRICE("&amp;B217&amp;")")</f>
        <v>#NAME?</v>
      </c>
      <c r="E217" t="e">
        <f ca="1">_xll.FDSB("JPYUSD","FG_PRICE("&amp;B217&amp;")")</f>
        <v>#NAME?</v>
      </c>
    </row>
    <row r="218" spans="2:5">
      <c r="B218" s="244">
        <f t="shared" si="45"/>
        <v>43681</v>
      </c>
      <c r="C218" s="245" t="e">
        <f ca="1">_xll.FDS("EURUSD","FG_PRICE("&amp;B218&amp;")")</f>
        <v>#NAME?</v>
      </c>
      <c r="D218" t="e">
        <f ca="1">_xll.FDS("GBPUSD","FG_PRICE("&amp;B218&amp;")")</f>
        <v>#NAME?</v>
      </c>
      <c r="E218" t="e">
        <f ca="1">_xll.FDSB("JPYUSD","FG_PRICE("&amp;B218&amp;")")</f>
        <v>#NAME?</v>
      </c>
    </row>
    <row r="219" spans="2:5">
      <c r="B219" s="244">
        <f t="shared" si="45"/>
        <v>43682</v>
      </c>
      <c r="C219" s="245" t="e">
        <f ca="1">_xll.FDS("EURUSD","FG_PRICE("&amp;B219&amp;")")</f>
        <v>#NAME?</v>
      </c>
      <c r="D219" t="e">
        <f ca="1">_xll.FDS("GBPUSD","FG_PRICE("&amp;B219&amp;")")</f>
        <v>#NAME?</v>
      </c>
      <c r="E219" t="e">
        <f ca="1">_xll.FDSB("JPYUSD","FG_PRICE("&amp;B219&amp;")")</f>
        <v>#NAME?</v>
      </c>
    </row>
    <row r="220" spans="2:5">
      <c r="B220" s="244">
        <f t="shared" si="45"/>
        <v>43683</v>
      </c>
      <c r="C220" s="245" t="e">
        <f ca="1">_xll.FDS("EURUSD","FG_PRICE("&amp;B220&amp;")")</f>
        <v>#NAME?</v>
      </c>
      <c r="D220" t="e">
        <f ca="1">_xll.FDS("GBPUSD","FG_PRICE("&amp;B220&amp;")")</f>
        <v>#NAME?</v>
      </c>
      <c r="E220" t="e">
        <f ca="1">_xll.FDSB("JPYUSD","FG_PRICE("&amp;B220&amp;")")</f>
        <v>#NAME?</v>
      </c>
    </row>
    <row r="221" spans="2:5">
      <c r="B221" s="244">
        <f t="shared" si="45"/>
        <v>43684</v>
      </c>
      <c r="C221" s="245" t="e">
        <f ca="1">_xll.FDS("EURUSD","FG_PRICE("&amp;B221&amp;")")</f>
        <v>#NAME?</v>
      </c>
      <c r="D221" t="e">
        <f ca="1">_xll.FDS("GBPUSD","FG_PRICE("&amp;B221&amp;")")</f>
        <v>#NAME?</v>
      </c>
      <c r="E221" t="e">
        <f ca="1">_xll.FDSB("JPYUSD","FG_PRICE("&amp;B221&amp;")")</f>
        <v>#NAME?</v>
      </c>
    </row>
    <row r="222" spans="2:5">
      <c r="B222" s="244">
        <f t="shared" si="45"/>
        <v>43685</v>
      </c>
      <c r="C222" s="245" t="e">
        <f ca="1">_xll.FDS("EURUSD","FG_PRICE("&amp;B222&amp;")")</f>
        <v>#NAME?</v>
      </c>
      <c r="D222" t="e">
        <f ca="1">_xll.FDS("GBPUSD","FG_PRICE("&amp;B222&amp;")")</f>
        <v>#NAME?</v>
      </c>
      <c r="E222" t="e">
        <f ca="1">_xll.FDSB("JPYUSD","FG_PRICE("&amp;B222&amp;")")</f>
        <v>#NAME?</v>
      </c>
    </row>
    <row r="223" spans="2:5">
      <c r="B223" s="244">
        <f t="shared" si="45"/>
        <v>43686</v>
      </c>
      <c r="C223" s="245" t="e">
        <f ca="1">_xll.FDS("EURUSD","FG_PRICE("&amp;B223&amp;")")</f>
        <v>#NAME?</v>
      </c>
      <c r="D223" t="e">
        <f ca="1">_xll.FDS("GBPUSD","FG_PRICE("&amp;B223&amp;")")</f>
        <v>#NAME?</v>
      </c>
      <c r="E223" t="e">
        <f ca="1">_xll.FDSB("JPYUSD","FG_PRICE("&amp;B223&amp;")")</f>
        <v>#NAME?</v>
      </c>
    </row>
    <row r="224" spans="2:5">
      <c r="B224" s="244">
        <f t="shared" si="45"/>
        <v>43687</v>
      </c>
      <c r="C224" s="245" t="e">
        <f ca="1">_xll.FDS("EURUSD","FG_PRICE("&amp;B224&amp;")")</f>
        <v>#NAME?</v>
      </c>
      <c r="D224" t="e">
        <f ca="1">_xll.FDS("GBPUSD","FG_PRICE("&amp;B224&amp;")")</f>
        <v>#NAME?</v>
      </c>
      <c r="E224" t="e">
        <f ca="1">_xll.FDSB("JPYUSD","FG_PRICE("&amp;B224&amp;")")</f>
        <v>#NAME?</v>
      </c>
    </row>
    <row r="225" spans="2:5">
      <c r="B225" s="244">
        <f t="shared" si="45"/>
        <v>43688</v>
      </c>
      <c r="C225" s="245" t="e">
        <f ca="1">_xll.FDS("EURUSD","FG_PRICE("&amp;B225&amp;")")</f>
        <v>#NAME?</v>
      </c>
      <c r="D225" t="e">
        <f ca="1">_xll.FDS("GBPUSD","FG_PRICE("&amp;B225&amp;")")</f>
        <v>#NAME?</v>
      </c>
      <c r="E225" t="e">
        <f ca="1">_xll.FDSB("JPYUSD","FG_PRICE("&amp;B225&amp;")")</f>
        <v>#NAME?</v>
      </c>
    </row>
    <row r="226" spans="2:5">
      <c r="B226" s="244">
        <f t="shared" si="45"/>
        <v>43689</v>
      </c>
      <c r="C226" s="245" t="e">
        <f ca="1">_xll.FDS("EURUSD","FG_PRICE("&amp;B226&amp;")")</f>
        <v>#NAME?</v>
      </c>
      <c r="D226" t="e">
        <f ca="1">_xll.FDS("GBPUSD","FG_PRICE("&amp;B226&amp;")")</f>
        <v>#NAME?</v>
      </c>
      <c r="E226" t="e">
        <f ca="1">_xll.FDSB("JPYUSD","FG_PRICE("&amp;B226&amp;")")</f>
        <v>#NAME?</v>
      </c>
    </row>
    <row r="227" spans="2:5">
      <c r="B227" s="244">
        <f t="shared" si="45"/>
        <v>43690</v>
      </c>
      <c r="C227" s="245" t="e">
        <f ca="1">_xll.FDS("EURUSD","FG_PRICE("&amp;B227&amp;")")</f>
        <v>#NAME?</v>
      </c>
      <c r="D227" t="e">
        <f ca="1">_xll.FDS("GBPUSD","FG_PRICE("&amp;B227&amp;")")</f>
        <v>#NAME?</v>
      </c>
      <c r="E227" t="e">
        <f ca="1">_xll.FDSB("JPYUSD","FG_PRICE("&amp;B227&amp;")")</f>
        <v>#NAME?</v>
      </c>
    </row>
    <row r="228" spans="2:5">
      <c r="B228" s="244">
        <f t="shared" si="45"/>
        <v>43691</v>
      </c>
      <c r="C228" s="245" t="e">
        <f ca="1">_xll.FDS("EURUSD","FG_PRICE("&amp;B228&amp;")")</f>
        <v>#NAME?</v>
      </c>
      <c r="D228" t="e">
        <f ca="1">_xll.FDS("GBPUSD","FG_PRICE("&amp;B228&amp;")")</f>
        <v>#NAME?</v>
      </c>
      <c r="E228" t="e">
        <f ca="1">_xll.FDSB("JPYUSD","FG_PRICE("&amp;B228&amp;")")</f>
        <v>#NAME?</v>
      </c>
    </row>
    <row r="229" spans="2:5">
      <c r="B229" s="244">
        <f t="shared" si="45"/>
        <v>43692</v>
      </c>
      <c r="C229" s="245" t="e">
        <f ca="1">_xll.FDS("EURUSD","FG_PRICE("&amp;B229&amp;")")</f>
        <v>#NAME?</v>
      </c>
      <c r="D229" t="e">
        <f ca="1">_xll.FDS("GBPUSD","FG_PRICE("&amp;B229&amp;")")</f>
        <v>#NAME?</v>
      </c>
      <c r="E229" t="e">
        <f ca="1">_xll.FDSB("JPYUSD","FG_PRICE("&amp;B229&amp;")")</f>
        <v>#NAME?</v>
      </c>
    </row>
    <row r="230" spans="2:5">
      <c r="B230" s="244">
        <f t="shared" si="45"/>
        <v>43693</v>
      </c>
      <c r="C230" s="245" t="e">
        <f ca="1">_xll.FDS("EURUSD","FG_PRICE("&amp;B230&amp;")")</f>
        <v>#NAME?</v>
      </c>
      <c r="D230" t="e">
        <f ca="1">_xll.FDS("GBPUSD","FG_PRICE("&amp;B230&amp;")")</f>
        <v>#NAME?</v>
      </c>
      <c r="E230" t="e">
        <f ca="1">_xll.FDSB("JPYUSD","FG_PRICE("&amp;B230&amp;")")</f>
        <v>#NAME?</v>
      </c>
    </row>
    <row r="231" spans="2:5">
      <c r="B231" s="244">
        <f t="shared" si="45"/>
        <v>43694</v>
      </c>
      <c r="C231" s="245" t="e">
        <f ca="1">_xll.FDS("EURUSD","FG_PRICE("&amp;B231&amp;")")</f>
        <v>#NAME?</v>
      </c>
      <c r="D231" t="e">
        <f ca="1">_xll.FDS("GBPUSD","FG_PRICE("&amp;B231&amp;")")</f>
        <v>#NAME?</v>
      </c>
      <c r="E231" t="e">
        <f ca="1">_xll.FDSB("JPYUSD","FG_PRICE("&amp;B231&amp;")")</f>
        <v>#NAME?</v>
      </c>
    </row>
    <row r="232" spans="2:5">
      <c r="B232" s="244">
        <f t="shared" si="45"/>
        <v>43695</v>
      </c>
      <c r="C232" s="245" t="e">
        <f ca="1">_xll.FDS("EURUSD","FG_PRICE("&amp;B232&amp;")")</f>
        <v>#NAME?</v>
      </c>
      <c r="D232" t="e">
        <f ca="1">_xll.FDS("GBPUSD","FG_PRICE("&amp;B232&amp;")")</f>
        <v>#NAME?</v>
      </c>
      <c r="E232" t="e">
        <f ca="1">_xll.FDSB("JPYUSD","FG_PRICE("&amp;B232&amp;")")</f>
        <v>#NAME?</v>
      </c>
    </row>
    <row r="233" spans="2:5">
      <c r="B233" s="244">
        <f t="shared" si="45"/>
        <v>43696</v>
      </c>
      <c r="C233" s="245" t="e">
        <f ca="1">_xll.FDS("EURUSD","FG_PRICE("&amp;B233&amp;")")</f>
        <v>#NAME?</v>
      </c>
      <c r="D233" t="e">
        <f ca="1">_xll.FDS("GBPUSD","FG_PRICE("&amp;B233&amp;")")</f>
        <v>#NAME?</v>
      </c>
      <c r="E233" t="e">
        <f ca="1">_xll.FDSB("JPYUSD","FG_PRICE("&amp;B233&amp;")")</f>
        <v>#NAME?</v>
      </c>
    </row>
    <row r="234" spans="2:5">
      <c r="B234" s="244">
        <f t="shared" si="45"/>
        <v>43697</v>
      </c>
      <c r="C234" s="245" t="e">
        <f ca="1">_xll.FDS("EURUSD","FG_PRICE("&amp;B234&amp;")")</f>
        <v>#NAME?</v>
      </c>
      <c r="D234" t="e">
        <f ca="1">_xll.FDS("GBPUSD","FG_PRICE("&amp;B234&amp;")")</f>
        <v>#NAME?</v>
      </c>
      <c r="E234" t="e">
        <f ca="1">_xll.FDSB("JPYUSD","FG_PRICE("&amp;B234&amp;")")</f>
        <v>#NAME?</v>
      </c>
    </row>
    <row r="235" spans="2:5">
      <c r="B235" s="244">
        <f t="shared" si="45"/>
        <v>43698</v>
      </c>
      <c r="C235" s="245" t="e">
        <f ca="1">_xll.FDS("EURUSD","FG_PRICE("&amp;B235&amp;")")</f>
        <v>#NAME?</v>
      </c>
      <c r="D235" t="e">
        <f ca="1">_xll.FDS("GBPUSD","FG_PRICE("&amp;B235&amp;")")</f>
        <v>#NAME?</v>
      </c>
      <c r="E235" t="e">
        <f ca="1">_xll.FDSB("JPYUSD","FG_PRICE("&amp;B235&amp;")")</f>
        <v>#NAME?</v>
      </c>
    </row>
    <row r="236" spans="2:5">
      <c r="B236" s="244">
        <f t="shared" si="45"/>
        <v>43699</v>
      </c>
      <c r="C236" s="245" t="e">
        <f ca="1">_xll.FDS("EURUSD","FG_PRICE("&amp;B236&amp;")")</f>
        <v>#NAME?</v>
      </c>
      <c r="D236" t="e">
        <f ca="1">_xll.FDS("GBPUSD","FG_PRICE("&amp;B236&amp;")")</f>
        <v>#NAME?</v>
      </c>
      <c r="E236" t="e">
        <f ca="1">_xll.FDSB("JPYUSD","FG_PRICE("&amp;B236&amp;")")</f>
        <v>#NAME?</v>
      </c>
    </row>
    <row r="237" spans="2:5">
      <c r="B237" s="244">
        <f t="shared" si="45"/>
        <v>43700</v>
      </c>
      <c r="C237" s="245" t="e">
        <f ca="1">_xll.FDS("EURUSD","FG_PRICE("&amp;B237&amp;")")</f>
        <v>#NAME?</v>
      </c>
      <c r="D237" t="e">
        <f ca="1">_xll.FDS("GBPUSD","FG_PRICE("&amp;B237&amp;")")</f>
        <v>#NAME?</v>
      </c>
      <c r="E237" t="e">
        <f ca="1">_xll.FDSB("JPYUSD","FG_PRICE("&amp;B237&amp;")")</f>
        <v>#NAME?</v>
      </c>
    </row>
    <row r="238" spans="2:5">
      <c r="B238" s="244">
        <f t="shared" si="45"/>
        <v>43701</v>
      </c>
      <c r="C238" s="245" t="e">
        <f ca="1">_xll.FDS("EURUSD","FG_PRICE("&amp;B238&amp;")")</f>
        <v>#NAME?</v>
      </c>
      <c r="D238" t="e">
        <f ca="1">_xll.FDS("GBPUSD","FG_PRICE("&amp;B238&amp;")")</f>
        <v>#NAME?</v>
      </c>
      <c r="E238" t="e">
        <f ca="1">_xll.FDSB("JPYUSD","FG_PRICE("&amp;B238&amp;")")</f>
        <v>#NAME?</v>
      </c>
    </row>
    <row r="239" spans="2:5">
      <c r="B239" s="244">
        <f t="shared" si="45"/>
        <v>43702</v>
      </c>
      <c r="C239" s="245" t="e">
        <f ca="1">_xll.FDS("EURUSD","FG_PRICE("&amp;B239&amp;")")</f>
        <v>#NAME?</v>
      </c>
      <c r="D239" t="e">
        <f ca="1">_xll.FDS("GBPUSD","FG_PRICE("&amp;B239&amp;")")</f>
        <v>#NAME?</v>
      </c>
      <c r="E239" t="e">
        <f ca="1">_xll.FDSB("JPYUSD","FG_PRICE("&amp;B239&amp;")")</f>
        <v>#NAME?</v>
      </c>
    </row>
    <row r="240" spans="2:5">
      <c r="B240" s="244">
        <f t="shared" si="45"/>
        <v>43703</v>
      </c>
      <c r="C240" s="245" t="e">
        <f ca="1">_xll.FDS("EURUSD","FG_PRICE("&amp;B240&amp;")")</f>
        <v>#NAME?</v>
      </c>
      <c r="D240" t="e">
        <f ca="1">_xll.FDS("GBPUSD","FG_PRICE("&amp;B240&amp;")")</f>
        <v>#NAME?</v>
      </c>
      <c r="E240" t="e">
        <f ca="1">_xll.FDSB("JPYUSD","FG_PRICE("&amp;B240&amp;")")</f>
        <v>#NAME?</v>
      </c>
    </row>
    <row r="241" spans="2:5">
      <c r="B241" s="244">
        <f t="shared" si="45"/>
        <v>43704</v>
      </c>
      <c r="C241" s="245" t="e">
        <f ca="1">_xll.FDS("EURUSD","FG_PRICE("&amp;B241&amp;")")</f>
        <v>#NAME?</v>
      </c>
      <c r="D241" t="e">
        <f ca="1">_xll.FDS("GBPUSD","FG_PRICE("&amp;B241&amp;")")</f>
        <v>#NAME?</v>
      </c>
      <c r="E241" t="e">
        <f ca="1">_xll.FDSB("JPYUSD","FG_PRICE("&amp;B241&amp;")")</f>
        <v>#NAME?</v>
      </c>
    </row>
    <row r="242" spans="2:5">
      <c r="B242" s="244">
        <f t="shared" si="45"/>
        <v>43705</v>
      </c>
      <c r="C242" s="245" t="e">
        <f ca="1">_xll.FDS("EURUSD","FG_PRICE("&amp;B242&amp;")")</f>
        <v>#NAME?</v>
      </c>
      <c r="D242" t="e">
        <f ca="1">_xll.FDS("GBPUSD","FG_PRICE("&amp;B242&amp;")")</f>
        <v>#NAME?</v>
      </c>
      <c r="E242" t="e">
        <f ca="1">_xll.FDSB("JPYUSD","FG_PRICE("&amp;B242&amp;")")</f>
        <v>#NAME?</v>
      </c>
    </row>
    <row r="243" spans="2:5">
      <c r="B243" s="244">
        <f t="shared" si="45"/>
        <v>43706</v>
      </c>
      <c r="C243" s="245" t="e">
        <f ca="1">_xll.FDS("EURUSD","FG_PRICE("&amp;B243&amp;")")</f>
        <v>#NAME?</v>
      </c>
      <c r="D243" t="e">
        <f ca="1">_xll.FDS("GBPUSD","FG_PRICE("&amp;B243&amp;")")</f>
        <v>#NAME?</v>
      </c>
      <c r="E243" t="e">
        <f ca="1">_xll.FDSB("JPYUSD","FG_PRICE("&amp;B243&amp;")")</f>
        <v>#NAME?</v>
      </c>
    </row>
    <row r="244" spans="2:5">
      <c r="B244" s="244">
        <f t="shared" si="45"/>
        <v>43707</v>
      </c>
      <c r="C244" s="245" t="e">
        <f ca="1">_xll.FDS("EURUSD","FG_PRICE("&amp;B244&amp;")")</f>
        <v>#NAME?</v>
      </c>
      <c r="D244" t="e">
        <f ca="1">_xll.FDS("GBPUSD","FG_PRICE("&amp;B244&amp;")")</f>
        <v>#NAME?</v>
      </c>
      <c r="E244" t="e">
        <f ca="1">_xll.FDSB("JPYUSD","FG_PRICE("&amp;B244&amp;")")</f>
        <v>#NAME?</v>
      </c>
    </row>
    <row r="245" spans="2:5">
      <c r="B245" s="244">
        <f t="shared" si="45"/>
        <v>43708</v>
      </c>
      <c r="C245" s="245" t="e">
        <f ca="1">_xll.FDS("EURUSD","FG_PRICE("&amp;B245&amp;")")</f>
        <v>#NAME?</v>
      </c>
      <c r="D245" t="e">
        <f ca="1">_xll.FDS("GBPUSD","FG_PRICE("&amp;B245&amp;")")</f>
        <v>#NAME?</v>
      </c>
      <c r="E245" t="e">
        <f ca="1">_xll.FDSB("JPYUSD","FG_PRICE("&amp;B245&amp;")")</f>
        <v>#NAME?</v>
      </c>
    </row>
    <row r="246" spans="2:5">
      <c r="B246" s="244">
        <f t="shared" si="45"/>
        <v>43709</v>
      </c>
      <c r="C246" s="245" t="e">
        <f ca="1">_xll.FDS("EURUSD","FG_PRICE("&amp;B246&amp;")")</f>
        <v>#NAME?</v>
      </c>
      <c r="D246" t="e">
        <f ca="1">_xll.FDS("GBPUSD","FG_PRICE("&amp;B246&amp;")")</f>
        <v>#NAME?</v>
      </c>
      <c r="E246" t="e">
        <f ca="1">_xll.FDSB("JPYUSD","FG_PRICE("&amp;B246&amp;")")</f>
        <v>#NAME?</v>
      </c>
    </row>
    <row r="247" spans="2:5">
      <c r="B247" s="244">
        <f t="shared" si="45"/>
        <v>43710</v>
      </c>
      <c r="C247" s="245" t="e">
        <f ca="1">_xll.FDS("EURUSD","FG_PRICE("&amp;B247&amp;")")</f>
        <v>#NAME?</v>
      </c>
      <c r="D247" t="e">
        <f ca="1">_xll.FDS("GBPUSD","FG_PRICE("&amp;B247&amp;")")</f>
        <v>#NAME?</v>
      </c>
      <c r="E247" t="e">
        <f ca="1">_xll.FDSB("JPYUSD","FG_PRICE("&amp;B247&amp;")")</f>
        <v>#NAME?</v>
      </c>
    </row>
    <row r="248" spans="2:5">
      <c r="B248" s="244">
        <f t="shared" si="45"/>
        <v>43711</v>
      </c>
      <c r="C248" s="245" t="e">
        <f ca="1">_xll.FDS("EURUSD","FG_PRICE("&amp;B248&amp;")")</f>
        <v>#NAME?</v>
      </c>
      <c r="D248" t="e">
        <f ca="1">_xll.FDS("GBPUSD","FG_PRICE("&amp;B248&amp;")")</f>
        <v>#NAME?</v>
      </c>
      <c r="E248" t="e">
        <f ca="1">_xll.FDSB("JPYUSD","FG_PRICE("&amp;B248&amp;")")</f>
        <v>#NAME?</v>
      </c>
    </row>
    <row r="249" spans="2:5">
      <c r="B249" s="244">
        <f t="shared" si="45"/>
        <v>43712</v>
      </c>
      <c r="C249" s="245" t="e">
        <f ca="1">_xll.FDS("EURUSD","FG_PRICE("&amp;B249&amp;")")</f>
        <v>#NAME?</v>
      </c>
      <c r="D249" t="e">
        <f ca="1">_xll.FDS("GBPUSD","FG_PRICE("&amp;B249&amp;")")</f>
        <v>#NAME?</v>
      </c>
      <c r="E249" t="e">
        <f ca="1">_xll.FDSB("JPYUSD","FG_PRICE("&amp;B249&amp;")")</f>
        <v>#NAME?</v>
      </c>
    </row>
    <row r="250" spans="2:5">
      <c r="B250" s="244">
        <f t="shared" si="45"/>
        <v>43713</v>
      </c>
      <c r="C250" s="245" t="e">
        <f ca="1">_xll.FDS("EURUSD","FG_PRICE("&amp;B250&amp;")")</f>
        <v>#NAME?</v>
      </c>
      <c r="D250" t="e">
        <f ca="1">_xll.FDS("GBPUSD","FG_PRICE("&amp;B250&amp;")")</f>
        <v>#NAME?</v>
      </c>
      <c r="E250" t="e">
        <f ca="1">_xll.FDSB("JPYUSD","FG_PRICE("&amp;B250&amp;")")</f>
        <v>#NAME?</v>
      </c>
    </row>
    <row r="251" spans="2:5">
      <c r="B251" s="244">
        <f t="shared" si="45"/>
        <v>43714</v>
      </c>
      <c r="C251" s="245" t="e">
        <f ca="1">_xll.FDS("EURUSD","FG_PRICE("&amp;B251&amp;")")</f>
        <v>#NAME?</v>
      </c>
      <c r="D251" t="e">
        <f ca="1">_xll.FDS("GBPUSD","FG_PRICE("&amp;B251&amp;")")</f>
        <v>#NAME?</v>
      </c>
      <c r="E251" t="e">
        <f ca="1">_xll.FDSB("JPYUSD","FG_PRICE("&amp;B251&amp;")")</f>
        <v>#NAME?</v>
      </c>
    </row>
    <row r="252" spans="2:5">
      <c r="B252" s="244">
        <f t="shared" si="45"/>
        <v>43715</v>
      </c>
      <c r="C252" s="245" t="e">
        <f ca="1">_xll.FDS("EURUSD","FG_PRICE("&amp;B252&amp;")")</f>
        <v>#NAME?</v>
      </c>
      <c r="D252" t="e">
        <f ca="1">_xll.FDS("GBPUSD","FG_PRICE("&amp;B252&amp;")")</f>
        <v>#NAME?</v>
      </c>
      <c r="E252" t="e">
        <f ca="1">_xll.FDSB("JPYUSD","FG_PRICE("&amp;B252&amp;")")</f>
        <v>#NAME?</v>
      </c>
    </row>
    <row r="253" spans="2:5">
      <c r="B253" s="244">
        <f t="shared" si="45"/>
        <v>43716</v>
      </c>
      <c r="C253" s="245" t="e">
        <f ca="1">_xll.FDS("EURUSD","FG_PRICE("&amp;B253&amp;")")</f>
        <v>#NAME?</v>
      </c>
      <c r="D253" t="e">
        <f ca="1">_xll.FDS("GBPUSD","FG_PRICE("&amp;B253&amp;")")</f>
        <v>#NAME?</v>
      </c>
      <c r="E253" t="e">
        <f ca="1">_xll.FDSB("JPYUSD","FG_PRICE("&amp;B253&amp;")")</f>
        <v>#NAME?</v>
      </c>
    </row>
    <row r="254" spans="2:5">
      <c r="B254" s="244">
        <f t="shared" si="45"/>
        <v>43717</v>
      </c>
      <c r="C254" s="245" t="e">
        <f ca="1">_xll.FDS("EURUSD","FG_PRICE("&amp;B254&amp;")")</f>
        <v>#NAME?</v>
      </c>
      <c r="D254" t="e">
        <f ca="1">_xll.FDS("GBPUSD","FG_PRICE("&amp;B254&amp;")")</f>
        <v>#NAME?</v>
      </c>
      <c r="E254" t="e">
        <f ca="1">_xll.FDSB("JPYUSD","FG_PRICE("&amp;B254&amp;")")</f>
        <v>#NAME?</v>
      </c>
    </row>
    <row r="255" spans="2:5">
      <c r="B255" s="244">
        <f t="shared" si="45"/>
        <v>43718</v>
      </c>
      <c r="C255" s="245" t="e">
        <f ca="1">_xll.FDS("EURUSD","FG_PRICE("&amp;B255&amp;")")</f>
        <v>#NAME?</v>
      </c>
      <c r="D255" t="e">
        <f ca="1">_xll.FDS("GBPUSD","FG_PRICE("&amp;B255&amp;")")</f>
        <v>#NAME?</v>
      </c>
      <c r="E255" t="e">
        <f ca="1">_xll.FDSB("JPYUSD","FG_PRICE("&amp;B255&amp;")")</f>
        <v>#NAME?</v>
      </c>
    </row>
    <row r="256" spans="2:5">
      <c r="B256" s="244">
        <f t="shared" si="45"/>
        <v>43719</v>
      </c>
      <c r="C256" s="245" t="e">
        <f ca="1">_xll.FDS("EURUSD","FG_PRICE("&amp;B256&amp;")")</f>
        <v>#NAME?</v>
      </c>
      <c r="D256" t="e">
        <f ca="1">_xll.FDS("GBPUSD","FG_PRICE("&amp;B256&amp;")")</f>
        <v>#NAME?</v>
      </c>
      <c r="E256" t="e">
        <f ca="1">_xll.FDSB("JPYUSD","FG_PRICE("&amp;B256&amp;")")</f>
        <v>#NAME?</v>
      </c>
    </row>
    <row r="257" spans="2:5">
      <c r="B257" s="244">
        <f t="shared" si="45"/>
        <v>43720</v>
      </c>
      <c r="C257" s="245" t="e">
        <f ca="1">_xll.FDS("EURUSD","FG_PRICE("&amp;B257&amp;")")</f>
        <v>#NAME?</v>
      </c>
      <c r="D257" t="e">
        <f ca="1">_xll.FDS("GBPUSD","FG_PRICE("&amp;B257&amp;")")</f>
        <v>#NAME?</v>
      </c>
      <c r="E257" t="e">
        <f ca="1">_xll.FDSB("JPYUSD","FG_PRICE("&amp;B257&amp;")")</f>
        <v>#NAME?</v>
      </c>
    </row>
    <row r="258" spans="2:5">
      <c r="B258" s="244">
        <f t="shared" si="45"/>
        <v>43721</v>
      </c>
      <c r="C258" s="245" t="e">
        <f ca="1">_xll.FDS("EURUSD","FG_PRICE("&amp;B258&amp;")")</f>
        <v>#NAME?</v>
      </c>
      <c r="D258" t="e">
        <f ca="1">_xll.FDS("GBPUSD","FG_PRICE("&amp;B258&amp;")")</f>
        <v>#NAME?</v>
      </c>
      <c r="E258" t="e">
        <f ca="1">_xll.FDSB("JPYUSD","FG_PRICE("&amp;B258&amp;")")</f>
        <v>#NAME?</v>
      </c>
    </row>
    <row r="259" spans="2:5">
      <c r="B259" s="244">
        <f t="shared" si="45"/>
        <v>43722</v>
      </c>
      <c r="C259" s="245" t="e">
        <f ca="1">_xll.FDS("EURUSD","FG_PRICE("&amp;B259&amp;")")</f>
        <v>#NAME?</v>
      </c>
      <c r="D259" t="e">
        <f ca="1">_xll.FDS("GBPUSD","FG_PRICE("&amp;B259&amp;")")</f>
        <v>#NAME?</v>
      </c>
      <c r="E259" t="e">
        <f ca="1">_xll.FDSB("JPYUSD","FG_PRICE("&amp;B259&amp;")")</f>
        <v>#NAME?</v>
      </c>
    </row>
    <row r="260" spans="2:5">
      <c r="B260" s="244">
        <f t="shared" si="45"/>
        <v>43723</v>
      </c>
      <c r="C260" s="245" t="e">
        <f ca="1">_xll.FDS("EURUSD","FG_PRICE("&amp;B260&amp;")")</f>
        <v>#NAME?</v>
      </c>
      <c r="D260" t="e">
        <f ca="1">_xll.FDS("GBPUSD","FG_PRICE("&amp;B260&amp;")")</f>
        <v>#NAME?</v>
      </c>
      <c r="E260" t="e">
        <f ca="1">_xll.FDSB("JPYUSD","FG_PRICE("&amp;B260&amp;")")</f>
        <v>#NAME?</v>
      </c>
    </row>
    <row r="261" spans="2:5">
      <c r="B261" s="244">
        <f t="shared" ref="B261:B324" si="46">B260+1</f>
        <v>43724</v>
      </c>
      <c r="C261" s="245" t="e">
        <f ca="1">_xll.FDS("EURUSD","FG_PRICE("&amp;B261&amp;")")</f>
        <v>#NAME?</v>
      </c>
      <c r="D261" t="e">
        <f ca="1">_xll.FDS("GBPUSD","FG_PRICE("&amp;B261&amp;")")</f>
        <v>#NAME?</v>
      </c>
      <c r="E261" t="e">
        <f ca="1">_xll.FDSB("JPYUSD","FG_PRICE("&amp;B261&amp;")")</f>
        <v>#NAME?</v>
      </c>
    </row>
    <row r="262" spans="2:5">
      <c r="B262" s="244">
        <f t="shared" si="46"/>
        <v>43725</v>
      </c>
      <c r="C262" s="245" t="e">
        <f ca="1">_xll.FDS("EURUSD","FG_PRICE("&amp;B262&amp;")")</f>
        <v>#NAME?</v>
      </c>
      <c r="D262" t="e">
        <f ca="1">_xll.FDS("GBPUSD","FG_PRICE("&amp;B262&amp;")")</f>
        <v>#NAME?</v>
      </c>
      <c r="E262" t="e">
        <f ca="1">_xll.FDSB("JPYUSD","FG_PRICE("&amp;B262&amp;")")</f>
        <v>#NAME?</v>
      </c>
    </row>
    <row r="263" spans="2:5">
      <c r="B263" s="244">
        <f t="shared" si="46"/>
        <v>43726</v>
      </c>
      <c r="C263" s="245" t="e">
        <f ca="1">_xll.FDS("EURUSD","FG_PRICE("&amp;B263&amp;")")</f>
        <v>#NAME?</v>
      </c>
      <c r="D263" t="e">
        <f ca="1">_xll.FDS("GBPUSD","FG_PRICE("&amp;B263&amp;")")</f>
        <v>#NAME?</v>
      </c>
      <c r="E263" t="e">
        <f ca="1">_xll.FDSB("JPYUSD","FG_PRICE("&amp;B263&amp;")")</f>
        <v>#NAME?</v>
      </c>
    </row>
    <row r="264" spans="2:5">
      <c r="B264" s="244">
        <f t="shared" si="46"/>
        <v>43727</v>
      </c>
      <c r="C264" s="245" t="e">
        <f ca="1">_xll.FDS("EURUSD","FG_PRICE("&amp;B264&amp;")")</f>
        <v>#NAME?</v>
      </c>
      <c r="D264" t="e">
        <f ca="1">_xll.FDS("GBPUSD","FG_PRICE("&amp;B264&amp;")")</f>
        <v>#NAME?</v>
      </c>
      <c r="E264" t="e">
        <f ca="1">_xll.FDSB("JPYUSD","FG_PRICE("&amp;B264&amp;")")</f>
        <v>#NAME?</v>
      </c>
    </row>
    <row r="265" spans="2:5">
      <c r="B265" s="244">
        <f t="shared" si="46"/>
        <v>43728</v>
      </c>
      <c r="C265" s="245" t="e">
        <f ca="1">_xll.FDS("EURUSD","FG_PRICE("&amp;B265&amp;")")</f>
        <v>#NAME?</v>
      </c>
      <c r="D265" t="e">
        <f ca="1">_xll.FDS("GBPUSD","FG_PRICE("&amp;B265&amp;")")</f>
        <v>#NAME?</v>
      </c>
      <c r="E265" t="e">
        <f ca="1">_xll.FDSB("JPYUSD","FG_PRICE("&amp;B265&amp;")")</f>
        <v>#NAME?</v>
      </c>
    </row>
    <row r="266" spans="2:5">
      <c r="B266" s="244">
        <f t="shared" si="46"/>
        <v>43729</v>
      </c>
      <c r="C266" s="245" t="e">
        <f ca="1">_xll.FDS("EURUSD","FG_PRICE("&amp;B266&amp;")")</f>
        <v>#NAME?</v>
      </c>
      <c r="D266" t="e">
        <f ca="1">_xll.FDS("GBPUSD","FG_PRICE("&amp;B266&amp;")")</f>
        <v>#NAME?</v>
      </c>
      <c r="E266" t="e">
        <f ca="1">_xll.FDSB("JPYUSD","FG_PRICE("&amp;B266&amp;")")</f>
        <v>#NAME?</v>
      </c>
    </row>
    <row r="267" spans="2:5">
      <c r="B267" s="244">
        <f t="shared" si="46"/>
        <v>43730</v>
      </c>
      <c r="C267" s="245" t="e">
        <f ca="1">_xll.FDS("EURUSD","FG_PRICE("&amp;B267&amp;")")</f>
        <v>#NAME?</v>
      </c>
      <c r="D267" t="e">
        <f ca="1">_xll.FDS("GBPUSD","FG_PRICE("&amp;B267&amp;")")</f>
        <v>#NAME?</v>
      </c>
      <c r="E267" t="e">
        <f ca="1">_xll.FDSB("JPYUSD","FG_PRICE("&amp;B267&amp;")")</f>
        <v>#NAME?</v>
      </c>
    </row>
    <row r="268" spans="2:5">
      <c r="B268" s="244">
        <f t="shared" si="46"/>
        <v>43731</v>
      </c>
      <c r="C268" s="245" t="e">
        <f ca="1">_xll.FDS("EURUSD","FG_PRICE("&amp;B268&amp;")")</f>
        <v>#NAME?</v>
      </c>
      <c r="D268" t="e">
        <f ca="1">_xll.FDS("GBPUSD","FG_PRICE("&amp;B268&amp;")")</f>
        <v>#NAME?</v>
      </c>
      <c r="E268" t="e">
        <f ca="1">_xll.FDSB("JPYUSD","FG_PRICE("&amp;B268&amp;")")</f>
        <v>#NAME?</v>
      </c>
    </row>
    <row r="269" spans="2:5">
      <c r="B269" s="244">
        <f t="shared" si="46"/>
        <v>43732</v>
      </c>
      <c r="C269" s="245" t="e">
        <f ca="1">_xll.FDS("EURUSD","FG_PRICE("&amp;B269&amp;")")</f>
        <v>#NAME?</v>
      </c>
      <c r="D269" t="e">
        <f ca="1">_xll.FDS("GBPUSD","FG_PRICE("&amp;B269&amp;")")</f>
        <v>#NAME?</v>
      </c>
      <c r="E269" t="e">
        <f ca="1">_xll.FDSB("JPYUSD","FG_PRICE("&amp;B269&amp;")")</f>
        <v>#NAME?</v>
      </c>
    </row>
    <row r="270" spans="2:5">
      <c r="B270" s="244">
        <f t="shared" si="46"/>
        <v>43733</v>
      </c>
      <c r="C270" s="245" t="e">
        <f ca="1">_xll.FDS("EURUSD","FG_PRICE("&amp;B270&amp;")")</f>
        <v>#NAME?</v>
      </c>
      <c r="D270" t="e">
        <f ca="1">_xll.FDS("GBPUSD","FG_PRICE("&amp;B270&amp;")")</f>
        <v>#NAME?</v>
      </c>
      <c r="E270" t="e">
        <f ca="1">_xll.FDSB("JPYUSD","FG_PRICE("&amp;B270&amp;")")</f>
        <v>#NAME?</v>
      </c>
    </row>
    <row r="271" spans="2:5">
      <c r="B271" s="244">
        <f t="shared" si="46"/>
        <v>43734</v>
      </c>
      <c r="C271" s="245" t="e">
        <f ca="1">_xll.FDS("EURUSD","FG_PRICE("&amp;B271&amp;")")</f>
        <v>#NAME?</v>
      </c>
      <c r="D271" t="e">
        <f ca="1">_xll.FDS("GBPUSD","FG_PRICE("&amp;B271&amp;")")</f>
        <v>#NAME?</v>
      </c>
      <c r="E271" t="e">
        <f ca="1">_xll.FDSB("JPYUSD","FG_PRICE("&amp;B271&amp;")")</f>
        <v>#NAME?</v>
      </c>
    </row>
    <row r="272" spans="2:5">
      <c r="B272" s="244">
        <f t="shared" si="46"/>
        <v>43735</v>
      </c>
      <c r="C272" s="245" t="e">
        <f ca="1">_xll.FDS("EURUSD","FG_PRICE("&amp;B272&amp;")")</f>
        <v>#NAME?</v>
      </c>
      <c r="D272" t="e">
        <f ca="1">_xll.FDS("GBPUSD","FG_PRICE("&amp;B272&amp;")")</f>
        <v>#NAME?</v>
      </c>
      <c r="E272" t="e">
        <f ca="1">_xll.FDSB("JPYUSD","FG_PRICE("&amp;B272&amp;")")</f>
        <v>#NAME?</v>
      </c>
    </row>
    <row r="273" spans="2:5">
      <c r="B273" s="244">
        <f t="shared" si="46"/>
        <v>43736</v>
      </c>
      <c r="C273" s="245" t="e">
        <f ca="1">_xll.FDS("EURUSD","FG_PRICE("&amp;B273&amp;")")</f>
        <v>#NAME?</v>
      </c>
      <c r="D273" t="e">
        <f ca="1">_xll.FDS("GBPUSD","FG_PRICE("&amp;B273&amp;")")</f>
        <v>#NAME?</v>
      </c>
      <c r="E273" t="e">
        <f ca="1">_xll.FDSB("JPYUSD","FG_PRICE("&amp;B273&amp;")")</f>
        <v>#NAME?</v>
      </c>
    </row>
    <row r="274" spans="2:5">
      <c r="B274" s="244">
        <f t="shared" si="46"/>
        <v>43737</v>
      </c>
      <c r="C274" s="245" t="e">
        <f ca="1">_xll.FDS("EURUSD","FG_PRICE("&amp;B274&amp;")")</f>
        <v>#NAME?</v>
      </c>
      <c r="D274" t="e">
        <f ca="1">_xll.FDS("GBPUSD","FG_PRICE("&amp;B274&amp;")")</f>
        <v>#NAME?</v>
      </c>
      <c r="E274" t="e">
        <f ca="1">_xll.FDSB("JPYUSD","FG_PRICE("&amp;B274&amp;")")</f>
        <v>#NAME?</v>
      </c>
    </row>
    <row r="275" spans="2:5">
      <c r="B275" s="244">
        <f t="shared" si="46"/>
        <v>43738</v>
      </c>
      <c r="C275" s="245" t="e">
        <f ca="1">_xll.FDS("EURUSD","FG_PRICE("&amp;B275&amp;")")</f>
        <v>#NAME?</v>
      </c>
      <c r="D275" t="e">
        <f ca="1">_xll.FDS("GBPUSD","FG_PRICE("&amp;B275&amp;")")</f>
        <v>#NAME?</v>
      </c>
      <c r="E275" t="e">
        <f ca="1">_xll.FDSB("JPYUSD","FG_PRICE("&amp;B275&amp;")")</f>
        <v>#NAME?</v>
      </c>
    </row>
    <row r="276" spans="2:5">
      <c r="B276" s="244">
        <f t="shared" si="46"/>
        <v>43739</v>
      </c>
      <c r="C276" s="245" t="e">
        <f ca="1">_xll.FDS("EURUSD","FG_PRICE("&amp;B276&amp;")")</f>
        <v>#NAME?</v>
      </c>
      <c r="D276" t="e">
        <f ca="1">_xll.FDS("GBPUSD","FG_PRICE("&amp;B276&amp;")")</f>
        <v>#NAME?</v>
      </c>
      <c r="E276" t="e">
        <f ca="1">_xll.FDSB("JPYUSD","FG_PRICE("&amp;B276&amp;")")</f>
        <v>#NAME?</v>
      </c>
    </row>
    <row r="277" spans="2:5">
      <c r="B277" s="244">
        <f t="shared" si="46"/>
        <v>43740</v>
      </c>
      <c r="C277" s="245" t="e">
        <f ca="1">_xll.FDS("EURUSD","FG_PRICE("&amp;B277&amp;")")</f>
        <v>#NAME?</v>
      </c>
      <c r="D277" t="e">
        <f ca="1">_xll.FDS("GBPUSD","FG_PRICE("&amp;B277&amp;")")</f>
        <v>#NAME?</v>
      </c>
      <c r="E277" t="e">
        <f ca="1">_xll.FDSB("JPYUSD","FG_PRICE("&amp;B277&amp;")")</f>
        <v>#NAME?</v>
      </c>
    </row>
    <row r="278" spans="2:5">
      <c r="B278" s="244">
        <f t="shared" si="46"/>
        <v>43741</v>
      </c>
      <c r="C278" s="245" t="e">
        <f ca="1">_xll.FDS("EURUSD","FG_PRICE("&amp;B278&amp;")")</f>
        <v>#NAME?</v>
      </c>
      <c r="D278" t="e">
        <f ca="1">_xll.FDS("GBPUSD","FG_PRICE("&amp;B278&amp;")")</f>
        <v>#NAME?</v>
      </c>
      <c r="E278" t="e">
        <f ca="1">_xll.FDSB("JPYUSD","FG_PRICE("&amp;B278&amp;")")</f>
        <v>#NAME?</v>
      </c>
    </row>
    <row r="279" spans="2:5">
      <c r="B279" s="244">
        <f t="shared" si="46"/>
        <v>43742</v>
      </c>
      <c r="C279" s="245" t="e">
        <f ca="1">_xll.FDS("EURUSD","FG_PRICE("&amp;B279&amp;")")</f>
        <v>#NAME?</v>
      </c>
      <c r="D279" t="e">
        <f ca="1">_xll.FDS("GBPUSD","FG_PRICE("&amp;B279&amp;")")</f>
        <v>#NAME?</v>
      </c>
      <c r="E279" t="e">
        <f ca="1">_xll.FDSB("JPYUSD","FG_PRICE("&amp;B279&amp;")")</f>
        <v>#NAME?</v>
      </c>
    </row>
    <row r="280" spans="2:5">
      <c r="B280" s="244">
        <f t="shared" si="46"/>
        <v>43743</v>
      </c>
      <c r="C280" s="245" t="e">
        <f ca="1">_xll.FDS("EURUSD","FG_PRICE("&amp;B280&amp;")")</f>
        <v>#NAME?</v>
      </c>
      <c r="D280" t="e">
        <f ca="1">_xll.FDS("GBPUSD","FG_PRICE("&amp;B280&amp;")")</f>
        <v>#NAME?</v>
      </c>
      <c r="E280" t="e">
        <f ca="1">_xll.FDSB("JPYUSD","FG_PRICE("&amp;B280&amp;")")</f>
        <v>#NAME?</v>
      </c>
    </row>
    <row r="281" spans="2:5">
      <c r="B281" s="244">
        <f t="shared" si="46"/>
        <v>43744</v>
      </c>
      <c r="C281" s="245" t="e">
        <f ca="1">_xll.FDS("EURUSD","FG_PRICE("&amp;B281&amp;")")</f>
        <v>#NAME?</v>
      </c>
      <c r="D281" t="e">
        <f ca="1">_xll.FDS("GBPUSD","FG_PRICE("&amp;B281&amp;")")</f>
        <v>#NAME?</v>
      </c>
      <c r="E281" t="e">
        <f ca="1">_xll.FDSB("JPYUSD","FG_PRICE("&amp;B281&amp;")")</f>
        <v>#NAME?</v>
      </c>
    </row>
    <row r="282" spans="2:5">
      <c r="B282" s="244">
        <f t="shared" si="46"/>
        <v>43745</v>
      </c>
      <c r="C282" s="245" t="e">
        <f ca="1">_xll.FDS("EURUSD","FG_PRICE("&amp;B282&amp;")")</f>
        <v>#NAME?</v>
      </c>
      <c r="D282" t="e">
        <f ca="1">_xll.FDS("GBPUSD","FG_PRICE("&amp;B282&amp;")")</f>
        <v>#NAME?</v>
      </c>
      <c r="E282" t="e">
        <f ca="1">_xll.FDSB("JPYUSD","FG_PRICE("&amp;B282&amp;")")</f>
        <v>#NAME?</v>
      </c>
    </row>
    <row r="283" spans="2:5">
      <c r="B283" s="244">
        <f t="shared" si="46"/>
        <v>43746</v>
      </c>
      <c r="C283" s="245" t="e">
        <f ca="1">_xll.FDS("EURUSD","FG_PRICE("&amp;B283&amp;")")</f>
        <v>#NAME?</v>
      </c>
      <c r="D283" t="e">
        <f ca="1">_xll.FDS("GBPUSD","FG_PRICE("&amp;B283&amp;")")</f>
        <v>#NAME?</v>
      </c>
      <c r="E283" t="e">
        <f ca="1">_xll.FDSB("JPYUSD","FG_PRICE("&amp;B283&amp;")")</f>
        <v>#NAME?</v>
      </c>
    </row>
    <row r="284" spans="2:5">
      <c r="B284" s="244">
        <f t="shared" si="46"/>
        <v>43747</v>
      </c>
      <c r="C284" s="245" t="e">
        <f ca="1">_xll.FDS("EURUSD","FG_PRICE("&amp;B284&amp;")")</f>
        <v>#NAME?</v>
      </c>
      <c r="D284" t="e">
        <f ca="1">_xll.FDS("GBPUSD","FG_PRICE("&amp;B284&amp;")")</f>
        <v>#NAME?</v>
      </c>
      <c r="E284" t="e">
        <f ca="1">_xll.FDSB("JPYUSD","FG_PRICE("&amp;B284&amp;")")</f>
        <v>#NAME?</v>
      </c>
    </row>
    <row r="285" spans="2:5">
      <c r="B285" s="244">
        <f t="shared" si="46"/>
        <v>43748</v>
      </c>
      <c r="C285" s="245" t="e">
        <f ca="1">_xll.FDS("EURUSD","FG_PRICE("&amp;B285&amp;")")</f>
        <v>#NAME?</v>
      </c>
      <c r="D285" t="e">
        <f ca="1">_xll.FDS("GBPUSD","FG_PRICE("&amp;B285&amp;")")</f>
        <v>#NAME?</v>
      </c>
      <c r="E285" t="e">
        <f ca="1">_xll.FDSB("JPYUSD","FG_PRICE("&amp;B285&amp;")")</f>
        <v>#NAME?</v>
      </c>
    </row>
    <row r="286" spans="2:5">
      <c r="B286" s="244">
        <f t="shared" si="46"/>
        <v>43749</v>
      </c>
      <c r="C286" s="245" t="e">
        <f ca="1">_xll.FDS("EURUSD","FG_PRICE("&amp;B286&amp;")")</f>
        <v>#NAME?</v>
      </c>
      <c r="D286" t="e">
        <f ca="1">_xll.FDS("GBPUSD","FG_PRICE("&amp;B286&amp;")")</f>
        <v>#NAME?</v>
      </c>
      <c r="E286" t="e">
        <f ca="1">_xll.FDSB("JPYUSD","FG_PRICE("&amp;B286&amp;")")</f>
        <v>#NAME?</v>
      </c>
    </row>
    <row r="287" spans="2:5">
      <c r="B287" s="244">
        <f t="shared" si="46"/>
        <v>43750</v>
      </c>
      <c r="C287" s="245" t="e">
        <f ca="1">_xll.FDS("EURUSD","FG_PRICE("&amp;B287&amp;")")</f>
        <v>#NAME?</v>
      </c>
      <c r="D287" t="e">
        <f ca="1">_xll.FDS("GBPUSD","FG_PRICE("&amp;B287&amp;")")</f>
        <v>#NAME?</v>
      </c>
      <c r="E287" t="e">
        <f ca="1">_xll.FDSB("JPYUSD","FG_PRICE("&amp;B287&amp;")")</f>
        <v>#NAME?</v>
      </c>
    </row>
    <row r="288" spans="2:5">
      <c r="B288" s="244">
        <f t="shared" si="46"/>
        <v>43751</v>
      </c>
      <c r="C288" s="245" t="e">
        <f ca="1">_xll.FDS("EURUSD","FG_PRICE("&amp;B288&amp;")")</f>
        <v>#NAME?</v>
      </c>
      <c r="D288" t="e">
        <f ca="1">_xll.FDS("GBPUSD","FG_PRICE("&amp;B288&amp;")")</f>
        <v>#NAME?</v>
      </c>
      <c r="E288" t="e">
        <f ca="1">_xll.FDSB("JPYUSD","FG_PRICE("&amp;B288&amp;")")</f>
        <v>#NAME?</v>
      </c>
    </row>
    <row r="289" spans="2:5">
      <c r="B289" s="244">
        <f t="shared" si="46"/>
        <v>43752</v>
      </c>
      <c r="C289" s="245" t="e">
        <f ca="1">_xll.FDS("EURUSD","FG_PRICE("&amp;B289&amp;")")</f>
        <v>#NAME?</v>
      </c>
      <c r="D289" t="e">
        <f ca="1">_xll.FDS("GBPUSD","FG_PRICE("&amp;B289&amp;")")</f>
        <v>#NAME?</v>
      </c>
      <c r="E289" t="e">
        <f ca="1">_xll.FDSB("JPYUSD","FG_PRICE("&amp;B289&amp;")")</f>
        <v>#NAME?</v>
      </c>
    </row>
    <row r="290" spans="2:5">
      <c r="B290" s="244">
        <f t="shared" si="46"/>
        <v>43753</v>
      </c>
      <c r="C290" s="245" t="e">
        <f ca="1">_xll.FDS("EURUSD","FG_PRICE("&amp;B290&amp;")")</f>
        <v>#NAME?</v>
      </c>
      <c r="D290" t="e">
        <f ca="1">_xll.FDS("GBPUSD","FG_PRICE("&amp;B290&amp;")")</f>
        <v>#NAME?</v>
      </c>
      <c r="E290" t="e">
        <f ca="1">_xll.FDSB("JPYUSD","FG_PRICE("&amp;B290&amp;")")</f>
        <v>#NAME?</v>
      </c>
    </row>
    <row r="291" spans="2:5">
      <c r="B291" s="244">
        <f t="shared" si="46"/>
        <v>43754</v>
      </c>
      <c r="C291" s="245" t="e">
        <f ca="1">_xll.FDS("EURUSD","FG_PRICE("&amp;B291&amp;")")</f>
        <v>#NAME?</v>
      </c>
      <c r="D291" t="e">
        <f ca="1">_xll.FDS("GBPUSD","FG_PRICE("&amp;B291&amp;")")</f>
        <v>#NAME?</v>
      </c>
      <c r="E291" t="e">
        <f ca="1">_xll.FDSB("JPYUSD","FG_PRICE("&amp;B291&amp;")")</f>
        <v>#NAME?</v>
      </c>
    </row>
    <row r="292" spans="2:5">
      <c r="B292" s="244">
        <f t="shared" si="46"/>
        <v>43755</v>
      </c>
      <c r="C292" s="245" t="e">
        <f ca="1">_xll.FDS("EURUSD","FG_PRICE("&amp;B292&amp;")")</f>
        <v>#NAME?</v>
      </c>
      <c r="D292" t="e">
        <f ca="1">_xll.FDS("GBPUSD","FG_PRICE("&amp;B292&amp;")")</f>
        <v>#NAME?</v>
      </c>
      <c r="E292" t="e">
        <f ca="1">_xll.FDSB("JPYUSD","FG_PRICE("&amp;B292&amp;")")</f>
        <v>#NAME?</v>
      </c>
    </row>
    <row r="293" spans="2:5">
      <c r="B293" s="244">
        <f t="shared" si="46"/>
        <v>43756</v>
      </c>
      <c r="C293" s="245" t="e">
        <f ca="1">_xll.FDS("EURUSD","FG_PRICE("&amp;B293&amp;")")</f>
        <v>#NAME?</v>
      </c>
      <c r="D293" t="e">
        <f ca="1">_xll.FDS("GBPUSD","FG_PRICE("&amp;B293&amp;")")</f>
        <v>#NAME?</v>
      </c>
      <c r="E293" t="e">
        <f ca="1">_xll.FDSB("JPYUSD","FG_PRICE("&amp;B293&amp;")")</f>
        <v>#NAME?</v>
      </c>
    </row>
    <row r="294" spans="2:5">
      <c r="B294" s="244">
        <f t="shared" si="46"/>
        <v>43757</v>
      </c>
      <c r="C294" s="245" t="e">
        <f ca="1">_xll.FDS("EURUSD","FG_PRICE("&amp;B294&amp;")")</f>
        <v>#NAME?</v>
      </c>
      <c r="D294" t="e">
        <f ca="1">_xll.FDS("GBPUSD","FG_PRICE("&amp;B294&amp;")")</f>
        <v>#NAME?</v>
      </c>
      <c r="E294" t="e">
        <f ca="1">_xll.FDSB("JPYUSD","FG_PRICE("&amp;B294&amp;")")</f>
        <v>#NAME?</v>
      </c>
    </row>
    <row r="295" spans="2:5">
      <c r="B295" s="244">
        <f t="shared" si="46"/>
        <v>43758</v>
      </c>
      <c r="C295" s="245" t="e">
        <f ca="1">_xll.FDS("EURUSD","FG_PRICE("&amp;B295&amp;")")</f>
        <v>#NAME?</v>
      </c>
      <c r="D295" t="e">
        <f ca="1">_xll.FDS("GBPUSD","FG_PRICE("&amp;B295&amp;")")</f>
        <v>#NAME?</v>
      </c>
      <c r="E295" t="e">
        <f ca="1">_xll.FDSB("JPYUSD","FG_PRICE("&amp;B295&amp;")")</f>
        <v>#NAME?</v>
      </c>
    </row>
    <row r="296" spans="2:5">
      <c r="B296" s="244">
        <f t="shared" si="46"/>
        <v>43759</v>
      </c>
      <c r="C296" s="245" t="e">
        <f ca="1">_xll.FDS("EURUSD","FG_PRICE("&amp;B296&amp;")")</f>
        <v>#NAME?</v>
      </c>
      <c r="D296" t="e">
        <f ca="1">_xll.FDS("GBPUSD","FG_PRICE("&amp;B296&amp;")")</f>
        <v>#NAME?</v>
      </c>
      <c r="E296" t="e">
        <f ca="1">_xll.FDSB("JPYUSD","FG_PRICE("&amp;B296&amp;")")</f>
        <v>#NAME?</v>
      </c>
    </row>
    <row r="297" spans="2:5">
      <c r="B297" s="244">
        <f t="shared" si="46"/>
        <v>43760</v>
      </c>
      <c r="C297" s="245" t="e">
        <f ca="1">_xll.FDS("EURUSD","FG_PRICE("&amp;B297&amp;")")</f>
        <v>#NAME?</v>
      </c>
      <c r="D297" t="e">
        <f ca="1">_xll.FDS("GBPUSD","FG_PRICE("&amp;B297&amp;")")</f>
        <v>#NAME?</v>
      </c>
      <c r="E297" t="e">
        <f ca="1">_xll.FDSB("JPYUSD","FG_PRICE("&amp;B297&amp;")")</f>
        <v>#NAME?</v>
      </c>
    </row>
    <row r="298" spans="2:5">
      <c r="B298" s="244">
        <f t="shared" si="46"/>
        <v>43761</v>
      </c>
      <c r="C298" s="245" t="e">
        <f ca="1">_xll.FDS("EURUSD","FG_PRICE("&amp;B298&amp;")")</f>
        <v>#NAME?</v>
      </c>
      <c r="D298" t="e">
        <f ca="1">_xll.FDS("GBPUSD","FG_PRICE("&amp;B298&amp;")")</f>
        <v>#NAME?</v>
      </c>
      <c r="E298" t="e">
        <f ca="1">_xll.FDSB("JPYUSD","FG_PRICE("&amp;B298&amp;")")</f>
        <v>#NAME?</v>
      </c>
    </row>
    <row r="299" spans="2:5">
      <c r="B299" s="244">
        <f t="shared" si="46"/>
        <v>43762</v>
      </c>
      <c r="C299" s="245" t="e">
        <f ca="1">_xll.FDS("EURUSD","FG_PRICE("&amp;B299&amp;")")</f>
        <v>#NAME?</v>
      </c>
      <c r="D299" t="e">
        <f ca="1">_xll.FDS("GBPUSD","FG_PRICE("&amp;B299&amp;")")</f>
        <v>#NAME?</v>
      </c>
      <c r="E299" t="e">
        <f ca="1">_xll.FDSB("JPYUSD","FG_PRICE("&amp;B299&amp;")")</f>
        <v>#NAME?</v>
      </c>
    </row>
    <row r="300" spans="2:5">
      <c r="B300" s="244">
        <f t="shared" si="46"/>
        <v>43763</v>
      </c>
      <c r="C300" s="245" t="e">
        <f ca="1">_xll.FDS("EURUSD","FG_PRICE("&amp;B300&amp;")")</f>
        <v>#NAME?</v>
      </c>
      <c r="D300" t="e">
        <f ca="1">_xll.FDS("GBPUSD","FG_PRICE("&amp;B300&amp;")")</f>
        <v>#NAME?</v>
      </c>
      <c r="E300" t="e">
        <f ca="1">_xll.FDSB("JPYUSD","FG_PRICE("&amp;B300&amp;")")</f>
        <v>#NAME?</v>
      </c>
    </row>
    <row r="301" spans="2:5">
      <c r="B301" s="244">
        <f t="shared" si="46"/>
        <v>43764</v>
      </c>
      <c r="C301" s="245" t="e">
        <f ca="1">_xll.FDS("EURUSD","FG_PRICE("&amp;B301&amp;")")</f>
        <v>#NAME?</v>
      </c>
      <c r="D301" t="e">
        <f ca="1">_xll.FDS("GBPUSD","FG_PRICE("&amp;B301&amp;")")</f>
        <v>#NAME?</v>
      </c>
      <c r="E301" t="e">
        <f ca="1">_xll.FDSB("JPYUSD","FG_PRICE("&amp;B301&amp;")")</f>
        <v>#NAME?</v>
      </c>
    </row>
    <row r="302" spans="2:5">
      <c r="B302" s="244">
        <f t="shared" si="46"/>
        <v>43765</v>
      </c>
      <c r="C302" s="245" t="e">
        <f ca="1">_xll.FDS("EURUSD","FG_PRICE("&amp;B302&amp;")")</f>
        <v>#NAME?</v>
      </c>
      <c r="D302" t="e">
        <f ca="1">_xll.FDS("GBPUSD","FG_PRICE("&amp;B302&amp;")")</f>
        <v>#NAME?</v>
      </c>
      <c r="E302" t="e">
        <f ca="1">_xll.FDSB("JPYUSD","FG_PRICE("&amp;B302&amp;")")</f>
        <v>#NAME?</v>
      </c>
    </row>
    <row r="303" spans="2:5">
      <c r="B303" s="244">
        <f t="shared" si="46"/>
        <v>43766</v>
      </c>
      <c r="C303" s="245" t="e">
        <f ca="1">_xll.FDS("EURUSD","FG_PRICE("&amp;B303&amp;")")</f>
        <v>#NAME?</v>
      </c>
      <c r="D303" t="e">
        <f ca="1">_xll.FDS("GBPUSD","FG_PRICE("&amp;B303&amp;")")</f>
        <v>#NAME?</v>
      </c>
      <c r="E303" t="e">
        <f ca="1">_xll.FDSB("JPYUSD","FG_PRICE("&amp;B303&amp;")")</f>
        <v>#NAME?</v>
      </c>
    </row>
    <row r="304" spans="2:5">
      <c r="B304" s="244">
        <f t="shared" si="46"/>
        <v>43767</v>
      </c>
      <c r="C304" s="245" t="e">
        <f ca="1">_xll.FDS("EURUSD","FG_PRICE("&amp;B304&amp;")")</f>
        <v>#NAME?</v>
      </c>
      <c r="D304" t="e">
        <f ca="1">_xll.FDS("GBPUSD","FG_PRICE("&amp;B304&amp;")")</f>
        <v>#NAME?</v>
      </c>
      <c r="E304" t="e">
        <f ca="1">_xll.FDSB("JPYUSD","FG_PRICE("&amp;B304&amp;")")</f>
        <v>#NAME?</v>
      </c>
    </row>
    <row r="305" spans="2:5">
      <c r="B305" s="244">
        <f t="shared" si="46"/>
        <v>43768</v>
      </c>
      <c r="C305" s="245" t="e">
        <f ca="1">_xll.FDS("EURUSD","FG_PRICE("&amp;B305&amp;")")</f>
        <v>#NAME?</v>
      </c>
      <c r="D305" t="e">
        <f ca="1">_xll.FDS("GBPUSD","FG_PRICE("&amp;B305&amp;")")</f>
        <v>#NAME?</v>
      </c>
      <c r="E305" t="e">
        <f ca="1">_xll.FDSB("JPYUSD","FG_PRICE("&amp;B305&amp;")")</f>
        <v>#NAME?</v>
      </c>
    </row>
    <row r="306" spans="2:5">
      <c r="B306" s="244">
        <f t="shared" si="46"/>
        <v>43769</v>
      </c>
      <c r="C306" s="245" t="e">
        <f ca="1">_xll.FDS("EURUSD","FG_PRICE("&amp;B306&amp;")")</f>
        <v>#NAME?</v>
      </c>
      <c r="D306" t="e">
        <f ca="1">_xll.FDS("GBPUSD","FG_PRICE("&amp;B306&amp;")")</f>
        <v>#NAME?</v>
      </c>
      <c r="E306" t="e">
        <f ca="1">_xll.FDSB("JPYUSD","FG_PRICE("&amp;B306&amp;")")</f>
        <v>#NAME?</v>
      </c>
    </row>
    <row r="307" spans="2:5">
      <c r="B307" s="244">
        <f t="shared" si="46"/>
        <v>43770</v>
      </c>
      <c r="C307" s="245" t="e">
        <f ca="1">_xll.FDS("EURUSD","FG_PRICE("&amp;B307&amp;")")</f>
        <v>#NAME?</v>
      </c>
      <c r="D307" t="e">
        <f ca="1">_xll.FDS("GBPUSD","FG_PRICE("&amp;B307&amp;")")</f>
        <v>#NAME?</v>
      </c>
      <c r="E307" t="e">
        <f ca="1">_xll.FDSB("JPYUSD","FG_PRICE("&amp;B307&amp;")")</f>
        <v>#NAME?</v>
      </c>
    </row>
    <row r="308" spans="2:5">
      <c r="B308" s="244">
        <f t="shared" si="46"/>
        <v>43771</v>
      </c>
      <c r="C308" s="245" t="e">
        <f ca="1">_xll.FDS("EURUSD","FG_PRICE("&amp;B308&amp;")")</f>
        <v>#NAME?</v>
      </c>
      <c r="D308" t="e">
        <f ca="1">_xll.FDS("GBPUSD","FG_PRICE("&amp;B308&amp;")")</f>
        <v>#NAME?</v>
      </c>
      <c r="E308" t="e">
        <f ca="1">_xll.FDSB("JPYUSD","FG_PRICE("&amp;B308&amp;")")</f>
        <v>#NAME?</v>
      </c>
    </row>
    <row r="309" spans="2:5">
      <c r="B309" s="244">
        <f t="shared" si="46"/>
        <v>43772</v>
      </c>
      <c r="C309" s="245" t="e">
        <f ca="1">_xll.FDS("EURUSD","FG_PRICE("&amp;B309&amp;")")</f>
        <v>#NAME?</v>
      </c>
      <c r="D309" t="e">
        <f ca="1">_xll.FDS("GBPUSD","FG_PRICE("&amp;B309&amp;")")</f>
        <v>#NAME?</v>
      </c>
      <c r="E309" t="e">
        <f ca="1">_xll.FDSB("JPYUSD","FG_PRICE("&amp;B309&amp;")")</f>
        <v>#NAME?</v>
      </c>
    </row>
    <row r="310" spans="2:5">
      <c r="B310" s="244">
        <f t="shared" si="46"/>
        <v>43773</v>
      </c>
      <c r="C310" s="245" t="e">
        <f ca="1">_xll.FDS("EURUSD","FG_PRICE("&amp;B310&amp;")")</f>
        <v>#NAME?</v>
      </c>
      <c r="D310" t="e">
        <f ca="1">_xll.FDS("GBPUSD","FG_PRICE("&amp;B310&amp;")")</f>
        <v>#NAME?</v>
      </c>
      <c r="E310" t="e">
        <f ca="1">_xll.FDSB("JPYUSD","FG_PRICE("&amp;B310&amp;")")</f>
        <v>#NAME?</v>
      </c>
    </row>
    <row r="311" spans="2:5">
      <c r="B311" s="244">
        <f t="shared" si="46"/>
        <v>43774</v>
      </c>
      <c r="C311" s="245" t="e">
        <f ca="1">_xll.FDS("EURUSD","FG_PRICE("&amp;B311&amp;")")</f>
        <v>#NAME?</v>
      </c>
      <c r="D311" t="e">
        <f ca="1">_xll.FDS("GBPUSD","FG_PRICE("&amp;B311&amp;")")</f>
        <v>#NAME?</v>
      </c>
      <c r="E311" t="e">
        <f ca="1">_xll.FDSB("JPYUSD","FG_PRICE("&amp;B311&amp;")")</f>
        <v>#NAME?</v>
      </c>
    </row>
    <row r="312" spans="2:5">
      <c r="B312" s="244">
        <f t="shared" si="46"/>
        <v>43775</v>
      </c>
      <c r="C312" s="245" t="e">
        <f ca="1">_xll.FDS("EURUSD","FG_PRICE("&amp;B312&amp;")")</f>
        <v>#NAME?</v>
      </c>
      <c r="D312" t="e">
        <f ca="1">_xll.FDS("GBPUSD","FG_PRICE("&amp;B312&amp;")")</f>
        <v>#NAME?</v>
      </c>
      <c r="E312" t="e">
        <f ca="1">_xll.FDSB("JPYUSD","FG_PRICE("&amp;B312&amp;")")</f>
        <v>#NAME?</v>
      </c>
    </row>
    <row r="313" spans="2:5">
      <c r="B313" s="244">
        <f t="shared" si="46"/>
        <v>43776</v>
      </c>
      <c r="C313" s="245" t="e">
        <f ca="1">_xll.FDS("EURUSD","FG_PRICE("&amp;B313&amp;")")</f>
        <v>#NAME?</v>
      </c>
      <c r="D313" t="e">
        <f ca="1">_xll.FDS("GBPUSD","FG_PRICE("&amp;B313&amp;")")</f>
        <v>#NAME?</v>
      </c>
      <c r="E313" t="e">
        <f ca="1">_xll.FDSB("JPYUSD","FG_PRICE("&amp;B313&amp;")")</f>
        <v>#NAME?</v>
      </c>
    </row>
    <row r="314" spans="2:5">
      <c r="B314" s="244">
        <f t="shared" si="46"/>
        <v>43777</v>
      </c>
      <c r="C314" s="245" t="e">
        <f ca="1">_xll.FDS("EURUSD","FG_PRICE("&amp;B314&amp;")")</f>
        <v>#NAME?</v>
      </c>
      <c r="D314" t="e">
        <f ca="1">_xll.FDS("GBPUSD","FG_PRICE("&amp;B314&amp;")")</f>
        <v>#NAME?</v>
      </c>
      <c r="E314" t="e">
        <f ca="1">_xll.FDSB("JPYUSD","FG_PRICE("&amp;B314&amp;")")</f>
        <v>#NAME?</v>
      </c>
    </row>
    <row r="315" spans="2:5">
      <c r="B315" s="244">
        <f t="shared" si="46"/>
        <v>43778</v>
      </c>
      <c r="C315" s="245" t="e">
        <f ca="1">_xll.FDS("EURUSD","FG_PRICE("&amp;B315&amp;")")</f>
        <v>#NAME?</v>
      </c>
      <c r="D315" t="e">
        <f ca="1">_xll.FDS("GBPUSD","FG_PRICE("&amp;B315&amp;")")</f>
        <v>#NAME?</v>
      </c>
      <c r="E315" t="e">
        <f ca="1">_xll.FDSB("JPYUSD","FG_PRICE("&amp;B315&amp;")")</f>
        <v>#NAME?</v>
      </c>
    </row>
    <row r="316" spans="2:5">
      <c r="B316" s="244">
        <f t="shared" si="46"/>
        <v>43779</v>
      </c>
      <c r="C316" s="245" t="e">
        <f ca="1">_xll.FDS("EURUSD","FG_PRICE("&amp;B316&amp;")")</f>
        <v>#NAME?</v>
      </c>
      <c r="D316" t="e">
        <f ca="1">_xll.FDS("GBPUSD","FG_PRICE("&amp;B316&amp;")")</f>
        <v>#NAME?</v>
      </c>
      <c r="E316" t="e">
        <f ca="1">_xll.FDSB("JPYUSD","FG_PRICE("&amp;B316&amp;")")</f>
        <v>#NAME?</v>
      </c>
    </row>
    <row r="317" spans="2:5">
      <c r="B317" s="244">
        <f t="shared" si="46"/>
        <v>43780</v>
      </c>
      <c r="C317" s="245" t="e">
        <f ca="1">_xll.FDS("EURUSD","FG_PRICE("&amp;B317&amp;")")</f>
        <v>#NAME?</v>
      </c>
      <c r="D317" t="e">
        <f ca="1">_xll.FDS("GBPUSD","FG_PRICE("&amp;B317&amp;")")</f>
        <v>#NAME?</v>
      </c>
      <c r="E317" t="e">
        <f ca="1">_xll.FDSB("JPYUSD","FG_PRICE("&amp;B317&amp;")")</f>
        <v>#NAME?</v>
      </c>
    </row>
    <row r="318" spans="2:5">
      <c r="B318" s="244">
        <f t="shared" si="46"/>
        <v>43781</v>
      </c>
      <c r="C318" s="245" t="e">
        <f ca="1">_xll.FDS("EURUSD","FG_PRICE("&amp;B318&amp;")")</f>
        <v>#NAME?</v>
      </c>
      <c r="D318" t="e">
        <f ca="1">_xll.FDS("GBPUSD","FG_PRICE("&amp;B318&amp;")")</f>
        <v>#NAME?</v>
      </c>
      <c r="E318" t="e">
        <f ca="1">_xll.FDSB("JPYUSD","FG_PRICE("&amp;B318&amp;")")</f>
        <v>#NAME?</v>
      </c>
    </row>
    <row r="319" spans="2:5">
      <c r="B319" s="244">
        <f t="shared" si="46"/>
        <v>43782</v>
      </c>
      <c r="C319" s="245" t="e">
        <f ca="1">_xll.FDS("EURUSD","FG_PRICE("&amp;B319&amp;")")</f>
        <v>#NAME?</v>
      </c>
      <c r="D319" t="e">
        <f ca="1">_xll.FDS("GBPUSD","FG_PRICE("&amp;B319&amp;")")</f>
        <v>#NAME?</v>
      </c>
      <c r="E319" t="e">
        <f ca="1">_xll.FDSB("JPYUSD","FG_PRICE("&amp;B319&amp;")")</f>
        <v>#NAME?</v>
      </c>
    </row>
    <row r="320" spans="2:5">
      <c r="B320" s="244">
        <f t="shared" si="46"/>
        <v>43783</v>
      </c>
      <c r="C320" s="245" t="e">
        <f ca="1">_xll.FDS("EURUSD","FG_PRICE("&amp;B320&amp;")")</f>
        <v>#NAME?</v>
      </c>
      <c r="D320" t="e">
        <f ca="1">_xll.FDS("GBPUSD","FG_PRICE("&amp;B320&amp;")")</f>
        <v>#NAME?</v>
      </c>
      <c r="E320" t="e">
        <f ca="1">_xll.FDSB("JPYUSD","FG_PRICE("&amp;B320&amp;")")</f>
        <v>#NAME?</v>
      </c>
    </row>
    <row r="321" spans="2:5">
      <c r="B321" s="244">
        <f t="shared" si="46"/>
        <v>43784</v>
      </c>
      <c r="C321" s="245" t="e">
        <f ca="1">_xll.FDS("EURUSD","FG_PRICE("&amp;B321&amp;")")</f>
        <v>#NAME?</v>
      </c>
      <c r="D321" t="e">
        <f ca="1">_xll.FDS("GBPUSD","FG_PRICE("&amp;B321&amp;")")</f>
        <v>#NAME?</v>
      </c>
      <c r="E321" t="e">
        <f ca="1">_xll.FDSB("JPYUSD","FG_PRICE("&amp;B321&amp;")")</f>
        <v>#NAME?</v>
      </c>
    </row>
    <row r="322" spans="2:5">
      <c r="B322" s="244">
        <f t="shared" si="46"/>
        <v>43785</v>
      </c>
      <c r="C322" s="245" t="e">
        <f ca="1">_xll.FDS("EURUSD","FG_PRICE("&amp;B322&amp;")")</f>
        <v>#NAME?</v>
      </c>
      <c r="D322" t="e">
        <f ca="1">_xll.FDS("GBPUSD","FG_PRICE("&amp;B322&amp;")")</f>
        <v>#NAME?</v>
      </c>
      <c r="E322" t="e">
        <f ca="1">_xll.FDSB("JPYUSD","FG_PRICE("&amp;B322&amp;")")</f>
        <v>#NAME?</v>
      </c>
    </row>
    <row r="323" spans="2:5">
      <c r="B323" s="244">
        <f t="shared" si="46"/>
        <v>43786</v>
      </c>
      <c r="C323" s="245" t="e">
        <f ca="1">_xll.FDS("EURUSD","FG_PRICE("&amp;B323&amp;")")</f>
        <v>#NAME?</v>
      </c>
      <c r="D323" t="e">
        <f ca="1">_xll.FDS("GBPUSD","FG_PRICE("&amp;B323&amp;")")</f>
        <v>#NAME?</v>
      </c>
      <c r="E323" t="e">
        <f ca="1">_xll.FDSB("JPYUSD","FG_PRICE("&amp;B323&amp;")")</f>
        <v>#NAME?</v>
      </c>
    </row>
    <row r="324" spans="2:5">
      <c r="B324" s="244">
        <f t="shared" si="46"/>
        <v>43787</v>
      </c>
      <c r="C324" s="245" t="e">
        <f ca="1">_xll.FDS("EURUSD","FG_PRICE("&amp;B324&amp;")")</f>
        <v>#NAME?</v>
      </c>
      <c r="D324" t="e">
        <f ca="1">_xll.FDS("GBPUSD","FG_PRICE("&amp;B324&amp;")")</f>
        <v>#NAME?</v>
      </c>
      <c r="E324" t="e">
        <f ca="1">_xll.FDSB("JPYUSD","FG_PRICE("&amp;B324&amp;")")</f>
        <v>#NAME?</v>
      </c>
    </row>
    <row r="325" spans="2:5">
      <c r="B325" s="244">
        <f t="shared" ref="B325:B388" si="47">B324+1</f>
        <v>43788</v>
      </c>
      <c r="C325" s="245" t="e">
        <f ca="1">_xll.FDS("EURUSD","FG_PRICE("&amp;B325&amp;")")</f>
        <v>#NAME?</v>
      </c>
      <c r="D325" t="e">
        <f ca="1">_xll.FDS("GBPUSD","FG_PRICE("&amp;B325&amp;")")</f>
        <v>#NAME?</v>
      </c>
      <c r="E325" t="e">
        <f ca="1">_xll.FDSB("JPYUSD","FG_PRICE("&amp;B325&amp;")")</f>
        <v>#NAME?</v>
      </c>
    </row>
    <row r="326" spans="2:5">
      <c r="B326" s="244">
        <f t="shared" si="47"/>
        <v>43789</v>
      </c>
      <c r="C326" s="245" t="e">
        <f ca="1">_xll.FDS("EURUSD","FG_PRICE("&amp;B326&amp;")")</f>
        <v>#NAME?</v>
      </c>
      <c r="D326" t="e">
        <f ca="1">_xll.FDS("GBPUSD","FG_PRICE("&amp;B326&amp;")")</f>
        <v>#NAME?</v>
      </c>
      <c r="E326" t="e">
        <f ca="1">_xll.FDSB("JPYUSD","FG_PRICE("&amp;B326&amp;")")</f>
        <v>#NAME?</v>
      </c>
    </row>
    <row r="327" spans="2:5">
      <c r="B327" s="244">
        <f t="shared" si="47"/>
        <v>43790</v>
      </c>
      <c r="C327" s="245" t="e">
        <f ca="1">_xll.FDS("EURUSD","FG_PRICE("&amp;B327&amp;")")</f>
        <v>#NAME?</v>
      </c>
      <c r="D327" t="e">
        <f ca="1">_xll.FDS("GBPUSD","FG_PRICE("&amp;B327&amp;")")</f>
        <v>#NAME?</v>
      </c>
      <c r="E327" t="e">
        <f ca="1">_xll.FDSB("JPYUSD","FG_PRICE("&amp;B327&amp;")")</f>
        <v>#NAME?</v>
      </c>
    </row>
    <row r="328" spans="2:5">
      <c r="B328" s="244">
        <f t="shared" si="47"/>
        <v>43791</v>
      </c>
      <c r="C328" s="245" t="e">
        <f ca="1">_xll.FDS("EURUSD","FG_PRICE("&amp;B328&amp;")")</f>
        <v>#NAME?</v>
      </c>
      <c r="D328" t="e">
        <f ca="1">_xll.FDS("GBPUSD","FG_PRICE("&amp;B328&amp;")")</f>
        <v>#NAME?</v>
      </c>
      <c r="E328" t="e">
        <f ca="1">_xll.FDSB("JPYUSD","FG_PRICE("&amp;B328&amp;")")</f>
        <v>#NAME?</v>
      </c>
    </row>
    <row r="329" spans="2:5">
      <c r="B329" s="244">
        <f t="shared" si="47"/>
        <v>43792</v>
      </c>
      <c r="C329" s="245" t="e">
        <f ca="1">_xll.FDS("EURUSD","FG_PRICE("&amp;B329&amp;")")</f>
        <v>#NAME?</v>
      </c>
      <c r="D329" t="e">
        <f ca="1">_xll.FDS("GBPUSD","FG_PRICE("&amp;B329&amp;")")</f>
        <v>#NAME?</v>
      </c>
      <c r="E329" t="e">
        <f ca="1">_xll.FDSB("JPYUSD","FG_PRICE("&amp;B329&amp;")")</f>
        <v>#NAME?</v>
      </c>
    </row>
    <row r="330" spans="2:5">
      <c r="B330" s="244">
        <f t="shared" si="47"/>
        <v>43793</v>
      </c>
      <c r="C330" s="245" t="e">
        <f ca="1">_xll.FDS("EURUSD","FG_PRICE("&amp;B330&amp;")")</f>
        <v>#NAME?</v>
      </c>
      <c r="D330" t="e">
        <f ca="1">_xll.FDS("GBPUSD","FG_PRICE("&amp;B330&amp;")")</f>
        <v>#NAME?</v>
      </c>
      <c r="E330" t="e">
        <f ca="1">_xll.FDSB("JPYUSD","FG_PRICE("&amp;B330&amp;")")</f>
        <v>#NAME?</v>
      </c>
    </row>
    <row r="331" spans="2:5">
      <c r="B331" s="244">
        <f t="shared" si="47"/>
        <v>43794</v>
      </c>
      <c r="C331" s="245" t="e">
        <f ca="1">_xll.FDS("EURUSD","FG_PRICE("&amp;B331&amp;")")</f>
        <v>#NAME?</v>
      </c>
      <c r="D331" t="e">
        <f ca="1">_xll.FDS("GBPUSD","FG_PRICE("&amp;B331&amp;")")</f>
        <v>#NAME?</v>
      </c>
      <c r="E331" t="e">
        <f ca="1">_xll.FDSB("JPYUSD","FG_PRICE("&amp;B331&amp;")")</f>
        <v>#NAME?</v>
      </c>
    </row>
    <row r="332" spans="2:5">
      <c r="B332" s="244">
        <f t="shared" si="47"/>
        <v>43795</v>
      </c>
      <c r="C332" s="245" t="e">
        <f ca="1">_xll.FDS("EURUSD","FG_PRICE("&amp;B332&amp;")")</f>
        <v>#NAME?</v>
      </c>
      <c r="D332" t="e">
        <f ca="1">_xll.FDS("GBPUSD","FG_PRICE("&amp;B332&amp;")")</f>
        <v>#NAME?</v>
      </c>
      <c r="E332" t="e">
        <f ca="1">_xll.FDSB("JPYUSD","FG_PRICE("&amp;B332&amp;")")</f>
        <v>#NAME?</v>
      </c>
    </row>
    <row r="333" spans="2:5">
      <c r="B333" s="244">
        <f t="shared" si="47"/>
        <v>43796</v>
      </c>
      <c r="C333" s="245" t="e">
        <f ca="1">_xll.FDS("EURUSD","FG_PRICE("&amp;B333&amp;")")</f>
        <v>#NAME?</v>
      </c>
      <c r="D333" t="e">
        <f ca="1">_xll.FDS("GBPUSD","FG_PRICE("&amp;B333&amp;")")</f>
        <v>#NAME?</v>
      </c>
      <c r="E333" t="e">
        <f ca="1">_xll.FDSB("JPYUSD","FG_PRICE("&amp;B333&amp;")")</f>
        <v>#NAME?</v>
      </c>
    </row>
    <row r="334" spans="2:5">
      <c r="B334" s="244">
        <f t="shared" si="47"/>
        <v>43797</v>
      </c>
      <c r="C334" s="245" t="e">
        <f ca="1">_xll.FDS("EURUSD","FG_PRICE("&amp;B334&amp;")")</f>
        <v>#NAME?</v>
      </c>
      <c r="D334" t="e">
        <f ca="1">_xll.FDS("GBPUSD","FG_PRICE("&amp;B334&amp;")")</f>
        <v>#NAME?</v>
      </c>
      <c r="E334" t="e">
        <f ca="1">_xll.FDSB("JPYUSD","FG_PRICE("&amp;B334&amp;")")</f>
        <v>#NAME?</v>
      </c>
    </row>
    <row r="335" spans="2:5">
      <c r="B335" s="244">
        <f t="shared" si="47"/>
        <v>43798</v>
      </c>
      <c r="C335" s="245" t="e">
        <f ca="1">_xll.FDS("EURUSD","FG_PRICE("&amp;B335&amp;")")</f>
        <v>#NAME?</v>
      </c>
      <c r="D335" t="e">
        <f ca="1">_xll.FDS("GBPUSD","FG_PRICE("&amp;B335&amp;")")</f>
        <v>#NAME?</v>
      </c>
      <c r="E335" t="e">
        <f ca="1">_xll.FDSB("JPYUSD","FG_PRICE("&amp;B335&amp;")")</f>
        <v>#NAME?</v>
      </c>
    </row>
    <row r="336" spans="2:5">
      <c r="B336" s="244">
        <f t="shared" si="47"/>
        <v>43799</v>
      </c>
      <c r="C336" s="245" t="e">
        <f ca="1">_xll.FDS("EURUSD","FG_PRICE("&amp;B336&amp;")")</f>
        <v>#NAME?</v>
      </c>
      <c r="D336" t="e">
        <f ca="1">_xll.FDS("GBPUSD","FG_PRICE("&amp;B336&amp;")")</f>
        <v>#NAME?</v>
      </c>
      <c r="E336" t="e">
        <f ca="1">_xll.FDSB("JPYUSD","FG_PRICE("&amp;B336&amp;")")</f>
        <v>#NAME?</v>
      </c>
    </row>
    <row r="337" spans="2:5">
      <c r="B337" s="244">
        <f t="shared" si="47"/>
        <v>43800</v>
      </c>
      <c r="C337" s="245" t="e">
        <f ca="1">_xll.FDS("EURUSD","FG_PRICE("&amp;B337&amp;")")</f>
        <v>#NAME?</v>
      </c>
      <c r="D337" t="e">
        <f ca="1">_xll.FDS("GBPUSD","FG_PRICE("&amp;B337&amp;")")</f>
        <v>#NAME?</v>
      </c>
      <c r="E337" t="e">
        <f ca="1">_xll.FDSB("JPYUSD","FG_PRICE("&amp;B337&amp;")")</f>
        <v>#NAME?</v>
      </c>
    </row>
    <row r="338" spans="2:5">
      <c r="B338" s="244">
        <f t="shared" si="47"/>
        <v>43801</v>
      </c>
      <c r="C338" s="245" t="e">
        <f ca="1">_xll.FDS("EURUSD","FG_PRICE("&amp;B338&amp;")")</f>
        <v>#NAME?</v>
      </c>
      <c r="D338" t="e">
        <f ca="1">_xll.FDS("GBPUSD","FG_PRICE("&amp;B338&amp;")")</f>
        <v>#NAME?</v>
      </c>
      <c r="E338" t="e">
        <f ca="1">_xll.FDSB("JPYUSD","FG_PRICE("&amp;B338&amp;")")</f>
        <v>#NAME?</v>
      </c>
    </row>
    <row r="339" spans="2:5">
      <c r="B339" s="244">
        <f t="shared" si="47"/>
        <v>43802</v>
      </c>
      <c r="C339" s="245" t="e">
        <f ca="1">_xll.FDS("EURUSD","FG_PRICE("&amp;B339&amp;")")</f>
        <v>#NAME?</v>
      </c>
      <c r="D339" t="e">
        <f ca="1">_xll.FDS("GBPUSD","FG_PRICE("&amp;B339&amp;")")</f>
        <v>#NAME?</v>
      </c>
      <c r="E339" t="e">
        <f ca="1">_xll.FDSB("JPYUSD","FG_PRICE("&amp;B339&amp;")")</f>
        <v>#NAME?</v>
      </c>
    </row>
    <row r="340" spans="2:5">
      <c r="B340" s="244">
        <f t="shared" si="47"/>
        <v>43803</v>
      </c>
      <c r="C340" s="245" t="e">
        <f ca="1">_xll.FDS("EURUSD","FG_PRICE("&amp;B340&amp;")")</f>
        <v>#NAME?</v>
      </c>
      <c r="D340" t="e">
        <f ca="1">_xll.FDS("GBPUSD","FG_PRICE("&amp;B340&amp;")")</f>
        <v>#NAME?</v>
      </c>
      <c r="E340" t="e">
        <f ca="1">_xll.FDSB("JPYUSD","FG_PRICE("&amp;B340&amp;")")</f>
        <v>#NAME?</v>
      </c>
    </row>
    <row r="341" spans="2:5">
      <c r="B341" s="244">
        <f t="shared" si="47"/>
        <v>43804</v>
      </c>
      <c r="C341" s="245" t="e">
        <f ca="1">_xll.FDS("EURUSD","FG_PRICE("&amp;B341&amp;")")</f>
        <v>#NAME?</v>
      </c>
      <c r="D341" t="e">
        <f ca="1">_xll.FDS("GBPUSD","FG_PRICE("&amp;B341&amp;")")</f>
        <v>#NAME?</v>
      </c>
      <c r="E341" t="e">
        <f ca="1">_xll.FDSB("JPYUSD","FG_PRICE("&amp;B341&amp;")")</f>
        <v>#NAME?</v>
      </c>
    </row>
    <row r="342" spans="2:5">
      <c r="B342" s="244">
        <f t="shared" si="47"/>
        <v>43805</v>
      </c>
      <c r="C342" s="245" t="e">
        <f ca="1">_xll.FDS("EURUSD","FG_PRICE("&amp;B342&amp;")")</f>
        <v>#NAME?</v>
      </c>
      <c r="D342" t="e">
        <f ca="1">_xll.FDS("GBPUSD","FG_PRICE("&amp;B342&amp;")")</f>
        <v>#NAME?</v>
      </c>
      <c r="E342" t="e">
        <f ca="1">_xll.FDSB("JPYUSD","FG_PRICE("&amp;B342&amp;")")</f>
        <v>#NAME?</v>
      </c>
    </row>
    <row r="343" spans="2:5">
      <c r="B343" s="244">
        <f t="shared" si="47"/>
        <v>43806</v>
      </c>
      <c r="C343" s="245" t="e">
        <f ca="1">_xll.FDS("EURUSD","FG_PRICE("&amp;B343&amp;")")</f>
        <v>#NAME?</v>
      </c>
      <c r="D343" t="e">
        <f ca="1">_xll.FDS("GBPUSD","FG_PRICE("&amp;B343&amp;")")</f>
        <v>#NAME?</v>
      </c>
      <c r="E343" t="e">
        <f ca="1">_xll.FDSB("JPYUSD","FG_PRICE("&amp;B343&amp;")")</f>
        <v>#NAME?</v>
      </c>
    </row>
    <row r="344" spans="2:5">
      <c r="B344" s="244">
        <f t="shared" si="47"/>
        <v>43807</v>
      </c>
      <c r="C344" s="245" t="e">
        <f ca="1">_xll.FDS("EURUSD","FG_PRICE("&amp;B344&amp;")")</f>
        <v>#NAME?</v>
      </c>
      <c r="D344" t="e">
        <f ca="1">_xll.FDS("GBPUSD","FG_PRICE("&amp;B344&amp;")")</f>
        <v>#NAME?</v>
      </c>
      <c r="E344" t="e">
        <f ca="1">_xll.FDSB("JPYUSD","FG_PRICE("&amp;B344&amp;")")</f>
        <v>#NAME?</v>
      </c>
    </row>
    <row r="345" spans="2:5">
      <c r="B345" s="244">
        <f t="shared" si="47"/>
        <v>43808</v>
      </c>
      <c r="C345" s="245" t="e">
        <f ca="1">_xll.FDS("EURUSD","FG_PRICE("&amp;B345&amp;")")</f>
        <v>#NAME?</v>
      </c>
      <c r="D345" t="e">
        <f ca="1">_xll.FDS("GBPUSD","FG_PRICE("&amp;B345&amp;")")</f>
        <v>#NAME?</v>
      </c>
      <c r="E345" t="e">
        <f ca="1">_xll.FDSB("JPYUSD","FG_PRICE("&amp;B345&amp;")")</f>
        <v>#NAME?</v>
      </c>
    </row>
    <row r="346" spans="2:5">
      <c r="B346" s="244">
        <f t="shared" si="47"/>
        <v>43809</v>
      </c>
      <c r="C346" s="245" t="e">
        <f ca="1">_xll.FDS("EURUSD","FG_PRICE("&amp;B346&amp;")")</f>
        <v>#NAME?</v>
      </c>
      <c r="D346" t="e">
        <f ca="1">_xll.FDS("GBPUSD","FG_PRICE("&amp;B346&amp;")")</f>
        <v>#NAME?</v>
      </c>
      <c r="E346" t="e">
        <f ca="1">_xll.FDSB("JPYUSD","FG_PRICE("&amp;B346&amp;")")</f>
        <v>#NAME?</v>
      </c>
    </row>
    <row r="347" spans="2:5">
      <c r="B347" s="244">
        <f t="shared" si="47"/>
        <v>43810</v>
      </c>
      <c r="C347" s="245" t="e">
        <f ca="1">_xll.FDS("EURUSD","FG_PRICE("&amp;B347&amp;")")</f>
        <v>#NAME?</v>
      </c>
      <c r="D347" t="e">
        <f ca="1">_xll.FDS("GBPUSD","FG_PRICE("&amp;B347&amp;")")</f>
        <v>#NAME?</v>
      </c>
      <c r="E347" t="e">
        <f ca="1">_xll.FDSB("JPYUSD","FG_PRICE("&amp;B347&amp;")")</f>
        <v>#NAME?</v>
      </c>
    </row>
    <row r="348" spans="2:5">
      <c r="B348" s="244">
        <f t="shared" si="47"/>
        <v>43811</v>
      </c>
      <c r="C348" s="245" t="e">
        <f ca="1">_xll.FDS("EURUSD","FG_PRICE("&amp;B348&amp;")")</f>
        <v>#NAME?</v>
      </c>
      <c r="D348" t="e">
        <f ca="1">_xll.FDS("GBPUSD","FG_PRICE("&amp;B348&amp;")")</f>
        <v>#NAME?</v>
      </c>
      <c r="E348" t="e">
        <f ca="1">_xll.FDSB("JPYUSD","FG_PRICE("&amp;B348&amp;")")</f>
        <v>#NAME?</v>
      </c>
    </row>
    <row r="349" spans="2:5">
      <c r="B349" s="244">
        <f t="shared" si="47"/>
        <v>43812</v>
      </c>
      <c r="C349" s="245" t="e">
        <f ca="1">_xll.FDS("EURUSD","FG_PRICE("&amp;B349&amp;")")</f>
        <v>#NAME?</v>
      </c>
      <c r="D349" t="e">
        <f ca="1">_xll.FDS("GBPUSD","FG_PRICE("&amp;B349&amp;")")</f>
        <v>#NAME?</v>
      </c>
      <c r="E349" t="e">
        <f ca="1">_xll.FDSB("JPYUSD","FG_PRICE("&amp;B349&amp;")")</f>
        <v>#NAME?</v>
      </c>
    </row>
    <row r="350" spans="2:5">
      <c r="B350" s="244">
        <f t="shared" si="47"/>
        <v>43813</v>
      </c>
      <c r="C350" s="245" t="e">
        <f ca="1">_xll.FDS("EURUSD","FG_PRICE("&amp;B350&amp;")")</f>
        <v>#NAME?</v>
      </c>
      <c r="D350" t="e">
        <f ca="1">_xll.FDS("GBPUSD","FG_PRICE("&amp;B350&amp;")")</f>
        <v>#NAME?</v>
      </c>
      <c r="E350" t="e">
        <f ca="1">_xll.FDSB("JPYUSD","FG_PRICE("&amp;B350&amp;")")</f>
        <v>#NAME?</v>
      </c>
    </row>
    <row r="351" spans="2:5">
      <c r="B351" s="244">
        <f t="shared" si="47"/>
        <v>43814</v>
      </c>
      <c r="C351" s="245" t="e">
        <f ca="1">_xll.FDS("EURUSD","FG_PRICE("&amp;B351&amp;")")</f>
        <v>#NAME?</v>
      </c>
      <c r="D351" t="e">
        <f ca="1">_xll.FDS("GBPUSD","FG_PRICE("&amp;B351&amp;")")</f>
        <v>#NAME?</v>
      </c>
      <c r="E351" t="e">
        <f ca="1">_xll.FDSB("JPYUSD","FG_PRICE("&amp;B351&amp;")")</f>
        <v>#NAME?</v>
      </c>
    </row>
    <row r="352" spans="2:5">
      <c r="B352" s="244">
        <f t="shared" si="47"/>
        <v>43815</v>
      </c>
      <c r="C352" s="245" t="e">
        <f ca="1">_xll.FDS("EURUSD","FG_PRICE("&amp;B352&amp;")")</f>
        <v>#NAME?</v>
      </c>
      <c r="D352" t="e">
        <f ca="1">_xll.FDS("GBPUSD","FG_PRICE("&amp;B352&amp;")")</f>
        <v>#NAME?</v>
      </c>
      <c r="E352" t="e">
        <f ca="1">_xll.FDSB("JPYUSD","FG_PRICE("&amp;B352&amp;")")</f>
        <v>#NAME?</v>
      </c>
    </row>
    <row r="353" spans="2:5">
      <c r="B353" s="244">
        <f t="shared" si="47"/>
        <v>43816</v>
      </c>
      <c r="C353" s="245" t="e">
        <f ca="1">_xll.FDS("EURUSD","FG_PRICE("&amp;B353&amp;")")</f>
        <v>#NAME?</v>
      </c>
      <c r="D353" t="e">
        <f ca="1">_xll.FDS("GBPUSD","FG_PRICE("&amp;B353&amp;")")</f>
        <v>#NAME?</v>
      </c>
      <c r="E353" t="e">
        <f ca="1">_xll.FDSB("JPYUSD","FG_PRICE("&amp;B353&amp;")")</f>
        <v>#NAME?</v>
      </c>
    </row>
    <row r="354" spans="2:5">
      <c r="B354" s="244">
        <f t="shared" si="47"/>
        <v>43817</v>
      </c>
      <c r="C354" s="245" t="e">
        <f ca="1">_xll.FDS("EURUSD","FG_PRICE("&amp;B354&amp;")")</f>
        <v>#NAME?</v>
      </c>
      <c r="D354" t="e">
        <f ca="1">_xll.FDS("GBPUSD","FG_PRICE("&amp;B354&amp;")")</f>
        <v>#NAME?</v>
      </c>
      <c r="E354" t="e">
        <f ca="1">_xll.FDSB("JPYUSD","FG_PRICE("&amp;B354&amp;")")</f>
        <v>#NAME?</v>
      </c>
    </row>
    <row r="355" spans="2:5">
      <c r="B355" s="244">
        <f t="shared" si="47"/>
        <v>43818</v>
      </c>
      <c r="C355" s="245" t="e">
        <f ca="1">_xll.FDS("EURUSD","FG_PRICE("&amp;B355&amp;")")</f>
        <v>#NAME?</v>
      </c>
      <c r="D355" t="e">
        <f ca="1">_xll.FDS("GBPUSD","FG_PRICE("&amp;B355&amp;")")</f>
        <v>#NAME?</v>
      </c>
      <c r="E355" t="e">
        <f ca="1">_xll.FDSB("JPYUSD","FG_PRICE("&amp;B355&amp;")")</f>
        <v>#NAME?</v>
      </c>
    </row>
    <row r="356" spans="2:5">
      <c r="B356" s="244">
        <f t="shared" si="47"/>
        <v>43819</v>
      </c>
      <c r="C356" s="245" t="e">
        <f ca="1">_xll.FDS("EURUSD","FG_PRICE("&amp;B356&amp;")")</f>
        <v>#NAME?</v>
      </c>
      <c r="D356" t="e">
        <f ca="1">_xll.FDS("GBPUSD","FG_PRICE("&amp;B356&amp;")")</f>
        <v>#NAME?</v>
      </c>
      <c r="E356" t="e">
        <f ca="1">_xll.FDSB("JPYUSD","FG_PRICE("&amp;B356&amp;")")</f>
        <v>#NAME?</v>
      </c>
    </row>
    <row r="357" spans="2:5">
      <c r="B357" s="244">
        <f t="shared" si="47"/>
        <v>43820</v>
      </c>
      <c r="C357" s="245" t="e">
        <f ca="1">_xll.FDS("EURUSD","FG_PRICE("&amp;B357&amp;")")</f>
        <v>#NAME?</v>
      </c>
      <c r="D357" t="e">
        <f ca="1">_xll.FDS("GBPUSD","FG_PRICE("&amp;B357&amp;")")</f>
        <v>#NAME?</v>
      </c>
      <c r="E357" t="e">
        <f ca="1">_xll.FDSB("JPYUSD","FG_PRICE("&amp;B357&amp;")")</f>
        <v>#NAME?</v>
      </c>
    </row>
    <row r="358" spans="2:5">
      <c r="B358" s="244">
        <f t="shared" si="47"/>
        <v>43821</v>
      </c>
      <c r="C358" s="245" t="e">
        <f ca="1">_xll.FDS("EURUSD","FG_PRICE("&amp;B358&amp;")")</f>
        <v>#NAME?</v>
      </c>
      <c r="D358" t="e">
        <f ca="1">_xll.FDS("GBPUSD","FG_PRICE("&amp;B358&amp;")")</f>
        <v>#NAME?</v>
      </c>
      <c r="E358" t="e">
        <f ca="1">_xll.FDSB("JPYUSD","FG_PRICE("&amp;B358&amp;")")</f>
        <v>#NAME?</v>
      </c>
    </row>
    <row r="359" spans="2:5">
      <c r="B359" s="244">
        <f t="shared" si="47"/>
        <v>43822</v>
      </c>
      <c r="C359" s="245" t="e">
        <f ca="1">_xll.FDS("EURUSD","FG_PRICE("&amp;B359&amp;")")</f>
        <v>#NAME?</v>
      </c>
      <c r="D359" t="e">
        <f ca="1">_xll.FDS("GBPUSD","FG_PRICE("&amp;B359&amp;")")</f>
        <v>#NAME?</v>
      </c>
      <c r="E359" t="e">
        <f ca="1">_xll.FDSB("JPYUSD","FG_PRICE("&amp;B359&amp;")")</f>
        <v>#NAME?</v>
      </c>
    </row>
    <row r="360" spans="2:5">
      <c r="B360" s="244">
        <f t="shared" si="47"/>
        <v>43823</v>
      </c>
      <c r="C360" s="245" t="e">
        <f ca="1">_xll.FDS("EURUSD","FG_PRICE("&amp;B360&amp;")")</f>
        <v>#NAME?</v>
      </c>
      <c r="D360" t="e">
        <f ca="1">_xll.FDS("GBPUSD","FG_PRICE("&amp;B360&amp;")")</f>
        <v>#NAME?</v>
      </c>
      <c r="E360" t="e">
        <f ca="1">_xll.FDSB("JPYUSD","FG_PRICE("&amp;B360&amp;")")</f>
        <v>#NAME?</v>
      </c>
    </row>
    <row r="361" spans="2:5">
      <c r="B361" s="244">
        <f t="shared" si="47"/>
        <v>43824</v>
      </c>
      <c r="C361" s="245" t="e">
        <f ca="1">_xll.FDS("EURUSD","FG_PRICE("&amp;B361&amp;")")</f>
        <v>#NAME?</v>
      </c>
      <c r="D361" t="e">
        <f ca="1">_xll.FDS("GBPUSD","FG_PRICE("&amp;B361&amp;")")</f>
        <v>#NAME?</v>
      </c>
      <c r="E361" t="e">
        <f ca="1">_xll.FDSB("JPYUSD","FG_PRICE("&amp;B361&amp;")")</f>
        <v>#NAME?</v>
      </c>
    </row>
    <row r="362" spans="2:5">
      <c r="B362" s="244">
        <f t="shared" si="47"/>
        <v>43825</v>
      </c>
      <c r="C362" s="245" t="e">
        <f ca="1">_xll.FDS("EURUSD","FG_PRICE("&amp;B362&amp;")")</f>
        <v>#NAME?</v>
      </c>
      <c r="D362" t="e">
        <f ca="1">_xll.FDS("GBPUSD","FG_PRICE("&amp;B362&amp;")")</f>
        <v>#NAME?</v>
      </c>
      <c r="E362" t="e">
        <f ca="1">_xll.FDSB("JPYUSD","FG_PRICE("&amp;B362&amp;")")</f>
        <v>#NAME?</v>
      </c>
    </row>
    <row r="363" spans="2:5">
      <c r="B363" s="244">
        <f t="shared" si="47"/>
        <v>43826</v>
      </c>
      <c r="C363" s="245" t="e">
        <f ca="1">_xll.FDS("EURUSD","FG_PRICE("&amp;B363&amp;")")</f>
        <v>#NAME?</v>
      </c>
      <c r="D363" t="e">
        <f ca="1">_xll.FDS("GBPUSD","FG_PRICE("&amp;B363&amp;")")</f>
        <v>#NAME?</v>
      </c>
      <c r="E363" t="e">
        <f ca="1">_xll.FDSB("JPYUSD","FG_PRICE("&amp;B363&amp;")")</f>
        <v>#NAME?</v>
      </c>
    </row>
    <row r="364" spans="2:5">
      <c r="B364" s="244">
        <f t="shared" si="47"/>
        <v>43827</v>
      </c>
      <c r="C364" s="245" t="e">
        <f ca="1">_xll.FDS("EURUSD","FG_PRICE("&amp;B364&amp;")")</f>
        <v>#NAME?</v>
      </c>
      <c r="D364" t="e">
        <f ca="1">_xll.FDS("GBPUSD","FG_PRICE("&amp;B364&amp;")")</f>
        <v>#NAME?</v>
      </c>
      <c r="E364" t="e">
        <f ca="1">_xll.FDSB("JPYUSD","FG_PRICE("&amp;B364&amp;")")</f>
        <v>#NAME?</v>
      </c>
    </row>
    <row r="365" spans="2:5">
      <c r="B365" s="244">
        <f t="shared" si="47"/>
        <v>43828</v>
      </c>
      <c r="C365" s="245" t="e">
        <f ca="1">_xll.FDS("EURUSD","FG_PRICE("&amp;B365&amp;")")</f>
        <v>#NAME?</v>
      </c>
      <c r="D365" t="e">
        <f ca="1">_xll.FDS("GBPUSD","FG_PRICE("&amp;B365&amp;")")</f>
        <v>#NAME?</v>
      </c>
      <c r="E365" t="e">
        <f ca="1">_xll.FDSB("JPYUSD","FG_PRICE("&amp;B365&amp;")")</f>
        <v>#NAME?</v>
      </c>
    </row>
    <row r="366" spans="2:5">
      <c r="B366" s="244">
        <f t="shared" si="47"/>
        <v>43829</v>
      </c>
      <c r="C366" s="245" t="e">
        <f ca="1">_xll.FDS("EURUSD","FG_PRICE("&amp;B366&amp;")")</f>
        <v>#NAME?</v>
      </c>
      <c r="D366" t="e">
        <f ca="1">_xll.FDS("GBPUSD","FG_PRICE("&amp;B366&amp;")")</f>
        <v>#NAME?</v>
      </c>
      <c r="E366" t="e">
        <f ca="1">_xll.FDSB("JPYUSD","FG_PRICE("&amp;B366&amp;")")</f>
        <v>#NAME?</v>
      </c>
    </row>
    <row r="367" spans="2:5">
      <c r="B367" s="244">
        <f t="shared" si="47"/>
        <v>43830</v>
      </c>
      <c r="C367" s="245" t="e">
        <f ca="1">_xll.FDS("EURUSD","FG_PRICE("&amp;B367&amp;")")</f>
        <v>#NAME?</v>
      </c>
      <c r="D367" t="e">
        <f ca="1">_xll.FDS("GBPUSD","FG_PRICE("&amp;B367&amp;")")</f>
        <v>#NAME?</v>
      </c>
      <c r="E367" t="e">
        <f ca="1">_xll.FDSB("JPYUSD","FG_PRICE("&amp;B367&amp;")")</f>
        <v>#NAME?</v>
      </c>
    </row>
    <row r="368" spans="2:5">
      <c r="B368" s="244">
        <f t="shared" si="47"/>
        <v>43831</v>
      </c>
      <c r="C368" s="245" t="e">
        <f ca="1">_xll.FDS("EURUSD","FG_PRICE("&amp;B368&amp;")")</f>
        <v>#NAME?</v>
      </c>
      <c r="D368" t="e">
        <f ca="1">_xll.FDS("GBPUSD","FG_PRICE("&amp;B368&amp;")")</f>
        <v>#NAME?</v>
      </c>
      <c r="E368" t="e">
        <f ca="1">_xll.FDSB("JPYUSD","FG_PRICE("&amp;B368&amp;")")</f>
        <v>#NAME?</v>
      </c>
    </row>
    <row r="369" spans="2:5">
      <c r="B369" s="244">
        <f t="shared" si="47"/>
        <v>43832</v>
      </c>
      <c r="C369" s="245" t="e">
        <f ca="1">_xll.FDS("EURUSD","FG_PRICE("&amp;B369&amp;")")</f>
        <v>#NAME?</v>
      </c>
      <c r="D369" t="e">
        <f ca="1">_xll.FDS("GBPUSD","FG_PRICE("&amp;B369&amp;")")</f>
        <v>#NAME?</v>
      </c>
      <c r="E369" t="e">
        <f ca="1">_xll.FDSB("JPYUSD","FG_PRICE("&amp;B369&amp;")")</f>
        <v>#NAME?</v>
      </c>
    </row>
    <row r="370" spans="2:5">
      <c r="B370" s="244">
        <f t="shared" si="47"/>
        <v>43833</v>
      </c>
      <c r="C370" s="245" t="e">
        <f ca="1">_xll.FDS("EURUSD","FG_PRICE("&amp;B370&amp;")")</f>
        <v>#NAME?</v>
      </c>
      <c r="D370" t="e">
        <f ca="1">_xll.FDS("GBPUSD","FG_PRICE("&amp;B370&amp;")")</f>
        <v>#NAME?</v>
      </c>
      <c r="E370" t="e">
        <f ca="1">_xll.FDSB("JPYUSD","FG_PRICE("&amp;B370&amp;")")</f>
        <v>#NAME?</v>
      </c>
    </row>
    <row r="371" spans="2:5">
      <c r="B371" s="244">
        <f t="shared" si="47"/>
        <v>43834</v>
      </c>
      <c r="C371" s="245" t="e">
        <f ca="1">_xll.FDS("EURUSD","FG_PRICE("&amp;B371&amp;")")</f>
        <v>#NAME?</v>
      </c>
      <c r="D371" t="e">
        <f ca="1">_xll.FDS("GBPUSD","FG_PRICE("&amp;B371&amp;")")</f>
        <v>#NAME?</v>
      </c>
      <c r="E371" t="e">
        <f ca="1">_xll.FDSB("JPYUSD","FG_PRICE("&amp;B371&amp;")")</f>
        <v>#NAME?</v>
      </c>
    </row>
    <row r="372" spans="2:5">
      <c r="B372" s="244">
        <f t="shared" si="47"/>
        <v>43835</v>
      </c>
      <c r="C372" s="245" t="e">
        <f ca="1">_xll.FDS("EURUSD","FG_PRICE("&amp;B372&amp;")")</f>
        <v>#NAME?</v>
      </c>
      <c r="D372" t="e">
        <f ca="1">_xll.FDS("GBPUSD","FG_PRICE("&amp;B372&amp;")")</f>
        <v>#NAME?</v>
      </c>
      <c r="E372" t="e">
        <f ca="1">_xll.FDSB("JPYUSD","FG_PRICE("&amp;B372&amp;")")</f>
        <v>#NAME?</v>
      </c>
    </row>
    <row r="373" spans="2:5">
      <c r="B373" s="244">
        <f t="shared" si="47"/>
        <v>43836</v>
      </c>
      <c r="C373" s="245" t="e">
        <f ca="1">_xll.FDS("EURUSD","FG_PRICE("&amp;B373&amp;")")</f>
        <v>#NAME?</v>
      </c>
      <c r="D373" t="e">
        <f ca="1">_xll.FDS("GBPUSD","FG_PRICE("&amp;B373&amp;")")</f>
        <v>#NAME?</v>
      </c>
      <c r="E373" t="e">
        <f ca="1">_xll.FDSB("JPYUSD","FG_PRICE("&amp;B373&amp;")")</f>
        <v>#NAME?</v>
      </c>
    </row>
    <row r="374" spans="2:5">
      <c r="B374" s="244">
        <f t="shared" si="47"/>
        <v>43837</v>
      </c>
      <c r="C374" s="245" t="e">
        <f ca="1">_xll.FDS("EURUSD","FG_PRICE("&amp;B374&amp;")")</f>
        <v>#NAME?</v>
      </c>
      <c r="D374" t="e">
        <f ca="1">_xll.FDS("GBPUSD","FG_PRICE("&amp;B374&amp;")")</f>
        <v>#NAME?</v>
      </c>
      <c r="E374" t="e">
        <f ca="1">_xll.FDSB("JPYUSD","FG_PRICE("&amp;B374&amp;")")</f>
        <v>#NAME?</v>
      </c>
    </row>
    <row r="375" spans="2:5">
      <c r="B375" s="244">
        <f t="shared" si="47"/>
        <v>43838</v>
      </c>
      <c r="C375" s="245" t="e">
        <f ca="1">_xll.FDS("EURUSD","FG_PRICE("&amp;B375&amp;")")</f>
        <v>#NAME?</v>
      </c>
      <c r="D375" t="e">
        <f ca="1">_xll.FDS("GBPUSD","FG_PRICE("&amp;B375&amp;")")</f>
        <v>#NAME?</v>
      </c>
      <c r="E375" t="e">
        <f ca="1">_xll.FDSB("JPYUSD","FG_PRICE("&amp;B375&amp;")")</f>
        <v>#NAME?</v>
      </c>
    </row>
    <row r="376" spans="2:5">
      <c r="B376" s="244">
        <f t="shared" si="47"/>
        <v>43839</v>
      </c>
      <c r="C376" s="245" t="e">
        <f ca="1">_xll.FDS("EURUSD","FG_PRICE("&amp;B376&amp;")")</f>
        <v>#NAME?</v>
      </c>
      <c r="D376" t="e">
        <f ca="1">_xll.FDS("GBPUSD","FG_PRICE("&amp;B376&amp;")")</f>
        <v>#NAME?</v>
      </c>
      <c r="E376" t="e">
        <f ca="1">_xll.FDSB("JPYUSD","FG_PRICE("&amp;B376&amp;")")</f>
        <v>#NAME?</v>
      </c>
    </row>
    <row r="377" spans="2:5">
      <c r="B377" s="244">
        <f t="shared" si="47"/>
        <v>43840</v>
      </c>
      <c r="C377" s="245" t="e">
        <f ca="1">_xll.FDS("EURUSD","FG_PRICE("&amp;B377&amp;")")</f>
        <v>#NAME?</v>
      </c>
      <c r="D377" t="e">
        <f ca="1">_xll.FDS("GBPUSD","FG_PRICE("&amp;B377&amp;")")</f>
        <v>#NAME?</v>
      </c>
      <c r="E377" t="e">
        <f ca="1">_xll.FDSB("JPYUSD","FG_PRICE("&amp;B377&amp;")")</f>
        <v>#NAME?</v>
      </c>
    </row>
    <row r="378" spans="2:5">
      <c r="B378" s="244">
        <f t="shared" si="47"/>
        <v>43841</v>
      </c>
      <c r="C378" s="245" t="e">
        <f ca="1">_xll.FDS("EURUSD","FG_PRICE("&amp;B378&amp;")")</f>
        <v>#NAME?</v>
      </c>
      <c r="D378" t="e">
        <f ca="1">_xll.FDS("GBPUSD","FG_PRICE("&amp;B378&amp;")")</f>
        <v>#NAME?</v>
      </c>
      <c r="E378" t="e">
        <f ca="1">_xll.FDSB("JPYUSD","FG_PRICE("&amp;B378&amp;")")</f>
        <v>#NAME?</v>
      </c>
    </row>
    <row r="379" spans="2:5">
      <c r="B379" s="244">
        <f t="shared" si="47"/>
        <v>43842</v>
      </c>
      <c r="C379" s="245" t="e">
        <f ca="1">_xll.FDS("EURUSD","FG_PRICE("&amp;B379&amp;")")</f>
        <v>#NAME?</v>
      </c>
      <c r="D379" t="e">
        <f ca="1">_xll.FDS("GBPUSD","FG_PRICE("&amp;B379&amp;")")</f>
        <v>#NAME?</v>
      </c>
      <c r="E379" t="e">
        <f ca="1">_xll.FDSB("JPYUSD","FG_PRICE("&amp;B379&amp;")")</f>
        <v>#NAME?</v>
      </c>
    </row>
    <row r="380" spans="2:5">
      <c r="B380" s="244">
        <f t="shared" si="47"/>
        <v>43843</v>
      </c>
      <c r="C380" s="245" t="e">
        <f ca="1">_xll.FDS("EURUSD","FG_PRICE("&amp;B380&amp;")")</f>
        <v>#NAME?</v>
      </c>
      <c r="D380" t="e">
        <f ca="1">_xll.FDS("GBPUSD","FG_PRICE("&amp;B380&amp;")")</f>
        <v>#NAME?</v>
      </c>
      <c r="E380" t="e">
        <f ca="1">_xll.FDSB("JPYUSD","FG_PRICE("&amp;B380&amp;")")</f>
        <v>#NAME?</v>
      </c>
    </row>
    <row r="381" spans="2:5">
      <c r="B381" s="244">
        <f t="shared" si="47"/>
        <v>43844</v>
      </c>
      <c r="C381" s="245" t="e">
        <f ca="1">_xll.FDS("EURUSD","FG_PRICE("&amp;B381&amp;")")</f>
        <v>#NAME?</v>
      </c>
      <c r="D381" t="e">
        <f ca="1">_xll.FDS("GBPUSD","FG_PRICE("&amp;B381&amp;")")</f>
        <v>#NAME?</v>
      </c>
      <c r="E381" t="e">
        <f ca="1">_xll.FDSB("JPYUSD","FG_PRICE("&amp;B381&amp;")")</f>
        <v>#NAME?</v>
      </c>
    </row>
    <row r="382" spans="2:5">
      <c r="B382" s="244">
        <f t="shared" si="47"/>
        <v>43845</v>
      </c>
      <c r="C382" s="245" t="e">
        <f ca="1">_xll.FDS("EURUSD","FG_PRICE("&amp;B382&amp;")")</f>
        <v>#NAME?</v>
      </c>
      <c r="D382" t="e">
        <f ca="1">_xll.FDS("GBPUSD","FG_PRICE("&amp;B382&amp;")")</f>
        <v>#NAME?</v>
      </c>
      <c r="E382" t="e">
        <f ca="1">_xll.FDSB("JPYUSD","FG_PRICE("&amp;B382&amp;")")</f>
        <v>#NAME?</v>
      </c>
    </row>
    <row r="383" spans="2:5">
      <c r="B383" s="244">
        <f t="shared" si="47"/>
        <v>43846</v>
      </c>
      <c r="C383" s="245" t="e">
        <f ca="1">_xll.FDS("EURUSD","FG_PRICE("&amp;B383&amp;")")</f>
        <v>#NAME?</v>
      </c>
      <c r="D383" t="e">
        <f ca="1">_xll.FDS("GBPUSD","FG_PRICE("&amp;B383&amp;")")</f>
        <v>#NAME?</v>
      </c>
      <c r="E383" t="e">
        <f ca="1">_xll.FDSB("JPYUSD","FG_PRICE("&amp;B383&amp;")")</f>
        <v>#NAME?</v>
      </c>
    </row>
    <row r="384" spans="2:5">
      <c r="B384" s="244">
        <f t="shared" si="47"/>
        <v>43847</v>
      </c>
      <c r="C384" s="245" t="e">
        <f ca="1">_xll.FDS("EURUSD","FG_PRICE("&amp;B384&amp;")")</f>
        <v>#NAME?</v>
      </c>
      <c r="D384" t="e">
        <f ca="1">_xll.FDS("GBPUSD","FG_PRICE("&amp;B384&amp;")")</f>
        <v>#NAME?</v>
      </c>
      <c r="E384" t="e">
        <f ca="1">_xll.FDSB("JPYUSD","FG_PRICE("&amp;B384&amp;")")</f>
        <v>#NAME?</v>
      </c>
    </row>
    <row r="385" spans="2:5">
      <c r="B385" s="244">
        <f t="shared" si="47"/>
        <v>43848</v>
      </c>
      <c r="C385" s="245" t="e">
        <f ca="1">_xll.FDS("EURUSD","FG_PRICE("&amp;B385&amp;")")</f>
        <v>#NAME?</v>
      </c>
      <c r="D385" t="e">
        <f ca="1">_xll.FDS("GBPUSD","FG_PRICE("&amp;B385&amp;")")</f>
        <v>#NAME?</v>
      </c>
      <c r="E385" t="e">
        <f ca="1">_xll.FDSB("JPYUSD","FG_PRICE("&amp;B385&amp;")")</f>
        <v>#NAME?</v>
      </c>
    </row>
    <row r="386" spans="2:5">
      <c r="B386" s="244">
        <f t="shared" si="47"/>
        <v>43849</v>
      </c>
      <c r="C386" s="245" t="e">
        <f ca="1">_xll.FDS("EURUSD","FG_PRICE("&amp;B386&amp;")")</f>
        <v>#NAME?</v>
      </c>
      <c r="D386" t="e">
        <f ca="1">_xll.FDS("GBPUSD","FG_PRICE("&amp;B386&amp;")")</f>
        <v>#NAME?</v>
      </c>
      <c r="E386" t="e">
        <f ca="1">_xll.FDSB("JPYUSD","FG_PRICE("&amp;B386&amp;")")</f>
        <v>#NAME?</v>
      </c>
    </row>
    <row r="387" spans="2:5">
      <c r="B387" s="244">
        <f t="shared" si="47"/>
        <v>43850</v>
      </c>
      <c r="C387" s="245" t="e">
        <f ca="1">_xll.FDS("EURUSD","FG_PRICE("&amp;B387&amp;")")</f>
        <v>#NAME?</v>
      </c>
      <c r="D387" t="e">
        <f ca="1">_xll.FDS("GBPUSD","FG_PRICE("&amp;B387&amp;")")</f>
        <v>#NAME?</v>
      </c>
      <c r="E387" t="e">
        <f ca="1">_xll.FDSB("JPYUSD","FG_PRICE("&amp;B387&amp;")")</f>
        <v>#NAME?</v>
      </c>
    </row>
    <row r="388" spans="2:5">
      <c r="B388" s="244">
        <f t="shared" si="47"/>
        <v>43851</v>
      </c>
      <c r="C388" s="245" t="e">
        <f ca="1">_xll.FDS("EURUSD","FG_PRICE("&amp;B388&amp;")")</f>
        <v>#NAME?</v>
      </c>
      <c r="D388" t="e">
        <f ca="1">_xll.FDS("GBPUSD","FG_PRICE("&amp;B388&amp;")")</f>
        <v>#NAME?</v>
      </c>
      <c r="E388" t="e">
        <f ca="1">_xll.FDSB("JPYUSD","FG_PRICE("&amp;B388&amp;")")</f>
        <v>#NAME?</v>
      </c>
    </row>
    <row r="389" spans="2:5">
      <c r="B389" s="244">
        <f t="shared" ref="B389:B452" si="48">B388+1</f>
        <v>43852</v>
      </c>
      <c r="C389" s="245" t="e">
        <f ca="1">_xll.FDS("EURUSD","FG_PRICE("&amp;B389&amp;")")</f>
        <v>#NAME?</v>
      </c>
      <c r="D389" t="e">
        <f ca="1">_xll.FDS("GBPUSD","FG_PRICE("&amp;B389&amp;")")</f>
        <v>#NAME?</v>
      </c>
      <c r="E389" t="e">
        <f ca="1">_xll.FDSB("JPYUSD","FG_PRICE("&amp;B389&amp;")")</f>
        <v>#NAME?</v>
      </c>
    </row>
    <row r="390" spans="2:5">
      <c r="B390" s="244">
        <f t="shared" si="48"/>
        <v>43853</v>
      </c>
      <c r="C390" s="245" t="e">
        <f ca="1">_xll.FDS("EURUSD","FG_PRICE("&amp;B390&amp;")")</f>
        <v>#NAME?</v>
      </c>
      <c r="D390" t="e">
        <f ca="1">_xll.FDS("GBPUSD","FG_PRICE("&amp;B390&amp;")")</f>
        <v>#NAME?</v>
      </c>
      <c r="E390" t="e">
        <f ca="1">_xll.FDSB("JPYUSD","FG_PRICE("&amp;B390&amp;")")</f>
        <v>#NAME?</v>
      </c>
    </row>
    <row r="391" spans="2:5">
      <c r="B391" s="244">
        <f t="shared" si="48"/>
        <v>43854</v>
      </c>
      <c r="C391" s="245" t="e">
        <f ca="1">_xll.FDS("EURUSD","FG_PRICE("&amp;B391&amp;")")</f>
        <v>#NAME?</v>
      </c>
      <c r="D391" t="e">
        <f ca="1">_xll.FDS("GBPUSD","FG_PRICE("&amp;B391&amp;")")</f>
        <v>#NAME?</v>
      </c>
      <c r="E391" t="e">
        <f ca="1">_xll.FDSB("JPYUSD","FG_PRICE("&amp;B391&amp;")")</f>
        <v>#NAME?</v>
      </c>
    </row>
    <row r="392" spans="2:5">
      <c r="B392" s="244">
        <f t="shared" si="48"/>
        <v>43855</v>
      </c>
      <c r="C392" s="245" t="e">
        <f ca="1">_xll.FDS("EURUSD","FG_PRICE("&amp;B392&amp;")")</f>
        <v>#NAME?</v>
      </c>
      <c r="D392" t="e">
        <f ca="1">_xll.FDS("GBPUSD","FG_PRICE("&amp;B392&amp;")")</f>
        <v>#NAME?</v>
      </c>
      <c r="E392" t="e">
        <f ca="1">_xll.FDSB("JPYUSD","FG_PRICE("&amp;B392&amp;")")</f>
        <v>#NAME?</v>
      </c>
    </row>
    <row r="393" spans="2:5">
      <c r="B393" s="244">
        <f t="shared" si="48"/>
        <v>43856</v>
      </c>
      <c r="C393" s="245" t="e">
        <f ca="1">_xll.FDS("EURUSD","FG_PRICE("&amp;B393&amp;")")</f>
        <v>#NAME?</v>
      </c>
      <c r="D393" t="e">
        <f ca="1">_xll.FDS("GBPUSD","FG_PRICE("&amp;B393&amp;")")</f>
        <v>#NAME?</v>
      </c>
      <c r="E393" t="e">
        <f ca="1">_xll.FDSB("JPYUSD","FG_PRICE("&amp;B393&amp;")")</f>
        <v>#NAME?</v>
      </c>
    </row>
    <row r="394" spans="2:5">
      <c r="B394" s="244">
        <f t="shared" si="48"/>
        <v>43857</v>
      </c>
      <c r="C394" s="245" t="e">
        <f ca="1">_xll.FDS("EURUSD","FG_PRICE("&amp;B394&amp;")")</f>
        <v>#NAME?</v>
      </c>
      <c r="D394" t="e">
        <f ca="1">_xll.FDS("GBPUSD","FG_PRICE("&amp;B394&amp;")")</f>
        <v>#NAME?</v>
      </c>
      <c r="E394" t="e">
        <f ca="1">_xll.FDSB("JPYUSD","FG_PRICE("&amp;B394&amp;")")</f>
        <v>#NAME?</v>
      </c>
    </row>
    <row r="395" spans="2:5">
      <c r="B395" s="244">
        <f t="shared" si="48"/>
        <v>43858</v>
      </c>
      <c r="C395" s="245" t="e">
        <f ca="1">_xll.FDS("EURUSD","FG_PRICE("&amp;B395&amp;")")</f>
        <v>#NAME?</v>
      </c>
      <c r="D395" t="e">
        <f ca="1">_xll.FDS("GBPUSD","FG_PRICE("&amp;B395&amp;")")</f>
        <v>#NAME?</v>
      </c>
      <c r="E395" t="e">
        <f ca="1">_xll.FDSB("JPYUSD","FG_PRICE("&amp;B395&amp;")")</f>
        <v>#NAME?</v>
      </c>
    </row>
    <row r="396" spans="2:5">
      <c r="B396" s="244">
        <f t="shared" si="48"/>
        <v>43859</v>
      </c>
      <c r="C396" s="245" t="e">
        <f ca="1">_xll.FDS("EURUSD","FG_PRICE("&amp;B396&amp;")")</f>
        <v>#NAME?</v>
      </c>
      <c r="D396" t="e">
        <f ca="1">_xll.FDS("GBPUSD","FG_PRICE("&amp;B396&amp;")")</f>
        <v>#NAME?</v>
      </c>
      <c r="E396" t="e">
        <f ca="1">_xll.FDSB("JPYUSD","FG_PRICE("&amp;B396&amp;")")</f>
        <v>#NAME?</v>
      </c>
    </row>
    <row r="397" spans="2:5">
      <c r="B397" s="244">
        <f t="shared" si="48"/>
        <v>43860</v>
      </c>
      <c r="C397" s="245" t="e">
        <f ca="1">_xll.FDS("EURUSD","FG_PRICE("&amp;B397&amp;")")</f>
        <v>#NAME?</v>
      </c>
      <c r="D397" t="e">
        <f ca="1">_xll.FDS("GBPUSD","FG_PRICE("&amp;B397&amp;")")</f>
        <v>#NAME?</v>
      </c>
      <c r="E397" t="e">
        <f ca="1">_xll.FDSB("JPYUSD","FG_PRICE("&amp;B397&amp;")")</f>
        <v>#NAME?</v>
      </c>
    </row>
    <row r="398" spans="2:5">
      <c r="B398" s="244">
        <f t="shared" si="48"/>
        <v>43861</v>
      </c>
      <c r="C398" s="245" t="e">
        <f ca="1">_xll.FDS("EURUSD","FG_PRICE("&amp;B398&amp;")")</f>
        <v>#NAME?</v>
      </c>
      <c r="D398" t="e">
        <f ca="1">_xll.FDS("GBPUSD","FG_PRICE("&amp;B398&amp;")")</f>
        <v>#NAME?</v>
      </c>
      <c r="E398" t="e">
        <f ca="1">_xll.FDSB("JPYUSD","FG_PRICE("&amp;B398&amp;")")</f>
        <v>#NAME?</v>
      </c>
    </row>
    <row r="399" spans="2:5">
      <c r="B399" s="244">
        <f t="shared" si="48"/>
        <v>43862</v>
      </c>
      <c r="C399" s="245" t="e">
        <f ca="1">_xll.FDS("EURUSD","FG_PRICE("&amp;B399&amp;")")</f>
        <v>#NAME?</v>
      </c>
      <c r="D399" t="e">
        <f ca="1">_xll.FDS("GBPUSD","FG_PRICE("&amp;B399&amp;")")</f>
        <v>#NAME?</v>
      </c>
      <c r="E399" t="e">
        <f ca="1">_xll.FDSB("JPYUSD","FG_PRICE("&amp;B399&amp;")")</f>
        <v>#NAME?</v>
      </c>
    </row>
    <row r="400" spans="2:5">
      <c r="B400" s="244">
        <f t="shared" si="48"/>
        <v>43863</v>
      </c>
      <c r="C400" s="245" t="e">
        <f ca="1">_xll.FDS("EURUSD","FG_PRICE("&amp;B400&amp;")")</f>
        <v>#NAME?</v>
      </c>
      <c r="D400" t="e">
        <f ca="1">_xll.FDS("GBPUSD","FG_PRICE("&amp;B400&amp;")")</f>
        <v>#NAME?</v>
      </c>
      <c r="E400" t="e">
        <f ca="1">_xll.FDSB("JPYUSD","FG_PRICE("&amp;B400&amp;")")</f>
        <v>#NAME?</v>
      </c>
    </row>
    <row r="401" spans="2:5">
      <c r="B401" s="244">
        <f t="shared" si="48"/>
        <v>43864</v>
      </c>
      <c r="C401" s="245" t="e">
        <f ca="1">_xll.FDS("EURUSD","FG_PRICE("&amp;B401&amp;")")</f>
        <v>#NAME?</v>
      </c>
      <c r="D401" t="e">
        <f ca="1">_xll.FDS("GBPUSD","FG_PRICE("&amp;B401&amp;")")</f>
        <v>#NAME?</v>
      </c>
      <c r="E401" t="e">
        <f ca="1">_xll.FDSB("JPYUSD","FG_PRICE("&amp;B401&amp;")")</f>
        <v>#NAME?</v>
      </c>
    </row>
    <row r="402" spans="2:5">
      <c r="B402" s="244">
        <f t="shared" si="48"/>
        <v>43865</v>
      </c>
      <c r="C402" s="245" t="e">
        <f ca="1">_xll.FDS("EURUSD","FG_PRICE("&amp;B402&amp;")")</f>
        <v>#NAME?</v>
      </c>
      <c r="D402" t="e">
        <f ca="1">_xll.FDS("GBPUSD","FG_PRICE("&amp;B402&amp;")")</f>
        <v>#NAME?</v>
      </c>
      <c r="E402" t="e">
        <f ca="1">_xll.FDSB("JPYUSD","FG_PRICE("&amp;B402&amp;")")</f>
        <v>#NAME?</v>
      </c>
    </row>
    <row r="403" spans="2:5">
      <c r="B403" s="244">
        <f t="shared" si="48"/>
        <v>43866</v>
      </c>
      <c r="C403" s="245" t="e">
        <f ca="1">_xll.FDS("EURUSD","FG_PRICE("&amp;B403&amp;")")</f>
        <v>#NAME?</v>
      </c>
      <c r="D403" t="e">
        <f ca="1">_xll.FDS("GBPUSD","FG_PRICE("&amp;B403&amp;")")</f>
        <v>#NAME?</v>
      </c>
      <c r="E403" t="e">
        <f ca="1">_xll.FDSB("JPYUSD","FG_PRICE("&amp;B403&amp;")")</f>
        <v>#NAME?</v>
      </c>
    </row>
    <row r="404" spans="2:5">
      <c r="B404" s="244">
        <f t="shared" si="48"/>
        <v>43867</v>
      </c>
      <c r="C404" s="245" t="e">
        <f ca="1">_xll.FDS("EURUSD","FG_PRICE("&amp;B404&amp;")")</f>
        <v>#NAME?</v>
      </c>
      <c r="D404" t="e">
        <f ca="1">_xll.FDS("GBPUSD","FG_PRICE("&amp;B404&amp;")")</f>
        <v>#NAME?</v>
      </c>
      <c r="E404" t="e">
        <f ca="1">_xll.FDSB("JPYUSD","FG_PRICE("&amp;B404&amp;")")</f>
        <v>#NAME?</v>
      </c>
    </row>
    <row r="405" spans="2:5">
      <c r="B405" s="244">
        <f t="shared" si="48"/>
        <v>43868</v>
      </c>
      <c r="C405" s="245" t="e">
        <f ca="1">_xll.FDS("EURUSD","FG_PRICE("&amp;B405&amp;")")</f>
        <v>#NAME?</v>
      </c>
      <c r="D405" t="e">
        <f ca="1">_xll.FDS("GBPUSD","FG_PRICE("&amp;B405&amp;")")</f>
        <v>#NAME?</v>
      </c>
      <c r="E405" t="e">
        <f ca="1">_xll.FDSB("JPYUSD","FG_PRICE("&amp;B405&amp;")")</f>
        <v>#NAME?</v>
      </c>
    </row>
    <row r="406" spans="2:5">
      <c r="B406" s="244">
        <f t="shared" si="48"/>
        <v>43869</v>
      </c>
      <c r="C406" s="245" t="e">
        <f ca="1">_xll.FDS("EURUSD","FG_PRICE("&amp;B406&amp;")")</f>
        <v>#NAME?</v>
      </c>
      <c r="D406" t="e">
        <f ca="1">_xll.FDS("GBPUSD","FG_PRICE("&amp;B406&amp;")")</f>
        <v>#NAME?</v>
      </c>
      <c r="E406" t="e">
        <f ca="1">_xll.FDSB("JPYUSD","FG_PRICE("&amp;B406&amp;")")</f>
        <v>#NAME?</v>
      </c>
    </row>
    <row r="407" spans="2:5">
      <c r="B407" s="244">
        <f t="shared" si="48"/>
        <v>43870</v>
      </c>
      <c r="C407" s="245" t="e">
        <f ca="1">_xll.FDS("EURUSD","FG_PRICE("&amp;B407&amp;")")</f>
        <v>#NAME?</v>
      </c>
      <c r="D407" t="e">
        <f ca="1">_xll.FDS("GBPUSD","FG_PRICE("&amp;B407&amp;")")</f>
        <v>#NAME?</v>
      </c>
      <c r="E407" t="e">
        <f ca="1">_xll.FDSB("JPYUSD","FG_PRICE("&amp;B407&amp;")")</f>
        <v>#NAME?</v>
      </c>
    </row>
    <row r="408" spans="2:5">
      <c r="B408" s="244">
        <f t="shared" si="48"/>
        <v>43871</v>
      </c>
      <c r="C408" s="245" t="e">
        <f ca="1">_xll.FDS("EURUSD","FG_PRICE("&amp;B408&amp;")")</f>
        <v>#NAME?</v>
      </c>
      <c r="D408" t="e">
        <f ca="1">_xll.FDS("GBPUSD","FG_PRICE("&amp;B408&amp;")")</f>
        <v>#NAME?</v>
      </c>
      <c r="E408" t="e">
        <f ca="1">_xll.FDSB("JPYUSD","FG_PRICE("&amp;B408&amp;")")</f>
        <v>#NAME?</v>
      </c>
    </row>
    <row r="409" spans="2:5">
      <c r="B409" s="244">
        <f t="shared" si="48"/>
        <v>43872</v>
      </c>
      <c r="C409" s="245" t="e">
        <f ca="1">_xll.FDS("EURUSD","FG_PRICE("&amp;B409&amp;")")</f>
        <v>#NAME?</v>
      </c>
      <c r="D409" t="e">
        <f ca="1">_xll.FDS("GBPUSD","FG_PRICE("&amp;B409&amp;")")</f>
        <v>#NAME?</v>
      </c>
      <c r="E409" t="e">
        <f ca="1">_xll.FDSB("JPYUSD","FG_PRICE("&amp;B409&amp;")")</f>
        <v>#NAME?</v>
      </c>
    </row>
    <row r="410" spans="2:5">
      <c r="B410" s="244">
        <f t="shared" si="48"/>
        <v>43873</v>
      </c>
      <c r="C410" s="245" t="e">
        <f ca="1">_xll.FDS("EURUSD","FG_PRICE("&amp;B410&amp;")")</f>
        <v>#NAME?</v>
      </c>
      <c r="D410" t="e">
        <f ca="1">_xll.FDS("GBPUSD","FG_PRICE("&amp;B410&amp;")")</f>
        <v>#NAME?</v>
      </c>
      <c r="E410" t="e">
        <f ca="1">_xll.FDSB("JPYUSD","FG_PRICE("&amp;B410&amp;")")</f>
        <v>#NAME?</v>
      </c>
    </row>
    <row r="411" spans="2:5">
      <c r="B411" s="244">
        <f t="shared" si="48"/>
        <v>43874</v>
      </c>
      <c r="C411" s="245" t="e">
        <f ca="1">_xll.FDS("EURUSD","FG_PRICE("&amp;B411&amp;")")</f>
        <v>#NAME?</v>
      </c>
      <c r="D411" t="e">
        <f ca="1">_xll.FDS("GBPUSD","FG_PRICE("&amp;B411&amp;")")</f>
        <v>#NAME?</v>
      </c>
      <c r="E411" t="e">
        <f ca="1">_xll.FDSB("JPYUSD","FG_PRICE("&amp;B411&amp;")")</f>
        <v>#NAME?</v>
      </c>
    </row>
    <row r="412" spans="2:5">
      <c r="B412" s="244">
        <f t="shared" si="48"/>
        <v>43875</v>
      </c>
      <c r="C412" s="245" t="e">
        <f ca="1">_xll.FDS("EURUSD","FG_PRICE("&amp;B412&amp;")")</f>
        <v>#NAME?</v>
      </c>
      <c r="D412" t="e">
        <f ca="1">_xll.FDS("GBPUSD","FG_PRICE("&amp;B412&amp;")")</f>
        <v>#NAME?</v>
      </c>
      <c r="E412" t="e">
        <f ca="1">_xll.FDSB("JPYUSD","FG_PRICE("&amp;B412&amp;")")</f>
        <v>#NAME?</v>
      </c>
    </row>
    <row r="413" spans="2:5">
      <c r="B413" s="244">
        <f t="shared" si="48"/>
        <v>43876</v>
      </c>
      <c r="C413" s="245" t="e">
        <f ca="1">_xll.FDS("EURUSD","FG_PRICE("&amp;B413&amp;")")</f>
        <v>#NAME?</v>
      </c>
      <c r="D413" t="e">
        <f ca="1">_xll.FDS("GBPUSD","FG_PRICE("&amp;B413&amp;")")</f>
        <v>#NAME?</v>
      </c>
      <c r="E413" t="e">
        <f ca="1">_xll.FDSB("JPYUSD","FG_PRICE("&amp;B413&amp;")")</f>
        <v>#NAME?</v>
      </c>
    </row>
    <row r="414" spans="2:5">
      <c r="B414" s="244">
        <f t="shared" si="48"/>
        <v>43877</v>
      </c>
      <c r="C414" s="245" t="e">
        <f ca="1">_xll.FDS("EURUSD","FG_PRICE("&amp;B414&amp;")")</f>
        <v>#NAME?</v>
      </c>
      <c r="D414" t="e">
        <f ca="1">_xll.FDS("GBPUSD","FG_PRICE("&amp;B414&amp;")")</f>
        <v>#NAME?</v>
      </c>
      <c r="E414" t="e">
        <f ca="1">_xll.FDSB("JPYUSD","FG_PRICE("&amp;B414&amp;")")</f>
        <v>#NAME?</v>
      </c>
    </row>
    <row r="415" spans="2:5">
      <c r="B415" s="244">
        <f t="shared" si="48"/>
        <v>43878</v>
      </c>
      <c r="C415" s="245" t="e">
        <f ca="1">_xll.FDS("EURUSD","FG_PRICE("&amp;B415&amp;")")</f>
        <v>#NAME?</v>
      </c>
      <c r="D415" t="e">
        <f ca="1">_xll.FDS("GBPUSD","FG_PRICE("&amp;B415&amp;")")</f>
        <v>#NAME?</v>
      </c>
      <c r="E415" t="e">
        <f ca="1">_xll.FDSB("JPYUSD","FG_PRICE("&amp;B415&amp;")")</f>
        <v>#NAME?</v>
      </c>
    </row>
    <row r="416" spans="2:5">
      <c r="B416" s="244">
        <f t="shared" si="48"/>
        <v>43879</v>
      </c>
      <c r="C416" s="245" t="e">
        <f ca="1">_xll.FDS("EURUSD","FG_PRICE("&amp;B416&amp;")")</f>
        <v>#NAME?</v>
      </c>
      <c r="D416" t="e">
        <f ca="1">_xll.FDS("GBPUSD","FG_PRICE("&amp;B416&amp;")")</f>
        <v>#NAME?</v>
      </c>
      <c r="E416" t="e">
        <f ca="1">_xll.FDSB("JPYUSD","FG_PRICE("&amp;B416&amp;")")</f>
        <v>#NAME?</v>
      </c>
    </row>
    <row r="417" spans="2:5">
      <c r="B417" s="244">
        <f t="shared" si="48"/>
        <v>43880</v>
      </c>
      <c r="C417" s="245" t="e">
        <f ca="1">_xll.FDS("EURUSD","FG_PRICE("&amp;B417&amp;")")</f>
        <v>#NAME?</v>
      </c>
      <c r="D417" t="e">
        <f ca="1">_xll.FDS("GBPUSD","FG_PRICE("&amp;B417&amp;")")</f>
        <v>#NAME?</v>
      </c>
      <c r="E417" t="e">
        <f ca="1">_xll.FDSB("JPYUSD","FG_PRICE("&amp;B417&amp;")")</f>
        <v>#NAME?</v>
      </c>
    </row>
    <row r="418" spans="2:5">
      <c r="B418" s="244">
        <f t="shared" si="48"/>
        <v>43881</v>
      </c>
      <c r="C418" s="245" t="e">
        <f ca="1">_xll.FDS("EURUSD","FG_PRICE("&amp;B418&amp;")")</f>
        <v>#NAME?</v>
      </c>
      <c r="D418" t="e">
        <f ca="1">_xll.FDS("GBPUSD","FG_PRICE("&amp;B418&amp;")")</f>
        <v>#NAME?</v>
      </c>
      <c r="E418" t="e">
        <f ca="1">_xll.FDSB("JPYUSD","FG_PRICE("&amp;B418&amp;")")</f>
        <v>#NAME?</v>
      </c>
    </row>
    <row r="419" spans="2:5">
      <c r="B419" s="244">
        <f t="shared" si="48"/>
        <v>43882</v>
      </c>
      <c r="C419" s="245" t="e">
        <f ca="1">_xll.FDS("EURUSD","FG_PRICE("&amp;B419&amp;")")</f>
        <v>#NAME?</v>
      </c>
      <c r="D419" t="e">
        <f ca="1">_xll.FDS("GBPUSD","FG_PRICE("&amp;B419&amp;")")</f>
        <v>#NAME?</v>
      </c>
      <c r="E419" t="e">
        <f ca="1">_xll.FDSB("JPYUSD","FG_PRICE("&amp;B419&amp;")")</f>
        <v>#NAME?</v>
      </c>
    </row>
    <row r="420" spans="2:5">
      <c r="B420" s="244">
        <f t="shared" si="48"/>
        <v>43883</v>
      </c>
      <c r="C420" s="245" t="e">
        <f ca="1">_xll.FDS("EURUSD","FG_PRICE("&amp;B420&amp;")")</f>
        <v>#NAME?</v>
      </c>
      <c r="D420" t="e">
        <f ca="1">_xll.FDS("GBPUSD","FG_PRICE("&amp;B420&amp;")")</f>
        <v>#NAME?</v>
      </c>
      <c r="E420" t="e">
        <f ca="1">_xll.FDSB("JPYUSD","FG_PRICE("&amp;B420&amp;")")</f>
        <v>#NAME?</v>
      </c>
    </row>
    <row r="421" spans="2:5">
      <c r="B421" s="244">
        <f t="shared" si="48"/>
        <v>43884</v>
      </c>
      <c r="C421" s="245" t="e">
        <f ca="1">_xll.FDS("EURUSD","FG_PRICE("&amp;B421&amp;")")</f>
        <v>#NAME?</v>
      </c>
      <c r="D421" t="e">
        <f ca="1">_xll.FDS("GBPUSD","FG_PRICE("&amp;B421&amp;")")</f>
        <v>#NAME?</v>
      </c>
      <c r="E421" t="e">
        <f ca="1">_xll.FDSB("JPYUSD","FG_PRICE("&amp;B421&amp;")")</f>
        <v>#NAME?</v>
      </c>
    </row>
    <row r="422" spans="2:5">
      <c r="B422" s="244">
        <f t="shared" si="48"/>
        <v>43885</v>
      </c>
      <c r="C422" s="245" t="e">
        <f ca="1">_xll.FDS("EURUSD","FG_PRICE("&amp;B422&amp;")")</f>
        <v>#NAME?</v>
      </c>
      <c r="D422" t="e">
        <f ca="1">_xll.FDS("GBPUSD","FG_PRICE("&amp;B422&amp;")")</f>
        <v>#NAME?</v>
      </c>
      <c r="E422" t="e">
        <f ca="1">_xll.FDSB("JPYUSD","FG_PRICE("&amp;B422&amp;")")</f>
        <v>#NAME?</v>
      </c>
    </row>
    <row r="423" spans="2:5">
      <c r="B423" s="244">
        <f t="shared" si="48"/>
        <v>43886</v>
      </c>
      <c r="C423" s="245" t="e">
        <f ca="1">_xll.FDS("EURUSD","FG_PRICE("&amp;B423&amp;")")</f>
        <v>#NAME?</v>
      </c>
      <c r="D423" t="e">
        <f ca="1">_xll.FDS("GBPUSD","FG_PRICE("&amp;B423&amp;")")</f>
        <v>#NAME?</v>
      </c>
      <c r="E423" t="e">
        <f ca="1">_xll.FDSB("JPYUSD","FG_PRICE("&amp;B423&amp;")")</f>
        <v>#NAME?</v>
      </c>
    </row>
    <row r="424" spans="2:5">
      <c r="B424" s="244">
        <f t="shared" si="48"/>
        <v>43887</v>
      </c>
      <c r="C424" s="245" t="e">
        <f ca="1">_xll.FDS("EURUSD","FG_PRICE("&amp;B424&amp;")")</f>
        <v>#NAME?</v>
      </c>
      <c r="D424" t="e">
        <f ca="1">_xll.FDS("GBPUSD","FG_PRICE("&amp;B424&amp;")")</f>
        <v>#NAME?</v>
      </c>
      <c r="E424" t="e">
        <f ca="1">_xll.FDSB("JPYUSD","FG_PRICE("&amp;B424&amp;")")</f>
        <v>#NAME?</v>
      </c>
    </row>
    <row r="425" spans="2:5">
      <c r="B425" s="244">
        <f t="shared" si="48"/>
        <v>43888</v>
      </c>
      <c r="C425" s="245" t="e">
        <f ca="1">_xll.FDS("EURUSD","FG_PRICE("&amp;B425&amp;")")</f>
        <v>#NAME?</v>
      </c>
      <c r="D425" t="e">
        <f ca="1">_xll.FDS("GBPUSD","FG_PRICE("&amp;B425&amp;")")</f>
        <v>#NAME?</v>
      </c>
      <c r="E425" t="e">
        <f ca="1">_xll.FDSB("JPYUSD","FG_PRICE("&amp;B425&amp;")")</f>
        <v>#NAME?</v>
      </c>
    </row>
    <row r="426" spans="2:5">
      <c r="B426" s="244">
        <f t="shared" si="48"/>
        <v>43889</v>
      </c>
      <c r="C426" s="245" t="e">
        <f ca="1">_xll.FDS("EURUSD","FG_PRICE("&amp;B426&amp;")")</f>
        <v>#NAME?</v>
      </c>
      <c r="D426" t="e">
        <f ca="1">_xll.FDS("GBPUSD","FG_PRICE("&amp;B426&amp;")")</f>
        <v>#NAME?</v>
      </c>
      <c r="E426" t="e">
        <f ca="1">_xll.FDSB("JPYUSD","FG_PRICE("&amp;B426&amp;")")</f>
        <v>#NAME?</v>
      </c>
    </row>
    <row r="427" spans="2:5">
      <c r="B427" s="244">
        <f t="shared" si="48"/>
        <v>43890</v>
      </c>
      <c r="C427" s="245" t="e">
        <f ca="1">_xll.FDS("EURUSD","FG_PRICE("&amp;B427&amp;")")</f>
        <v>#NAME?</v>
      </c>
      <c r="D427" t="e">
        <f ca="1">_xll.FDS("GBPUSD","FG_PRICE("&amp;B427&amp;")")</f>
        <v>#NAME?</v>
      </c>
      <c r="E427" t="e">
        <f ca="1">_xll.FDSB("JPYUSD","FG_PRICE("&amp;B427&amp;")")</f>
        <v>#NAME?</v>
      </c>
    </row>
    <row r="428" spans="2:5">
      <c r="B428" s="244">
        <f t="shared" si="48"/>
        <v>43891</v>
      </c>
      <c r="C428" s="245" t="e">
        <f ca="1">_xll.FDS("EURUSD","FG_PRICE("&amp;B428&amp;")")</f>
        <v>#NAME?</v>
      </c>
      <c r="D428" t="e">
        <f ca="1">_xll.FDS("GBPUSD","FG_PRICE("&amp;B428&amp;")")</f>
        <v>#NAME?</v>
      </c>
      <c r="E428" t="e">
        <f ca="1">_xll.FDSB("JPYUSD","FG_PRICE("&amp;B428&amp;")")</f>
        <v>#NAME?</v>
      </c>
    </row>
    <row r="429" spans="2:5">
      <c r="B429" s="244">
        <f t="shared" si="48"/>
        <v>43892</v>
      </c>
      <c r="C429" s="245" t="e">
        <f ca="1">_xll.FDS("EURUSD","FG_PRICE("&amp;B429&amp;")")</f>
        <v>#NAME?</v>
      </c>
      <c r="D429" t="e">
        <f ca="1">_xll.FDS("GBPUSD","FG_PRICE("&amp;B429&amp;")")</f>
        <v>#NAME?</v>
      </c>
      <c r="E429" t="e">
        <f ca="1">_xll.FDSB("JPYUSD","FG_PRICE("&amp;B429&amp;")")</f>
        <v>#NAME?</v>
      </c>
    </row>
    <row r="430" spans="2:5">
      <c r="B430" s="244">
        <f t="shared" si="48"/>
        <v>43893</v>
      </c>
      <c r="C430" s="245" t="e">
        <f ca="1">_xll.FDS("EURUSD","FG_PRICE("&amp;B430&amp;")")</f>
        <v>#NAME?</v>
      </c>
      <c r="D430" t="e">
        <f ca="1">_xll.FDS("GBPUSD","FG_PRICE("&amp;B430&amp;")")</f>
        <v>#NAME?</v>
      </c>
      <c r="E430" t="e">
        <f ca="1">_xll.FDSB("JPYUSD","FG_PRICE("&amp;B430&amp;")")</f>
        <v>#NAME?</v>
      </c>
    </row>
    <row r="431" spans="2:5">
      <c r="B431" s="244">
        <f t="shared" si="48"/>
        <v>43894</v>
      </c>
      <c r="C431" s="245" t="e">
        <f ca="1">_xll.FDS("EURUSD","FG_PRICE("&amp;B431&amp;")")</f>
        <v>#NAME?</v>
      </c>
      <c r="D431" t="e">
        <f ca="1">_xll.FDS("GBPUSD","FG_PRICE("&amp;B431&amp;")")</f>
        <v>#NAME?</v>
      </c>
      <c r="E431" t="e">
        <f ca="1">_xll.FDSB("JPYUSD","FG_PRICE("&amp;B431&amp;")")</f>
        <v>#NAME?</v>
      </c>
    </row>
    <row r="432" spans="2:5">
      <c r="B432" s="244">
        <f t="shared" si="48"/>
        <v>43895</v>
      </c>
      <c r="C432" s="245" t="e">
        <f ca="1">_xll.FDS("EURUSD","FG_PRICE("&amp;B432&amp;")")</f>
        <v>#NAME?</v>
      </c>
      <c r="D432" t="e">
        <f ca="1">_xll.FDS("GBPUSD","FG_PRICE("&amp;B432&amp;")")</f>
        <v>#NAME?</v>
      </c>
      <c r="E432" t="e">
        <f ca="1">_xll.FDSB("JPYUSD","FG_PRICE("&amp;B432&amp;")")</f>
        <v>#NAME?</v>
      </c>
    </row>
    <row r="433" spans="2:5">
      <c r="B433" s="244">
        <f t="shared" si="48"/>
        <v>43896</v>
      </c>
      <c r="C433" s="245" t="e">
        <f ca="1">_xll.FDS("EURUSD","FG_PRICE("&amp;B433&amp;")")</f>
        <v>#NAME?</v>
      </c>
      <c r="D433" t="e">
        <f ca="1">_xll.FDS("GBPUSD","FG_PRICE("&amp;B433&amp;")")</f>
        <v>#NAME?</v>
      </c>
      <c r="E433" t="e">
        <f ca="1">_xll.FDSB("JPYUSD","FG_PRICE("&amp;B433&amp;")")</f>
        <v>#NAME?</v>
      </c>
    </row>
    <row r="434" spans="2:5">
      <c r="B434" s="244">
        <f t="shared" si="48"/>
        <v>43897</v>
      </c>
      <c r="C434" s="245" t="e">
        <f ca="1">_xll.FDS("EURUSD","FG_PRICE("&amp;B434&amp;")")</f>
        <v>#NAME?</v>
      </c>
      <c r="D434" t="e">
        <f ca="1">_xll.FDS("GBPUSD","FG_PRICE("&amp;B434&amp;")")</f>
        <v>#NAME?</v>
      </c>
      <c r="E434" t="e">
        <f ca="1">_xll.FDSB("JPYUSD","FG_PRICE("&amp;B434&amp;")")</f>
        <v>#NAME?</v>
      </c>
    </row>
    <row r="435" spans="2:5">
      <c r="B435" s="244">
        <f t="shared" si="48"/>
        <v>43898</v>
      </c>
      <c r="C435" s="245" t="e">
        <f ca="1">_xll.FDS("EURUSD","FG_PRICE("&amp;B435&amp;")")</f>
        <v>#NAME?</v>
      </c>
      <c r="D435" t="e">
        <f ca="1">_xll.FDS("GBPUSD","FG_PRICE("&amp;B435&amp;")")</f>
        <v>#NAME?</v>
      </c>
      <c r="E435" t="e">
        <f ca="1">_xll.FDSB("JPYUSD","FG_PRICE("&amp;B435&amp;")")</f>
        <v>#NAME?</v>
      </c>
    </row>
    <row r="436" spans="2:5">
      <c r="B436" s="244">
        <f t="shared" si="48"/>
        <v>43899</v>
      </c>
      <c r="C436" s="245" t="e">
        <f ca="1">_xll.FDS("EURUSD","FG_PRICE("&amp;B436&amp;")")</f>
        <v>#NAME?</v>
      </c>
      <c r="D436" t="e">
        <f ca="1">_xll.FDS("GBPUSD","FG_PRICE("&amp;B436&amp;")")</f>
        <v>#NAME?</v>
      </c>
      <c r="E436" t="e">
        <f ca="1">_xll.FDSB("JPYUSD","FG_PRICE("&amp;B436&amp;")")</f>
        <v>#NAME?</v>
      </c>
    </row>
    <row r="437" spans="2:5">
      <c r="B437" s="244">
        <f t="shared" si="48"/>
        <v>43900</v>
      </c>
      <c r="C437" s="245" t="e">
        <f ca="1">_xll.FDS("EURUSD","FG_PRICE("&amp;B437&amp;")")</f>
        <v>#NAME?</v>
      </c>
      <c r="D437" t="e">
        <f ca="1">_xll.FDS("GBPUSD","FG_PRICE("&amp;B437&amp;")")</f>
        <v>#NAME?</v>
      </c>
      <c r="E437" t="e">
        <f ca="1">_xll.FDSB("JPYUSD","FG_PRICE("&amp;B437&amp;")")</f>
        <v>#NAME?</v>
      </c>
    </row>
    <row r="438" spans="2:5">
      <c r="B438" s="244">
        <f t="shared" si="48"/>
        <v>43901</v>
      </c>
      <c r="C438" s="245" t="e">
        <f ca="1">_xll.FDS("EURUSD","FG_PRICE("&amp;B438&amp;")")</f>
        <v>#NAME?</v>
      </c>
      <c r="D438" t="e">
        <f ca="1">_xll.FDS("GBPUSD","FG_PRICE("&amp;B438&amp;")")</f>
        <v>#NAME?</v>
      </c>
      <c r="E438" t="e">
        <f ca="1">_xll.FDSB("JPYUSD","FG_PRICE("&amp;B438&amp;")")</f>
        <v>#NAME?</v>
      </c>
    </row>
    <row r="439" spans="2:5">
      <c r="B439" s="244">
        <f t="shared" si="48"/>
        <v>43902</v>
      </c>
      <c r="C439" s="245" t="e">
        <f ca="1">_xll.FDS("EURUSD","FG_PRICE("&amp;B439&amp;")")</f>
        <v>#NAME?</v>
      </c>
      <c r="D439" t="e">
        <f ca="1">_xll.FDS("GBPUSD","FG_PRICE("&amp;B439&amp;")")</f>
        <v>#NAME?</v>
      </c>
      <c r="E439" t="e">
        <f ca="1">_xll.FDSB("JPYUSD","FG_PRICE("&amp;B439&amp;")")</f>
        <v>#NAME?</v>
      </c>
    </row>
    <row r="440" spans="2:5">
      <c r="B440" s="244">
        <f t="shared" si="48"/>
        <v>43903</v>
      </c>
      <c r="C440" s="245" t="e">
        <f ca="1">_xll.FDS("EURUSD","FG_PRICE("&amp;B440&amp;")")</f>
        <v>#NAME?</v>
      </c>
      <c r="D440" t="e">
        <f ca="1">_xll.FDS("GBPUSD","FG_PRICE("&amp;B440&amp;")")</f>
        <v>#NAME?</v>
      </c>
      <c r="E440" t="e">
        <f ca="1">_xll.FDSB("JPYUSD","FG_PRICE("&amp;B440&amp;")")</f>
        <v>#NAME?</v>
      </c>
    </row>
    <row r="441" spans="2:5">
      <c r="B441" s="244">
        <f t="shared" si="48"/>
        <v>43904</v>
      </c>
      <c r="C441" s="245" t="e">
        <f ca="1">_xll.FDS("EURUSD","FG_PRICE("&amp;B441&amp;")")</f>
        <v>#NAME?</v>
      </c>
      <c r="D441" t="e">
        <f ca="1">_xll.FDS("GBPUSD","FG_PRICE("&amp;B441&amp;")")</f>
        <v>#NAME?</v>
      </c>
      <c r="E441" t="e">
        <f ca="1">_xll.FDSB("JPYUSD","FG_PRICE("&amp;B441&amp;")")</f>
        <v>#NAME?</v>
      </c>
    </row>
    <row r="442" spans="2:5">
      <c r="B442" s="244">
        <f t="shared" si="48"/>
        <v>43905</v>
      </c>
      <c r="C442" s="245" t="e">
        <f ca="1">_xll.FDS("EURUSD","FG_PRICE("&amp;B442&amp;")")</f>
        <v>#NAME?</v>
      </c>
      <c r="D442" t="e">
        <f ca="1">_xll.FDS("GBPUSD","FG_PRICE("&amp;B442&amp;")")</f>
        <v>#NAME?</v>
      </c>
      <c r="E442" t="e">
        <f ca="1">_xll.FDSB("JPYUSD","FG_PRICE("&amp;B442&amp;")")</f>
        <v>#NAME?</v>
      </c>
    </row>
    <row r="443" spans="2:5">
      <c r="B443" s="244">
        <f t="shared" si="48"/>
        <v>43906</v>
      </c>
      <c r="C443" s="245" t="e">
        <f ca="1">_xll.FDS("EURUSD","FG_PRICE("&amp;B443&amp;")")</f>
        <v>#NAME?</v>
      </c>
      <c r="D443" t="e">
        <f ca="1">_xll.FDS("GBPUSD","FG_PRICE("&amp;B443&amp;")")</f>
        <v>#NAME?</v>
      </c>
      <c r="E443" t="e">
        <f ca="1">_xll.FDSB("JPYUSD","FG_PRICE("&amp;B443&amp;")")</f>
        <v>#NAME?</v>
      </c>
    </row>
    <row r="444" spans="2:5">
      <c r="B444" s="244">
        <f t="shared" si="48"/>
        <v>43907</v>
      </c>
      <c r="C444" s="245" t="e">
        <f ca="1">_xll.FDS("EURUSD","FG_PRICE("&amp;B444&amp;")")</f>
        <v>#NAME?</v>
      </c>
      <c r="D444" t="e">
        <f ca="1">_xll.FDS("GBPUSD","FG_PRICE("&amp;B444&amp;")")</f>
        <v>#NAME?</v>
      </c>
      <c r="E444" t="e">
        <f ca="1">_xll.FDSB("JPYUSD","FG_PRICE("&amp;B444&amp;")")</f>
        <v>#NAME?</v>
      </c>
    </row>
    <row r="445" spans="2:5">
      <c r="B445" s="244">
        <f t="shared" si="48"/>
        <v>43908</v>
      </c>
      <c r="C445" s="245" t="e">
        <f ca="1">_xll.FDS("EURUSD","FG_PRICE("&amp;B445&amp;")")</f>
        <v>#NAME?</v>
      </c>
      <c r="D445" t="e">
        <f ca="1">_xll.FDS("GBPUSD","FG_PRICE("&amp;B445&amp;")")</f>
        <v>#NAME?</v>
      </c>
      <c r="E445" t="e">
        <f ca="1">_xll.FDSB("JPYUSD","FG_PRICE("&amp;B445&amp;")")</f>
        <v>#NAME?</v>
      </c>
    </row>
    <row r="446" spans="2:5">
      <c r="B446" s="244">
        <f t="shared" si="48"/>
        <v>43909</v>
      </c>
      <c r="C446" s="245" t="e">
        <f ca="1">_xll.FDS("EURUSD","FG_PRICE("&amp;B446&amp;")")</f>
        <v>#NAME?</v>
      </c>
      <c r="D446" t="e">
        <f ca="1">_xll.FDS("GBPUSD","FG_PRICE("&amp;B446&amp;")")</f>
        <v>#NAME?</v>
      </c>
      <c r="E446" t="e">
        <f ca="1">_xll.FDSB("JPYUSD","FG_PRICE("&amp;B446&amp;")")</f>
        <v>#NAME?</v>
      </c>
    </row>
    <row r="447" spans="2:5">
      <c r="B447" s="244">
        <f t="shared" si="48"/>
        <v>43910</v>
      </c>
      <c r="C447" s="245" t="e">
        <f ca="1">_xll.FDS("EURUSD","FG_PRICE("&amp;B447&amp;")")</f>
        <v>#NAME?</v>
      </c>
      <c r="D447" t="e">
        <f ca="1">_xll.FDS("GBPUSD","FG_PRICE("&amp;B447&amp;")")</f>
        <v>#NAME?</v>
      </c>
      <c r="E447" t="e">
        <f ca="1">_xll.FDSB("JPYUSD","FG_PRICE("&amp;B447&amp;")")</f>
        <v>#NAME?</v>
      </c>
    </row>
    <row r="448" spans="2:5">
      <c r="B448" s="244">
        <f t="shared" si="48"/>
        <v>43911</v>
      </c>
      <c r="C448" s="245" t="e">
        <f ca="1">_xll.FDS("EURUSD","FG_PRICE("&amp;B448&amp;")")</f>
        <v>#NAME?</v>
      </c>
      <c r="D448" t="e">
        <f ca="1">_xll.FDS("GBPUSD","FG_PRICE("&amp;B448&amp;")")</f>
        <v>#NAME?</v>
      </c>
      <c r="E448" t="e">
        <f ca="1">_xll.FDSB("JPYUSD","FG_PRICE("&amp;B448&amp;")")</f>
        <v>#NAME?</v>
      </c>
    </row>
    <row r="449" spans="2:5">
      <c r="B449" s="244">
        <f t="shared" si="48"/>
        <v>43912</v>
      </c>
      <c r="C449" s="245" t="e">
        <f ca="1">_xll.FDS("EURUSD","FG_PRICE("&amp;B449&amp;")")</f>
        <v>#NAME?</v>
      </c>
      <c r="D449" t="e">
        <f ca="1">_xll.FDS("GBPUSD","FG_PRICE("&amp;B449&amp;")")</f>
        <v>#NAME?</v>
      </c>
      <c r="E449" t="e">
        <f ca="1">_xll.FDSB("JPYUSD","FG_PRICE("&amp;B449&amp;")")</f>
        <v>#NAME?</v>
      </c>
    </row>
    <row r="450" spans="2:5">
      <c r="B450" s="244">
        <f t="shared" si="48"/>
        <v>43913</v>
      </c>
      <c r="C450" s="245" t="e">
        <f ca="1">_xll.FDS("EURUSD","FG_PRICE("&amp;B450&amp;")")</f>
        <v>#NAME?</v>
      </c>
      <c r="D450" t="e">
        <f ca="1">_xll.FDS("GBPUSD","FG_PRICE("&amp;B450&amp;")")</f>
        <v>#NAME?</v>
      </c>
      <c r="E450" t="e">
        <f ca="1">_xll.FDSB("JPYUSD","FG_PRICE("&amp;B450&amp;")")</f>
        <v>#NAME?</v>
      </c>
    </row>
    <row r="451" spans="2:5">
      <c r="B451" s="244">
        <f t="shared" si="48"/>
        <v>43914</v>
      </c>
      <c r="C451" s="245" t="e">
        <f ca="1">_xll.FDS("EURUSD","FG_PRICE("&amp;B451&amp;")")</f>
        <v>#NAME?</v>
      </c>
      <c r="D451" t="e">
        <f ca="1">_xll.FDS("GBPUSD","FG_PRICE("&amp;B451&amp;")")</f>
        <v>#NAME?</v>
      </c>
      <c r="E451" t="e">
        <f ca="1">_xll.FDSB("JPYUSD","FG_PRICE("&amp;B451&amp;")")</f>
        <v>#NAME?</v>
      </c>
    </row>
    <row r="452" spans="2:5">
      <c r="B452" s="244">
        <f t="shared" si="48"/>
        <v>43915</v>
      </c>
      <c r="C452" s="245" t="e">
        <f ca="1">_xll.FDS("EURUSD","FG_PRICE("&amp;B452&amp;")")</f>
        <v>#NAME?</v>
      </c>
      <c r="D452" t="e">
        <f ca="1">_xll.FDS("GBPUSD","FG_PRICE("&amp;B452&amp;")")</f>
        <v>#NAME?</v>
      </c>
      <c r="E452" t="e">
        <f ca="1">_xll.FDSB("JPYUSD","FG_PRICE("&amp;B452&amp;")")</f>
        <v>#NAME?</v>
      </c>
    </row>
    <row r="453" spans="2:5">
      <c r="B453" s="244">
        <f t="shared" ref="B453:B516" si="49">B452+1</f>
        <v>43916</v>
      </c>
      <c r="C453" s="245" t="e">
        <f ca="1">_xll.FDS("EURUSD","FG_PRICE("&amp;B453&amp;")")</f>
        <v>#NAME?</v>
      </c>
      <c r="D453" t="e">
        <f ca="1">_xll.FDS("GBPUSD","FG_PRICE("&amp;B453&amp;")")</f>
        <v>#NAME?</v>
      </c>
      <c r="E453" t="e">
        <f ca="1">_xll.FDSB("JPYUSD","FG_PRICE("&amp;B453&amp;")")</f>
        <v>#NAME?</v>
      </c>
    </row>
    <row r="454" spans="2:5">
      <c r="B454" s="244">
        <f t="shared" si="49"/>
        <v>43917</v>
      </c>
      <c r="C454" s="245" t="e">
        <f ca="1">_xll.FDS("EURUSD","FG_PRICE("&amp;B454&amp;")")</f>
        <v>#NAME?</v>
      </c>
      <c r="D454" t="e">
        <f ca="1">_xll.FDS("GBPUSD","FG_PRICE("&amp;B454&amp;")")</f>
        <v>#NAME?</v>
      </c>
      <c r="E454" t="e">
        <f ca="1">_xll.FDSB("JPYUSD","FG_PRICE("&amp;B454&amp;")")</f>
        <v>#NAME?</v>
      </c>
    </row>
    <row r="455" spans="2:5">
      <c r="B455" s="244">
        <f t="shared" si="49"/>
        <v>43918</v>
      </c>
      <c r="C455" s="245" t="e">
        <f ca="1">_xll.FDS("EURUSD","FG_PRICE("&amp;B455&amp;")")</f>
        <v>#NAME?</v>
      </c>
      <c r="D455" t="e">
        <f ca="1">_xll.FDS("GBPUSD","FG_PRICE("&amp;B455&amp;")")</f>
        <v>#NAME?</v>
      </c>
      <c r="E455" t="e">
        <f ca="1">_xll.FDSB("JPYUSD","FG_PRICE("&amp;B455&amp;")")</f>
        <v>#NAME?</v>
      </c>
    </row>
    <row r="456" spans="2:5">
      <c r="B456" s="244">
        <f t="shared" si="49"/>
        <v>43919</v>
      </c>
      <c r="C456" s="245" t="e">
        <f ca="1">_xll.FDS("EURUSD","FG_PRICE("&amp;B456&amp;")")</f>
        <v>#NAME?</v>
      </c>
      <c r="D456" t="e">
        <f ca="1">_xll.FDS("GBPUSD","FG_PRICE("&amp;B456&amp;")")</f>
        <v>#NAME?</v>
      </c>
      <c r="E456" t="e">
        <f ca="1">_xll.FDSB("JPYUSD","FG_PRICE("&amp;B456&amp;")")</f>
        <v>#NAME?</v>
      </c>
    </row>
    <row r="457" spans="2:5">
      <c r="B457" s="244">
        <f t="shared" si="49"/>
        <v>43920</v>
      </c>
      <c r="C457" s="245" t="e">
        <f ca="1">_xll.FDS("EURUSD","FG_PRICE("&amp;B457&amp;")")</f>
        <v>#NAME?</v>
      </c>
      <c r="D457" t="e">
        <f ca="1">_xll.FDS("GBPUSD","FG_PRICE("&amp;B457&amp;")")</f>
        <v>#NAME?</v>
      </c>
      <c r="E457" t="e">
        <f ca="1">_xll.FDSB("JPYUSD","FG_PRICE("&amp;B457&amp;")")</f>
        <v>#NAME?</v>
      </c>
    </row>
    <row r="458" spans="2:5">
      <c r="B458" s="244">
        <f t="shared" si="49"/>
        <v>43921</v>
      </c>
      <c r="C458" s="245" t="e">
        <f ca="1">_xll.FDS("EURUSD","FG_PRICE("&amp;B458&amp;")")</f>
        <v>#NAME?</v>
      </c>
      <c r="D458" t="e">
        <f ca="1">_xll.FDS("GBPUSD","FG_PRICE("&amp;B458&amp;")")</f>
        <v>#NAME?</v>
      </c>
      <c r="E458" t="e">
        <f ca="1">_xll.FDSB("JPYUSD","FG_PRICE("&amp;B458&amp;")")</f>
        <v>#NAME?</v>
      </c>
    </row>
    <row r="459" spans="2:5">
      <c r="B459" s="244">
        <f t="shared" si="49"/>
        <v>43922</v>
      </c>
      <c r="C459" s="245" t="e">
        <f ca="1">_xll.FDS("EURUSD","FG_PRICE("&amp;B459&amp;")")</f>
        <v>#NAME?</v>
      </c>
      <c r="D459" t="e">
        <f ca="1">_xll.FDS("GBPUSD","FG_PRICE("&amp;B459&amp;")")</f>
        <v>#NAME?</v>
      </c>
      <c r="E459" t="e">
        <f ca="1">_xll.FDSB("JPYUSD","FG_PRICE("&amp;B459&amp;")")</f>
        <v>#NAME?</v>
      </c>
    </row>
    <row r="460" spans="2:5">
      <c r="B460" s="244">
        <f t="shared" si="49"/>
        <v>43923</v>
      </c>
      <c r="C460" s="245" t="e">
        <f ca="1">_xll.FDS("EURUSD","FG_PRICE("&amp;B460&amp;")")</f>
        <v>#NAME?</v>
      </c>
      <c r="D460" t="e">
        <f ca="1">_xll.FDS("GBPUSD","FG_PRICE("&amp;B460&amp;")")</f>
        <v>#NAME?</v>
      </c>
      <c r="E460" t="e">
        <f ca="1">_xll.FDSB("JPYUSD","FG_PRICE("&amp;B460&amp;")")</f>
        <v>#NAME?</v>
      </c>
    </row>
    <row r="461" spans="2:5">
      <c r="B461" s="244">
        <f t="shared" si="49"/>
        <v>43924</v>
      </c>
      <c r="C461" s="245" t="e">
        <f ca="1">_xll.FDS("EURUSD","FG_PRICE("&amp;B461&amp;")")</f>
        <v>#NAME?</v>
      </c>
      <c r="D461" t="e">
        <f ca="1">_xll.FDS("GBPUSD","FG_PRICE("&amp;B461&amp;")")</f>
        <v>#NAME?</v>
      </c>
      <c r="E461" t="e">
        <f ca="1">_xll.FDSB("JPYUSD","FG_PRICE("&amp;B461&amp;")")</f>
        <v>#NAME?</v>
      </c>
    </row>
    <row r="462" spans="2:5">
      <c r="B462" s="244">
        <f t="shared" si="49"/>
        <v>43925</v>
      </c>
      <c r="C462" s="245" t="e">
        <f ca="1">_xll.FDS("EURUSD","FG_PRICE("&amp;B462&amp;")")</f>
        <v>#NAME?</v>
      </c>
      <c r="D462" t="e">
        <f ca="1">_xll.FDS("GBPUSD","FG_PRICE("&amp;B462&amp;")")</f>
        <v>#NAME?</v>
      </c>
      <c r="E462" t="e">
        <f ca="1">_xll.FDSB("JPYUSD","FG_PRICE("&amp;B462&amp;")")</f>
        <v>#NAME?</v>
      </c>
    </row>
    <row r="463" spans="2:5">
      <c r="B463" s="244">
        <f t="shared" si="49"/>
        <v>43926</v>
      </c>
      <c r="C463" s="245" t="e">
        <f ca="1">_xll.FDS("EURUSD","FG_PRICE("&amp;B463&amp;")")</f>
        <v>#NAME?</v>
      </c>
      <c r="D463" t="e">
        <f ca="1">_xll.FDS("GBPUSD","FG_PRICE("&amp;B463&amp;")")</f>
        <v>#NAME?</v>
      </c>
      <c r="E463" t="e">
        <f ca="1">_xll.FDSB("JPYUSD","FG_PRICE("&amp;B463&amp;")")</f>
        <v>#NAME?</v>
      </c>
    </row>
    <row r="464" spans="2:5">
      <c r="B464" s="244">
        <f t="shared" si="49"/>
        <v>43927</v>
      </c>
      <c r="C464" s="245" t="e">
        <f ca="1">_xll.FDS("EURUSD","FG_PRICE("&amp;B464&amp;")")</f>
        <v>#NAME?</v>
      </c>
      <c r="D464" t="e">
        <f ca="1">_xll.FDS("GBPUSD","FG_PRICE("&amp;B464&amp;")")</f>
        <v>#NAME?</v>
      </c>
      <c r="E464" t="e">
        <f ca="1">_xll.FDSB("JPYUSD","FG_PRICE("&amp;B464&amp;")")</f>
        <v>#NAME?</v>
      </c>
    </row>
    <row r="465" spans="2:5">
      <c r="B465" s="244">
        <f t="shared" si="49"/>
        <v>43928</v>
      </c>
      <c r="C465" s="245" t="e">
        <f ca="1">_xll.FDS("EURUSD","FG_PRICE("&amp;B465&amp;")")</f>
        <v>#NAME?</v>
      </c>
      <c r="D465" t="e">
        <f ca="1">_xll.FDS("GBPUSD","FG_PRICE("&amp;B465&amp;")")</f>
        <v>#NAME?</v>
      </c>
      <c r="E465" t="e">
        <f ca="1">_xll.FDSB("JPYUSD","FG_PRICE("&amp;B465&amp;")")</f>
        <v>#NAME?</v>
      </c>
    </row>
    <row r="466" spans="2:5">
      <c r="B466" s="244">
        <f t="shared" si="49"/>
        <v>43929</v>
      </c>
      <c r="C466" s="245" t="e">
        <f ca="1">_xll.FDS("EURUSD","FG_PRICE("&amp;B466&amp;")")</f>
        <v>#NAME?</v>
      </c>
      <c r="D466" t="e">
        <f ca="1">_xll.FDS("GBPUSD","FG_PRICE("&amp;B466&amp;")")</f>
        <v>#NAME?</v>
      </c>
      <c r="E466" t="e">
        <f ca="1">_xll.FDSB("JPYUSD","FG_PRICE("&amp;B466&amp;")")</f>
        <v>#NAME?</v>
      </c>
    </row>
    <row r="467" spans="2:5">
      <c r="B467" s="244">
        <f t="shared" si="49"/>
        <v>43930</v>
      </c>
      <c r="C467" s="245" t="e">
        <f ca="1">_xll.FDS("EURUSD","FG_PRICE("&amp;B467&amp;")")</f>
        <v>#NAME?</v>
      </c>
      <c r="D467" t="e">
        <f ca="1">_xll.FDS("GBPUSD","FG_PRICE("&amp;B467&amp;")")</f>
        <v>#NAME?</v>
      </c>
      <c r="E467" t="e">
        <f ca="1">_xll.FDSB("JPYUSD","FG_PRICE("&amp;B467&amp;")")</f>
        <v>#NAME?</v>
      </c>
    </row>
    <row r="468" spans="2:5">
      <c r="B468" s="244">
        <f t="shared" si="49"/>
        <v>43931</v>
      </c>
      <c r="C468" s="245" t="e">
        <f ca="1">_xll.FDS("EURUSD","FG_PRICE("&amp;B468&amp;")")</f>
        <v>#NAME?</v>
      </c>
      <c r="D468" t="e">
        <f ca="1">_xll.FDS("GBPUSD","FG_PRICE("&amp;B468&amp;")")</f>
        <v>#NAME?</v>
      </c>
      <c r="E468" t="e">
        <f ca="1">_xll.FDSB("JPYUSD","FG_PRICE("&amp;B468&amp;")")</f>
        <v>#NAME?</v>
      </c>
    </row>
    <row r="469" spans="2:5">
      <c r="B469" s="244">
        <f t="shared" si="49"/>
        <v>43932</v>
      </c>
      <c r="C469" s="245" t="e">
        <f ca="1">_xll.FDS("EURUSD","FG_PRICE("&amp;B469&amp;")")</f>
        <v>#NAME?</v>
      </c>
      <c r="D469" t="e">
        <f ca="1">_xll.FDS("GBPUSD","FG_PRICE("&amp;B469&amp;")")</f>
        <v>#NAME?</v>
      </c>
      <c r="E469" t="e">
        <f ca="1">_xll.FDSB("JPYUSD","FG_PRICE("&amp;B469&amp;")")</f>
        <v>#NAME?</v>
      </c>
    </row>
    <row r="470" spans="2:5">
      <c r="B470" s="244">
        <f t="shared" si="49"/>
        <v>43933</v>
      </c>
      <c r="C470" s="245" t="e">
        <f ca="1">_xll.FDS("EURUSD","FG_PRICE("&amp;B470&amp;")")</f>
        <v>#NAME?</v>
      </c>
      <c r="D470" t="e">
        <f ca="1">_xll.FDS("GBPUSD","FG_PRICE("&amp;B470&amp;")")</f>
        <v>#NAME?</v>
      </c>
      <c r="E470" t="e">
        <f ca="1">_xll.FDSB("JPYUSD","FG_PRICE("&amp;B470&amp;")")</f>
        <v>#NAME?</v>
      </c>
    </row>
    <row r="471" spans="2:5">
      <c r="B471" s="244">
        <f t="shared" si="49"/>
        <v>43934</v>
      </c>
      <c r="C471" s="245" t="e">
        <f ca="1">_xll.FDS("EURUSD","FG_PRICE("&amp;B471&amp;")")</f>
        <v>#NAME?</v>
      </c>
      <c r="D471" t="e">
        <f ca="1">_xll.FDS("GBPUSD","FG_PRICE("&amp;B471&amp;")")</f>
        <v>#NAME?</v>
      </c>
      <c r="E471" t="e">
        <f ca="1">_xll.FDSB("JPYUSD","FG_PRICE("&amp;B471&amp;")")</f>
        <v>#NAME?</v>
      </c>
    </row>
    <row r="472" spans="2:5">
      <c r="B472" s="244">
        <f t="shared" si="49"/>
        <v>43935</v>
      </c>
      <c r="C472" s="245" t="e">
        <f ca="1">_xll.FDS("EURUSD","FG_PRICE("&amp;B472&amp;")")</f>
        <v>#NAME?</v>
      </c>
      <c r="D472" t="e">
        <f ca="1">_xll.FDS("GBPUSD","FG_PRICE("&amp;B472&amp;")")</f>
        <v>#NAME?</v>
      </c>
      <c r="E472" t="e">
        <f ca="1">_xll.FDSB("JPYUSD","FG_PRICE("&amp;B472&amp;")")</f>
        <v>#NAME?</v>
      </c>
    </row>
    <row r="473" spans="2:5">
      <c r="B473" s="244">
        <f t="shared" si="49"/>
        <v>43936</v>
      </c>
      <c r="C473" s="245" t="e">
        <f ca="1">_xll.FDS("EURUSD","FG_PRICE("&amp;B473&amp;")")</f>
        <v>#NAME?</v>
      </c>
      <c r="D473" t="e">
        <f ca="1">_xll.FDS("GBPUSD","FG_PRICE("&amp;B473&amp;")")</f>
        <v>#NAME?</v>
      </c>
      <c r="E473" t="e">
        <f ca="1">_xll.FDSB("JPYUSD","FG_PRICE("&amp;B473&amp;")")</f>
        <v>#NAME?</v>
      </c>
    </row>
    <row r="474" spans="2:5">
      <c r="B474" s="244">
        <f t="shared" si="49"/>
        <v>43937</v>
      </c>
      <c r="C474" s="245" t="e">
        <f ca="1">_xll.FDS("EURUSD","FG_PRICE("&amp;B474&amp;")")</f>
        <v>#NAME?</v>
      </c>
      <c r="D474" t="e">
        <f ca="1">_xll.FDS("GBPUSD","FG_PRICE("&amp;B474&amp;")")</f>
        <v>#NAME?</v>
      </c>
      <c r="E474" t="e">
        <f ca="1">_xll.FDSB("JPYUSD","FG_PRICE("&amp;B474&amp;")")</f>
        <v>#NAME?</v>
      </c>
    </row>
    <row r="475" spans="2:5">
      <c r="B475" s="244">
        <f t="shared" si="49"/>
        <v>43938</v>
      </c>
      <c r="C475" s="245" t="e">
        <f ca="1">_xll.FDS("EURUSD","FG_PRICE("&amp;B475&amp;")")</f>
        <v>#NAME?</v>
      </c>
      <c r="D475" t="e">
        <f ca="1">_xll.FDS("GBPUSD","FG_PRICE("&amp;B475&amp;")")</f>
        <v>#NAME?</v>
      </c>
      <c r="E475" t="e">
        <f ca="1">_xll.FDSB("JPYUSD","FG_PRICE("&amp;B475&amp;")")</f>
        <v>#NAME?</v>
      </c>
    </row>
    <row r="476" spans="2:5">
      <c r="B476" s="244">
        <f t="shared" si="49"/>
        <v>43939</v>
      </c>
      <c r="C476" s="245" t="e">
        <f ca="1">_xll.FDS("EURUSD","FG_PRICE("&amp;B476&amp;")")</f>
        <v>#NAME?</v>
      </c>
      <c r="D476" t="e">
        <f ca="1">_xll.FDS("GBPUSD","FG_PRICE("&amp;B476&amp;")")</f>
        <v>#NAME?</v>
      </c>
      <c r="E476" t="e">
        <f ca="1">_xll.FDSB("JPYUSD","FG_PRICE("&amp;B476&amp;")")</f>
        <v>#NAME?</v>
      </c>
    </row>
    <row r="477" spans="2:5">
      <c r="B477" s="244">
        <f t="shared" si="49"/>
        <v>43940</v>
      </c>
      <c r="C477" s="245" t="e">
        <f ca="1">_xll.FDS("EURUSD","FG_PRICE("&amp;B477&amp;")")</f>
        <v>#NAME?</v>
      </c>
      <c r="D477" t="e">
        <f ca="1">_xll.FDS("GBPUSD","FG_PRICE("&amp;B477&amp;")")</f>
        <v>#NAME?</v>
      </c>
      <c r="E477" t="e">
        <f ca="1">_xll.FDSB("JPYUSD","FG_PRICE("&amp;B477&amp;")")</f>
        <v>#NAME?</v>
      </c>
    </row>
    <row r="478" spans="2:5">
      <c r="B478" s="244">
        <f t="shared" si="49"/>
        <v>43941</v>
      </c>
      <c r="C478" s="245" t="e">
        <f ca="1">_xll.FDS("EURUSD","FG_PRICE("&amp;B478&amp;")")</f>
        <v>#NAME?</v>
      </c>
      <c r="D478" t="e">
        <f ca="1">_xll.FDS("GBPUSD","FG_PRICE("&amp;B478&amp;")")</f>
        <v>#NAME?</v>
      </c>
      <c r="E478" t="e">
        <f ca="1">_xll.FDSB("JPYUSD","FG_PRICE("&amp;B478&amp;")")</f>
        <v>#NAME?</v>
      </c>
    </row>
    <row r="479" spans="2:5">
      <c r="B479" s="244">
        <f t="shared" si="49"/>
        <v>43942</v>
      </c>
      <c r="C479" s="245" t="e">
        <f ca="1">_xll.FDS("EURUSD","FG_PRICE("&amp;B479&amp;")")</f>
        <v>#NAME?</v>
      </c>
      <c r="D479" t="e">
        <f ca="1">_xll.FDS("GBPUSD","FG_PRICE("&amp;B479&amp;")")</f>
        <v>#NAME?</v>
      </c>
      <c r="E479" t="e">
        <f ca="1">_xll.FDSB("JPYUSD","FG_PRICE("&amp;B479&amp;")")</f>
        <v>#NAME?</v>
      </c>
    </row>
    <row r="480" spans="2:5">
      <c r="B480" s="244">
        <f t="shared" si="49"/>
        <v>43943</v>
      </c>
      <c r="C480" s="245" t="e">
        <f ca="1">_xll.FDS("EURUSD","FG_PRICE("&amp;B480&amp;")")</f>
        <v>#NAME?</v>
      </c>
      <c r="D480" t="e">
        <f ca="1">_xll.FDS("GBPUSD","FG_PRICE("&amp;B480&amp;")")</f>
        <v>#NAME?</v>
      </c>
      <c r="E480" t="e">
        <f ca="1">_xll.FDSB("JPYUSD","FG_PRICE("&amp;B480&amp;")")</f>
        <v>#NAME?</v>
      </c>
    </row>
    <row r="481" spans="2:5">
      <c r="B481" s="244">
        <f t="shared" si="49"/>
        <v>43944</v>
      </c>
      <c r="C481" s="245" t="e">
        <f ca="1">_xll.FDS("EURUSD","FG_PRICE("&amp;B481&amp;")")</f>
        <v>#NAME?</v>
      </c>
      <c r="D481" t="e">
        <f ca="1">_xll.FDS("GBPUSD","FG_PRICE("&amp;B481&amp;")")</f>
        <v>#NAME?</v>
      </c>
      <c r="E481" t="e">
        <f ca="1">_xll.FDSB("JPYUSD","FG_PRICE("&amp;B481&amp;")")</f>
        <v>#NAME?</v>
      </c>
    </row>
    <row r="482" spans="2:5">
      <c r="B482" s="244">
        <f t="shared" si="49"/>
        <v>43945</v>
      </c>
      <c r="C482" s="245" t="e">
        <f ca="1">_xll.FDS("EURUSD","FG_PRICE("&amp;B482&amp;")")</f>
        <v>#NAME?</v>
      </c>
      <c r="D482" t="e">
        <f ca="1">_xll.FDS("GBPUSD","FG_PRICE("&amp;B482&amp;")")</f>
        <v>#NAME?</v>
      </c>
      <c r="E482" t="e">
        <f ca="1">_xll.FDSB("JPYUSD","FG_PRICE("&amp;B482&amp;")")</f>
        <v>#NAME?</v>
      </c>
    </row>
    <row r="483" spans="2:5">
      <c r="B483" s="244">
        <f t="shared" si="49"/>
        <v>43946</v>
      </c>
      <c r="C483" s="245" t="e">
        <f ca="1">_xll.FDS("EURUSD","FG_PRICE("&amp;B483&amp;")")</f>
        <v>#NAME?</v>
      </c>
      <c r="D483" t="e">
        <f ca="1">_xll.FDS("GBPUSD","FG_PRICE("&amp;B483&amp;")")</f>
        <v>#NAME?</v>
      </c>
      <c r="E483" t="e">
        <f ca="1">_xll.FDSB("JPYUSD","FG_PRICE("&amp;B483&amp;")")</f>
        <v>#NAME?</v>
      </c>
    </row>
    <row r="484" spans="2:5">
      <c r="B484" s="244">
        <f t="shared" si="49"/>
        <v>43947</v>
      </c>
      <c r="C484" s="245" t="e">
        <f ca="1">_xll.FDS("EURUSD","FG_PRICE("&amp;B484&amp;")")</f>
        <v>#NAME?</v>
      </c>
      <c r="D484" t="e">
        <f ca="1">_xll.FDS("GBPUSD","FG_PRICE("&amp;B484&amp;")")</f>
        <v>#NAME?</v>
      </c>
      <c r="E484" t="e">
        <f ca="1">_xll.FDSB("JPYUSD","FG_PRICE("&amp;B484&amp;")")</f>
        <v>#NAME?</v>
      </c>
    </row>
    <row r="485" spans="2:5">
      <c r="B485" s="244">
        <f t="shared" si="49"/>
        <v>43948</v>
      </c>
      <c r="C485" s="245" t="e">
        <f ca="1">_xll.FDS("EURUSD","FG_PRICE("&amp;B485&amp;")")</f>
        <v>#NAME?</v>
      </c>
      <c r="D485" t="e">
        <f ca="1">_xll.FDS("GBPUSD","FG_PRICE("&amp;B485&amp;")")</f>
        <v>#NAME?</v>
      </c>
      <c r="E485" t="e">
        <f ca="1">_xll.FDSB("JPYUSD","FG_PRICE("&amp;B485&amp;")")</f>
        <v>#NAME?</v>
      </c>
    </row>
    <row r="486" spans="2:5">
      <c r="B486" s="244">
        <f t="shared" si="49"/>
        <v>43949</v>
      </c>
      <c r="C486" s="245" t="e">
        <f ca="1">_xll.FDS("EURUSD","FG_PRICE("&amp;B486&amp;")")</f>
        <v>#NAME?</v>
      </c>
      <c r="D486" t="e">
        <f ca="1">_xll.FDS("GBPUSD","FG_PRICE("&amp;B486&amp;")")</f>
        <v>#NAME?</v>
      </c>
      <c r="E486" t="e">
        <f ca="1">_xll.FDSB("JPYUSD","FG_PRICE("&amp;B486&amp;")")</f>
        <v>#NAME?</v>
      </c>
    </row>
    <row r="487" spans="2:5">
      <c r="B487" s="244">
        <f t="shared" si="49"/>
        <v>43950</v>
      </c>
      <c r="C487" s="245" t="e">
        <f ca="1">_xll.FDS("EURUSD","FG_PRICE("&amp;B487&amp;")")</f>
        <v>#NAME?</v>
      </c>
      <c r="D487" t="e">
        <f ca="1">_xll.FDS("GBPUSD","FG_PRICE("&amp;B487&amp;")")</f>
        <v>#NAME?</v>
      </c>
      <c r="E487" t="e">
        <f ca="1">_xll.FDSB("JPYUSD","FG_PRICE("&amp;B487&amp;")")</f>
        <v>#NAME?</v>
      </c>
    </row>
    <row r="488" spans="2:5">
      <c r="B488" s="244">
        <f t="shared" si="49"/>
        <v>43951</v>
      </c>
      <c r="C488" s="245" t="e">
        <f ca="1">_xll.FDS("EURUSD","FG_PRICE("&amp;B488&amp;")")</f>
        <v>#NAME?</v>
      </c>
      <c r="D488" t="e">
        <f ca="1">_xll.FDS("GBPUSD","FG_PRICE("&amp;B488&amp;")")</f>
        <v>#NAME?</v>
      </c>
      <c r="E488" t="e">
        <f ca="1">_xll.FDSB("JPYUSD","FG_PRICE("&amp;B488&amp;")")</f>
        <v>#NAME?</v>
      </c>
    </row>
    <row r="489" spans="2:5">
      <c r="B489" s="244">
        <f t="shared" si="49"/>
        <v>43952</v>
      </c>
      <c r="C489" s="245" t="e">
        <f ca="1">_xll.FDS("EURUSD","FG_PRICE("&amp;B489&amp;")")</f>
        <v>#NAME?</v>
      </c>
      <c r="D489" t="e">
        <f ca="1">_xll.FDS("GBPUSD","FG_PRICE("&amp;B489&amp;")")</f>
        <v>#NAME?</v>
      </c>
      <c r="E489" t="e">
        <f ca="1">_xll.FDSB("JPYUSD","FG_PRICE("&amp;B489&amp;")")</f>
        <v>#NAME?</v>
      </c>
    </row>
    <row r="490" spans="2:5">
      <c r="B490" s="244">
        <f t="shared" si="49"/>
        <v>43953</v>
      </c>
      <c r="C490" s="245" t="e">
        <f ca="1">_xll.FDS("EURUSD","FG_PRICE("&amp;B490&amp;")")</f>
        <v>#NAME?</v>
      </c>
      <c r="D490" t="e">
        <f ca="1">_xll.FDS("GBPUSD","FG_PRICE("&amp;B490&amp;")")</f>
        <v>#NAME?</v>
      </c>
      <c r="E490" t="e">
        <f ca="1">_xll.FDSB("JPYUSD","FG_PRICE("&amp;B490&amp;")")</f>
        <v>#NAME?</v>
      </c>
    </row>
    <row r="491" spans="2:5">
      <c r="B491" s="244">
        <f t="shared" si="49"/>
        <v>43954</v>
      </c>
      <c r="C491" s="245" t="e">
        <f ca="1">_xll.FDS("EURUSD","FG_PRICE("&amp;B491&amp;")")</f>
        <v>#NAME?</v>
      </c>
      <c r="D491" t="e">
        <f ca="1">_xll.FDS("GBPUSD","FG_PRICE("&amp;B491&amp;")")</f>
        <v>#NAME?</v>
      </c>
      <c r="E491" t="e">
        <f ca="1">_xll.FDSB("JPYUSD","FG_PRICE("&amp;B491&amp;")")</f>
        <v>#NAME?</v>
      </c>
    </row>
    <row r="492" spans="2:5">
      <c r="B492" s="244">
        <f t="shared" si="49"/>
        <v>43955</v>
      </c>
      <c r="C492" s="245" t="e">
        <f ca="1">_xll.FDS("EURUSD","FG_PRICE("&amp;B492&amp;")")</f>
        <v>#NAME?</v>
      </c>
      <c r="D492" t="e">
        <f ca="1">_xll.FDS("GBPUSD","FG_PRICE("&amp;B492&amp;")")</f>
        <v>#NAME?</v>
      </c>
      <c r="E492" t="e">
        <f ca="1">_xll.FDSB("JPYUSD","FG_PRICE("&amp;B492&amp;")")</f>
        <v>#NAME?</v>
      </c>
    </row>
    <row r="493" spans="2:5">
      <c r="B493" s="244">
        <f t="shared" si="49"/>
        <v>43956</v>
      </c>
      <c r="C493" s="245" t="e">
        <f ca="1">_xll.FDS("EURUSD","FG_PRICE("&amp;B493&amp;")")</f>
        <v>#NAME?</v>
      </c>
      <c r="D493" t="e">
        <f ca="1">_xll.FDS("GBPUSD","FG_PRICE("&amp;B493&amp;")")</f>
        <v>#NAME?</v>
      </c>
      <c r="E493" t="e">
        <f ca="1">_xll.FDSB("JPYUSD","FG_PRICE("&amp;B493&amp;")")</f>
        <v>#NAME?</v>
      </c>
    </row>
    <row r="494" spans="2:5">
      <c r="B494" s="244">
        <f t="shared" si="49"/>
        <v>43957</v>
      </c>
      <c r="C494" s="245" t="e">
        <f ca="1">_xll.FDS("EURUSD","FG_PRICE("&amp;B494&amp;")")</f>
        <v>#NAME?</v>
      </c>
      <c r="D494" t="e">
        <f ca="1">_xll.FDS("GBPUSD","FG_PRICE("&amp;B494&amp;")")</f>
        <v>#NAME?</v>
      </c>
      <c r="E494" t="e">
        <f ca="1">_xll.FDSB("JPYUSD","FG_PRICE("&amp;B494&amp;")")</f>
        <v>#NAME?</v>
      </c>
    </row>
    <row r="495" spans="2:5">
      <c r="B495" s="244">
        <f t="shared" si="49"/>
        <v>43958</v>
      </c>
      <c r="C495" s="245" t="e">
        <f ca="1">_xll.FDS("EURUSD","FG_PRICE("&amp;B495&amp;")")</f>
        <v>#NAME?</v>
      </c>
      <c r="D495" t="e">
        <f ca="1">_xll.FDS("GBPUSD","FG_PRICE("&amp;B495&amp;")")</f>
        <v>#NAME?</v>
      </c>
      <c r="E495" t="e">
        <f ca="1">_xll.FDSB("JPYUSD","FG_PRICE("&amp;B495&amp;")")</f>
        <v>#NAME?</v>
      </c>
    </row>
    <row r="496" spans="2:5">
      <c r="B496" s="244">
        <f t="shared" si="49"/>
        <v>43959</v>
      </c>
      <c r="C496" s="245" t="e">
        <f ca="1">_xll.FDS("EURUSD","FG_PRICE("&amp;B496&amp;")")</f>
        <v>#NAME?</v>
      </c>
      <c r="D496" t="e">
        <f ca="1">_xll.FDS("GBPUSD","FG_PRICE("&amp;B496&amp;")")</f>
        <v>#NAME?</v>
      </c>
      <c r="E496" t="e">
        <f ca="1">_xll.FDSB("JPYUSD","FG_PRICE("&amp;B496&amp;")")</f>
        <v>#NAME?</v>
      </c>
    </row>
    <row r="497" spans="2:5">
      <c r="B497" s="244">
        <f t="shared" si="49"/>
        <v>43960</v>
      </c>
      <c r="C497" s="245" t="e">
        <f ca="1">_xll.FDS("EURUSD","FG_PRICE("&amp;B497&amp;")")</f>
        <v>#NAME?</v>
      </c>
      <c r="D497" t="e">
        <f ca="1">_xll.FDS("GBPUSD","FG_PRICE("&amp;B497&amp;")")</f>
        <v>#NAME?</v>
      </c>
      <c r="E497" t="e">
        <f ca="1">_xll.FDSB("JPYUSD","FG_PRICE("&amp;B497&amp;")")</f>
        <v>#NAME?</v>
      </c>
    </row>
    <row r="498" spans="2:5">
      <c r="B498" s="244">
        <f t="shared" si="49"/>
        <v>43961</v>
      </c>
      <c r="C498" s="245" t="e">
        <f ca="1">_xll.FDS("EURUSD","FG_PRICE("&amp;B498&amp;")")</f>
        <v>#NAME?</v>
      </c>
      <c r="D498" t="e">
        <f ca="1">_xll.FDS("GBPUSD","FG_PRICE("&amp;B498&amp;")")</f>
        <v>#NAME?</v>
      </c>
      <c r="E498" t="e">
        <f ca="1">_xll.FDSB("JPYUSD","FG_PRICE("&amp;B498&amp;")")</f>
        <v>#NAME?</v>
      </c>
    </row>
    <row r="499" spans="2:5">
      <c r="B499" s="244">
        <f t="shared" si="49"/>
        <v>43962</v>
      </c>
      <c r="C499" s="245" t="e">
        <f ca="1">_xll.FDS("EURUSD","FG_PRICE("&amp;B499&amp;")")</f>
        <v>#NAME?</v>
      </c>
      <c r="D499" t="e">
        <f ca="1">_xll.FDS("GBPUSD","FG_PRICE("&amp;B499&amp;")")</f>
        <v>#NAME?</v>
      </c>
      <c r="E499" t="e">
        <f ca="1">_xll.FDSB("JPYUSD","FG_PRICE("&amp;B499&amp;")")</f>
        <v>#NAME?</v>
      </c>
    </row>
    <row r="500" spans="2:5">
      <c r="B500" s="244">
        <f t="shared" si="49"/>
        <v>43963</v>
      </c>
      <c r="C500" s="245" t="e">
        <f ca="1">_xll.FDS("EURUSD","FG_PRICE("&amp;B500&amp;")")</f>
        <v>#NAME?</v>
      </c>
      <c r="D500" t="e">
        <f ca="1">_xll.FDS("GBPUSD","FG_PRICE("&amp;B500&amp;")")</f>
        <v>#NAME?</v>
      </c>
      <c r="E500" t="e">
        <f ca="1">_xll.FDSB("JPYUSD","FG_PRICE("&amp;B500&amp;")")</f>
        <v>#NAME?</v>
      </c>
    </row>
    <row r="501" spans="2:5">
      <c r="B501" s="244">
        <f t="shared" si="49"/>
        <v>43964</v>
      </c>
      <c r="C501" s="245" t="e">
        <f ca="1">_xll.FDS("EURUSD","FG_PRICE("&amp;B501&amp;")")</f>
        <v>#NAME?</v>
      </c>
      <c r="D501" t="e">
        <f ca="1">_xll.FDS("GBPUSD","FG_PRICE("&amp;B501&amp;")")</f>
        <v>#NAME?</v>
      </c>
      <c r="E501" t="e">
        <f ca="1">_xll.FDSB("JPYUSD","FG_PRICE("&amp;B501&amp;")")</f>
        <v>#NAME?</v>
      </c>
    </row>
    <row r="502" spans="2:5">
      <c r="B502" s="244">
        <f t="shared" si="49"/>
        <v>43965</v>
      </c>
      <c r="C502" s="245" t="e">
        <f ca="1">_xll.FDS("EURUSD","FG_PRICE("&amp;B502&amp;")")</f>
        <v>#NAME?</v>
      </c>
      <c r="D502" t="e">
        <f ca="1">_xll.FDS("GBPUSD","FG_PRICE("&amp;B502&amp;")")</f>
        <v>#NAME?</v>
      </c>
      <c r="E502" t="e">
        <f ca="1">_xll.FDSB("JPYUSD","FG_PRICE("&amp;B502&amp;")")</f>
        <v>#NAME?</v>
      </c>
    </row>
    <row r="503" spans="2:5">
      <c r="B503" s="244">
        <f t="shared" si="49"/>
        <v>43966</v>
      </c>
      <c r="C503" s="245" t="e">
        <f ca="1">_xll.FDS("EURUSD","FG_PRICE("&amp;B503&amp;")")</f>
        <v>#NAME?</v>
      </c>
      <c r="D503" t="e">
        <f ca="1">_xll.FDS("GBPUSD","FG_PRICE("&amp;B503&amp;")")</f>
        <v>#NAME?</v>
      </c>
      <c r="E503" t="e">
        <f ca="1">_xll.FDSB("JPYUSD","FG_PRICE("&amp;B503&amp;")")</f>
        <v>#NAME?</v>
      </c>
    </row>
    <row r="504" spans="2:5">
      <c r="B504" s="244">
        <f t="shared" si="49"/>
        <v>43967</v>
      </c>
      <c r="C504" s="245" t="e">
        <f ca="1">_xll.FDS("EURUSD","FG_PRICE("&amp;B504&amp;")")</f>
        <v>#NAME?</v>
      </c>
      <c r="D504" t="e">
        <f ca="1">_xll.FDS("GBPUSD","FG_PRICE("&amp;B504&amp;")")</f>
        <v>#NAME?</v>
      </c>
      <c r="E504" t="e">
        <f ca="1">_xll.FDSB("JPYUSD","FG_PRICE("&amp;B504&amp;")")</f>
        <v>#NAME?</v>
      </c>
    </row>
    <row r="505" spans="2:5">
      <c r="B505" s="244">
        <f t="shared" si="49"/>
        <v>43968</v>
      </c>
      <c r="C505" s="245" t="e">
        <f ca="1">_xll.FDS("EURUSD","FG_PRICE("&amp;B505&amp;")")</f>
        <v>#NAME?</v>
      </c>
      <c r="D505" t="e">
        <f ca="1">_xll.FDS("GBPUSD","FG_PRICE("&amp;B505&amp;")")</f>
        <v>#NAME?</v>
      </c>
      <c r="E505" t="e">
        <f ca="1">_xll.FDSB("JPYUSD","FG_PRICE("&amp;B505&amp;")")</f>
        <v>#NAME?</v>
      </c>
    </row>
    <row r="506" spans="2:5">
      <c r="B506" s="244">
        <f t="shared" si="49"/>
        <v>43969</v>
      </c>
      <c r="C506" s="245" t="e">
        <f ca="1">_xll.FDS("EURUSD","FG_PRICE("&amp;B506&amp;")")</f>
        <v>#NAME?</v>
      </c>
      <c r="D506" t="e">
        <f ca="1">_xll.FDS("GBPUSD","FG_PRICE("&amp;B506&amp;")")</f>
        <v>#NAME?</v>
      </c>
      <c r="E506" t="e">
        <f ca="1">_xll.FDSB("JPYUSD","FG_PRICE("&amp;B506&amp;")")</f>
        <v>#NAME?</v>
      </c>
    </row>
    <row r="507" spans="2:5">
      <c r="B507" s="244">
        <f t="shared" si="49"/>
        <v>43970</v>
      </c>
      <c r="C507" s="245" t="e">
        <f ca="1">_xll.FDS("EURUSD","FG_PRICE("&amp;B507&amp;")")</f>
        <v>#NAME?</v>
      </c>
      <c r="D507" t="e">
        <f ca="1">_xll.FDS("GBPUSD","FG_PRICE("&amp;B507&amp;")")</f>
        <v>#NAME?</v>
      </c>
      <c r="E507" t="e">
        <f ca="1">_xll.FDSB("JPYUSD","FG_PRICE("&amp;B507&amp;")")</f>
        <v>#NAME?</v>
      </c>
    </row>
    <row r="508" spans="2:5">
      <c r="B508" s="244">
        <f t="shared" si="49"/>
        <v>43971</v>
      </c>
      <c r="C508" s="245" t="e">
        <f ca="1">_xll.FDS("EURUSD","FG_PRICE("&amp;B508&amp;")")</f>
        <v>#NAME?</v>
      </c>
      <c r="D508" t="e">
        <f ca="1">_xll.FDS("GBPUSD","FG_PRICE("&amp;B508&amp;")")</f>
        <v>#NAME?</v>
      </c>
      <c r="E508" t="e">
        <f ca="1">_xll.FDSB("JPYUSD","FG_PRICE("&amp;B508&amp;")")</f>
        <v>#NAME?</v>
      </c>
    </row>
    <row r="509" spans="2:5">
      <c r="B509" s="244">
        <f t="shared" si="49"/>
        <v>43972</v>
      </c>
      <c r="C509" s="245" t="e">
        <f ca="1">_xll.FDS("EURUSD","FG_PRICE("&amp;B509&amp;")")</f>
        <v>#NAME?</v>
      </c>
      <c r="D509" t="e">
        <f ca="1">_xll.FDS("GBPUSD","FG_PRICE("&amp;B509&amp;")")</f>
        <v>#NAME?</v>
      </c>
      <c r="E509" t="e">
        <f ca="1">_xll.FDSB("JPYUSD","FG_PRICE("&amp;B509&amp;")")</f>
        <v>#NAME?</v>
      </c>
    </row>
    <row r="510" spans="2:5">
      <c r="B510" s="244">
        <f t="shared" si="49"/>
        <v>43973</v>
      </c>
      <c r="C510" s="245" t="e">
        <f ca="1">_xll.FDS("EURUSD","FG_PRICE("&amp;B510&amp;")")</f>
        <v>#NAME?</v>
      </c>
      <c r="D510" t="e">
        <f ca="1">_xll.FDS("GBPUSD","FG_PRICE("&amp;B510&amp;")")</f>
        <v>#NAME?</v>
      </c>
      <c r="E510" t="e">
        <f ca="1">_xll.FDSB("JPYUSD","FG_PRICE("&amp;B510&amp;")")</f>
        <v>#NAME?</v>
      </c>
    </row>
    <row r="511" spans="2:5">
      <c r="B511" s="244">
        <f t="shared" si="49"/>
        <v>43974</v>
      </c>
      <c r="C511" s="245" t="e">
        <f ca="1">_xll.FDS("EURUSD","FG_PRICE("&amp;B511&amp;")")</f>
        <v>#NAME?</v>
      </c>
      <c r="D511" t="e">
        <f ca="1">_xll.FDS("GBPUSD","FG_PRICE("&amp;B511&amp;")")</f>
        <v>#NAME?</v>
      </c>
      <c r="E511" t="e">
        <f ca="1">_xll.FDSB("JPYUSD","FG_PRICE("&amp;B511&amp;")")</f>
        <v>#NAME?</v>
      </c>
    </row>
    <row r="512" spans="2:5">
      <c r="B512" s="244">
        <f t="shared" si="49"/>
        <v>43975</v>
      </c>
      <c r="C512" s="245" t="e">
        <f ca="1">_xll.FDS("EURUSD","FG_PRICE("&amp;B512&amp;")")</f>
        <v>#NAME?</v>
      </c>
      <c r="D512" t="e">
        <f ca="1">_xll.FDS("GBPUSD","FG_PRICE("&amp;B512&amp;")")</f>
        <v>#NAME?</v>
      </c>
      <c r="E512" t="e">
        <f ca="1">_xll.FDSB("JPYUSD","FG_PRICE("&amp;B512&amp;")")</f>
        <v>#NAME?</v>
      </c>
    </row>
    <row r="513" spans="2:5">
      <c r="B513" s="244">
        <f t="shared" si="49"/>
        <v>43976</v>
      </c>
      <c r="C513" s="245" t="e">
        <f ca="1">_xll.FDS("EURUSD","FG_PRICE("&amp;B513&amp;")")</f>
        <v>#NAME?</v>
      </c>
      <c r="D513" t="e">
        <f ca="1">_xll.FDS("GBPUSD","FG_PRICE("&amp;B513&amp;")")</f>
        <v>#NAME?</v>
      </c>
      <c r="E513" t="e">
        <f ca="1">_xll.FDSB("JPYUSD","FG_PRICE("&amp;B513&amp;")")</f>
        <v>#NAME?</v>
      </c>
    </row>
    <row r="514" spans="2:5">
      <c r="B514" s="244">
        <f t="shared" si="49"/>
        <v>43977</v>
      </c>
      <c r="C514" s="245" t="e">
        <f ca="1">_xll.FDS("EURUSD","FG_PRICE("&amp;B514&amp;")")</f>
        <v>#NAME?</v>
      </c>
      <c r="D514" t="e">
        <f ca="1">_xll.FDS("GBPUSD","FG_PRICE("&amp;B514&amp;")")</f>
        <v>#NAME?</v>
      </c>
      <c r="E514" t="e">
        <f ca="1">_xll.FDSB("JPYUSD","FG_PRICE("&amp;B514&amp;")")</f>
        <v>#NAME?</v>
      </c>
    </row>
    <row r="515" spans="2:5">
      <c r="B515" s="244">
        <f t="shared" si="49"/>
        <v>43978</v>
      </c>
      <c r="C515" s="245" t="e">
        <f ca="1">_xll.FDS("EURUSD","FG_PRICE("&amp;B515&amp;")")</f>
        <v>#NAME?</v>
      </c>
      <c r="D515" t="e">
        <f ca="1">_xll.FDS("GBPUSD","FG_PRICE("&amp;B515&amp;")")</f>
        <v>#NAME?</v>
      </c>
      <c r="E515" t="e">
        <f ca="1">_xll.FDSB("JPYUSD","FG_PRICE("&amp;B515&amp;")")</f>
        <v>#NAME?</v>
      </c>
    </row>
    <row r="516" spans="2:5">
      <c r="B516" s="244">
        <f t="shared" si="49"/>
        <v>43979</v>
      </c>
      <c r="C516" s="245" t="e">
        <f ca="1">_xll.FDS("EURUSD","FG_PRICE("&amp;B516&amp;")")</f>
        <v>#NAME?</v>
      </c>
      <c r="D516" t="e">
        <f ca="1">_xll.FDS("GBPUSD","FG_PRICE("&amp;B516&amp;")")</f>
        <v>#NAME?</v>
      </c>
      <c r="E516" t="e">
        <f ca="1">_xll.FDSB("JPYUSD","FG_PRICE("&amp;B516&amp;")")</f>
        <v>#NAME?</v>
      </c>
    </row>
    <row r="517" spans="2:5">
      <c r="B517" s="244">
        <f t="shared" ref="B517:B580" si="50">B516+1</f>
        <v>43980</v>
      </c>
      <c r="C517" s="245" t="e">
        <f ca="1">_xll.FDS("EURUSD","FG_PRICE("&amp;B517&amp;")")</f>
        <v>#NAME?</v>
      </c>
      <c r="D517" t="e">
        <f ca="1">_xll.FDS("GBPUSD","FG_PRICE("&amp;B517&amp;")")</f>
        <v>#NAME?</v>
      </c>
      <c r="E517" t="e">
        <f ca="1">_xll.FDSB("JPYUSD","FG_PRICE("&amp;B517&amp;")")</f>
        <v>#NAME?</v>
      </c>
    </row>
    <row r="518" spans="2:5">
      <c r="B518" s="244">
        <f t="shared" si="50"/>
        <v>43981</v>
      </c>
      <c r="C518" s="245" t="e">
        <f ca="1">_xll.FDS("EURUSD","FG_PRICE("&amp;B518&amp;")")</f>
        <v>#NAME?</v>
      </c>
      <c r="D518" t="e">
        <f ca="1">_xll.FDS("GBPUSD","FG_PRICE("&amp;B518&amp;")")</f>
        <v>#NAME?</v>
      </c>
      <c r="E518" t="e">
        <f ca="1">_xll.FDSB("JPYUSD","FG_PRICE("&amp;B518&amp;")")</f>
        <v>#NAME?</v>
      </c>
    </row>
    <row r="519" spans="2:5">
      <c r="B519" s="244">
        <f t="shared" si="50"/>
        <v>43982</v>
      </c>
      <c r="C519" s="245" t="e">
        <f ca="1">_xll.FDS("EURUSD","FG_PRICE("&amp;B519&amp;")")</f>
        <v>#NAME?</v>
      </c>
      <c r="D519" t="e">
        <f ca="1">_xll.FDS("GBPUSD","FG_PRICE("&amp;B519&amp;")")</f>
        <v>#NAME?</v>
      </c>
      <c r="E519" t="e">
        <f ca="1">_xll.FDSB("JPYUSD","FG_PRICE("&amp;B519&amp;")")</f>
        <v>#NAME?</v>
      </c>
    </row>
    <row r="520" spans="2:5">
      <c r="B520" s="244">
        <f t="shared" si="50"/>
        <v>43983</v>
      </c>
      <c r="C520" s="245" t="e">
        <f ca="1">_xll.FDS("EURUSD","FG_PRICE("&amp;B520&amp;")")</f>
        <v>#NAME?</v>
      </c>
      <c r="D520" t="e">
        <f ca="1">_xll.FDS("GBPUSD","FG_PRICE("&amp;B520&amp;")")</f>
        <v>#NAME?</v>
      </c>
      <c r="E520" t="e">
        <f ca="1">_xll.FDSB("JPYUSD","FG_PRICE("&amp;B520&amp;")")</f>
        <v>#NAME?</v>
      </c>
    </row>
    <row r="521" spans="2:5">
      <c r="B521" s="244">
        <f t="shared" si="50"/>
        <v>43984</v>
      </c>
      <c r="C521" s="245" t="e">
        <f ca="1">_xll.FDS("EURUSD","FG_PRICE("&amp;B521&amp;")")</f>
        <v>#NAME?</v>
      </c>
      <c r="D521" t="e">
        <f ca="1">_xll.FDS("GBPUSD","FG_PRICE("&amp;B521&amp;")")</f>
        <v>#NAME?</v>
      </c>
      <c r="E521" t="e">
        <f ca="1">_xll.FDSB("JPYUSD","FG_PRICE("&amp;B521&amp;")")</f>
        <v>#NAME?</v>
      </c>
    </row>
    <row r="522" spans="2:5">
      <c r="B522" s="244">
        <f t="shared" si="50"/>
        <v>43985</v>
      </c>
      <c r="C522" s="245" t="e">
        <f ca="1">_xll.FDS("EURUSD","FG_PRICE("&amp;B522&amp;")")</f>
        <v>#NAME?</v>
      </c>
      <c r="D522" t="e">
        <f ca="1">_xll.FDS("GBPUSD","FG_PRICE("&amp;B522&amp;")")</f>
        <v>#NAME?</v>
      </c>
      <c r="E522" t="e">
        <f ca="1">_xll.FDSB("JPYUSD","FG_PRICE("&amp;B522&amp;")")</f>
        <v>#NAME?</v>
      </c>
    </row>
    <row r="523" spans="2:5">
      <c r="B523" s="244">
        <f t="shared" si="50"/>
        <v>43986</v>
      </c>
      <c r="C523" s="245" t="e">
        <f ca="1">_xll.FDS("EURUSD","FG_PRICE("&amp;B523&amp;")")</f>
        <v>#NAME?</v>
      </c>
      <c r="D523" t="e">
        <f ca="1">_xll.FDS("GBPUSD","FG_PRICE("&amp;B523&amp;")")</f>
        <v>#NAME?</v>
      </c>
      <c r="E523" t="e">
        <f ca="1">_xll.FDSB("JPYUSD","FG_PRICE("&amp;B523&amp;")")</f>
        <v>#NAME?</v>
      </c>
    </row>
    <row r="524" spans="2:5">
      <c r="B524" s="244">
        <f t="shared" si="50"/>
        <v>43987</v>
      </c>
      <c r="C524" s="245" t="e">
        <f ca="1">_xll.FDS("EURUSD","FG_PRICE("&amp;B524&amp;")")</f>
        <v>#NAME?</v>
      </c>
      <c r="D524" t="e">
        <f ca="1">_xll.FDS("GBPUSD","FG_PRICE("&amp;B524&amp;")")</f>
        <v>#NAME?</v>
      </c>
      <c r="E524" t="e">
        <f ca="1">_xll.FDSB("JPYUSD","FG_PRICE("&amp;B524&amp;")")</f>
        <v>#NAME?</v>
      </c>
    </row>
    <row r="525" spans="2:5">
      <c r="B525" s="244">
        <f t="shared" si="50"/>
        <v>43988</v>
      </c>
      <c r="C525" s="245" t="e">
        <f ca="1">_xll.FDS("EURUSD","FG_PRICE("&amp;B525&amp;")")</f>
        <v>#NAME?</v>
      </c>
      <c r="D525" t="e">
        <f ca="1">_xll.FDS("GBPUSD","FG_PRICE("&amp;B525&amp;")")</f>
        <v>#NAME?</v>
      </c>
      <c r="E525" t="e">
        <f ca="1">_xll.FDSB("JPYUSD","FG_PRICE("&amp;B525&amp;")")</f>
        <v>#NAME?</v>
      </c>
    </row>
    <row r="526" spans="2:5">
      <c r="B526" s="244">
        <f t="shared" si="50"/>
        <v>43989</v>
      </c>
      <c r="C526" s="245" t="e">
        <f ca="1">_xll.FDS("EURUSD","FG_PRICE("&amp;B526&amp;")")</f>
        <v>#NAME?</v>
      </c>
      <c r="D526" t="e">
        <f ca="1">_xll.FDS("GBPUSD","FG_PRICE("&amp;B526&amp;")")</f>
        <v>#NAME?</v>
      </c>
      <c r="E526" t="e">
        <f ca="1">_xll.FDSB("JPYUSD","FG_PRICE("&amp;B526&amp;")")</f>
        <v>#NAME?</v>
      </c>
    </row>
    <row r="527" spans="2:5">
      <c r="B527" s="244">
        <f t="shared" si="50"/>
        <v>43990</v>
      </c>
      <c r="C527" s="245" t="e">
        <f ca="1">_xll.FDS("EURUSD","FG_PRICE("&amp;B527&amp;")")</f>
        <v>#NAME?</v>
      </c>
      <c r="D527" t="e">
        <f ca="1">_xll.FDS("GBPUSD","FG_PRICE("&amp;B527&amp;")")</f>
        <v>#NAME?</v>
      </c>
      <c r="E527" t="e">
        <f ca="1">_xll.FDSB("JPYUSD","FG_PRICE("&amp;B527&amp;")")</f>
        <v>#NAME?</v>
      </c>
    </row>
    <row r="528" spans="2:5">
      <c r="B528" s="244">
        <f t="shared" si="50"/>
        <v>43991</v>
      </c>
      <c r="C528" s="245" t="e">
        <f ca="1">_xll.FDS("EURUSD","FG_PRICE("&amp;B528&amp;")")</f>
        <v>#NAME?</v>
      </c>
      <c r="D528" t="e">
        <f ca="1">_xll.FDS("GBPUSD","FG_PRICE("&amp;B528&amp;")")</f>
        <v>#NAME?</v>
      </c>
      <c r="E528" t="e">
        <f ca="1">_xll.FDSB("JPYUSD","FG_PRICE("&amp;B528&amp;")")</f>
        <v>#NAME?</v>
      </c>
    </row>
    <row r="529" spans="2:5">
      <c r="B529" s="244">
        <f t="shared" si="50"/>
        <v>43992</v>
      </c>
      <c r="C529" s="245" t="e">
        <f ca="1">_xll.FDS("EURUSD","FG_PRICE("&amp;B529&amp;")")</f>
        <v>#NAME?</v>
      </c>
      <c r="D529" t="e">
        <f ca="1">_xll.FDS("GBPUSD","FG_PRICE("&amp;B529&amp;")")</f>
        <v>#NAME?</v>
      </c>
      <c r="E529" t="e">
        <f ca="1">_xll.FDSB("JPYUSD","FG_PRICE("&amp;B529&amp;")")</f>
        <v>#NAME?</v>
      </c>
    </row>
    <row r="530" spans="2:5">
      <c r="B530" s="244">
        <f t="shared" si="50"/>
        <v>43993</v>
      </c>
      <c r="C530" s="245" t="e">
        <f ca="1">_xll.FDS("EURUSD","FG_PRICE("&amp;B530&amp;")")</f>
        <v>#NAME?</v>
      </c>
      <c r="D530" t="e">
        <f ca="1">_xll.FDS("GBPUSD","FG_PRICE("&amp;B530&amp;")")</f>
        <v>#NAME?</v>
      </c>
      <c r="E530" t="e">
        <f ca="1">_xll.FDSB("JPYUSD","FG_PRICE("&amp;B530&amp;")")</f>
        <v>#NAME?</v>
      </c>
    </row>
    <row r="531" spans="2:5">
      <c r="B531" s="244">
        <f t="shared" si="50"/>
        <v>43994</v>
      </c>
      <c r="C531" s="245" t="e">
        <f ca="1">_xll.FDS("EURUSD","FG_PRICE("&amp;B531&amp;")")</f>
        <v>#NAME?</v>
      </c>
      <c r="D531" t="e">
        <f ca="1">_xll.FDS("GBPUSD","FG_PRICE("&amp;B531&amp;")")</f>
        <v>#NAME?</v>
      </c>
      <c r="E531" t="e">
        <f ca="1">_xll.FDSB("JPYUSD","FG_PRICE("&amp;B531&amp;")")</f>
        <v>#NAME?</v>
      </c>
    </row>
    <row r="532" spans="2:5">
      <c r="B532" s="244">
        <f t="shared" si="50"/>
        <v>43995</v>
      </c>
      <c r="C532" s="245" t="e">
        <f ca="1">_xll.FDS("EURUSD","FG_PRICE("&amp;B532&amp;")")</f>
        <v>#NAME?</v>
      </c>
      <c r="D532" t="e">
        <f ca="1">_xll.FDS("GBPUSD","FG_PRICE("&amp;B532&amp;")")</f>
        <v>#NAME?</v>
      </c>
      <c r="E532" t="e">
        <f ca="1">_xll.FDSB("JPYUSD","FG_PRICE("&amp;B532&amp;")")</f>
        <v>#NAME?</v>
      </c>
    </row>
    <row r="533" spans="2:5">
      <c r="B533" s="244">
        <f t="shared" si="50"/>
        <v>43996</v>
      </c>
      <c r="C533" s="245" t="e">
        <f ca="1">_xll.FDS("EURUSD","FG_PRICE("&amp;B533&amp;")")</f>
        <v>#NAME?</v>
      </c>
      <c r="D533" t="e">
        <f ca="1">_xll.FDS("GBPUSD","FG_PRICE("&amp;B533&amp;")")</f>
        <v>#NAME?</v>
      </c>
      <c r="E533" t="e">
        <f ca="1">_xll.FDSB("JPYUSD","FG_PRICE("&amp;B533&amp;")")</f>
        <v>#NAME?</v>
      </c>
    </row>
    <row r="534" spans="2:5">
      <c r="B534" s="244">
        <f t="shared" si="50"/>
        <v>43997</v>
      </c>
      <c r="C534" s="245" t="e">
        <f ca="1">_xll.FDS("EURUSD","FG_PRICE("&amp;B534&amp;")")</f>
        <v>#NAME?</v>
      </c>
      <c r="D534" t="e">
        <f ca="1">_xll.FDS("GBPUSD","FG_PRICE("&amp;B534&amp;")")</f>
        <v>#NAME?</v>
      </c>
      <c r="E534" t="e">
        <f ca="1">_xll.FDSB("JPYUSD","FG_PRICE("&amp;B534&amp;")")</f>
        <v>#NAME?</v>
      </c>
    </row>
    <row r="535" spans="2:5">
      <c r="B535" s="244">
        <f t="shared" si="50"/>
        <v>43998</v>
      </c>
      <c r="C535" s="245" t="e">
        <f ca="1">_xll.FDS("EURUSD","FG_PRICE("&amp;B535&amp;")")</f>
        <v>#NAME?</v>
      </c>
      <c r="D535" t="e">
        <f ca="1">_xll.FDS("GBPUSD","FG_PRICE("&amp;B535&amp;")")</f>
        <v>#NAME?</v>
      </c>
      <c r="E535" t="e">
        <f ca="1">_xll.FDSB("JPYUSD","FG_PRICE("&amp;B535&amp;")")</f>
        <v>#NAME?</v>
      </c>
    </row>
    <row r="536" spans="2:5">
      <c r="B536" s="244">
        <f t="shared" si="50"/>
        <v>43999</v>
      </c>
      <c r="C536" s="245" t="e">
        <f ca="1">_xll.FDS("EURUSD","FG_PRICE("&amp;B536&amp;")")</f>
        <v>#NAME?</v>
      </c>
      <c r="D536" t="e">
        <f ca="1">_xll.FDS("GBPUSD","FG_PRICE("&amp;B536&amp;")")</f>
        <v>#NAME?</v>
      </c>
      <c r="E536" t="e">
        <f ca="1">_xll.FDSB("JPYUSD","FG_PRICE("&amp;B536&amp;")")</f>
        <v>#NAME?</v>
      </c>
    </row>
    <row r="537" spans="2:5">
      <c r="B537" s="244">
        <f t="shared" si="50"/>
        <v>44000</v>
      </c>
      <c r="C537" s="245" t="e">
        <f ca="1">_xll.FDS("EURUSD","FG_PRICE("&amp;B537&amp;")")</f>
        <v>#NAME?</v>
      </c>
      <c r="D537" t="e">
        <f ca="1">_xll.FDS("GBPUSD","FG_PRICE("&amp;B537&amp;")")</f>
        <v>#NAME?</v>
      </c>
      <c r="E537" t="e">
        <f ca="1">_xll.FDSB("JPYUSD","FG_PRICE("&amp;B537&amp;")")</f>
        <v>#NAME?</v>
      </c>
    </row>
    <row r="538" spans="2:5">
      <c r="B538" s="244">
        <f t="shared" si="50"/>
        <v>44001</v>
      </c>
      <c r="C538" s="245" t="e">
        <f ca="1">_xll.FDS("EURUSD","FG_PRICE("&amp;B538&amp;")")</f>
        <v>#NAME?</v>
      </c>
      <c r="D538" t="e">
        <f ca="1">_xll.FDS("GBPUSD","FG_PRICE("&amp;B538&amp;")")</f>
        <v>#NAME?</v>
      </c>
      <c r="E538" t="e">
        <f ca="1">_xll.FDSB("JPYUSD","FG_PRICE("&amp;B538&amp;")")</f>
        <v>#NAME?</v>
      </c>
    </row>
    <row r="539" spans="2:5">
      <c r="B539" s="244">
        <f t="shared" si="50"/>
        <v>44002</v>
      </c>
      <c r="C539" s="245" t="e">
        <f ca="1">_xll.FDS("EURUSD","FG_PRICE("&amp;B539&amp;")")</f>
        <v>#NAME?</v>
      </c>
      <c r="D539" t="e">
        <f ca="1">_xll.FDS("GBPUSD","FG_PRICE("&amp;B539&amp;")")</f>
        <v>#NAME?</v>
      </c>
      <c r="E539" t="e">
        <f ca="1">_xll.FDSB("JPYUSD","FG_PRICE("&amp;B539&amp;")")</f>
        <v>#NAME?</v>
      </c>
    </row>
    <row r="540" spans="2:5">
      <c r="B540" s="244">
        <f t="shared" si="50"/>
        <v>44003</v>
      </c>
      <c r="C540" s="245" t="e">
        <f ca="1">_xll.FDS("EURUSD","FG_PRICE("&amp;B540&amp;")")</f>
        <v>#NAME?</v>
      </c>
      <c r="D540" t="e">
        <f ca="1">_xll.FDS("GBPUSD","FG_PRICE("&amp;B540&amp;")")</f>
        <v>#NAME?</v>
      </c>
      <c r="E540" t="e">
        <f ca="1">_xll.FDSB("JPYUSD","FG_PRICE("&amp;B540&amp;")")</f>
        <v>#NAME?</v>
      </c>
    </row>
    <row r="541" spans="2:5">
      <c r="B541" s="244">
        <f t="shared" si="50"/>
        <v>44004</v>
      </c>
      <c r="C541" s="245" t="e">
        <f ca="1">_xll.FDS("EURUSD","FG_PRICE("&amp;B541&amp;")")</f>
        <v>#NAME?</v>
      </c>
      <c r="D541" t="e">
        <f ca="1">_xll.FDS("GBPUSD","FG_PRICE("&amp;B541&amp;")")</f>
        <v>#NAME?</v>
      </c>
      <c r="E541" t="e">
        <f ca="1">_xll.FDSB("JPYUSD","FG_PRICE("&amp;B541&amp;")")</f>
        <v>#NAME?</v>
      </c>
    </row>
    <row r="542" spans="2:5">
      <c r="B542" s="244">
        <f t="shared" si="50"/>
        <v>44005</v>
      </c>
      <c r="C542" s="245" t="e">
        <f ca="1">_xll.FDS("EURUSD","FG_PRICE("&amp;B542&amp;")")</f>
        <v>#NAME?</v>
      </c>
      <c r="D542" t="e">
        <f ca="1">_xll.FDS("GBPUSD","FG_PRICE("&amp;B542&amp;")")</f>
        <v>#NAME?</v>
      </c>
      <c r="E542" t="e">
        <f ca="1">_xll.FDSB("JPYUSD","FG_PRICE("&amp;B542&amp;")")</f>
        <v>#NAME?</v>
      </c>
    </row>
    <row r="543" spans="2:5">
      <c r="B543" s="244">
        <f t="shared" si="50"/>
        <v>44006</v>
      </c>
      <c r="C543" s="245" t="e">
        <f ca="1">_xll.FDS("EURUSD","FG_PRICE("&amp;B543&amp;")")</f>
        <v>#NAME?</v>
      </c>
      <c r="D543" t="e">
        <f ca="1">_xll.FDS("GBPUSD","FG_PRICE("&amp;B543&amp;")")</f>
        <v>#NAME?</v>
      </c>
      <c r="E543" t="e">
        <f ca="1">_xll.FDSB("JPYUSD","FG_PRICE("&amp;B543&amp;")")</f>
        <v>#NAME?</v>
      </c>
    </row>
    <row r="544" spans="2:5">
      <c r="B544" s="244">
        <f t="shared" si="50"/>
        <v>44007</v>
      </c>
      <c r="C544" s="245" t="e">
        <f ca="1">_xll.FDS("EURUSD","FG_PRICE("&amp;B544&amp;")")</f>
        <v>#NAME?</v>
      </c>
      <c r="D544" t="e">
        <f ca="1">_xll.FDS("GBPUSD","FG_PRICE("&amp;B544&amp;")")</f>
        <v>#NAME?</v>
      </c>
      <c r="E544" t="e">
        <f ca="1">_xll.FDSB("JPYUSD","FG_PRICE("&amp;B544&amp;")")</f>
        <v>#NAME?</v>
      </c>
    </row>
    <row r="545" spans="2:5">
      <c r="B545" s="244">
        <f t="shared" si="50"/>
        <v>44008</v>
      </c>
      <c r="C545" s="245" t="e">
        <f ca="1">_xll.FDS("EURUSD","FG_PRICE("&amp;B545&amp;")")</f>
        <v>#NAME?</v>
      </c>
      <c r="D545" t="e">
        <f ca="1">_xll.FDS("GBPUSD","FG_PRICE("&amp;B545&amp;")")</f>
        <v>#NAME?</v>
      </c>
      <c r="E545" t="e">
        <f ca="1">_xll.FDSB("JPYUSD","FG_PRICE("&amp;B545&amp;")")</f>
        <v>#NAME?</v>
      </c>
    </row>
    <row r="546" spans="2:5">
      <c r="B546" s="244">
        <f t="shared" si="50"/>
        <v>44009</v>
      </c>
      <c r="C546" s="245" t="e">
        <f ca="1">_xll.FDS("EURUSD","FG_PRICE("&amp;B546&amp;")")</f>
        <v>#NAME?</v>
      </c>
      <c r="D546" t="e">
        <f ca="1">_xll.FDS("GBPUSD","FG_PRICE("&amp;B546&amp;")")</f>
        <v>#NAME?</v>
      </c>
      <c r="E546" t="e">
        <f ca="1">_xll.FDSB("JPYUSD","FG_PRICE("&amp;B546&amp;")")</f>
        <v>#NAME?</v>
      </c>
    </row>
    <row r="547" spans="2:5">
      <c r="B547" s="244">
        <f t="shared" si="50"/>
        <v>44010</v>
      </c>
      <c r="C547" s="245" t="e">
        <f ca="1">_xll.FDS("EURUSD","FG_PRICE("&amp;B547&amp;")")</f>
        <v>#NAME?</v>
      </c>
      <c r="D547" t="e">
        <f ca="1">_xll.FDS("GBPUSD","FG_PRICE("&amp;B547&amp;")")</f>
        <v>#NAME?</v>
      </c>
      <c r="E547" t="e">
        <f ca="1">_xll.FDSB("JPYUSD","FG_PRICE("&amp;B547&amp;")")</f>
        <v>#NAME?</v>
      </c>
    </row>
    <row r="548" spans="2:5">
      <c r="B548" s="244">
        <f t="shared" si="50"/>
        <v>44011</v>
      </c>
      <c r="C548" s="245" t="e">
        <f ca="1">_xll.FDS("EURUSD","FG_PRICE("&amp;B548&amp;")")</f>
        <v>#NAME?</v>
      </c>
      <c r="D548" t="e">
        <f ca="1">_xll.FDS("GBPUSD","FG_PRICE("&amp;B548&amp;")")</f>
        <v>#NAME?</v>
      </c>
      <c r="E548" t="e">
        <f ca="1">_xll.FDSB("JPYUSD","FG_PRICE("&amp;B548&amp;")")</f>
        <v>#NAME?</v>
      </c>
    </row>
    <row r="549" spans="2:5">
      <c r="B549" s="244">
        <f t="shared" si="50"/>
        <v>44012</v>
      </c>
      <c r="C549" s="245" t="e">
        <f ca="1">_xll.FDS("EURUSD","FG_PRICE("&amp;B549&amp;")")</f>
        <v>#NAME?</v>
      </c>
      <c r="D549" t="e">
        <f ca="1">_xll.FDS("GBPUSD","FG_PRICE("&amp;B549&amp;")")</f>
        <v>#NAME?</v>
      </c>
      <c r="E549" t="e">
        <f ca="1">_xll.FDSB("JPYUSD","FG_PRICE("&amp;B549&amp;")")</f>
        <v>#NAME?</v>
      </c>
    </row>
    <row r="550" spans="2:5">
      <c r="B550" s="244">
        <f t="shared" si="50"/>
        <v>44013</v>
      </c>
      <c r="C550" s="245" t="e">
        <f ca="1">_xll.FDS("EURUSD","FG_PRICE("&amp;B550&amp;")")</f>
        <v>#NAME?</v>
      </c>
      <c r="D550" t="e">
        <f ca="1">_xll.FDS("GBPUSD","FG_PRICE("&amp;B550&amp;")")</f>
        <v>#NAME?</v>
      </c>
      <c r="E550" t="e">
        <f ca="1">_xll.FDSB("JPYUSD","FG_PRICE("&amp;B550&amp;")")</f>
        <v>#NAME?</v>
      </c>
    </row>
    <row r="551" spans="2:5">
      <c r="B551" s="244">
        <f t="shared" si="50"/>
        <v>44014</v>
      </c>
      <c r="C551" s="245" t="e">
        <f ca="1">_xll.FDS("EURUSD","FG_PRICE("&amp;B551&amp;")")</f>
        <v>#NAME?</v>
      </c>
      <c r="D551" t="e">
        <f ca="1">_xll.FDS("GBPUSD","FG_PRICE("&amp;B551&amp;")")</f>
        <v>#NAME?</v>
      </c>
      <c r="E551" t="e">
        <f ca="1">_xll.FDSB("JPYUSD","FG_PRICE("&amp;B551&amp;")")</f>
        <v>#NAME?</v>
      </c>
    </row>
    <row r="552" spans="2:5">
      <c r="B552" s="244">
        <f t="shared" si="50"/>
        <v>44015</v>
      </c>
      <c r="C552" s="245" t="e">
        <f ca="1">_xll.FDS("EURUSD","FG_PRICE("&amp;B552&amp;")")</f>
        <v>#NAME?</v>
      </c>
      <c r="D552" t="e">
        <f ca="1">_xll.FDS("GBPUSD","FG_PRICE("&amp;B552&amp;")")</f>
        <v>#NAME?</v>
      </c>
      <c r="E552" t="e">
        <f ca="1">_xll.FDSB("JPYUSD","FG_PRICE("&amp;B552&amp;")")</f>
        <v>#NAME?</v>
      </c>
    </row>
    <row r="553" spans="2:5">
      <c r="B553" s="244">
        <f t="shared" si="50"/>
        <v>44016</v>
      </c>
      <c r="C553" s="245" t="e">
        <f ca="1">_xll.FDS("EURUSD","FG_PRICE("&amp;B553&amp;")")</f>
        <v>#NAME?</v>
      </c>
      <c r="D553" t="e">
        <f ca="1">_xll.FDS("GBPUSD","FG_PRICE("&amp;B553&amp;")")</f>
        <v>#NAME?</v>
      </c>
      <c r="E553" t="e">
        <f ca="1">_xll.FDSB("JPYUSD","FG_PRICE("&amp;B553&amp;")")</f>
        <v>#NAME?</v>
      </c>
    </row>
    <row r="554" spans="2:5">
      <c r="B554" s="244">
        <f t="shared" si="50"/>
        <v>44017</v>
      </c>
      <c r="C554" s="245" t="e">
        <f ca="1">_xll.FDS("EURUSD","FG_PRICE("&amp;B554&amp;")")</f>
        <v>#NAME?</v>
      </c>
      <c r="D554" t="e">
        <f ca="1">_xll.FDS("GBPUSD","FG_PRICE("&amp;B554&amp;")")</f>
        <v>#NAME?</v>
      </c>
      <c r="E554" t="e">
        <f ca="1">_xll.FDSB("JPYUSD","FG_PRICE("&amp;B554&amp;")")</f>
        <v>#NAME?</v>
      </c>
    </row>
    <row r="555" spans="2:5">
      <c r="B555" s="244">
        <f t="shared" si="50"/>
        <v>44018</v>
      </c>
      <c r="C555" s="245" t="e">
        <f ca="1">_xll.FDS("EURUSD","FG_PRICE("&amp;B555&amp;")")</f>
        <v>#NAME?</v>
      </c>
      <c r="D555" t="e">
        <f ca="1">_xll.FDS("GBPUSD","FG_PRICE("&amp;B555&amp;")")</f>
        <v>#NAME?</v>
      </c>
      <c r="E555" t="e">
        <f ca="1">_xll.FDSB("JPYUSD","FG_PRICE("&amp;B555&amp;")")</f>
        <v>#NAME?</v>
      </c>
    </row>
    <row r="556" spans="2:5">
      <c r="B556" s="244">
        <f t="shared" si="50"/>
        <v>44019</v>
      </c>
      <c r="C556" s="245" t="e">
        <f ca="1">_xll.FDS("EURUSD","FG_PRICE("&amp;B556&amp;")")</f>
        <v>#NAME?</v>
      </c>
      <c r="D556" t="e">
        <f ca="1">_xll.FDS("GBPUSD","FG_PRICE("&amp;B556&amp;")")</f>
        <v>#NAME?</v>
      </c>
      <c r="E556" t="e">
        <f ca="1">_xll.FDSB("JPYUSD","FG_PRICE("&amp;B556&amp;")")</f>
        <v>#NAME?</v>
      </c>
    </row>
    <row r="557" spans="2:5">
      <c r="B557" s="244">
        <f t="shared" si="50"/>
        <v>44020</v>
      </c>
      <c r="C557" s="245" t="e">
        <f ca="1">_xll.FDS("EURUSD","FG_PRICE("&amp;B557&amp;")")</f>
        <v>#NAME?</v>
      </c>
      <c r="D557" t="e">
        <f ca="1">_xll.FDS("GBPUSD","FG_PRICE("&amp;B557&amp;")")</f>
        <v>#NAME?</v>
      </c>
      <c r="E557" t="e">
        <f ca="1">_xll.FDSB("JPYUSD","FG_PRICE("&amp;B557&amp;")")</f>
        <v>#NAME?</v>
      </c>
    </row>
    <row r="558" spans="2:5">
      <c r="B558" s="244">
        <f t="shared" si="50"/>
        <v>44021</v>
      </c>
      <c r="C558" s="245" t="e">
        <f ca="1">_xll.FDS("EURUSD","FG_PRICE("&amp;B558&amp;")")</f>
        <v>#NAME?</v>
      </c>
      <c r="D558" t="e">
        <f ca="1">_xll.FDS("GBPUSD","FG_PRICE("&amp;B558&amp;")")</f>
        <v>#NAME?</v>
      </c>
      <c r="E558" t="e">
        <f ca="1">_xll.FDSB("JPYUSD","FG_PRICE("&amp;B558&amp;")")</f>
        <v>#NAME?</v>
      </c>
    </row>
    <row r="559" spans="2:5">
      <c r="B559" s="244">
        <f t="shared" si="50"/>
        <v>44022</v>
      </c>
      <c r="C559" s="245" t="e">
        <f ca="1">_xll.FDS("EURUSD","FG_PRICE("&amp;B559&amp;")")</f>
        <v>#NAME?</v>
      </c>
      <c r="D559" t="e">
        <f ca="1">_xll.FDS("GBPUSD","FG_PRICE("&amp;B559&amp;")")</f>
        <v>#NAME?</v>
      </c>
      <c r="E559" t="e">
        <f ca="1">_xll.FDSB("JPYUSD","FG_PRICE("&amp;B559&amp;")")</f>
        <v>#NAME?</v>
      </c>
    </row>
    <row r="560" spans="2:5">
      <c r="B560" s="244">
        <f t="shared" si="50"/>
        <v>44023</v>
      </c>
      <c r="C560" s="245" t="e">
        <f ca="1">_xll.FDS("EURUSD","FG_PRICE("&amp;B560&amp;")")</f>
        <v>#NAME?</v>
      </c>
      <c r="D560" t="e">
        <f ca="1">_xll.FDS("GBPUSD","FG_PRICE("&amp;B560&amp;")")</f>
        <v>#NAME?</v>
      </c>
      <c r="E560" t="e">
        <f ca="1">_xll.FDSB("JPYUSD","FG_PRICE("&amp;B560&amp;")")</f>
        <v>#NAME?</v>
      </c>
    </row>
    <row r="561" spans="2:5">
      <c r="B561" s="244">
        <f t="shared" si="50"/>
        <v>44024</v>
      </c>
      <c r="C561" s="245" t="e">
        <f ca="1">_xll.FDS("EURUSD","FG_PRICE("&amp;B561&amp;")")</f>
        <v>#NAME?</v>
      </c>
      <c r="D561" t="e">
        <f ca="1">_xll.FDS("GBPUSD","FG_PRICE("&amp;B561&amp;")")</f>
        <v>#NAME?</v>
      </c>
      <c r="E561" t="e">
        <f ca="1">_xll.FDSB("JPYUSD","FG_PRICE("&amp;B561&amp;")")</f>
        <v>#NAME?</v>
      </c>
    </row>
    <row r="562" spans="2:5">
      <c r="B562" s="244">
        <f t="shared" si="50"/>
        <v>44025</v>
      </c>
      <c r="C562" s="245" t="e">
        <f ca="1">_xll.FDS("EURUSD","FG_PRICE("&amp;B562&amp;")")</f>
        <v>#NAME?</v>
      </c>
      <c r="D562" t="e">
        <f ca="1">_xll.FDS("GBPUSD","FG_PRICE("&amp;B562&amp;")")</f>
        <v>#NAME?</v>
      </c>
      <c r="E562" t="e">
        <f ca="1">_xll.FDSB("JPYUSD","FG_PRICE("&amp;B562&amp;")")</f>
        <v>#NAME?</v>
      </c>
    </row>
    <row r="563" spans="2:5">
      <c r="B563" s="244">
        <f t="shared" si="50"/>
        <v>44026</v>
      </c>
      <c r="C563" s="245" t="e">
        <f ca="1">_xll.FDS("EURUSD","FG_PRICE("&amp;B563&amp;")")</f>
        <v>#NAME?</v>
      </c>
      <c r="D563" t="e">
        <f ca="1">_xll.FDS("GBPUSD","FG_PRICE("&amp;B563&amp;")")</f>
        <v>#NAME?</v>
      </c>
      <c r="E563" t="e">
        <f ca="1">_xll.FDSB("JPYUSD","FG_PRICE("&amp;B563&amp;")")</f>
        <v>#NAME?</v>
      </c>
    </row>
    <row r="564" spans="2:5">
      <c r="B564" s="244">
        <f t="shared" si="50"/>
        <v>44027</v>
      </c>
      <c r="C564" s="245" t="e">
        <f ca="1">_xll.FDS("EURUSD","FG_PRICE("&amp;B564&amp;")")</f>
        <v>#NAME?</v>
      </c>
      <c r="D564" t="e">
        <f ca="1">_xll.FDS("GBPUSD","FG_PRICE("&amp;B564&amp;")")</f>
        <v>#NAME?</v>
      </c>
      <c r="E564" t="e">
        <f ca="1">_xll.FDSB("JPYUSD","FG_PRICE("&amp;B564&amp;")")</f>
        <v>#NAME?</v>
      </c>
    </row>
    <row r="565" spans="2:5">
      <c r="B565" s="244">
        <f t="shared" si="50"/>
        <v>44028</v>
      </c>
      <c r="C565" s="245" t="e">
        <f ca="1">_xll.FDS("EURUSD","FG_PRICE("&amp;B565&amp;")")</f>
        <v>#NAME?</v>
      </c>
      <c r="D565" t="e">
        <f ca="1">_xll.FDS("GBPUSD","FG_PRICE("&amp;B565&amp;")")</f>
        <v>#NAME?</v>
      </c>
      <c r="E565" t="e">
        <f ca="1">_xll.FDSB("JPYUSD","FG_PRICE("&amp;B565&amp;")")</f>
        <v>#NAME?</v>
      </c>
    </row>
    <row r="566" spans="2:5">
      <c r="B566" s="244">
        <f t="shared" si="50"/>
        <v>44029</v>
      </c>
      <c r="C566" s="245" t="e">
        <f ca="1">_xll.FDS("EURUSD","FG_PRICE("&amp;B566&amp;")")</f>
        <v>#NAME?</v>
      </c>
      <c r="D566" t="e">
        <f ca="1">_xll.FDS("GBPUSD","FG_PRICE("&amp;B566&amp;")")</f>
        <v>#NAME?</v>
      </c>
      <c r="E566" t="e">
        <f ca="1">_xll.FDSB("JPYUSD","FG_PRICE("&amp;B566&amp;")")</f>
        <v>#NAME?</v>
      </c>
    </row>
    <row r="567" spans="2:5">
      <c r="B567" s="244">
        <f t="shared" si="50"/>
        <v>44030</v>
      </c>
      <c r="C567" s="245" t="e">
        <f ca="1">_xll.FDS("EURUSD","FG_PRICE("&amp;B567&amp;")")</f>
        <v>#NAME?</v>
      </c>
      <c r="D567" t="e">
        <f ca="1">_xll.FDS("GBPUSD","FG_PRICE("&amp;B567&amp;")")</f>
        <v>#NAME?</v>
      </c>
      <c r="E567" t="e">
        <f ca="1">_xll.FDSB("JPYUSD","FG_PRICE("&amp;B567&amp;")")</f>
        <v>#NAME?</v>
      </c>
    </row>
    <row r="568" spans="2:5">
      <c r="B568" s="244">
        <f t="shared" si="50"/>
        <v>44031</v>
      </c>
      <c r="C568" s="245" t="e">
        <f ca="1">_xll.FDS("EURUSD","FG_PRICE("&amp;B568&amp;")")</f>
        <v>#NAME?</v>
      </c>
      <c r="D568" t="e">
        <f ca="1">_xll.FDS("GBPUSD","FG_PRICE("&amp;B568&amp;")")</f>
        <v>#NAME?</v>
      </c>
      <c r="E568" t="e">
        <f ca="1">_xll.FDSB("JPYUSD","FG_PRICE("&amp;B568&amp;")")</f>
        <v>#NAME?</v>
      </c>
    </row>
    <row r="569" spans="2:5">
      <c r="B569" s="244">
        <f t="shared" si="50"/>
        <v>44032</v>
      </c>
      <c r="C569" s="245" t="e">
        <f ca="1">_xll.FDS("EURUSD","FG_PRICE("&amp;B569&amp;")")</f>
        <v>#NAME?</v>
      </c>
      <c r="D569" t="e">
        <f ca="1">_xll.FDS("GBPUSD","FG_PRICE("&amp;B569&amp;")")</f>
        <v>#NAME?</v>
      </c>
      <c r="E569" t="e">
        <f ca="1">_xll.FDSB("JPYUSD","FG_PRICE("&amp;B569&amp;")")</f>
        <v>#NAME?</v>
      </c>
    </row>
    <row r="570" spans="2:5">
      <c r="B570" s="244">
        <f t="shared" si="50"/>
        <v>44033</v>
      </c>
      <c r="C570" s="245" t="e">
        <f ca="1">_xll.FDS("EURUSD","FG_PRICE("&amp;B570&amp;")")</f>
        <v>#NAME?</v>
      </c>
      <c r="D570" t="e">
        <f ca="1">_xll.FDS("GBPUSD","FG_PRICE("&amp;B570&amp;")")</f>
        <v>#NAME?</v>
      </c>
      <c r="E570" t="e">
        <f ca="1">_xll.FDSB("JPYUSD","FG_PRICE("&amp;B570&amp;")")</f>
        <v>#NAME?</v>
      </c>
    </row>
    <row r="571" spans="2:5">
      <c r="B571" s="244">
        <f t="shared" si="50"/>
        <v>44034</v>
      </c>
      <c r="C571" s="245" t="e">
        <f ca="1">_xll.FDS("EURUSD","FG_PRICE("&amp;B571&amp;")")</f>
        <v>#NAME?</v>
      </c>
      <c r="D571" t="e">
        <f ca="1">_xll.FDS("GBPUSD","FG_PRICE("&amp;B571&amp;")")</f>
        <v>#NAME?</v>
      </c>
      <c r="E571" t="e">
        <f ca="1">_xll.FDSB("JPYUSD","FG_PRICE("&amp;B571&amp;")")</f>
        <v>#NAME?</v>
      </c>
    </row>
    <row r="572" spans="2:5">
      <c r="B572" s="244">
        <f t="shared" si="50"/>
        <v>44035</v>
      </c>
      <c r="C572" s="245" t="e">
        <f ca="1">_xll.FDS("EURUSD","FG_PRICE("&amp;B572&amp;")")</f>
        <v>#NAME?</v>
      </c>
      <c r="D572" t="e">
        <f ca="1">_xll.FDS("GBPUSD","FG_PRICE("&amp;B572&amp;")")</f>
        <v>#NAME?</v>
      </c>
      <c r="E572" t="e">
        <f ca="1">_xll.FDSB("JPYUSD","FG_PRICE("&amp;B572&amp;")")</f>
        <v>#NAME?</v>
      </c>
    </row>
    <row r="573" spans="2:5">
      <c r="B573" s="244">
        <f t="shared" si="50"/>
        <v>44036</v>
      </c>
      <c r="C573" s="245" t="e">
        <f ca="1">_xll.FDS("EURUSD","FG_PRICE("&amp;B573&amp;")")</f>
        <v>#NAME?</v>
      </c>
      <c r="D573" t="e">
        <f ca="1">_xll.FDS("GBPUSD","FG_PRICE("&amp;B573&amp;")")</f>
        <v>#NAME?</v>
      </c>
      <c r="E573" t="e">
        <f ca="1">_xll.FDSB("JPYUSD","FG_PRICE("&amp;B573&amp;")")</f>
        <v>#NAME?</v>
      </c>
    </row>
    <row r="574" spans="2:5">
      <c r="B574" s="244">
        <f t="shared" si="50"/>
        <v>44037</v>
      </c>
      <c r="C574" s="245" t="e">
        <f ca="1">_xll.FDS("EURUSD","FG_PRICE("&amp;B574&amp;")")</f>
        <v>#NAME?</v>
      </c>
      <c r="D574" t="e">
        <f ca="1">_xll.FDS("GBPUSD","FG_PRICE("&amp;B574&amp;")")</f>
        <v>#NAME?</v>
      </c>
      <c r="E574" t="e">
        <f ca="1">_xll.FDSB("JPYUSD","FG_PRICE("&amp;B574&amp;")")</f>
        <v>#NAME?</v>
      </c>
    </row>
    <row r="575" spans="2:5">
      <c r="B575" s="244">
        <f t="shared" si="50"/>
        <v>44038</v>
      </c>
      <c r="C575" s="245" t="e">
        <f ca="1">_xll.FDS("EURUSD","FG_PRICE("&amp;B575&amp;")")</f>
        <v>#NAME?</v>
      </c>
      <c r="D575" t="e">
        <f ca="1">_xll.FDS("GBPUSD","FG_PRICE("&amp;B575&amp;")")</f>
        <v>#NAME?</v>
      </c>
      <c r="E575" t="e">
        <f ca="1">_xll.FDSB("JPYUSD","FG_PRICE("&amp;B575&amp;")")</f>
        <v>#NAME?</v>
      </c>
    </row>
    <row r="576" spans="2:5">
      <c r="B576" s="244">
        <f t="shared" si="50"/>
        <v>44039</v>
      </c>
      <c r="C576" s="245" t="e">
        <f ca="1">_xll.FDS("EURUSD","FG_PRICE("&amp;B576&amp;")")</f>
        <v>#NAME?</v>
      </c>
      <c r="D576" t="e">
        <f ca="1">_xll.FDS("GBPUSD","FG_PRICE("&amp;B576&amp;")")</f>
        <v>#NAME?</v>
      </c>
      <c r="E576" t="e">
        <f ca="1">_xll.FDSB("JPYUSD","FG_PRICE("&amp;B576&amp;")")</f>
        <v>#NAME?</v>
      </c>
    </row>
    <row r="577" spans="2:5">
      <c r="B577" s="244">
        <f t="shared" si="50"/>
        <v>44040</v>
      </c>
      <c r="C577" s="245" t="e">
        <f ca="1">_xll.FDS("EURUSD","FG_PRICE("&amp;B577&amp;")")</f>
        <v>#NAME?</v>
      </c>
      <c r="D577" t="e">
        <f ca="1">_xll.FDS("GBPUSD","FG_PRICE("&amp;B577&amp;")")</f>
        <v>#NAME?</v>
      </c>
      <c r="E577" t="e">
        <f ca="1">_xll.FDSB("JPYUSD","FG_PRICE("&amp;B577&amp;")")</f>
        <v>#NAME?</v>
      </c>
    </row>
    <row r="578" spans="2:5">
      <c r="B578" s="244">
        <f t="shared" si="50"/>
        <v>44041</v>
      </c>
      <c r="C578" s="245" t="e">
        <f ca="1">_xll.FDS("EURUSD","FG_PRICE("&amp;B578&amp;")")</f>
        <v>#NAME?</v>
      </c>
      <c r="D578" t="e">
        <f ca="1">_xll.FDS("GBPUSD","FG_PRICE("&amp;B578&amp;")")</f>
        <v>#NAME?</v>
      </c>
      <c r="E578" t="e">
        <f ca="1">_xll.FDSB("JPYUSD","FG_PRICE("&amp;B578&amp;")")</f>
        <v>#NAME?</v>
      </c>
    </row>
    <row r="579" spans="2:5">
      <c r="B579" s="244">
        <f t="shared" si="50"/>
        <v>44042</v>
      </c>
      <c r="C579" s="245" t="e">
        <f ca="1">_xll.FDS("EURUSD","FG_PRICE("&amp;B579&amp;")")</f>
        <v>#NAME?</v>
      </c>
      <c r="D579" t="e">
        <f ca="1">_xll.FDS("GBPUSD","FG_PRICE("&amp;B579&amp;")")</f>
        <v>#NAME?</v>
      </c>
      <c r="E579" t="e">
        <f ca="1">_xll.FDSB("JPYUSD","FG_PRICE("&amp;B579&amp;")")</f>
        <v>#NAME?</v>
      </c>
    </row>
    <row r="580" spans="2:5">
      <c r="B580" s="244">
        <f t="shared" si="50"/>
        <v>44043</v>
      </c>
      <c r="C580" s="245" t="e">
        <f ca="1">_xll.FDS("EURUSD","FG_PRICE("&amp;B580&amp;")")</f>
        <v>#NAME?</v>
      </c>
      <c r="D580" t="e">
        <f ca="1">_xll.FDS("GBPUSD","FG_PRICE("&amp;B580&amp;")")</f>
        <v>#NAME?</v>
      </c>
      <c r="E580" t="e">
        <f ca="1">_xll.FDSB("JPYUSD","FG_PRICE("&amp;B580&amp;")")</f>
        <v>#NAME?</v>
      </c>
    </row>
    <row r="581" spans="2:5">
      <c r="B581" s="244">
        <f t="shared" ref="B581:B644" si="51">B580+1</f>
        <v>44044</v>
      </c>
      <c r="C581" s="245" t="e">
        <f ca="1">_xll.FDS("EURUSD","FG_PRICE("&amp;B581&amp;")")</f>
        <v>#NAME?</v>
      </c>
      <c r="D581" t="e">
        <f ca="1">_xll.FDS("GBPUSD","FG_PRICE("&amp;B581&amp;")")</f>
        <v>#NAME?</v>
      </c>
      <c r="E581" t="e">
        <f ca="1">_xll.FDSB("JPYUSD","FG_PRICE("&amp;B581&amp;")")</f>
        <v>#NAME?</v>
      </c>
    </row>
    <row r="582" spans="2:5">
      <c r="B582" s="244">
        <f t="shared" si="51"/>
        <v>44045</v>
      </c>
      <c r="C582" s="245" t="e">
        <f ca="1">_xll.FDS("EURUSD","FG_PRICE("&amp;B582&amp;")")</f>
        <v>#NAME?</v>
      </c>
      <c r="D582" t="e">
        <f ca="1">_xll.FDS("GBPUSD","FG_PRICE("&amp;B582&amp;")")</f>
        <v>#NAME?</v>
      </c>
      <c r="E582" t="e">
        <f ca="1">_xll.FDSB("JPYUSD","FG_PRICE("&amp;B582&amp;")")</f>
        <v>#NAME?</v>
      </c>
    </row>
    <row r="583" spans="2:5">
      <c r="B583" s="244">
        <f t="shared" si="51"/>
        <v>44046</v>
      </c>
      <c r="C583" s="245" t="e">
        <f ca="1">_xll.FDS("EURUSD","FG_PRICE("&amp;B583&amp;")")</f>
        <v>#NAME?</v>
      </c>
      <c r="D583" t="e">
        <f ca="1">_xll.FDS("GBPUSD","FG_PRICE("&amp;B583&amp;")")</f>
        <v>#NAME?</v>
      </c>
      <c r="E583" t="e">
        <f ca="1">_xll.FDSB("JPYUSD","FG_PRICE("&amp;B583&amp;")")</f>
        <v>#NAME?</v>
      </c>
    </row>
    <row r="584" spans="2:5">
      <c r="B584" s="244">
        <f t="shared" si="51"/>
        <v>44047</v>
      </c>
      <c r="C584" s="245" t="e">
        <f ca="1">_xll.FDS("EURUSD","FG_PRICE("&amp;B584&amp;")")</f>
        <v>#NAME?</v>
      </c>
      <c r="D584" t="e">
        <f ca="1">_xll.FDS("GBPUSD","FG_PRICE("&amp;B584&amp;")")</f>
        <v>#NAME?</v>
      </c>
      <c r="E584" t="e">
        <f ca="1">_xll.FDSB("JPYUSD","FG_PRICE("&amp;B584&amp;")")</f>
        <v>#NAME?</v>
      </c>
    </row>
    <row r="585" spans="2:5">
      <c r="B585" s="244">
        <f t="shared" si="51"/>
        <v>44048</v>
      </c>
      <c r="C585" s="245" t="e">
        <f ca="1">_xll.FDS("EURUSD","FG_PRICE("&amp;B585&amp;")")</f>
        <v>#NAME?</v>
      </c>
      <c r="D585" t="e">
        <f ca="1">_xll.FDS("GBPUSD","FG_PRICE("&amp;B585&amp;")")</f>
        <v>#NAME?</v>
      </c>
      <c r="E585" t="e">
        <f ca="1">_xll.FDSB("JPYUSD","FG_PRICE("&amp;B585&amp;")")</f>
        <v>#NAME?</v>
      </c>
    </row>
    <row r="586" spans="2:5">
      <c r="B586" s="244">
        <f t="shared" si="51"/>
        <v>44049</v>
      </c>
      <c r="C586" s="245" t="e">
        <f ca="1">_xll.FDS("EURUSD","FG_PRICE("&amp;B586&amp;")")</f>
        <v>#NAME?</v>
      </c>
      <c r="D586" t="e">
        <f ca="1">_xll.FDS("GBPUSD","FG_PRICE("&amp;B586&amp;")")</f>
        <v>#NAME?</v>
      </c>
      <c r="E586" t="e">
        <f ca="1">_xll.FDSB("JPYUSD","FG_PRICE("&amp;B586&amp;")")</f>
        <v>#NAME?</v>
      </c>
    </row>
    <row r="587" spans="2:5">
      <c r="B587" s="244">
        <f t="shared" si="51"/>
        <v>44050</v>
      </c>
      <c r="C587" s="245" t="e">
        <f ca="1">_xll.FDS("EURUSD","FG_PRICE("&amp;B587&amp;")")</f>
        <v>#NAME?</v>
      </c>
      <c r="D587" t="e">
        <f ca="1">_xll.FDS("GBPUSD","FG_PRICE("&amp;B587&amp;")")</f>
        <v>#NAME?</v>
      </c>
      <c r="E587" t="e">
        <f ca="1">_xll.FDSB("JPYUSD","FG_PRICE("&amp;B587&amp;")")</f>
        <v>#NAME?</v>
      </c>
    </row>
    <row r="588" spans="2:5">
      <c r="B588" s="244">
        <f t="shared" si="51"/>
        <v>44051</v>
      </c>
      <c r="C588" s="245" t="e">
        <f ca="1">_xll.FDS("EURUSD","FG_PRICE("&amp;B588&amp;")")</f>
        <v>#NAME?</v>
      </c>
      <c r="D588" t="e">
        <f ca="1">_xll.FDS("GBPUSD","FG_PRICE("&amp;B588&amp;")")</f>
        <v>#NAME?</v>
      </c>
      <c r="E588" t="e">
        <f ca="1">_xll.FDSB("JPYUSD","FG_PRICE("&amp;B588&amp;")")</f>
        <v>#NAME?</v>
      </c>
    </row>
    <row r="589" spans="2:5">
      <c r="B589" s="244">
        <f t="shared" si="51"/>
        <v>44052</v>
      </c>
      <c r="C589" s="245" t="e">
        <f ca="1">_xll.FDS("EURUSD","FG_PRICE("&amp;B589&amp;")")</f>
        <v>#NAME?</v>
      </c>
      <c r="D589" t="e">
        <f ca="1">_xll.FDS("GBPUSD","FG_PRICE("&amp;B589&amp;")")</f>
        <v>#NAME?</v>
      </c>
      <c r="E589" t="e">
        <f ca="1">_xll.FDSB("JPYUSD","FG_PRICE("&amp;B589&amp;")")</f>
        <v>#NAME?</v>
      </c>
    </row>
    <row r="590" spans="2:5">
      <c r="B590" s="244">
        <f t="shared" si="51"/>
        <v>44053</v>
      </c>
      <c r="C590" s="245" t="e">
        <f ca="1">_xll.FDS("EURUSD","FG_PRICE("&amp;B590&amp;")")</f>
        <v>#NAME?</v>
      </c>
      <c r="D590" t="e">
        <f ca="1">_xll.FDS("GBPUSD","FG_PRICE("&amp;B590&amp;")")</f>
        <v>#NAME?</v>
      </c>
      <c r="E590" t="e">
        <f ca="1">_xll.FDSB("JPYUSD","FG_PRICE("&amp;B590&amp;")")</f>
        <v>#NAME?</v>
      </c>
    </row>
    <row r="591" spans="2:5">
      <c r="B591" s="244">
        <f t="shared" si="51"/>
        <v>44054</v>
      </c>
      <c r="C591" s="245" t="e">
        <f ca="1">_xll.FDS("EURUSD","FG_PRICE("&amp;B591&amp;")")</f>
        <v>#NAME?</v>
      </c>
      <c r="D591" t="e">
        <f ca="1">_xll.FDS("GBPUSD","FG_PRICE("&amp;B591&amp;")")</f>
        <v>#NAME?</v>
      </c>
      <c r="E591" t="e">
        <f ca="1">_xll.FDSB("JPYUSD","FG_PRICE("&amp;B591&amp;")")</f>
        <v>#NAME?</v>
      </c>
    </row>
    <row r="592" spans="2:5">
      <c r="B592" s="244">
        <f t="shared" si="51"/>
        <v>44055</v>
      </c>
      <c r="C592" s="245" t="e">
        <f ca="1">_xll.FDS("EURUSD","FG_PRICE("&amp;B592&amp;")")</f>
        <v>#NAME?</v>
      </c>
      <c r="D592" t="e">
        <f ca="1">_xll.FDS("GBPUSD","FG_PRICE("&amp;B592&amp;")")</f>
        <v>#NAME?</v>
      </c>
      <c r="E592" t="e">
        <f ca="1">_xll.FDSB("JPYUSD","FG_PRICE("&amp;B592&amp;")")</f>
        <v>#NAME?</v>
      </c>
    </row>
    <row r="593" spans="2:5">
      <c r="B593" s="244">
        <f t="shared" si="51"/>
        <v>44056</v>
      </c>
      <c r="C593" s="245" t="e">
        <f ca="1">_xll.FDS("EURUSD","FG_PRICE("&amp;B593&amp;")")</f>
        <v>#NAME?</v>
      </c>
      <c r="D593" t="e">
        <f ca="1">_xll.FDS("GBPUSD","FG_PRICE("&amp;B593&amp;")")</f>
        <v>#NAME?</v>
      </c>
      <c r="E593" t="e">
        <f ca="1">_xll.FDSB("JPYUSD","FG_PRICE("&amp;B593&amp;")")</f>
        <v>#NAME?</v>
      </c>
    </row>
    <row r="594" spans="2:5">
      <c r="B594" s="244">
        <f t="shared" si="51"/>
        <v>44057</v>
      </c>
      <c r="C594" s="245" t="e">
        <f ca="1">_xll.FDS("EURUSD","FG_PRICE("&amp;B594&amp;")")</f>
        <v>#NAME?</v>
      </c>
      <c r="D594" t="e">
        <f ca="1">_xll.FDS("GBPUSD","FG_PRICE("&amp;B594&amp;")")</f>
        <v>#NAME?</v>
      </c>
      <c r="E594" t="e">
        <f ca="1">_xll.FDSB("JPYUSD","FG_PRICE("&amp;B594&amp;")")</f>
        <v>#NAME?</v>
      </c>
    </row>
    <row r="595" spans="2:5">
      <c r="B595" s="244">
        <f t="shared" si="51"/>
        <v>44058</v>
      </c>
      <c r="C595" s="245" t="e">
        <f ca="1">_xll.FDS("EURUSD","FG_PRICE("&amp;B595&amp;")")</f>
        <v>#NAME?</v>
      </c>
      <c r="D595" t="e">
        <f ca="1">_xll.FDS("GBPUSD","FG_PRICE("&amp;B595&amp;")")</f>
        <v>#NAME?</v>
      </c>
      <c r="E595" t="e">
        <f ca="1">_xll.FDSB("JPYUSD","FG_PRICE("&amp;B595&amp;")")</f>
        <v>#NAME?</v>
      </c>
    </row>
    <row r="596" spans="2:5">
      <c r="B596" s="244">
        <f t="shared" si="51"/>
        <v>44059</v>
      </c>
      <c r="C596" s="245" t="e">
        <f ca="1">_xll.FDS("EURUSD","FG_PRICE("&amp;B596&amp;")")</f>
        <v>#NAME?</v>
      </c>
      <c r="D596" t="e">
        <f ca="1">_xll.FDS("GBPUSD","FG_PRICE("&amp;B596&amp;")")</f>
        <v>#NAME?</v>
      </c>
      <c r="E596" t="e">
        <f ca="1">_xll.FDSB("JPYUSD","FG_PRICE("&amp;B596&amp;")")</f>
        <v>#NAME?</v>
      </c>
    </row>
    <row r="597" spans="2:5">
      <c r="B597" s="244">
        <f t="shared" si="51"/>
        <v>44060</v>
      </c>
      <c r="C597" s="245" t="e">
        <f ca="1">_xll.FDS("EURUSD","FG_PRICE("&amp;B597&amp;")")</f>
        <v>#NAME?</v>
      </c>
      <c r="D597" t="e">
        <f ca="1">_xll.FDS("GBPUSD","FG_PRICE("&amp;B597&amp;")")</f>
        <v>#NAME?</v>
      </c>
      <c r="E597" t="e">
        <f ca="1">_xll.FDSB("JPYUSD","FG_PRICE("&amp;B597&amp;")")</f>
        <v>#NAME?</v>
      </c>
    </row>
    <row r="598" spans="2:5">
      <c r="B598" s="244">
        <f t="shared" si="51"/>
        <v>44061</v>
      </c>
      <c r="C598" s="245" t="e">
        <f ca="1">_xll.FDS("EURUSD","FG_PRICE("&amp;B598&amp;")")</f>
        <v>#NAME?</v>
      </c>
      <c r="D598" t="e">
        <f ca="1">_xll.FDS("GBPUSD","FG_PRICE("&amp;B598&amp;")")</f>
        <v>#NAME?</v>
      </c>
      <c r="E598" t="e">
        <f ca="1">_xll.FDSB("JPYUSD","FG_PRICE("&amp;B598&amp;")")</f>
        <v>#NAME?</v>
      </c>
    </row>
    <row r="599" spans="2:5">
      <c r="B599" s="244">
        <f t="shared" si="51"/>
        <v>44062</v>
      </c>
      <c r="C599" s="245" t="e">
        <f ca="1">_xll.FDS("EURUSD","FG_PRICE("&amp;B599&amp;")")</f>
        <v>#NAME?</v>
      </c>
      <c r="D599" t="e">
        <f ca="1">_xll.FDS("GBPUSD","FG_PRICE("&amp;B599&amp;")")</f>
        <v>#NAME?</v>
      </c>
      <c r="E599" t="e">
        <f ca="1">_xll.FDSB("JPYUSD","FG_PRICE("&amp;B599&amp;")")</f>
        <v>#NAME?</v>
      </c>
    </row>
    <row r="600" spans="2:5">
      <c r="B600" s="244">
        <f t="shared" si="51"/>
        <v>44063</v>
      </c>
      <c r="C600" s="245" t="e">
        <f ca="1">_xll.FDS("EURUSD","FG_PRICE("&amp;B600&amp;")")</f>
        <v>#NAME?</v>
      </c>
      <c r="D600" t="e">
        <f ca="1">_xll.FDS("GBPUSD","FG_PRICE("&amp;B600&amp;")")</f>
        <v>#NAME?</v>
      </c>
      <c r="E600" t="e">
        <f ca="1">_xll.FDSB("JPYUSD","FG_PRICE("&amp;B600&amp;")")</f>
        <v>#NAME?</v>
      </c>
    </row>
    <row r="601" spans="2:5">
      <c r="B601" s="244">
        <f t="shared" si="51"/>
        <v>44064</v>
      </c>
      <c r="C601" s="245" t="e">
        <f ca="1">_xll.FDS("EURUSD","FG_PRICE("&amp;B601&amp;")")</f>
        <v>#NAME?</v>
      </c>
      <c r="D601" t="e">
        <f ca="1">_xll.FDS("GBPUSD","FG_PRICE("&amp;B601&amp;")")</f>
        <v>#NAME?</v>
      </c>
      <c r="E601" t="e">
        <f ca="1">_xll.FDSB("JPYUSD","FG_PRICE("&amp;B601&amp;")")</f>
        <v>#NAME?</v>
      </c>
    </row>
    <row r="602" spans="2:5">
      <c r="B602" s="244">
        <f t="shared" si="51"/>
        <v>44065</v>
      </c>
      <c r="C602" s="245" t="e">
        <f ca="1">_xll.FDS("EURUSD","FG_PRICE("&amp;B602&amp;")")</f>
        <v>#NAME?</v>
      </c>
      <c r="D602" t="e">
        <f ca="1">_xll.FDS("GBPUSD","FG_PRICE("&amp;B602&amp;")")</f>
        <v>#NAME?</v>
      </c>
      <c r="E602" t="e">
        <f ca="1">_xll.FDSB("JPYUSD","FG_PRICE("&amp;B602&amp;")")</f>
        <v>#NAME?</v>
      </c>
    </row>
    <row r="603" spans="2:5">
      <c r="B603" s="244">
        <f t="shared" si="51"/>
        <v>44066</v>
      </c>
      <c r="C603" s="245" t="e">
        <f ca="1">_xll.FDS("EURUSD","FG_PRICE("&amp;B603&amp;")")</f>
        <v>#NAME?</v>
      </c>
      <c r="D603" t="e">
        <f ca="1">_xll.FDS("GBPUSD","FG_PRICE("&amp;B603&amp;")")</f>
        <v>#NAME?</v>
      </c>
      <c r="E603" t="e">
        <f ca="1">_xll.FDSB("JPYUSD","FG_PRICE("&amp;B603&amp;")")</f>
        <v>#NAME?</v>
      </c>
    </row>
    <row r="604" spans="2:5">
      <c r="B604" s="244">
        <f t="shared" si="51"/>
        <v>44067</v>
      </c>
      <c r="C604" s="245" t="e">
        <f ca="1">_xll.FDS("EURUSD","FG_PRICE("&amp;B604&amp;")")</f>
        <v>#NAME?</v>
      </c>
      <c r="D604" t="e">
        <f ca="1">_xll.FDS("GBPUSD","FG_PRICE("&amp;B604&amp;")")</f>
        <v>#NAME?</v>
      </c>
      <c r="E604" t="e">
        <f ca="1">_xll.FDSB("JPYUSD","FG_PRICE("&amp;B604&amp;")")</f>
        <v>#NAME?</v>
      </c>
    </row>
    <row r="605" spans="2:5">
      <c r="B605" s="244">
        <f t="shared" si="51"/>
        <v>44068</v>
      </c>
      <c r="C605" s="245" t="e">
        <f ca="1">_xll.FDS("EURUSD","FG_PRICE("&amp;B605&amp;")")</f>
        <v>#NAME?</v>
      </c>
      <c r="D605" t="e">
        <f ca="1">_xll.FDS("GBPUSD","FG_PRICE("&amp;B605&amp;")")</f>
        <v>#NAME?</v>
      </c>
      <c r="E605" t="e">
        <f ca="1">_xll.FDSB("JPYUSD","FG_PRICE("&amp;B605&amp;")")</f>
        <v>#NAME?</v>
      </c>
    </row>
    <row r="606" spans="2:5">
      <c r="B606" s="244">
        <f t="shared" si="51"/>
        <v>44069</v>
      </c>
      <c r="C606" s="245" t="e">
        <f ca="1">_xll.FDS("EURUSD","FG_PRICE("&amp;B606&amp;")")</f>
        <v>#NAME?</v>
      </c>
      <c r="D606" t="e">
        <f ca="1">_xll.FDS("GBPUSD","FG_PRICE("&amp;B606&amp;")")</f>
        <v>#NAME?</v>
      </c>
      <c r="E606" t="e">
        <f ca="1">_xll.FDSB("JPYUSD","FG_PRICE("&amp;B606&amp;")")</f>
        <v>#NAME?</v>
      </c>
    </row>
    <row r="607" spans="2:5">
      <c r="B607" s="244">
        <f t="shared" si="51"/>
        <v>44070</v>
      </c>
      <c r="C607" s="245" t="e">
        <f ca="1">_xll.FDS("EURUSD","FG_PRICE("&amp;B607&amp;")")</f>
        <v>#NAME?</v>
      </c>
      <c r="D607" t="e">
        <f ca="1">_xll.FDS("GBPUSD","FG_PRICE("&amp;B607&amp;")")</f>
        <v>#NAME?</v>
      </c>
      <c r="E607" t="e">
        <f ca="1">_xll.FDSB("JPYUSD","FG_PRICE("&amp;B607&amp;")")</f>
        <v>#NAME?</v>
      </c>
    </row>
    <row r="608" spans="2:5">
      <c r="B608" s="244">
        <f t="shared" si="51"/>
        <v>44071</v>
      </c>
      <c r="C608" s="245" t="e">
        <f ca="1">_xll.FDS("EURUSD","FG_PRICE("&amp;B608&amp;")")</f>
        <v>#NAME?</v>
      </c>
      <c r="D608" t="e">
        <f ca="1">_xll.FDS("GBPUSD","FG_PRICE("&amp;B608&amp;")")</f>
        <v>#NAME?</v>
      </c>
      <c r="E608" t="e">
        <f ca="1">_xll.FDSB("JPYUSD","FG_PRICE("&amp;B608&amp;")")</f>
        <v>#NAME?</v>
      </c>
    </row>
    <row r="609" spans="2:5">
      <c r="B609" s="244">
        <f t="shared" si="51"/>
        <v>44072</v>
      </c>
      <c r="C609" s="245" t="e">
        <f ca="1">_xll.FDS("EURUSD","FG_PRICE("&amp;B609&amp;")")</f>
        <v>#NAME?</v>
      </c>
      <c r="D609" t="e">
        <f ca="1">_xll.FDS("GBPUSD","FG_PRICE("&amp;B609&amp;")")</f>
        <v>#NAME?</v>
      </c>
      <c r="E609" t="e">
        <f ca="1">_xll.FDSB("JPYUSD","FG_PRICE("&amp;B609&amp;")")</f>
        <v>#NAME?</v>
      </c>
    </row>
    <row r="610" spans="2:5">
      <c r="B610" s="244">
        <f t="shared" si="51"/>
        <v>44073</v>
      </c>
      <c r="C610" s="245" t="e">
        <f ca="1">_xll.FDS("EURUSD","FG_PRICE("&amp;B610&amp;")")</f>
        <v>#NAME?</v>
      </c>
      <c r="D610" t="e">
        <f ca="1">_xll.FDS("GBPUSD","FG_PRICE("&amp;B610&amp;")")</f>
        <v>#NAME?</v>
      </c>
      <c r="E610" t="e">
        <f ca="1">_xll.FDSB("JPYUSD","FG_PRICE("&amp;B610&amp;")")</f>
        <v>#NAME?</v>
      </c>
    </row>
    <row r="611" spans="2:5">
      <c r="B611" s="244">
        <f t="shared" si="51"/>
        <v>44074</v>
      </c>
      <c r="C611" s="245" t="e">
        <f ca="1">_xll.FDS("EURUSD","FG_PRICE("&amp;B611&amp;")")</f>
        <v>#NAME?</v>
      </c>
      <c r="D611" t="e">
        <f ca="1">_xll.FDS("GBPUSD","FG_PRICE("&amp;B611&amp;")")</f>
        <v>#NAME?</v>
      </c>
      <c r="E611" t="e">
        <f ca="1">_xll.FDSB("JPYUSD","FG_PRICE("&amp;B611&amp;")")</f>
        <v>#NAME?</v>
      </c>
    </row>
    <row r="612" spans="2:5">
      <c r="B612" s="244">
        <f t="shared" si="51"/>
        <v>44075</v>
      </c>
      <c r="C612" s="245" t="e">
        <f ca="1">_xll.FDS("EURUSD","FG_PRICE("&amp;B612&amp;")")</f>
        <v>#NAME?</v>
      </c>
      <c r="D612" t="e">
        <f ca="1">_xll.FDS("GBPUSD","FG_PRICE("&amp;B612&amp;")")</f>
        <v>#NAME?</v>
      </c>
      <c r="E612" t="e">
        <f ca="1">_xll.FDSB("JPYUSD","FG_PRICE("&amp;B612&amp;")")</f>
        <v>#NAME?</v>
      </c>
    </row>
    <row r="613" spans="2:5">
      <c r="B613" s="244">
        <f t="shared" si="51"/>
        <v>44076</v>
      </c>
      <c r="C613" s="245" t="e">
        <f ca="1">_xll.FDS("EURUSD","FG_PRICE("&amp;B613&amp;")")</f>
        <v>#NAME?</v>
      </c>
      <c r="D613" t="e">
        <f ca="1">_xll.FDS("GBPUSD","FG_PRICE("&amp;B613&amp;")")</f>
        <v>#NAME?</v>
      </c>
      <c r="E613" t="e">
        <f ca="1">_xll.FDSB("JPYUSD","FG_PRICE("&amp;B613&amp;")")</f>
        <v>#NAME?</v>
      </c>
    </row>
    <row r="614" spans="2:5">
      <c r="B614" s="244">
        <f t="shared" si="51"/>
        <v>44077</v>
      </c>
      <c r="C614" s="245" t="e">
        <f ca="1">_xll.FDS("EURUSD","FG_PRICE("&amp;B614&amp;")")</f>
        <v>#NAME?</v>
      </c>
      <c r="D614" t="e">
        <f ca="1">_xll.FDS("GBPUSD","FG_PRICE("&amp;B614&amp;")")</f>
        <v>#NAME?</v>
      </c>
      <c r="E614" t="e">
        <f ca="1">_xll.FDSB("JPYUSD","FG_PRICE("&amp;B614&amp;")")</f>
        <v>#NAME?</v>
      </c>
    </row>
    <row r="615" spans="2:5">
      <c r="B615" s="244">
        <f t="shared" si="51"/>
        <v>44078</v>
      </c>
      <c r="C615" s="245" t="e">
        <f ca="1">_xll.FDS("EURUSD","FG_PRICE("&amp;B615&amp;")")</f>
        <v>#NAME?</v>
      </c>
      <c r="D615" t="e">
        <f ca="1">_xll.FDS("GBPUSD","FG_PRICE("&amp;B615&amp;")")</f>
        <v>#NAME?</v>
      </c>
      <c r="E615" t="e">
        <f ca="1">_xll.FDSB("JPYUSD","FG_PRICE("&amp;B615&amp;")")</f>
        <v>#NAME?</v>
      </c>
    </row>
    <row r="616" spans="2:5">
      <c r="B616" s="244">
        <f t="shared" si="51"/>
        <v>44079</v>
      </c>
      <c r="C616" s="245" t="e">
        <f ca="1">_xll.FDS("EURUSD","FG_PRICE("&amp;B616&amp;")")</f>
        <v>#NAME?</v>
      </c>
      <c r="D616" t="e">
        <f ca="1">_xll.FDS("GBPUSD","FG_PRICE("&amp;B616&amp;")")</f>
        <v>#NAME?</v>
      </c>
      <c r="E616" t="e">
        <f ca="1">_xll.FDSB("JPYUSD","FG_PRICE("&amp;B616&amp;")")</f>
        <v>#NAME?</v>
      </c>
    </row>
    <row r="617" spans="2:5">
      <c r="B617" s="244">
        <f t="shared" si="51"/>
        <v>44080</v>
      </c>
      <c r="C617" s="245" t="e">
        <f ca="1">_xll.FDS("EURUSD","FG_PRICE("&amp;B617&amp;")")</f>
        <v>#NAME?</v>
      </c>
      <c r="D617" t="e">
        <f ca="1">_xll.FDS("GBPUSD","FG_PRICE("&amp;B617&amp;")")</f>
        <v>#NAME?</v>
      </c>
      <c r="E617" t="e">
        <f ca="1">_xll.FDSB("JPYUSD","FG_PRICE("&amp;B617&amp;")")</f>
        <v>#NAME?</v>
      </c>
    </row>
    <row r="618" spans="2:5">
      <c r="B618" s="244">
        <f t="shared" si="51"/>
        <v>44081</v>
      </c>
      <c r="C618" s="245" t="e">
        <f ca="1">_xll.FDS("EURUSD","FG_PRICE("&amp;B618&amp;")")</f>
        <v>#NAME?</v>
      </c>
      <c r="D618" t="e">
        <f ca="1">_xll.FDS("GBPUSD","FG_PRICE("&amp;B618&amp;")")</f>
        <v>#NAME?</v>
      </c>
      <c r="E618" t="e">
        <f ca="1">_xll.FDSB("JPYUSD","FG_PRICE("&amp;B618&amp;")")</f>
        <v>#NAME?</v>
      </c>
    </row>
    <row r="619" spans="2:5">
      <c r="B619" s="244">
        <f t="shared" si="51"/>
        <v>44082</v>
      </c>
      <c r="C619" s="245" t="e">
        <f ca="1">_xll.FDS("EURUSD","FG_PRICE("&amp;B619&amp;")")</f>
        <v>#NAME?</v>
      </c>
      <c r="D619" t="e">
        <f ca="1">_xll.FDS("GBPUSD","FG_PRICE("&amp;B619&amp;")")</f>
        <v>#NAME?</v>
      </c>
      <c r="E619" t="e">
        <f ca="1">_xll.FDSB("JPYUSD","FG_PRICE("&amp;B619&amp;")")</f>
        <v>#NAME?</v>
      </c>
    </row>
    <row r="620" spans="2:5">
      <c r="B620" s="244">
        <f t="shared" si="51"/>
        <v>44083</v>
      </c>
      <c r="C620" s="245" t="e">
        <f ca="1">_xll.FDS("EURUSD","FG_PRICE("&amp;B620&amp;")")</f>
        <v>#NAME?</v>
      </c>
      <c r="D620" t="e">
        <f ca="1">_xll.FDS("GBPUSD","FG_PRICE("&amp;B620&amp;")")</f>
        <v>#NAME?</v>
      </c>
      <c r="E620" t="e">
        <f ca="1">_xll.FDSB("JPYUSD","FG_PRICE("&amp;B620&amp;")")</f>
        <v>#NAME?</v>
      </c>
    </row>
    <row r="621" spans="2:5">
      <c r="B621" s="244">
        <f t="shared" si="51"/>
        <v>44084</v>
      </c>
      <c r="C621" s="245" t="e">
        <f ca="1">_xll.FDS("EURUSD","FG_PRICE("&amp;B621&amp;")")</f>
        <v>#NAME?</v>
      </c>
      <c r="D621" t="e">
        <f ca="1">_xll.FDS("GBPUSD","FG_PRICE("&amp;B621&amp;")")</f>
        <v>#NAME?</v>
      </c>
      <c r="E621" t="e">
        <f ca="1">_xll.FDSB("JPYUSD","FG_PRICE("&amp;B621&amp;")")</f>
        <v>#NAME?</v>
      </c>
    </row>
    <row r="622" spans="2:5">
      <c r="B622" s="244">
        <f t="shared" si="51"/>
        <v>44085</v>
      </c>
      <c r="C622" s="245" t="e">
        <f ca="1">_xll.FDS("EURUSD","FG_PRICE("&amp;B622&amp;")")</f>
        <v>#NAME?</v>
      </c>
      <c r="D622" t="e">
        <f ca="1">_xll.FDS("GBPUSD","FG_PRICE("&amp;B622&amp;")")</f>
        <v>#NAME?</v>
      </c>
      <c r="E622" t="e">
        <f ca="1">_xll.FDSB("JPYUSD","FG_PRICE("&amp;B622&amp;")")</f>
        <v>#NAME?</v>
      </c>
    </row>
    <row r="623" spans="2:5">
      <c r="B623" s="244">
        <f t="shared" si="51"/>
        <v>44086</v>
      </c>
      <c r="C623" s="245" t="e">
        <f ca="1">_xll.FDS("EURUSD","FG_PRICE("&amp;B623&amp;")")</f>
        <v>#NAME?</v>
      </c>
      <c r="D623" t="e">
        <f ca="1">_xll.FDS("GBPUSD","FG_PRICE("&amp;B623&amp;")")</f>
        <v>#NAME?</v>
      </c>
      <c r="E623" t="e">
        <f ca="1">_xll.FDSB("JPYUSD","FG_PRICE("&amp;B623&amp;")")</f>
        <v>#NAME?</v>
      </c>
    </row>
    <row r="624" spans="2:5">
      <c r="B624" s="244">
        <f t="shared" si="51"/>
        <v>44087</v>
      </c>
      <c r="C624" s="245" t="e">
        <f ca="1">_xll.FDS("EURUSD","FG_PRICE("&amp;B624&amp;")")</f>
        <v>#NAME?</v>
      </c>
      <c r="D624" t="e">
        <f ca="1">_xll.FDS("GBPUSD","FG_PRICE("&amp;B624&amp;")")</f>
        <v>#NAME?</v>
      </c>
      <c r="E624" t="e">
        <f ca="1">_xll.FDSB("JPYUSD","FG_PRICE("&amp;B624&amp;")")</f>
        <v>#NAME?</v>
      </c>
    </row>
    <row r="625" spans="2:5">
      <c r="B625" s="244">
        <f t="shared" si="51"/>
        <v>44088</v>
      </c>
      <c r="C625" s="245" t="e">
        <f ca="1">_xll.FDS("EURUSD","FG_PRICE("&amp;B625&amp;")")</f>
        <v>#NAME?</v>
      </c>
      <c r="D625" t="e">
        <f ca="1">_xll.FDS("GBPUSD","FG_PRICE("&amp;B625&amp;")")</f>
        <v>#NAME?</v>
      </c>
      <c r="E625" t="e">
        <f ca="1">_xll.FDSB("JPYUSD","FG_PRICE("&amp;B625&amp;")")</f>
        <v>#NAME?</v>
      </c>
    </row>
    <row r="626" spans="2:5">
      <c r="B626" s="244">
        <f t="shared" si="51"/>
        <v>44089</v>
      </c>
      <c r="C626" s="245" t="e">
        <f ca="1">_xll.FDS("EURUSD","FG_PRICE("&amp;B626&amp;")")</f>
        <v>#NAME?</v>
      </c>
      <c r="D626" t="e">
        <f ca="1">_xll.FDS("GBPUSD","FG_PRICE("&amp;B626&amp;")")</f>
        <v>#NAME?</v>
      </c>
      <c r="E626" t="e">
        <f ca="1">_xll.FDSB("JPYUSD","FG_PRICE("&amp;B626&amp;")")</f>
        <v>#NAME?</v>
      </c>
    </row>
    <row r="627" spans="2:5">
      <c r="B627" s="244">
        <f t="shared" si="51"/>
        <v>44090</v>
      </c>
      <c r="C627" s="245" t="e">
        <f ca="1">_xll.FDS("EURUSD","FG_PRICE("&amp;B627&amp;")")</f>
        <v>#NAME?</v>
      </c>
      <c r="D627" t="e">
        <f ca="1">_xll.FDS("GBPUSD","FG_PRICE("&amp;B627&amp;")")</f>
        <v>#NAME?</v>
      </c>
      <c r="E627" t="e">
        <f ca="1">_xll.FDSB("JPYUSD","FG_PRICE("&amp;B627&amp;")")</f>
        <v>#NAME?</v>
      </c>
    </row>
    <row r="628" spans="2:5">
      <c r="B628" s="244">
        <f t="shared" si="51"/>
        <v>44091</v>
      </c>
      <c r="C628" s="245" t="e">
        <f ca="1">_xll.FDS("EURUSD","FG_PRICE("&amp;B628&amp;")")</f>
        <v>#NAME?</v>
      </c>
      <c r="D628" t="e">
        <f ca="1">_xll.FDS("GBPUSD","FG_PRICE("&amp;B628&amp;")")</f>
        <v>#NAME?</v>
      </c>
      <c r="E628" t="e">
        <f ca="1">_xll.FDSB("JPYUSD","FG_PRICE("&amp;B628&amp;")")</f>
        <v>#NAME?</v>
      </c>
    </row>
    <row r="629" spans="2:5">
      <c r="B629" s="244">
        <f t="shared" si="51"/>
        <v>44092</v>
      </c>
      <c r="C629" s="245" t="e">
        <f ca="1">_xll.FDS("EURUSD","FG_PRICE("&amp;B629&amp;")")</f>
        <v>#NAME?</v>
      </c>
      <c r="D629" t="e">
        <f ca="1">_xll.FDS("GBPUSD","FG_PRICE("&amp;B629&amp;")")</f>
        <v>#NAME?</v>
      </c>
      <c r="E629" t="e">
        <f ca="1">_xll.FDSB("JPYUSD","FG_PRICE("&amp;B629&amp;")")</f>
        <v>#NAME?</v>
      </c>
    </row>
    <row r="630" spans="2:5">
      <c r="B630" s="244">
        <f t="shared" si="51"/>
        <v>44093</v>
      </c>
      <c r="C630" s="245" t="e">
        <f ca="1">_xll.FDS("EURUSD","FG_PRICE("&amp;B630&amp;")")</f>
        <v>#NAME?</v>
      </c>
      <c r="D630" t="e">
        <f ca="1">_xll.FDS("GBPUSD","FG_PRICE("&amp;B630&amp;")")</f>
        <v>#NAME?</v>
      </c>
      <c r="E630" t="e">
        <f ca="1">_xll.FDSB("JPYUSD","FG_PRICE("&amp;B630&amp;")")</f>
        <v>#NAME?</v>
      </c>
    </row>
    <row r="631" spans="2:5">
      <c r="B631" s="244">
        <f t="shared" si="51"/>
        <v>44094</v>
      </c>
      <c r="C631" s="245" t="e">
        <f ca="1">_xll.FDS("EURUSD","FG_PRICE("&amp;B631&amp;")")</f>
        <v>#NAME?</v>
      </c>
      <c r="D631" t="e">
        <f ca="1">_xll.FDS("GBPUSD","FG_PRICE("&amp;B631&amp;")")</f>
        <v>#NAME?</v>
      </c>
      <c r="E631" t="e">
        <f ca="1">_xll.FDSB("JPYUSD","FG_PRICE("&amp;B631&amp;")")</f>
        <v>#NAME?</v>
      </c>
    </row>
    <row r="632" spans="2:5">
      <c r="B632" s="244">
        <f t="shared" si="51"/>
        <v>44095</v>
      </c>
      <c r="C632" s="245" t="e">
        <f ca="1">_xll.FDS("EURUSD","FG_PRICE("&amp;B632&amp;")")</f>
        <v>#NAME?</v>
      </c>
      <c r="D632" t="e">
        <f ca="1">_xll.FDS("GBPUSD","FG_PRICE("&amp;B632&amp;")")</f>
        <v>#NAME?</v>
      </c>
      <c r="E632" t="e">
        <f ca="1">_xll.FDSB("JPYUSD","FG_PRICE("&amp;B632&amp;")")</f>
        <v>#NAME?</v>
      </c>
    </row>
    <row r="633" spans="2:5">
      <c r="B633" s="244">
        <f t="shared" si="51"/>
        <v>44096</v>
      </c>
      <c r="C633" s="245" t="e">
        <f ca="1">_xll.FDS("EURUSD","FG_PRICE("&amp;B633&amp;")")</f>
        <v>#NAME?</v>
      </c>
      <c r="D633" t="e">
        <f ca="1">_xll.FDS("GBPUSD","FG_PRICE("&amp;B633&amp;")")</f>
        <v>#NAME?</v>
      </c>
      <c r="E633" t="e">
        <f ca="1">_xll.FDSB("JPYUSD","FG_PRICE("&amp;B633&amp;")")</f>
        <v>#NAME?</v>
      </c>
    </row>
    <row r="634" spans="2:5">
      <c r="B634" s="244">
        <f t="shared" si="51"/>
        <v>44097</v>
      </c>
      <c r="C634" s="245" t="e">
        <f ca="1">_xll.FDS("EURUSD","FG_PRICE("&amp;B634&amp;")")</f>
        <v>#NAME?</v>
      </c>
      <c r="D634" t="e">
        <f ca="1">_xll.FDS("GBPUSD","FG_PRICE("&amp;B634&amp;")")</f>
        <v>#NAME?</v>
      </c>
      <c r="E634" t="e">
        <f ca="1">_xll.FDSB("JPYUSD","FG_PRICE("&amp;B634&amp;")")</f>
        <v>#NAME?</v>
      </c>
    </row>
    <row r="635" spans="2:5">
      <c r="B635" s="244">
        <f t="shared" si="51"/>
        <v>44098</v>
      </c>
      <c r="C635" s="245" t="e">
        <f ca="1">_xll.FDS("EURUSD","FG_PRICE("&amp;B635&amp;")")</f>
        <v>#NAME?</v>
      </c>
      <c r="D635" t="e">
        <f ca="1">_xll.FDS("GBPUSD","FG_PRICE("&amp;B635&amp;")")</f>
        <v>#NAME?</v>
      </c>
      <c r="E635" t="e">
        <f ca="1">_xll.FDSB("JPYUSD","FG_PRICE("&amp;B635&amp;")")</f>
        <v>#NAME?</v>
      </c>
    </row>
    <row r="636" spans="2:5">
      <c r="B636" s="244">
        <f t="shared" si="51"/>
        <v>44099</v>
      </c>
      <c r="C636" s="245" t="e">
        <f ca="1">_xll.FDS("EURUSD","FG_PRICE("&amp;B636&amp;")")</f>
        <v>#NAME?</v>
      </c>
      <c r="D636" t="e">
        <f ca="1">_xll.FDS("GBPUSD","FG_PRICE("&amp;B636&amp;")")</f>
        <v>#NAME?</v>
      </c>
      <c r="E636" t="e">
        <f ca="1">_xll.FDSB("JPYUSD","FG_PRICE("&amp;B636&amp;")")</f>
        <v>#NAME?</v>
      </c>
    </row>
    <row r="637" spans="2:5">
      <c r="B637" s="244">
        <f t="shared" si="51"/>
        <v>44100</v>
      </c>
      <c r="C637" s="245" t="e">
        <f ca="1">_xll.FDS("EURUSD","FG_PRICE("&amp;B637&amp;")")</f>
        <v>#NAME?</v>
      </c>
      <c r="D637" t="e">
        <f ca="1">_xll.FDS("GBPUSD","FG_PRICE("&amp;B637&amp;")")</f>
        <v>#NAME?</v>
      </c>
      <c r="E637" t="e">
        <f ca="1">_xll.FDSB("JPYUSD","FG_PRICE("&amp;B637&amp;")")</f>
        <v>#NAME?</v>
      </c>
    </row>
    <row r="638" spans="2:5">
      <c r="B638" s="244">
        <f t="shared" si="51"/>
        <v>44101</v>
      </c>
      <c r="C638" s="245" t="e">
        <f ca="1">_xll.FDS("EURUSD","FG_PRICE("&amp;B638&amp;")")</f>
        <v>#NAME?</v>
      </c>
      <c r="D638" t="e">
        <f ca="1">_xll.FDS("GBPUSD","FG_PRICE("&amp;B638&amp;")")</f>
        <v>#NAME?</v>
      </c>
      <c r="E638" t="e">
        <f ca="1">_xll.FDSB("JPYUSD","FG_PRICE("&amp;B638&amp;")")</f>
        <v>#NAME?</v>
      </c>
    </row>
    <row r="639" spans="2:5">
      <c r="B639" s="244">
        <f t="shared" si="51"/>
        <v>44102</v>
      </c>
      <c r="C639" s="245" t="e">
        <f ca="1">_xll.FDS("EURUSD","FG_PRICE("&amp;B639&amp;")")</f>
        <v>#NAME?</v>
      </c>
      <c r="D639" t="e">
        <f ca="1">_xll.FDS("GBPUSD","FG_PRICE("&amp;B639&amp;")")</f>
        <v>#NAME?</v>
      </c>
      <c r="E639" t="e">
        <f ca="1">_xll.FDSB("JPYUSD","FG_PRICE("&amp;B639&amp;")")</f>
        <v>#NAME?</v>
      </c>
    </row>
    <row r="640" spans="2:5">
      <c r="B640" s="244">
        <f t="shared" si="51"/>
        <v>44103</v>
      </c>
      <c r="C640" s="245" t="e">
        <f ca="1">_xll.FDS("EURUSD","FG_PRICE("&amp;B640&amp;")")</f>
        <v>#NAME?</v>
      </c>
      <c r="D640" t="e">
        <f ca="1">_xll.FDS("GBPUSD","FG_PRICE("&amp;B640&amp;")")</f>
        <v>#NAME?</v>
      </c>
      <c r="E640" t="e">
        <f ca="1">_xll.FDSB("JPYUSD","FG_PRICE("&amp;B640&amp;")")</f>
        <v>#NAME?</v>
      </c>
    </row>
    <row r="641" spans="2:5">
      <c r="B641" s="244">
        <f t="shared" si="51"/>
        <v>44104</v>
      </c>
      <c r="C641" s="245" t="e">
        <f ca="1">_xll.FDS("EURUSD","FG_PRICE("&amp;B641&amp;")")</f>
        <v>#NAME?</v>
      </c>
      <c r="D641" t="e">
        <f ca="1">_xll.FDS("GBPUSD","FG_PRICE("&amp;B641&amp;")")</f>
        <v>#NAME?</v>
      </c>
      <c r="E641" t="e">
        <f ca="1">_xll.FDSB("JPYUSD","FG_PRICE("&amp;B641&amp;")")</f>
        <v>#NAME?</v>
      </c>
    </row>
    <row r="642" spans="2:5">
      <c r="B642" s="244">
        <f t="shared" si="51"/>
        <v>44105</v>
      </c>
      <c r="C642" s="245" t="e">
        <f ca="1">_xll.FDS("EURUSD","FG_PRICE("&amp;B642&amp;")")</f>
        <v>#NAME?</v>
      </c>
      <c r="D642" t="e">
        <f ca="1">_xll.FDS("GBPUSD","FG_PRICE("&amp;B642&amp;")")</f>
        <v>#NAME?</v>
      </c>
      <c r="E642" t="e">
        <f ca="1">_xll.FDSB("JPYUSD","FG_PRICE("&amp;B642&amp;")")</f>
        <v>#NAME?</v>
      </c>
    </row>
    <row r="643" spans="2:5">
      <c r="B643" s="244">
        <f t="shared" si="51"/>
        <v>44106</v>
      </c>
      <c r="C643" s="245" t="e">
        <f ca="1">_xll.FDS("EURUSD","FG_PRICE("&amp;B643&amp;")")</f>
        <v>#NAME?</v>
      </c>
      <c r="D643" t="e">
        <f ca="1">_xll.FDS("GBPUSD","FG_PRICE("&amp;B643&amp;")")</f>
        <v>#NAME?</v>
      </c>
      <c r="E643" t="e">
        <f ca="1">_xll.FDSB("JPYUSD","FG_PRICE("&amp;B643&amp;")")</f>
        <v>#NAME?</v>
      </c>
    </row>
    <row r="644" spans="2:5">
      <c r="B644" s="244">
        <f t="shared" si="51"/>
        <v>44107</v>
      </c>
      <c r="C644" s="245" t="e">
        <f ca="1">_xll.FDS("EURUSD","FG_PRICE("&amp;B644&amp;")")</f>
        <v>#NAME?</v>
      </c>
      <c r="D644" t="e">
        <f ca="1">_xll.FDS("GBPUSD","FG_PRICE("&amp;B644&amp;")")</f>
        <v>#NAME?</v>
      </c>
      <c r="E644" t="e">
        <f ca="1">_xll.FDSB("JPYUSD","FG_PRICE("&amp;B644&amp;")")</f>
        <v>#NAME?</v>
      </c>
    </row>
    <row r="645" spans="2:5">
      <c r="B645" s="244">
        <f t="shared" ref="B645:B708" si="52">B644+1</f>
        <v>44108</v>
      </c>
      <c r="C645" s="245" t="e">
        <f ca="1">_xll.FDS("EURUSD","FG_PRICE("&amp;B645&amp;")")</f>
        <v>#NAME?</v>
      </c>
      <c r="D645" t="e">
        <f ca="1">_xll.FDS("GBPUSD","FG_PRICE("&amp;B645&amp;")")</f>
        <v>#NAME?</v>
      </c>
      <c r="E645" t="e">
        <f ca="1">_xll.FDSB("JPYUSD","FG_PRICE("&amp;B645&amp;")")</f>
        <v>#NAME?</v>
      </c>
    </row>
    <row r="646" spans="2:5">
      <c r="B646" s="244">
        <f t="shared" si="52"/>
        <v>44109</v>
      </c>
      <c r="C646" s="245" t="e">
        <f ca="1">_xll.FDS("EURUSD","FG_PRICE("&amp;B646&amp;")")</f>
        <v>#NAME?</v>
      </c>
      <c r="D646" t="e">
        <f ca="1">_xll.FDS("GBPUSD","FG_PRICE("&amp;B646&amp;")")</f>
        <v>#NAME?</v>
      </c>
      <c r="E646" t="e">
        <f ca="1">_xll.FDSB("JPYUSD","FG_PRICE("&amp;B646&amp;")")</f>
        <v>#NAME?</v>
      </c>
    </row>
    <row r="647" spans="2:5">
      <c r="B647" s="244">
        <f t="shared" si="52"/>
        <v>44110</v>
      </c>
      <c r="C647" s="245" t="e">
        <f ca="1">_xll.FDS("EURUSD","FG_PRICE("&amp;B647&amp;")")</f>
        <v>#NAME?</v>
      </c>
      <c r="D647" t="e">
        <f ca="1">_xll.FDS("GBPUSD","FG_PRICE("&amp;B647&amp;")")</f>
        <v>#NAME?</v>
      </c>
      <c r="E647" t="e">
        <f ca="1">_xll.FDSB("JPYUSD","FG_PRICE("&amp;B647&amp;")")</f>
        <v>#NAME?</v>
      </c>
    </row>
    <row r="648" spans="2:5">
      <c r="B648" s="244">
        <f t="shared" si="52"/>
        <v>44111</v>
      </c>
      <c r="C648" s="245" t="e">
        <f ca="1">_xll.FDS("EURUSD","FG_PRICE("&amp;B648&amp;")")</f>
        <v>#NAME?</v>
      </c>
      <c r="D648" t="e">
        <f ca="1">_xll.FDS("GBPUSD","FG_PRICE("&amp;B648&amp;")")</f>
        <v>#NAME?</v>
      </c>
      <c r="E648" t="e">
        <f ca="1">_xll.FDSB("JPYUSD","FG_PRICE("&amp;B648&amp;")")</f>
        <v>#NAME?</v>
      </c>
    </row>
    <row r="649" spans="2:5">
      <c r="B649" s="244">
        <f t="shared" si="52"/>
        <v>44112</v>
      </c>
      <c r="C649" s="245" t="e">
        <f ca="1">_xll.FDS("EURUSD","FG_PRICE("&amp;B649&amp;")")</f>
        <v>#NAME?</v>
      </c>
      <c r="D649" t="e">
        <f ca="1">_xll.FDS("GBPUSD","FG_PRICE("&amp;B649&amp;")")</f>
        <v>#NAME?</v>
      </c>
      <c r="E649" t="e">
        <f ca="1">_xll.FDSB("JPYUSD","FG_PRICE("&amp;B649&amp;")")</f>
        <v>#NAME?</v>
      </c>
    </row>
    <row r="650" spans="2:5">
      <c r="B650" s="244">
        <f t="shared" si="52"/>
        <v>44113</v>
      </c>
      <c r="C650" s="245" t="e">
        <f ca="1">_xll.FDS("EURUSD","FG_PRICE("&amp;B650&amp;")")</f>
        <v>#NAME?</v>
      </c>
      <c r="D650" t="e">
        <f ca="1">_xll.FDS("GBPUSD","FG_PRICE("&amp;B650&amp;")")</f>
        <v>#NAME?</v>
      </c>
      <c r="E650" t="e">
        <f ca="1">_xll.FDSB("JPYUSD","FG_PRICE("&amp;B650&amp;")")</f>
        <v>#NAME?</v>
      </c>
    </row>
    <row r="651" spans="2:5">
      <c r="B651" s="244">
        <f t="shared" si="52"/>
        <v>44114</v>
      </c>
      <c r="C651" s="245" t="e">
        <f ca="1">_xll.FDS("EURUSD","FG_PRICE("&amp;B651&amp;")")</f>
        <v>#NAME?</v>
      </c>
      <c r="D651" t="e">
        <f ca="1">_xll.FDS("GBPUSD","FG_PRICE("&amp;B651&amp;")")</f>
        <v>#NAME?</v>
      </c>
      <c r="E651" t="e">
        <f ca="1">_xll.FDSB("JPYUSD","FG_PRICE("&amp;B651&amp;")")</f>
        <v>#NAME?</v>
      </c>
    </row>
    <row r="652" spans="2:5">
      <c r="B652" s="244">
        <f t="shared" si="52"/>
        <v>44115</v>
      </c>
      <c r="C652" s="245" t="e">
        <f ca="1">_xll.FDS("EURUSD","FG_PRICE("&amp;B652&amp;")")</f>
        <v>#NAME?</v>
      </c>
      <c r="D652" t="e">
        <f ca="1">_xll.FDS("GBPUSD","FG_PRICE("&amp;B652&amp;")")</f>
        <v>#NAME?</v>
      </c>
      <c r="E652" t="e">
        <f ca="1">_xll.FDSB("JPYUSD","FG_PRICE("&amp;B652&amp;")")</f>
        <v>#NAME?</v>
      </c>
    </row>
    <row r="653" spans="2:5">
      <c r="B653" s="244">
        <f t="shared" si="52"/>
        <v>44116</v>
      </c>
      <c r="C653" s="245" t="e">
        <f ca="1">_xll.FDS("EURUSD","FG_PRICE("&amp;B653&amp;")")</f>
        <v>#NAME?</v>
      </c>
      <c r="D653" t="e">
        <f ca="1">_xll.FDS("GBPUSD","FG_PRICE("&amp;B653&amp;")")</f>
        <v>#NAME?</v>
      </c>
      <c r="E653" t="e">
        <f ca="1">_xll.FDSB("JPYUSD","FG_PRICE("&amp;B653&amp;")")</f>
        <v>#NAME?</v>
      </c>
    </row>
    <row r="654" spans="2:5">
      <c r="B654" s="244">
        <f t="shared" si="52"/>
        <v>44117</v>
      </c>
      <c r="C654" s="245" t="e">
        <f ca="1">_xll.FDS("EURUSD","FG_PRICE("&amp;B654&amp;")")</f>
        <v>#NAME?</v>
      </c>
      <c r="D654" t="e">
        <f ca="1">_xll.FDS("GBPUSD","FG_PRICE("&amp;B654&amp;")")</f>
        <v>#NAME?</v>
      </c>
      <c r="E654" t="e">
        <f ca="1">_xll.FDSB("JPYUSD","FG_PRICE("&amp;B654&amp;")")</f>
        <v>#NAME?</v>
      </c>
    </row>
    <row r="655" spans="2:5">
      <c r="B655" s="244">
        <f t="shared" si="52"/>
        <v>44118</v>
      </c>
      <c r="C655" s="245" t="e">
        <f ca="1">_xll.FDS("EURUSD","FG_PRICE("&amp;B655&amp;")")</f>
        <v>#NAME?</v>
      </c>
      <c r="D655" t="e">
        <f ca="1">_xll.FDS("GBPUSD","FG_PRICE("&amp;B655&amp;")")</f>
        <v>#NAME?</v>
      </c>
      <c r="E655" t="e">
        <f ca="1">_xll.FDSB("JPYUSD","FG_PRICE("&amp;B655&amp;")")</f>
        <v>#NAME?</v>
      </c>
    </row>
    <row r="656" spans="2:5">
      <c r="B656" s="244">
        <f t="shared" si="52"/>
        <v>44119</v>
      </c>
      <c r="C656" s="245" t="e">
        <f ca="1">_xll.FDS("EURUSD","FG_PRICE("&amp;B656&amp;")")</f>
        <v>#NAME?</v>
      </c>
      <c r="D656" t="e">
        <f ca="1">_xll.FDS("GBPUSD","FG_PRICE("&amp;B656&amp;")")</f>
        <v>#NAME?</v>
      </c>
      <c r="E656" t="e">
        <f ca="1">_xll.FDSB("JPYUSD","FG_PRICE("&amp;B656&amp;")")</f>
        <v>#NAME?</v>
      </c>
    </row>
    <row r="657" spans="2:5">
      <c r="B657" s="244">
        <f t="shared" si="52"/>
        <v>44120</v>
      </c>
      <c r="C657" s="245" t="e">
        <f ca="1">_xll.FDS("EURUSD","FG_PRICE("&amp;B657&amp;")")</f>
        <v>#NAME?</v>
      </c>
      <c r="D657" t="e">
        <f ca="1">_xll.FDS("GBPUSD","FG_PRICE("&amp;B657&amp;")")</f>
        <v>#NAME?</v>
      </c>
      <c r="E657" t="e">
        <f ca="1">_xll.FDSB("JPYUSD","FG_PRICE("&amp;B657&amp;")")</f>
        <v>#NAME?</v>
      </c>
    </row>
    <row r="658" spans="2:5">
      <c r="B658" s="244">
        <f t="shared" si="52"/>
        <v>44121</v>
      </c>
      <c r="C658" s="245" t="e">
        <f ca="1">_xll.FDS("EURUSD","FG_PRICE("&amp;B658&amp;")")</f>
        <v>#NAME?</v>
      </c>
      <c r="D658" t="e">
        <f ca="1">_xll.FDS("GBPUSD","FG_PRICE("&amp;B658&amp;")")</f>
        <v>#NAME?</v>
      </c>
      <c r="E658" t="e">
        <f ca="1">_xll.FDSB("JPYUSD","FG_PRICE("&amp;B658&amp;")")</f>
        <v>#NAME?</v>
      </c>
    </row>
    <row r="659" spans="2:5">
      <c r="B659" s="244">
        <f t="shared" si="52"/>
        <v>44122</v>
      </c>
      <c r="C659" s="245" t="e">
        <f ca="1">_xll.FDS("EURUSD","FG_PRICE("&amp;B659&amp;")")</f>
        <v>#NAME?</v>
      </c>
      <c r="D659" t="e">
        <f ca="1">_xll.FDS("GBPUSD","FG_PRICE("&amp;B659&amp;")")</f>
        <v>#NAME?</v>
      </c>
      <c r="E659" t="e">
        <f ca="1">_xll.FDSB("JPYUSD","FG_PRICE("&amp;B659&amp;")")</f>
        <v>#NAME?</v>
      </c>
    </row>
    <row r="660" spans="2:5">
      <c r="B660" s="244">
        <f t="shared" si="52"/>
        <v>44123</v>
      </c>
      <c r="C660" s="245" t="e">
        <f ca="1">_xll.FDS("EURUSD","FG_PRICE("&amp;B660&amp;")")</f>
        <v>#NAME?</v>
      </c>
      <c r="D660" t="e">
        <f ca="1">_xll.FDS("GBPUSD","FG_PRICE("&amp;B660&amp;")")</f>
        <v>#NAME?</v>
      </c>
      <c r="E660" t="e">
        <f ca="1">_xll.FDSB("JPYUSD","FG_PRICE("&amp;B660&amp;")")</f>
        <v>#NAME?</v>
      </c>
    </row>
    <row r="661" spans="2:5">
      <c r="B661" s="244">
        <f t="shared" si="52"/>
        <v>44124</v>
      </c>
      <c r="C661" s="245" t="e">
        <f ca="1">_xll.FDS("EURUSD","FG_PRICE("&amp;B661&amp;")")</f>
        <v>#NAME?</v>
      </c>
      <c r="D661" t="e">
        <f ca="1">_xll.FDS("GBPUSD","FG_PRICE("&amp;B661&amp;")")</f>
        <v>#NAME?</v>
      </c>
      <c r="E661" t="e">
        <f ca="1">_xll.FDSB("JPYUSD","FG_PRICE("&amp;B661&amp;")")</f>
        <v>#NAME?</v>
      </c>
    </row>
    <row r="662" spans="2:5">
      <c r="B662" s="244">
        <f t="shared" si="52"/>
        <v>44125</v>
      </c>
      <c r="C662" s="245" t="e">
        <f ca="1">_xll.FDS("EURUSD","FG_PRICE("&amp;B662&amp;")")</f>
        <v>#NAME?</v>
      </c>
      <c r="D662" t="e">
        <f ca="1">_xll.FDS("GBPUSD","FG_PRICE("&amp;B662&amp;")")</f>
        <v>#NAME?</v>
      </c>
      <c r="E662" t="e">
        <f ca="1">_xll.FDSB("JPYUSD","FG_PRICE("&amp;B662&amp;")")</f>
        <v>#NAME?</v>
      </c>
    </row>
    <row r="663" spans="2:5">
      <c r="B663" s="244">
        <f t="shared" si="52"/>
        <v>44126</v>
      </c>
      <c r="C663" s="245" t="e">
        <f ca="1">_xll.FDS("EURUSD","FG_PRICE("&amp;B663&amp;")")</f>
        <v>#NAME?</v>
      </c>
      <c r="D663" t="e">
        <f ca="1">_xll.FDS("GBPUSD","FG_PRICE("&amp;B663&amp;")")</f>
        <v>#NAME?</v>
      </c>
      <c r="E663" t="e">
        <f ca="1">_xll.FDSB("JPYUSD","FG_PRICE("&amp;B663&amp;")")</f>
        <v>#NAME?</v>
      </c>
    </row>
    <row r="664" spans="2:5">
      <c r="B664" s="244">
        <f t="shared" si="52"/>
        <v>44127</v>
      </c>
      <c r="C664" s="245" t="e">
        <f ca="1">_xll.FDS("EURUSD","FG_PRICE("&amp;B664&amp;")")</f>
        <v>#NAME?</v>
      </c>
      <c r="D664" t="e">
        <f ca="1">_xll.FDS("GBPUSD","FG_PRICE("&amp;B664&amp;")")</f>
        <v>#NAME?</v>
      </c>
      <c r="E664" t="e">
        <f ca="1">_xll.FDSB("JPYUSD","FG_PRICE("&amp;B664&amp;")")</f>
        <v>#NAME?</v>
      </c>
    </row>
    <row r="665" spans="2:5">
      <c r="B665" s="244">
        <f t="shared" si="52"/>
        <v>44128</v>
      </c>
      <c r="C665" s="245" t="e">
        <f ca="1">_xll.FDS("EURUSD","FG_PRICE("&amp;B665&amp;")")</f>
        <v>#NAME?</v>
      </c>
      <c r="D665" t="e">
        <f ca="1">_xll.FDS("GBPUSD","FG_PRICE("&amp;B665&amp;")")</f>
        <v>#NAME?</v>
      </c>
      <c r="E665" t="e">
        <f ca="1">_xll.FDSB("JPYUSD","FG_PRICE("&amp;B665&amp;")")</f>
        <v>#NAME?</v>
      </c>
    </row>
    <row r="666" spans="2:5">
      <c r="B666" s="244">
        <f t="shared" si="52"/>
        <v>44129</v>
      </c>
      <c r="C666" s="245" t="e">
        <f ca="1">_xll.FDS("EURUSD","FG_PRICE("&amp;B666&amp;")")</f>
        <v>#NAME?</v>
      </c>
      <c r="D666" t="e">
        <f ca="1">_xll.FDS("GBPUSD","FG_PRICE("&amp;B666&amp;")")</f>
        <v>#NAME?</v>
      </c>
      <c r="E666" t="e">
        <f ca="1">_xll.FDSB("JPYUSD","FG_PRICE("&amp;B666&amp;")")</f>
        <v>#NAME?</v>
      </c>
    </row>
    <row r="667" spans="2:5">
      <c r="B667" s="244">
        <f t="shared" si="52"/>
        <v>44130</v>
      </c>
      <c r="C667" s="245" t="e">
        <f ca="1">_xll.FDS("EURUSD","FG_PRICE("&amp;B667&amp;")")</f>
        <v>#NAME?</v>
      </c>
      <c r="D667" t="e">
        <f ca="1">_xll.FDS("GBPUSD","FG_PRICE("&amp;B667&amp;")")</f>
        <v>#NAME?</v>
      </c>
      <c r="E667" t="e">
        <f ca="1">_xll.FDSB("JPYUSD","FG_PRICE("&amp;B667&amp;")")</f>
        <v>#NAME?</v>
      </c>
    </row>
    <row r="668" spans="2:5">
      <c r="B668" s="244">
        <f t="shared" si="52"/>
        <v>44131</v>
      </c>
      <c r="C668" s="245" t="e">
        <f ca="1">_xll.FDS("EURUSD","FG_PRICE("&amp;B668&amp;")")</f>
        <v>#NAME?</v>
      </c>
      <c r="D668" t="e">
        <f ca="1">_xll.FDS("GBPUSD","FG_PRICE("&amp;B668&amp;")")</f>
        <v>#NAME?</v>
      </c>
      <c r="E668" t="e">
        <f ca="1">_xll.FDSB("JPYUSD","FG_PRICE("&amp;B668&amp;")")</f>
        <v>#NAME?</v>
      </c>
    </row>
    <row r="669" spans="2:5">
      <c r="B669" s="244">
        <f t="shared" si="52"/>
        <v>44132</v>
      </c>
      <c r="C669" s="245" t="e">
        <f ca="1">_xll.FDS("EURUSD","FG_PRICE("&amp;B669&amp;")")</f>
        <v>#NAME?</v>
      </c>
      <c r="D669" t="e">
        <f ca="1">_xll.FDS("GBPUSD","FG_PRICE("&amp;B669&amp;")")</f>
        <v>#NAME?</v>
      </c>
      <c r="E669" t="e">
        <f ca="1">_xll.FDSB("JPYUSD","FG_PRICE("&amp;B669&amp;")")</f>
        <v>#NAME?</v>
      </c>
    </row>
    <row r="670" spans="2:5">
      <c r="B670" s="244">
        <f t="shared" si="52"/>
        <v>44133</v>
      </c>
      <c r="C670" s="245" t="e">
        <f ca="1">_xll.FDS("EURUSD","FG_PRICE("&amp;B670&amp;")")</f>
        <v>#NAME?</v>
      </c>
      <c r="D670" t="e">
        <f ca="1">_xll.FDS("GBPUSD","FG_PRICE("&amp;B670&amp;")")</f>
        <v>#NAME?</v>
      </c>
      <c r="E670" t="e">
        <f ca="1">_xll.FDSB("JPYUSD","FG_PRICE("&amp;B670&amp;")")</f>
        <v>#NAME?</v>
      </c>
    </row>
    <row r="671" spans="2:5">
      <c r="B671" s="244">
        <f t="shared" si="52"/>
        <v>44134</v>
      </c>
      <c r="C671" s="245" t="e">
        <f ca="1">_xll.FDS("EURUSD","FG_PRICE("&amp;B671&amp;")")</f>
        <v>#NAME?</v>
      </c>
      <c r="D671" t="e">
        <f ca="1">_xll.FDS("GBPUSD","FG_PRICE("&amp;B671&amp;")")</f>
        <v>#NAME?</v>
      </c>
      <c r="E671" t="e">
        <f ca="1">_xll.FDSB("JPYUSD","FG_PRICE("&amp;B671&amp;")")</f>
        <v>#NAME?</v>
      </c>
    </row>
    <row r="672" spans="2:5">
      <c r="B672" s="244">
        <f t="shared" si="52"/>
        <v>44135</v>
      </c>
      <c r="C672" s="245" t="e">
        <f ca="1">_xll.FDS("EURUSD","FG_PRICE("&amp;B672&amp;")")</f>
        <v>#NAME?</v>
      </c>
      <c r="D672" t="e">
        <f ca="1">_xll.FDS("GBPUSD","FG_PRICE("&amp;B672&amp;")")</f>
        <v>#NAME?</v>
      </c>
      <c r="E672" t="e">
        <f ca="1">_xll.FDSB("JPYUSD","FG_PRICE("&amp;B672&amp;")")</f>
        <v>#NAME?</v>
      </c>
    </row>
    <row r="673" spans="2:5">
      <c r="B673" s="244">
        <f t="shared" si="52"/>
        <v>44136</v>
      </c>
      <c r="C673" s="245" t="e">
        <f ca="1">_xll.FDS("EURUSD","FG_PRICE("&amp;B673&amp;")")</f>
        <v>#NAME?</v>
      </c>
      <c r="D673" t="e">
        <f ca="1">_xll.FDS("GBPUSD","FG_PRICE("&amp;B673&amp;")")</f>
        <v>#NAME?</v>
      </c>
      <c r="E673" t="e">
        <f ca="1">_xll.FDSB("JPYUSD","FG_PRICE("&amp;B673&amp;")")</f>
        <v>#NAME?</v>
      </c>
    </row>
    <row r="674" spans="2:5">
      <c r="B674" s="244">
        <f t="shared" si="52"/>
        <v>44137</v>
      </c>
      <c r="C674" s="245" t="e">
        <f ca="1">_xll.FDS("EURUSD","FG_PRICE("&amp;B674&amp;")")</f>
        <v>#NAME?</v>
      </c>
      <c r="D674" t="e">
        <f ca="1">_xll.FDS("GBPUSD","FG_PRICE("&amp;B674&amp;")")</f>
        <v>#NAME?</v>
      </c>
      <c r="E674" t="e">
        <f ca="1">_xll.FDSB("JPYUSD","FG_PRICE("&amp;B674&amp;")")</f>
        <v>#NAME?</v>
      </c>
    </row>
    <row r="675" spans="2:5">
      <c r="B675" s="244">
        <f t="shared" si="52"/>
        <v>44138</v>
      </c>
      <c r="C675" s="245" t="e">
        <f ca="1">_xll.FDS("EURUSD","FG_PRICE("&amp;B675&amp;")")</f>
        <v>#NAME?</v>
      </c>
      <c r="D675" t="e">
        <f ca="1">_xll.FDS("GBPUSD","FG_PRICE("&amp;B675&amp;")")</f>
        <v>#NAME?</v>
      </c>
      <c r="E675" t="e">
        <f ca="1">_xll.FDSB("JPYUSD","FG_PRICE("&amp;B675&amp;")")</f>
        <v>#NAME?</v>
      </c>
    </row>
    <row r="676" spans="2:5">
      <c r="B676" s="244">
        <f t="shared" si="52"/>
        <v>44139</v>
      </c>
      <c r="C676" s="245" t="e">
        <f ca="1">_xll.FDS("EURUSD","FG_PRICE("&amp;B676&amp;")")</f>
        <v>#NAME?</v>
      </c>
      <c r="D676" t="e">
        <f ca="1">_xll.FDS("GBPUSD","FG_PRICE("&amp;B676&amp;")")</f>
        <v>#NAME?</v>
      </c>
      <c r="E676" t="e">
        <f ca="1">_xll.FDSB("JPYUSD","FG_PRICE("&amp;B676&amp;")")</f>
        <v>#NAME?</v>
      </c>
    </row>
    <row r="677" spans="2:5">
      <c r="B677" s="244">
        <f t="shared" si="52"/>
        <v>44140</v>
      </c>
      <c r="C677" s="245" t="e">
        <f ca="1">_xll.FDS("EURUSD","FG_PRICE("&amp;B677&amp;")")</f>
        <v>#NAME?</v>
      </c>
      <c r="D677" t="e">
        <f ca="1">_xll.FDS("GBPUSD","FG_PRICE("&amp;B677&amp;")")</f>
        <v>#NAME?</v>
      </c>
      <c r="E677" t="e">
        <f ca="1">_xll.FDSB("JPYUSD","FG_PRICE("&amp;B677&amp;")")</f>
        <v>#NAME?</v>
      </c>
    </row>
    <row r="678" spans="2:5">
      <c r="B678" s="244">
        <f t="shared" si="52"/>
        <v>44141</v>
      </c>
      <c r="C678" s="245" t="e">
        <f ca="1">_xll.FDS("EURUSD","FG_PRICE("&amp;B678&amp;")")</f>
        <v>#NAME?</v>
      </c>
      <c r="D678" t="e">
        <f ca="1">_xll.FDS("GBPUSD","FG_PRICE("&amp;B678&amp;")")</f>
        <v>#NAME?</v>
      </c>
      <c r="E678" t="e">
        <f ca="1">_xll.FDSB("JPYUSD","FG_PRICE("&amp;B678&amp;")")</f>
        <v>#NAME?</v>
      </c>
    </row>
    <row r="679" spans="2:5">
      <c r="B679" s="244">
        <f t="shared" si="52"/>
        <v>44142</v>
      </c>
      <c r="C679" s="245" t="e">
        <f ca="1">_xll.FDS("EURUSD","FG_PRICE("&amp;B679&amp;")")</f>
        <v>#NAME?</v>
      </c>
      <c r="D679" t="e">
        <f ca="1">_xll.FDS("GBPUSD","FG_PRICE("&amp;B679&amp;")")</f>
        <v>#NAME?</v>
      </c>
      <c r="E679" t="e">
        <f ca="1">_xll.FDSB("JPYUSD","FG_PRICE("&amp;B679&amp;")")</f>
        <v>#NAME?</v>
      </c>
    </row>
    <row r="680" spans="2:5">
      <c r="B680" s="244">
        <f t="shared" si="52"/>
        <v>44143</v>
      </c>
      <c r="C680" s="245" t="e">
        <f ca="1">_xll.FDS("EURUSD","FG_PRICE("&amp;B680&amp;")")</f>
        <v>#NAME?</v>
      </c>
      <c r="D680" t="e">
        <f ca="1">_xll.FDS("GBPUSD","FG_PRICE("&amp;B680&amp;")")</f>
        <v>#NAME?</v>
      </c>
      <c r="E680" t="e">
        <f ca="1">_xll.FDSB("JPYUSD","FG_PRICE("&amp;B680&amp;")")</f>
        <v>#NAME?</v>
      </c>
    </row>
    <row r="681" spans="2:5">
      <c r="B681" s="244">
        <f t="shared" si="52"/>
        <v>44144</v>
      </c>
      <c r="C681" s="245" t="e">
        <f ca="1">_xll.FDS("EURUSD","FG_PRICE("&amp;B681&amp;")")</f>
        <v>#NAME?</v>
      </c>
      <c r="D681" t="e">
        <f ca="1">_xll.FDS("GBPUSD","FG_PRICE("&amp;B681&amp;")")</f>
        <v>#NAME?</v>
      </c>
      <c r="E681" t="e">
        <f ca="1">_xll.FDSB("JPYUSD","FG_PRICE("&amp;B681&amp;")")</f>
        <v>#NAME?</v>
      </c>
    </row>
    <row r="682" spans="2:5">
      <c r="B682" s="244">
        <f t="shared" si="52"/>
        <v>44145</v>
      </c>
      <c r="C682" s="245" t="e">
        <f ca="1">_xll.FDS("EURUSD","FG_PRICE("&amp;B682&amp;")")</f>
        <v>#NAME?</v>
      </c>
      <c r="D682" t="e">
        <f ca="1">_xll.FDS("GBPUSD","FG_PRICE("&amp;B682&amp;")")</f>
        <v>#NAME?</v>
      </c>
      <c r="E682" t="e">
        <f ca="1">_xll.FDSB("JPYUSD","FG_PRICE("&amp;B682&amp;")")</f>
        <v>#NAME?</v>
      </c>
    </row>
    <row r="683" spans="2:5">
      <c r="B683" s="244">
        <f t="shared" si="52"/>
        <v>44146</v>
      </c>
      <c r="C683" s="245" t="e">
        <f ca="1">_xll.FDS("EURUSD","FG_PRICE("&amp;B683&amp;")")</f>
        <v>#NAME?</v>
      </c>
      <c r="D683" t="e">
        <f ca="1">_xll.FDS("GBPUSD","FG_PRICE("&amp;B683&amp;")")</f>
        <v>#NAME?</v>
      </c>
      <c r="E683" t="e">
        <f ca="1">_xll.FDSB("JPYUSD","FG_PRICE("&amp;B683&amp;")")</f>
        <v>#NAME?</v>
      </c>
    </row>
    <row r="684" spans="2:5">
      <c r="B684" s="244">
        <f t="shared" si="52"/>
        <v>44147</v>
      </c>
      <c r="C684" s="245" t="e">
        <f ca="1">_xll.FDS("EURUSD","FG_PRICE("&amp;B684&amp;")")</f>
        <v>#NAME?</v>
      </c>
      <c r="D684" t="e">
        <f ca="1">_xll.FDS("GBPUSD","FG_PRICE("&amp;B684&amp;")")</f>
        <v>#NAME?</v>
      </c>
      <c r="E684" t="e">
        <f ca="1">_xll.FDSB("JPYUSD","FG_PRICE("&amp;B684&amp;")")</f>
        <v>#NAME?</v>
      </c>
    </row>
    <row r="685" spans="2:5">
      <c r="B685" s="244">
        <f t="shared" si="52"/>
        <v>44148</v>
      </c>
      <c r="C685" s="245" t="e">
        <f ca="1">_xll.FDS("EURUSD","FG_PRICE("&amp;B685&amp;")")</f>
        <v>#NAME?</v>
      </c>
      <c r="D685" t="e">
        <f ca="1">_xll.FDS("GBPUSD","FG_PRICE("&amp;B685&amp;")")</f>
        <v>#NAME?</v>
      </c>
      <c r="E685" t="e">
        <f ca="1">_xll.FDSB("JPYUSD","FG_PRICE("&amp;B685&amp;")")</f>
        <v>#NAME?</v>
      </c>
    </row>
    <row r="686" spans="2:5">
      <c r="B686" s="244">
        <f t="shared" si="52"/>
        <v>44149</v>
      </c>
      <c r="C686" s="245" t="e">
        <f ca="1">_xll.FDS("EURUSD","FG_PRICE("&amp;B686&amp;")")</f>
        <v>#NAME?</v>
      </c>
      <c r="D686" t="e">
        <f ca="1">_xll.FDS("GBPUSD","FG_PRICE("&amp;B686&amp;")")</f>
        <v>#NAME?</v>
      </c>
      <c r="E686" t="e">
        <f ca="1">_xll.FDSB("JPYUSD","FG_PRICE("&amp;B686&amp;")")</f>
        <v>#NAME?</v>
      </c>
    </row>
    <row r="687" spans="2:5">
      <c r="B687" s="244">
        <f t="shared" si="52"/>
        <v>44150</v>
      </c>
      <c r="C687" s="245" t="e">
        <f ca="1">_xll.FDS("EURUSD","FG_PRICE("&amp;B687&amp;")")</f>
        <v>#NAME?</v>
      </c>
      <c r="D687" t="e">
        <f ca="1">_xll.FDS("GBPUSD","FG_PRICE("&amp;B687&amp;")")</f>
        <v>#NAME?</v>
      </c>
      <c r="E687" t="e">
        <f ca="1">_xll.FDSB("JPYUSD","FG_PRICE("&amp;B687&amp;")")</f>
        <v>#NAME?</v>
      </c>
    </row>
    <row r="688" spans="2:5">
      <c r="B688" s="244">
        <f t="shared" si="52"/>
        <v>44151</v>
      </c>
      <c r="C688" s="245" t="e">
        <f ca="1">_xll.FDS("EURUSD","FG_PRICE("&amp;B688&amp;")")</f>
        <v>#NAME?</v>
      </c>
      <c r="D688" t="e">
        <f ca="1">_xll.FDS("GBPUSD","FG_PRICE("&amp;B688&amp;")")</f>
        <v>#NAME?</v>
      </c>
      <c r="E688" t="e">
        <f ca="1">_xll.FDSB("JPYUSD","FG_PRICE("&amp;B688&amp;")")</f>
        <v>#NAME?</v>
      </c>
    </row>
    <row r="689" spans="2:5">
      <c r="B689" s="244">
        <f t="shared" si="52"/>
        <v>44152</v>
      </c>
      <c r="C689" s="245" t="e">
        <f ca="1">_xll.FDS("EURUSD","FG_PRICE("&amp;B689&amp;")")</f>
        <v>#NAME?</v>
      </c>
      <c r="D689" t="e">
        <f ca="1">_xll.FDS("GBPUSD","FG_PRICE("&amp;B689&amp;")")</f>
        <v>#NAME?</v>
      </c>
      <c r="E689" t="e">
        <f ca="1">_xll.FDSB("JPYUSD","FG_PRICE("&amp;B689&amp;")")</f>
        <v>#NAME?</v>
      </c>
    </row>
    <row r="690" spans="2:5">
      <c r="B690" s="244">
        <f t="shared" si="52"/>
        <v>44153</v>
      </c>
      <c r="C690" s="245" t="e">
        <f ca="1">_xll.FDS("EURUSD","FG_PRICE("&amp;B690&amp;")")</f>
        <v>#NAME?</v>
      </c>
      <c r="D690" t="e">
        <f ca="1">_xll.FDS("GBPUSD","FG_PRICE("&amp;B690&amp;")")</f>
        <v>#NAME?</v>
      </c>
      <c r="E690" t="e">
        <f ca="1">_xll.FDSB("JPYUSD","FG_PRICE("&amp;B690&amp;")")</f>
        <v>#NAME?</v>
      </c>
    </row>
    <row r="691" spans="2:5">
      <c r="B691" s="244">
        <f t="shared" si="52"/>
        <v>44154</v>
      </c>
      <c r="C691" s="245" t="e">
        <f ca="1">_xll.FDS("EURUSD","FG_PRICE("&amp;B691&amp;")")</f>
        <v>#NAME?</v>
      </c>
      <c r="D691" t="e">
        <f ca="1">_xll.FDS("GBPUSD","FG_PRICE("&amp;B691&amp;")")</f>
        <v>#NAME?</v>
      </c>
      <c r="E691" t="e">
        <f ca="1">_xll.FDSB("JPYUSD","FG_PRICE("&amp;B691&amp;")")</f>
        <v>#NAME?</v>
      </c>
    </row>
    <row r="692" spans="2:5">
      <c r="B692" s="244">
        <f t="shared" si="52"/>
        <v>44155</v>
      </c>
      <c r="C692" s="245" t="e">
        <f ca="1">_xll.FDS("EURUSD","FG_PRICE("&amp;B692&amp;")")</f>
        <v>#NAME?</v>
      </c>
      <c r="D692" t="e">
        <f ca="1">_xll.FDS("GBPUSD","FG_PRICE("&amp;B692&amp;")")</f>
        <v>#NAME?</v>
      </c>
      <c r="E692" t="e">
        <f ca="1">_xll.FDSB("JPYUSD","FG_PRICE("&amp;B692&amp;")")</f>
        <v>#NAME?</v>
      </c>
    </row>
    <row r="693" spans="2:5">
      <c r="B693" s="244">
        <f t="shared" si="52"/>
        <v>44156</v>
      </c>
      <c r="C693" s="245" t="e">
        <f ca="1">_xll.FDS("EURUSD","FG_PRICE("&amp;B693&amp;")")</f>
        <v>#NAME?</v>
      </c>
      <c r="D693" t="e">
        <f ca="1">_xll.FDS("GBPUSD","FG_PRICE("&amp;B693&amp;")")</f>
        <v>#NAME?</v>
      </c>
      <c r="E693" t="e">
        <f ca="1">_xll.FDSB("JPYUSD","FG_PRICE("&amp;B693&amp;")")</f>
        <v>#NAME?</v>
      </c>
    </row>
    <row r="694" spans="2:5">
      <c r="B694" s="244">
        <f t="shared" si="52"/>
        <v>44157</v>
      </c>
      <c r="C694" s="245" t="e">
        <f ca="1">_xll.FDS("EURUSD","FG_PRICE("&amp;B694&amp;")")</f>
        <v>#NAME?</v>
      </c>
      <c r="D694" t="e">
        <f ca="1">_xll.FDS("GBPUSD","FG_PRICE("&amp;B694&amp;")")</f>
        <v>#NAME?</v>
      </c>
      <c r="E694" t="e">
        <f ca="1">_xll.FDSB("JPYUSD","FG_PRICE("&amp;B694&amp;")")</f>
        <v>#NAME?</v>
      </c>
    </row>
    <row r="695" spans="2:5">
      <c r="B695" s="244">
        <f t="shared" si="52"/>
        <v>44158</v>
      </c>
      <c r="C695" s="245" t="e">
        <f ca="1">_xll.FDS("EURUSD","FG_PRICE("&amp;B695&amp;")")</f>
        <v>#NAME?</v>
      </c>
      <c r="D695" t="e">
        <f ca="1">_xll.FDS("GBPUSD","FG_PRICE("&amp;B695&amp;")")</f>
        <v>#NAME?</v>
      </c>
      <c r="E695" t="e">
        <f ca="1">_xll.FDSB("JPYUSD","FG_PRICE("&amp;B695&amp;")")</f>
        <v>#NAME?</v>
      </c>
    </row>
    <row r="696" spans="2:5">
      <c r="B696" s="244">
        <f t="shared" si="52"/>
        <v>44159</v>
      </c>
      <c r="C696" s="245" t="e">
        <f ca="1">_xll.FDS("EURUSD","FG_PRICE("&amp;B696&amp;")")</f>
        <v>#NAME?</v>
      </c>
      <c r="D696" t="e">
        <f ca="1">_xll.FDS("GBPUSD","FG_PRICE("&amp;B696&amp;")")</f>
        <v>#NAME?</v>
      </c>
      <c r="E696" t="e">
        <f ca="1">_xll.FDSB("JPYUSD","FG_PRICE("&amp;B696&amp;")")</f>
        <v>#NAME?</v>
      </c>
    </row>
    <row r="697" spans="2:5">
      <c r="B697" s="244">
        <f t="shared" si="52"/>
        <v>44160</v>
      </c>
      <c r="C697" s="245" t="e">
        <f ca="1">_xll.FDS("EURUSD","FG_PRICE("&amp;B697&amp;")")</f>
        <v>#NAME?</v>
      </c>
      <c r="D697" t="e">
        <f ca="1">_xll.FDS("GBPUSD","FG_PRICE("&amp;B697&amp;")")</f>
        <v>#NAME?</v>
      </c>
      <c r="E697" t="e">
        <f ca="1">_xll.FDSB("JPYUSD","FG_PRICE("&amp;B697&amp;")")</f>
        <v>#NAME?</v>
      </c>
    </row>
    <row r="698" spans="2:5">
      <c r="B698" s="244">
        <f t="shared" si="52"/>
        <v>44161</v>
      </c>
      <c r="C698" s="245" t="e">
        <f ca="1">_xll.FDS("EURUSD","FG_PRICE("&amp;B698&amp;")")</f>
        <v>#NAME?</v>
      </c>
      <c r="D698" t="e">
        <f ca="1">_xll.FDS("GBPUSD","FG_PRICE("&amp;B698&amp;")")</f>
        <v>#NAME?</v>
      </c>
      <c r="E698" t="e">
        <f ca="1">_xll.FDSB("JPYUSD","FG_PRICE("&amp;B698&amp;")")</f>
        <v>#NAME?</v>
      </c>
    </row>
    <row r="699" spans="2:5">
      <c r="B699" s="244">
        <f t="shared" si="52"/>
        <v>44162</v>
      </c>
      <c r="C699" s="245" t="e">
        <f ca="1">_xll.FDS("EURUSD","FG_PRICE("&amp;B699&amp;")")</f>
        <v>#NAME?</v>
      </c>
      <c r="D699" t="e">
        <f ca="1">_xll.FDS("GBPUSD","FG_PRICE("&amp;B699&amp;")")</f>
        <v>#NAME?</v>
      </c>
      <c r="E699" t="e">
        <f ca="1">_xll.FDSB("JPYUSD","FG_PRICE("&amp;B699&amp;")")</f>
        <v>#NAME?</v>
      </c>
    </row>
    <row r="700" spans="2:5">
      <c r="B700" s="244">
        <f t="shared" si="52"/>
        <v>44163</v>
      </c>
      <c r="C700" s="245" t="e">
        <f ca="1">_xll.FDS("EURUSD","FG_PRICE("&amp;B700&amp;")")</f>
        <v>#NAME?</v>
      </c>
      <c r="D700" t="e">
        <f ca="1">_xll.FDS("GBPUSD","FG_PRICE("&amp;B700&amp;")")</f>
        <v>#NAME?</v>
      </c>
      <c r="E700" t="e">
        <f ca="1">_xll.FDSB("JPYUSD","FG_PRICE("&amp;B700&amp;")")</f>
        <v>#NAME?</v>
      </c>
    </row>
    <row r="701" spans="2:5">
      <c r="B701" s="244">
        <f t="shared" si="52"/>
        <v>44164</v>
      </c>
      <c r="C701" s="245" t="e">
        <f ca="1">_xll.FDS("EURUSD","FG_PRICE("&amp;B701&amp;")")</f>
        <v>#NAME?</v>
      </c>
      <c r="D701" t="e">
        <f ca="1">_xll.FDS("GBPUSD","FG_PRICE("&amp;B701&amp;")")</f>
        <v>#NAME?</v>
      </c>
      <c r="E701" t="e">
        <f ca="1">_xll.FDSB("JPYUSD","FG_PRICE("&amp;B701&amp;")")</f>
        <v>#NAME?</v>
      </c>
    </row>
    <row r="702" spans="2:5">
      <c r="B702" s="244">
        <f t="shared" si="52"/>
        <v>44165</v>
      </c>
      <c r="C702" s="245" t="e">
        <f ca="1">_xll.FDS("EURUSD","FG_PRICE("&amp;B702&amp;")")</f>
        <v>#NAME?</v>
      </c>
      <c r="D702" t="e">
        <f ca="1">_xll.FDS("GBPUSD","FG_PRICE("&amp;B702&amp;")")</f>
        <v>#NAME?</v>
      </c>
      <c r="E702" t="e">
        <f ca="1">_xll.FDSB("JPYUSD","FG_PRICE("&amp;B702&amp;")")</f>
        <v>#NAME?</v>
      </c>
    </row>
    <row r="703" spans="2:5">
      <c r="B703" s="244">
        <f t="shared" si="52"/>
        <v>44166</v>
      </c>
      <c r="C703" s="245" t="e">
        <f ca="1">_xll.FDS("EURUSD","FG_PRICE("&amp;B703&amp;")")</f>
        <v>#NAME?</v>
      </c>
      <c r="D703" t="e">
        <f ca="1">_xll.FDS("GBPUSD","FG_PRICE("&amp;B703&amp;")")</f>
        <v>#NAME?</v>
      </c>
      <c r="E703" t="e">
        <f ca="1">_xll.FDSB("JPYUSD","FG_PRICE("&amp;B703&amp;")")</f>
        <v>#NAME?</v>
      </c>
    </row>
    <row r="704" spans="2:5">
      <c r="B704" s="244">
        <f t="shared" si="52"/>
        <v>44167</v>
      </c>
      <c r="C704" s="245" t="e">
        <f ca="1">_xll.FDS("EURUSD","FG_PRICE("&amp;B704&amp;")")</f>
        <v>#NAME?</v>
      </c>
      <c r="D704" t="e">
        <f ca="1">_xll.FDS("GBPUSD","FG_PRICE("&amp;B704&amp;")")</f>
        <v>#NAME?</v>
      </c>
      <c r="E704" t="e">
        <f ca="1">_xll.FDSB("JPYUSD","FG_PRICE("&amp;B704&amp;")")</f>
        <v>#NAME?</v>
      </c>
    </row>
    <row r="705" spans="2:5">
      <c r="B705" s="244">
        <f t="shared" si="52"/>
        <v>44168</v>
      </c>
      <c r="C705" s="245" t="e">
        <f ca="1">_xll.FDS("EURUSD","FG_PRICE("&amp;B705&amp;")")</f>
        <v>#NAME?</v>
      </c>
      <c r="D705" t="e">
        <f ca="1">_xll.FDS("GBPUSD","FG_PRICE("&amp;B705&amp;")")</f>
        <v>#NAME?</v>
      </c>
      <c r="E705" t="e">
        <f ca="1">_xll.FDSB("JPYUSD","FG_PRICE("&amp;B705&amp;")")</f>
        <v>#NAME?</v>
      </c>
    </row>
    <row r="706" spans="2:5">
      <c r="B706" s="244">
        <f t="shared" si="52"/>
        <v>44169</v>
      </c>
      <c r="C706" s="245" t="e">
        <f ca="1">_xll.FDS("EURUSD","FG_PRICE("&amp;B706&amp;")")</f>
        <v>#NAME?</v>
      </c>
      <c r="D706" t="e">
        <f ca="1">_xll.FDS("GBPUSD","FG_PRICE("&amp;B706&amp;")")</f>
        <v>#NAME?</v>
      </c>
      <c r="E706" t="e">
        <f ca="1">_xll.FDSB("JPYUSD","FG_PRICE("&amp;B706&amp;")")</f>
        <v>#NAME?</v>
      </c>
    </row>
    <row r="707" spans="2:5">
      <c r="B707" s="244">
        <f t="shared" si="52"/>
        <v>44170</v>
      </c>
      <c r="C707" s="245" t="e">
        <f ca="1">_xll.FDS("EURUSD","FG_PRICE("&amp;B707&amp;")")</f>
        <v>#NAME?</v>
      </c>
      <c r="D707" t="e">
        <f ca="1">_xll.FDS("GBPUSD","FG_PRICE("&amp;B707&amp;")")</f>
        <v>#NAME?</v>
      </c>
      <c r="E707" t="e">
        <f ca="1">_xll.FDSB("JPYUSD","FG_PRICE("&amp;B707&amp;")")</f>
        <v>#NAME?</v>
      </c>
    </row>
    <row r="708" spans="2:5">
      <c r="B708" s="244">
        <f t="shared" si="52"/>
        <v>44171</v>
      </c>
      <c r="C708" s="245" t="e">
        <f ca="1">_xll.FDS("EURUSD","FG_PRICE("&amp;B708&amp;")")</f>
        <v>#NAME?</v>
      </c>
      <c r="D708" t="e">
        <f ca="1">_xll.FDS("GBPUSD","FG_PRICE("&amp;B708&amp;")")</f>
        <v>#NAME?</v>
      </c>
      <c r="E708" t="e">
        <f ca="1">_xll.FDSB("JPYUSD","FG_PRICE("&amp;B708&amp;")")</f>
        <v>#NAME?</v>
      </c>
    </row>
    <row r="709" spans="2:5">
      <c r="B709" s="244">
        <f t="shared" ref="B709:B772" si="53">B708+1</f>
        <v>44172</v>
      </c>
      <c r="C709" s="245" t="e">
        <f ca="1">_xll.FDS("EURUSD","FG_PRICE("&amp;B709&amp;")")</f>
        <v>#NAME?</v>
      </c>
      <c r="D709" t="e">
        <f ca="1">_xll.FDS("GBPUSD","FG_PRICE("&amp;B709&amp;")")</f>
        <v>#NAME?</v>
      </c>
      <c r="E709" t="e">
        <f ca="1">_xll.FDSB("JPYUSD","FG_PRICE("&amp;B709&amp;")")</f>
        <v>#NAME?</v>
      </c>
    </row>
    <row r="710" spans="2:5">
      <c r="B710" s="244">
        <f t="shared" si="53"/>
        <v>44173</v>
      </c>
      <c r="C710" s="245" t="e">
        <f ca="1">_xll.FDS("EURUSD","FG_PRICE("&amp;B710&amp;")")</f>
        <v>#NAME?</v>
      </c>
      <c r="D710" t="e">
        <f ca="1">_xll.FDS("GBPUSD","FG_PRICE("&amp;B710&amp;")")</f>
        <v>#NAME?</v>
      </c>
      <c r="E710" t="e">
        <f ca="1">_xll.FDSB("JPYUSD","FG_PRICE("&amp;B710&amp;")")</f>
        <v>#NAME?</v>
      </c>
    </row>
    <row r="711" spans="2:5">
      <c r="B711" s="244">
        <f t="shared" si="53"/>
        <v>44174</v>
      </c>
      <c r="C711" s="245" t="e">
        <f ca="1">_xll.FDS("EURUSD","FG_PRICE("&amp;B711&amp;")")</f>
        <v>#NAME?</v>
      </c>
      <c r="D711" t="e">
        <f ca="1">_xll.FDS("GBPUSD","FG_PRICE("&amp;B711&amp;")")</f>
        <v>#NAME?</v>
      </c>
      <c r="E711" t="e">
        <f ca="1">_xll.FDSB("JPYUSD","FG_PRICE("&amp;B711&amp;")")</f>
        <v>#NAME?</v>
      </c>
    </row>
    <row r="712" spans="2:5">
      <c r="B712" s="244">
        <f t="shared" si="53"/>
        <v>44175</v>
      </c>
      <c r="C712" s="245" t="e">
        <f ca="1">_xll.FDS("EURUSD","FG_PRICE("&amp;B712&amp;")")</f>
        <v>#NAME?</v>
      </c>
      <c r="D712" t="e">
        <f ca="1">_xll.FDS("GBPUSD","FG_PRICE("&amp;B712&amp;")")</f>
        <v>#NAME?</v>
      </c>
      <c r="E712" t="e">
        <f ca="1">_xll.FDSB("JPYUSD","FG_PRICE("&amp;B712&amp;")")</f>
        <v>#NAME?</v>
      </c>
    </row>
    <row r="713" spans="2:5">
      <c r="B713" s="244">
        <f t="shared" si="53"/>
        <v>44176</v>
      </c>
      <c r="C713" s="245" t="e">
        <f ca="1">_xll.FDS("EURUSD","FG_PRICE("&amp;B713&amp;")")</f>
        <v>#NAME?</v>
      </c>
      <c r="D713" t="e">
        <f ca="1">_xll.FDS("GBPUSD","FG_PRICE("&amp;B713&amp;")")</f>
        <v>#NAME?</v>
      </c>
      <c r="E713" t="e">
        <f ca="1">_xll.FDSB("JPYUSD","FG_PRICE("&amp;B713&amp;")")</f>
        <v>#NAME?</v>
      </c>
    </row>
    <row r="714" spans="2:5">
      <c r="B714" s="244">
        <f t="shared" si="53"/>
        <v>44177</v>
      </c>
      <c r="C714" s="245" t="e">
        <f ca="1">_xll.FDS("EURUSD","FG_PRICE("&amp;B714&amp;")")</f>
        <v>#NAME?</v>
      </c>
      <c r="D714" t="e">
        <f ca="1">_xll.FDS("GBPUSD","FG_PRICE("&amp;B714&amp;")")</f>
        <v>#NAME?</v>
      </c>
      <c r="E714" t="e">
        <f ca="1">_xll.FDSB("JPYUSD","FG_PRICE("&amp;B714&amp;")")</f>
        <v>#NAME?</v>
      </c>
    </row>
    <row r="715" spans="2:5">
      <c r="B715" s="244">
        <f t="shared" si="53"/>
        <v>44178</v>
      </c>
      <c r="C715" s="245" t="e">
        <f ca="1">_xll.FDS("EURUSD","FG_PRICE("&amp;B715&amp;")")</f>
        <v>#NAME?</v>
      </c>
      <c r="D715" t="e">
        <f ca="1">_xll.FDS("GBPUSD","FG_PRICE("&amp;B715&amp;")")</f>
        <v>#NAME?</v>
      </c>
      <c r="E715" t="e">
        <f ca="1">_xll.FDSB("JPYUSD","FG_PRICE("&amp;B715&amp;")")</f>
        <v>#NAME?</v>
      </c>
    </row>
    <row r="716" spans="2:5">
      <c r="B716" s="244">
        <f t="shared" si="53"/>
        <v>44179</v>
      </c>
      <c r="C716" s="245" t="e">
        <f ca="1">_xll.FDS("EURUSD","FG_PRICE("&amp;B716&amp;")")</f>
        <v>#NAME?</v>
      </c>
      <c r="D716" t="e">
        <f ca="1">_xll.FDS("GBPUSD","FG_PRICE("&amp;B716&amp;")")</f>
        <v>#NAME?</v>
      </c>
      <c r="E716" t="e">
        <f ca="1">_xll.FDSB("JPYUSD","FG_PRICE("&amp;B716&amp;")")</f>
        <v>#NAME?</v>
      </c>
    </row>
    <row r="717" spans="2:5">
      <c r="B717" s="244">
        <f t="shared" si="53"/>
        <v>44180</v>
      </c>
      <c r="C717" s="245" t="e">
        <f ca="1">_xll.FDS("EURUSD","FG_PRICE("&amp;B717&amp;")")</f>
        <v>#NAME?</v>
      </c>
      <c r="D717" t="e">
        <f ca="1">_xll.FDS("GBPUSD","FG_PRICE("&amp;B717&amp;")")</f>
        <v>#NAME?</v>
      </c>
      <c r="E717" t="e">
        <f ca="1">_xll.FDSB("JPYUSD","FG_PRICE("&amp;B717&amp;")")</f>
        <v>#NAME?</v>
      </c>
    </row>
    <row r="718" spans="2:5">
      <c r="B718" s="244">
        <f t="shared" si="53"/>
        <v>44181</v>
      </c>
      <c r="C718" s="245" t="e">
        <f ca="1">_xll.FDS("EURUSD","FG_PRICE("&amp;B718&amp;")")</f>
        <v>#NAME?</v>
      </c>
      <c r="D718" t="e">
        <f ca="1">_xll.FDS("GBPUSD","FG_PRICE("&amp;B718&amp;")")</f>
        <v>#NAME?</v>
      </c>
      <c r="E718" t="e">
        <f ca="1">_xll.FDSB("JPYUSD","FG_PRICE("&amp;B718&amp;")")</f>
        <v>#NAME?</v>
      </c>
    </row>
    <row r="719" spans="2:5">
      <c r="B719" s="244">
        <f t="shared" si="53"/>
        <v>44182</v>
      </c>
      <c r="C719" s="245" t="e">
        <f ca="1">_xll.FDS("EURUSD","FG_PRICE("&amp;B719&amp;")")</f>
        <v>#NAME?</v>
      </c>
      <c r="D719" t="e">
        <f ca="1">_xll.FDS("GBPUSD","FG_PRICE("&amp;B719&amp;")")</f>
        <v>#NAME?</v>
      </c>
      <c r="E719" t="e">
        <f ca="1">_xll.FDSB("JPYUSD","FG_PRICE("&amp;B719&amp;")")</f>
        <v>#NAME?</v>
      </c>
    </row>
    <row r="720" spans="2:5">
      <c r="B720" s="244">
        <f t="shared" si="53"/>
        <v>44183</v>
      </c>
      <c r="C720" s="245" t="e">
        <f ca="1">_xll.FDS("EURUSD","FG_PRICE("&amp;B720&amp;")")</f>
        <v>#NAME?</v>
      </c>
      <c r="D720" t="e">
        <f ca="1">_xll.FDS("GBPUSD","FG_PRICE("&amp;B720&amp;")")</f>
        <v>#NAME?</v>
      </c>
      <c r="E720" t="e">
        <f ca="1">_xll.FDSB("JPYUSD","FG_PRICE("&amp;B720&amp;")")</f>
        <v>#NAME?</v>
      </c>
    </row>
    <row r="721" spans="2:5">
      <c r="B721" s="244">
        <f t="shared" si="53"/>
        <v>44184</v>
      </c>
      <c r="C721" s="245" t="e">
        <f ca="1">_xll.FDS("EURUSD","FG_PRICE("&amp;B721&amp;")")</f>
        <v>#NAME?</v>
      </c>
      <c r="D721" t="e">
        <f ca="1">_xll.FDS("GBPUSD","FG_PRICE("&amp;B721&amp;")")</f>
        <v>#NAME?</v>
      </c>
      <c r="E721" t="e">
        <f ca="1">_xll.FDSB("JPYUSD","FG_PRICE("&amp;B721&amp;")")</f>
        <v>#NAME?</v>
      </c>
    </row>
    <row r="722" spans="2:5">
      <c r="B722" s="244">
        <f t="shared" si="53"/>
        <v>44185</v>
      </c>
      <c r="C722" s="245" t="e">
        <f ca="1">_xll.FDS("EURUSD","FG_PRICE("&amp;B722&amp;")")</f>
        <v>#NAME?</v>
      </c>
      <c r="D722" t="e">
        <f ca="1">_xll.FDS("GBPUSD","FG_PRICE("&amp;B722&amp;")")</f>
        <v>#NAME?</v>
      </c>
      <c r="E722" t="e">
        <f ca="1">_xll.FDSB("JPYUSD","FG_PRICE("&amp;B722&amp;")")</f>
        <v>#NAME?</v>
      </c>
    </row>
    <row r="723" spans="2:5">
      <c r="B723" s="244">
        <f t="shared" si="53"/>
        <v>44186</v>
      </c>
      <c r="C723" s="245" t="e">
        <f ca="1">_xll.FDS("EURUSD","FG_PRICE("&amp;B723&amp;")")</f>
        <v>#NAME?</v>
      </c>
      <c r="D723" t="e">
        <f ca="1">_xll.FDS("GBPUSD","FG_PRICE("&amp;B723&amp;")")</f>
        <v>#NAME?</v>
      </c>
      <c r="E723" t="e">
        <f ca="1">_xll.FDSB("JPYUSD","FG_PRICE("&amp;B723&amp;")")</f>
        <v>#NAME?</v>
      </c>
    </row>
    <row r="724" spans="2:5">
      <c r="B724" s="244">
        <f t="shared" si="53"/>
        <v>44187</v>
      </c>
      <c r="C724" s="245" t="e">
        <f ca="1">_xll.FDS("EURUSD","FG_PRICE("&amp;B724&amp;")")</f>
        <v>#NAME?</v>
      </c>
      <c r="D724" t="e">
        <f ca="1">_xll.FDS("GBPUSD","FG_PRICE("&amp;B724&amp;")")</f>
        <v>#NAME?</v>
      </c>
      <c r="E724" t="e">
        <f ca="1">_xll.FDSB("JPYUSD","FG_PRICE("&amp;B724&amp;")")</f>
        <v>#NAME?</v>
      </c>
    </row>
    <row r="725" spans="2:5">
      <c r="B725" s="244">
        <f t="shared" si="53"/>
        <v>44188</v>
      </c>
      <c r="C725" s="245" t="e">
        <f ca="1">_xll.FDS("EURUSD","FG_PRICE("&amp;B725&amp;")")</f>
        <v>#NAME?</v>
      </c>
      <c r="D725" t="e">
        <f ca="1">_xll.FDS("GBPUSD","FG_PRICE("&amp;B725&amp;")")</f>
        <v>#NAME?</v>
      </c>
      <c r="E725" t="e">
        <f ca="1">_xll.FDSB("JPYUSD","FG_PRICE("&amp;B725&amp;")")</f>
        <v>#NAME?</v>
      </c>
    </row>
    <row r="726" spans="2:5">
      <c r="B726" s="244">
        <f t="shared" si="53"/>
        <v>44189</v>
      </c>
      <c r="C726" s="245" t="e">
        <f ca="1">_xll.FDS("EURUSD","FG_PRICE("&amp;B726&amp;")")</f>
        <v>#NAME?</v>
      </c>
      <c r="D726" t="e">
        <f ca="1">_xll.FDS("GBPUSD","FG_PRICE("&amp;B726&amp;")")</f>
        <v>#NAME?</v>
      </c>
      <c r="E726" t="e">
        <f ca="1">_xll.FDSB("JPYUSD","FG_PRICE("&amp;B726&amp;")")</f>
        <v>#NAME?</v>
      </c>
    </row>
    <row r="727" spans="2:5">
      <c r="B727" s="244">
        <f t="shared" si="53"/>
        <v>44190</v>
      </c>
      <c r="C727" s="245" t="e">
        <f ca="1">_xll.FDS("EURUSD","FG_PRICE("&amp;B727&amp;")")</f>
        <v>#NAME?</v>
      </c>
      <c r="D727" t="e">
        <f ca="1">_xll.FDS("GBPUSD","FG_PRICE("&amp;B727&amp;")")</f>
        <v>#NAME?</v>
      </c>
      <c r="E727" t="e">
        <f ca="1">_xll.FDSB("JPYUSD","FG_PRICE("&amp;B727&amp;")")</f>
        <v>#NAME?</v>
      </c>
    </row>
    <row r="728" spans="2:5">
      <c r="B728" s="244">
        <f t="shared" si="53"/>
        <v>44191</v>
      </c>
      <c r="C728" s="245" t="e">
        <f ca="1">_xll.FDS("EURUSD","FG_PRICE("&amp;B728&amp;")")</f>
        <v>#NAME?</v>
      </c>
      <c r="D728" t="e">
        <f ca="1">_xll.FDS("GBPUSD","FG_PRICE("&amp;B728&amp;")")</f>
        <v>#NAME?</v>
      </c>
      <c r="E728" t="e">
        <f ca="1">_xll.FDSB("JPYUSD","FG_PRICE("&amp;B728&amp;")")</f>
        <v>#NAME?</v>
      </c>
    </row>
    <row r="729" spans="2:5">
      <c r="B729" s="244">
        <f t="shared" si="53"/>
        <v>44192</v>
      </c>
      <c r="C729" s="245" t="e">
        <f ca="1">_xll.FDS("EURUSD","FG_PRICE("&amp;B729&amp;")")</f>
        <v>#NAME?</v>
      </c>
      <c r="D729" t="e">
        <f ca="1">_xll.FDS("GBPUSD","FG_PRICE("&amp;B729&amp;")")</f>
        <v>#NAME?</v>
      </c>
      <c r="E729" t="e">
        <f ca="1">_xll.FDSB("JPYUSD","FG_PRICE("&amp;B729&amp;")")</f>
        <v>#NAME?</v>
      </c>
    </row>
    <row r="730" spans="2:5">
      <c r="B730" s="244">
        <f t="shared" si="53"/>
        <v>44193</v>
      </c>
      <c r="C730" s="245" t="e">
        <f ca="1">_xll.FDS("EURUSD","FG_PRICE("&amp;B730&amp;")")</f>
        <v>#NAME?</v>
      </c>
      <c r="D730" t="e">
        <f ca="1">_xll.FDS("GBPUSD","FG_PRICE("&amp;B730&amp;")")</f>
        <v>#NAME?</v>
      </c>
      <c r="E730" t="e">
        <f ca="1">_xll.FDSB("JPYUSD","FG_PRICE("&amp;B730&amp;")")</f>
        <v>#NAME?</v>
      </c>
    </row>
    <row r="731" spans="2:5">
      <c r="B731" s="244">
        <f t="shared" si="53"/>
        <v>44194</v>
      </c>
      <c r="C731" s="245" t="e">
        <f ca="1">_xll.FDS("EURUSD","FG_PRICE("&amp;B731&amp;")")</f>
        <v>#NAME?</v>
      </c>
      <c r="D731" t="e">
        <f ca="1">_xll.FDS("GBPUSD","FG_PRICE("&amp;B731&amp;")")</f>
        <v>#NAME?</v>
      </c>
      <c r="E731" t="e">
        <f ca="1">_xll.FDSB("JPYUSD","FG_PRICE("&amp;B731&amp;")")</f>
        <v>#NAME?</v>
      </c>
    </row>
    <row r="732" spans="2:5">
      <c r="B732" s="244">
        <f t="shared" si="53"/>
        <v>44195</v>
      </c>
      <c r="C732" s="245" t="e">
        <f ca="1">_xll.FDS("EURUSD","FG_PRICE("&amp;B732&amp;")")</f>
        <v>#NAME?</v>
      </c>
      <c r="D732" t="e">
        <f ca="1">_xll.FDS("GBPUSD","FG_PRICE("&amp;B732&amp;")")</f>
        <v>#NAME?</v>
      </c>
      <c r="E732" t="e">
        <f ca="1">_xll.FDSB("JPYUSD","FG_PRICE("&amp;B732&amp;")")</f>
        <v>#NAME?</v>
      </c>
    </row>
    <row r="733" spans="2:5">
      <c r="B733" s="244">
        <f t="shared" si="53"/>
        <v>44196</v>
      </c>
      <c r="C733" s="245" t="e">
        <f ca="1">_xll.FDS("EURUSD","FG_PRICE("&amp;B733&amp;")")</f>
        <v>#NAME?</v>
      </c>
      <c r="D733" t="e">
        <f ca="1">_xll.FDS("GBPUSD","FG_PRICE("&amp;B733&amp;")")</f>
        <v>#NAME?</v>
      </c>
      <c r="E733" t="e">
        <f ca="1">_xll.FDSB("JPYUSD","FG_PRICE("&amp;B733&amp;")")</f>
        <v>#NAME?</v>
      </c>
    </row>
    <row r="734" spans="2:5">
      <c r="B734" s="244">
        <f t="shared" si="53"/>
        <v>44197</v>
      </c>
      <c r="C734" s="245" t="e">
        <f ca="1">_xll.FDS("EURUSD","FG_PRICE("&amp;B734&amp;")")</f>
        <v>#NAME?</v>
      </c>
      <c r="D734" t="e">
        <f ca="1">_xll.FDS("GBPUSD","FG_PRICE("&amp;B734&amp;")")</f>
        <v>#NAME?</v>
      </c>
      <c r="E734" t="e">
        <f ca="1">_xll.FDSB("JPYUSD","FG_PRICE("&amp;B734&amp;")")</f>
        <v>#NAME?</v>
      </c>
    </row>
    <row r="735" spans="2:5">
      <c r="B735" s="244">
        <f t="shared" si="53"/>
        <v>44198</v>
      </c>
      <c r="C735" s="245" t="e">
        <f ca="1">_xll.FDS("EURUSD","FG_PRICE("&amp;B735&amp;")")</f>
        <v>#NAME?</v>
      </c>
      <c r="D735" t="e">
        <f ca="1">_xll.FDS("GBPUSD","FG_PRICE("&amp;B735&amp;")")</f>
        <v>#NAME?</v>
      </c>
      <c r="E735" t="e">
        <f ca="1">_xll.FDSB("JPYUSD","FG_PRICE("&amp;B735&amp;")")</f>
        <v>#NAME?</v>
      </c>
    </row>
    <row r="736" spans="2:5">
      <c r="B736" s="244">
        <f t="shared" si="53"/>
        <v>44199</v>
      </c>
      <c r="C736" s="245" t="e">
        <f ca="1">_xll.FDS("EURUSD","FG_PRICE("&amp;B736&amp;")")</f>
        <v>#NAME?</v>
      </c>
      <c r="D736" t="e">
        <f ca="1">_xll.FDS("GBPUSD","FG_PRICE("&amp;B736&amp;")")</f>
        <v>#NAME?</v>
      </c>
      <c r="E736" t="e">
        <f ca="1">_xll.FDSB("JPYUSD","FG_PRICE("&amp;B736&amp;")")</f>
        <v>#NAME?</v>
      </c>
    </row>
    <row r="737" spans="2:5">
      <c r="B737" s="244">
        <f t="shared" si="53"/>
        <v>44200</v>
      </c>
      <c r="C737" s="245" t="e">
        <f ca="1">_xll.FDS("EURUSD","FG_PRICE("&amp;B737&amp;")")</f>
        <v>#NAME?</v>
      </c>
      <c r="D737" t="e">
        <f ca="1">_xll.FDS("GBPUSD","FG_PRICE("&amp;B737&amp;")")</f>
        <v>#NAME?</v>
      </c>
      <c r="E737" t="e">
        <f ca="1">_xll.FDSB("JPYUSD","FG_PRICE("&amp;B737&amp;")")</f>
        <v>#NAME?</v>
      </c>
    </row>
    <row r="738" spans="2:5">
      <c r="B738" s="244">
        <f t="shared" si="53"/>
        <v>44201</v>
      </c>
      <c r="C738" s="245" t="e">
        <f ca="1">_xll.FDS("EURUSD","FG_PRICE("&amp;B738&amp;")")</f>
        <v>#NAME?</v>
      </c>
      <c r="D738" t="e">
        <f ca="1">_xll.FDS("GBPUSD","FG_PRICE("&amp;B738&amp;")")</f>
        <v>#NAME?</v>
      </c>
      <c r="E738" t="e">
        <f ca="1">_xll.FDSB("JPYUSD","FG_PRICE("&amp;B738&amp;")")</f>
        <v>#NAME?</v>
      </c>
    </row>
    <row r="739" spans="2:5">
      <c r="B739" s="244">
        <f t="shared" si="53"/>
        <v>44202</v>
      </c>
      <c r="C739" s="245" t="e">
        <f ca="1">_xll.FDS("EURUSD","FG_PRICE("&amp;B739&amp;")")</f>
        <v>#NAME?</v>
      </c>
      <c r="D739" t="e">
        <f ca="1">_xll.FDS("GBPUSD","FG_PRICE("&amp;B739&amp;")")</f>
        <v>#NAME?</v>
      </c>
      <c r="E739" t="e">
        <f ca="1">_xll.FDSB("JPYUSD","FG_PRICE("&amp;B739&amp;")")</f>
        <v>#NAME?</v>
      </c>
    </row>
    <row r="740" spans="2:5">
      <c r="B740" s="244">
        <f t="shared" si="53"/>
        <v>44203</v>
      </c>
      <c r="C740" s="245" t="e">
        <f ca="1">_xll.FDS("EURUSD","FG_PRICE("&amp;B740&amp;")")</f>
        <v>#NAME?</v>
      </c>
      <c r="D740" t="e">
        <f ca="1">_xll.FDS("GBPUSD","FG_PRICE("&amp;B740&amp;")")</f>
        <v>#NAME?</v>
      </c>
      <c r="E740" t="e">
        <f ca="1">_xll.FDSB("JPYUSD","FG_PRICE("&amp;B740&amp;")")</f>
        <v>#NAME?</v>
      </c>
    </row>
    <row r="741" spans="2:5">
      <c r="B741" s="244">
        <f t="shared" si="53"/>
        <v>44204</v>
      </c>
      <c r="C741" s="245" t="e">
        <f ca="1">_xll.FDS("EURUSD","FG_PRICE("&amp;B741&amp;")")</f>
        <v>#NAME?</v>
      </c>
      <c r="D741" t="e">
        <f ca="1">_xll.FDS("GBPUSD","FG_PRICE("&amp;B741&amp;")")</f>
        <v>#NAME?</v>
      </c>
      <c r="E741" t="e">
        <f ca="1">_xll.FDSB("JPYUSD","FG_PRICE("&amp;B741&amp;")")</f>
        <v>#NAME?</v>
      </c>
    </row>
    <row r="742" spans="2:5">
      <c r="B742" s="244">
        <f t="shared" si="53"/>
        <v>44205</v>
      </c>
      <c r="C742" s="245" t="e">
        <f ca="1">_xll.FDS("EURUSD","FG_PRICE("&amp;B742&amp;")")</f>
        <v>#NAME?</v>
      </c>
      <c r="D742" t="e">
        <f ca="1">_xll.FDS("GBPUSD","FG_PRICE("&amp;B742&amp;")")</f>
        <v>#NAME?</v>
      </c>
      <c r="E742" t="e">
        <f ca="1">_xll.FDSB("JPYUSD","FG_PRICE("&amp;B742&amp;")")</f>
        <v>#NAME?</v>
      </c>
    </row>
    <row r="743" spans="2:5">
      <c r="B743" s="244">
        <f t="shared" si="53"/>
        <v>44206</v>
      </c>
      <c r="C743" s="245" t="e">
        <f ca="1">_xll.FDS("EURUSD","FG_PRICE("&amp;B743&amp;")")</f>
        <v>#NAME?</v>
      </c>
      <c r="D743" t="e">
        <f ca="1">_xll.FDS("GBPUSD","FG_PRICE("&amp;B743&amp;")")</f>
        <v>#NAME?</v>
      </c>
      <c r="E743" t="e">
        <f ca="1">_xll.FDSB("JPYUSD","FG_PRICE("&amp;B743&amp;")")</f>
        <v>#NAME?</v>
      </c>
    </row>
    <row r="744" spans="2:5">
      <c r="B744" s="244">
        <f t="shared" si="53"/>
        <v>44207</v>
      </c>
      <c r="C744" s="245" t="e">
        <f ca="1">_xll.FDS("EURUSD","FG_PRICE("&amp;B744&amp;")")</f>
        <v>#NAME?</v>
      </c>
      <c r="D744" t="e">
        <f ca="1">_xll.FDS("GBPUSD","FG_PRICE("&amp;B744&amp;")")</f>
        <v>#NAME?</v>
      </c>
      <c r="E744" t="e">
        <f ca="1">_xll.FDSB("JPYUSD","FG_PRICE("&amp;B744&amp;")")</f>
        <v>#NAME?</v>
      </c>
    </row>
    <row r="745" spans="2:5">
      <c r="B745" s="244">
        <f t="shared" si="53"/>
        <v>44208</v>
      </c>
      <c r="C745" s="245" t="e">
        <f ca="1">_xll.FDS("EURUSD","FG_PRICE("&amp;B745&amp;")")</f>
        <v>#NAME?</v>
      </c>
      <c r="D745" t="e">
        <f ca="1">_xll.FDS("GBPUSD","FG_PRICE("&amp;B745&amp;")")</f>
        <v>#NAME?</v>
      </c>
      <c r="E745" t="e">
        <f ca="1">_xll.FDSB("JPYUSD","FG_PRICE("&amp;B745&amp;")")</f>
        <v>#NAME?</v>
      </c>
    </row>
    <row r="746" spans="2:5">
      <c r="B746" s="244">
        <f t="shared" si="53"/>
        <v>44209</v>
      </c>
      <c r="C746" s="245" t="e">
        <f ca="1">_xll.FDS("EURUSD","FG_PRICE("&amp;B746&amp;")")</f>
        <v>#NAME?</v>
      </c>
      <c r="D746" t="e">
        <f ca="1">_xll.FDS("GBPUSD","FG_PRICE("&amp;B746&amp;")")</f>
        <v>#NAME?</v>
      </c>
      <c r="E746" t="e">
        <f ca="1">_xll.FDSB("JPYUSD","FG_PRICE("&amp;B746&amp;")")</f>
        <v>#NAME?</v>
      </c>
    </row>
    <row r="747" spans="2:5">
      <c r="B747" s="244">
        <f t="shared" si="53"/>
        <v>44210</v>
      </c>
      <c r="C747" s="245" t="e">
        <f ca="1">_xll.FDS("EURUSD","FG_PRICE("&amp;B747&amp;")")</f>
        <v>#NAME?</v>
      </c>
      <c r="D747" t="e">
        <f ca="1">_xll.FDS("GBPUSD","FG_PRICE("&amp;B747&amp;")")</f>
        <v>#NAME?</v>
      </c>
      <c r="E747" t="e">
        <f ca="1">_xll.FDSB("JPYUSD","FG_PRICE("&amp;B747&amp;")")</f>
        <v>#NAME?</v>
      </c>
    </row>
    <row r="748" spans="2:5">
      <c r="B748" s="244">
        <f t="shared" si="53"/>
        <v>44211</v>
      </c>
      <c r="C748" s="245" t="e">
        <f ca="1">_xll.FDS("EURUSD","FG_PRICE("&amp;B748&amp;")")</f>
        <v>#NAME?</v>
      </c>
      <c r="D748" t="e">
        <f ca="1">_xll.FDS("GBPUSD","FG_PRICE("&amp;B748&amp;")")</f>
        <v>#NAME?</v>
      </c>
      <c r="E748" t="e">
        <f ca="1">_xll.FDSB("JPYUSD","FG_PRICE("&amp;B748&amp;")")</f>
        <v>#NAME?</v>
      </c>
    </row>
    <row r="749" spans="2:5">
      <c r="B749" s="244">
        <f t="shared" si="53"/>
        <v>44212</v>
      </c>
      <c r="C749" s="245" t="e">
        <f ca="1">_xll.FDS("EURUSD","FG_PRICE("&amp;B749&amp;")")</f>
        <v>#NAME?</v>
      </c>
      <c r="D749" t="e">
        <f ca="1">_xll.FDS("GBPUSD","FG_PRICE("&amp;B749&amp;")")</f>
        <v>#NAME?</v>
      </c>
      <c r="E749" t="e">
        <f ca="1">_xll.FDSB("JPYUSD","FG_PRICE("&amp;B749&amp;")")</f>
        <v>#NAME?</v>
      </c>
    </row>
    <row r="750" spans="2:5">
      <c r="B750" s="244">
        <f t="shared" si="53"/>
        <v>44213</v>
      </c>
      <c r="C750" s="245" t="e">
        <f ca="1">_xll.FDS("EURUSD","FG_PRICE("&amp;B750&amp;")")</f>
        <v>#NAME?</v>
      </c>
      <c r="D750" t="e">
        <f ca="1">_xll.FDS("GBPUSD","FG_PRICE("&amp;B750&amp;")")</f>
        <v>#NAME?</v>
      </c>
      <c r="E750" t="e">
        <f ca="1">_xll.FDSB("JPYUSD","FG_PRICE("&amp;B750&amp;")")</f>
        <v>#NAME?</v>
      </c>
    </row>
    <row r="751" spans="2:5">
      <c r="B751" s="244">
        <f t="shared" si="53"/>
        <v>44214</v>
      </c>
      <c r="C751" s="245" t="e">
        <f ca="1">_xll.FDS("EURUSD","FG_PRICE("&amp;B751&amp;")")</f>
        <v>#NAME?</v>
      </c>
      <c r="D751" t="e">
        <f ca="1">_xll.FDS("GBPUSD","FG_PRICE("&amp;B751&amp;")")</f>
        <v>#NAME?</v>
      </c>
      <c r="E751" t="e">
        <f ca="1">_xll.FDSB("JPYUSD","FG_PRICE("&amp;B751&amp;")")</f>
        <v>#NAME?</v>
      </c>
    </row>
    <row r="752" spans="2:5">
      <c r="B752" s="244">
        <f t="shared" si="53"/>
        <v>44215</v>
      </c>
      <c r="C752" s="245" t="e">
        <f ca="1">_xll.FDS("EURUSD","FG_PRICE("&amp;B752&amp;")")</f>
        <v>#NAME?</v>
      </c>
      <c r="D752" t="e">
        <f ca="1">_xll.FDS("GBPUSD","FG_PRICE("&amp;B752&amp;")")</f>
        <v>#NAME?</v>
      </c>
      <c r="E752" t="e">
        <f ca="1">_xll.FDSB("JPYUSD","FG_PRICE("&amp;B752&amp;")")</f>
        <v>#NAME?</v>
      </c>
    </row>
    <row r="753" spans="2:5">
      <c r="B753" s="244">
        <f t="shared" si="53"/>
        <v>44216</v>
      </c>
      <c r="C753" s="245" t="e">
        <f ca="1">_xll.FDS("EURUSD","FG_PRICE("&amp;B753&amp;")")</f>
        <v>#NAME?</v>
      </c>
      <c r="D753" t="e">
        <f ca="1">_xll.FDS("GBPUSD","FG_PRICE("&amp;B753&amp;")")</f>
        <v>#NAME?</v>
      </c>
      <c r="E753" t="e">
        <f ca="1">_xll.FDSB("JPYUSD","FG_PRICE("&amp;B753&amp;")")</f>
        <v>#NAME?</v>
      </c>
    </row>
    <row r="754" spans="2:5">
      <c r="B754" s="244">
        <f t="shared" si="53"/>
        <v>44217</v>
      </c>
      <c r="C754" s="245" t="e">
        <f ca="1">_xll.FDS("EURUSD","FG_PRICE("&amp;B754&amp;")")</f>
        <v>#NAME?</v>
      </c>
      <c r="D754" t="e">
        <f ca="1">_xll.FDS("GBPUSD","FG_PRICE("&amp;B754&amp;")")</f>
        <v>#NAME?</v>
      </c>
      <c r="E754" t="e">
        <f ca="1">_xll.FDSB("JPYUSD","FG_PRICE("&amp;B754&amp;")")</f>
        <v>#NAME?</v>
      </c>
    </row>
    <row r="755" spans="2:5">
      <c r="B755" s="244">
        <f t="shared" si="53"/>
        <v>44218</v>
      </c>
      <c r="C755" s="245" t="e">
        <f ca="1">_xll.FDS("EURUSD","FG_PRICE("&amp;B755&amp;")")</f>
        <v>#NAME?</v>
      </c>
      <c r="D755" t="e">
        <f ca="1">_xll.FDS("GBPUSD","FG_PRICE("&amp;B755&amp;")")</f>
        <v>#NAME?</v>
      </c>
      <c r="E755" t="e">
        <f ca="1">_xll.FDSB("JPYUSD","FG_PRICE("&amp;B755&amp;")")</f>
        <v>#NAME?</v>
      </c>
    </row>
    <row r="756" spans="2:5">
      <c r="B756" s="244">
        <f t="shared" si="53"/>
        <v>44219</v>
      </c>
      <c r="C756" s="245" t="e">
        <f ca="1">_xll.FDS("EURUSD","FG_PRICE("&amp;B756&amp;")")</f>
        <v>#NAME?</v>
      </c>
      <c r="D756" t="e">
        <f ca="1">_xll.FDS("GBPUSD","FG_PRICE("&amp;B756&amp;")")</f>
        <v>#NAME?</v>
      </c>
      <c r="E756" t="e">
        <f ca="1">_xll.FDSB("JPYUSD","FG_PRICE("&amp;B756&amp;")")</f>
        <v>#NAME?</v>
      </c>
    </row>
    <row r="757" spans="2:5">
      <c r="B757" s="244">
        <f t="shared" si="53"/>
        <v>44220</v>
      </c>
      <c r="C757" s="245" t="e">
        <f ca="1">_xll.FDS("EURUSD","FG_PRICE("&amp;B757&amp;")")</f>
        <v>#NAME?</v>
      </c>
      <c r="D757" t="e">
        <f ca="1">_xll.FDS("GBPUSD","FG_PRICE("&amp;B757&amp;")")</f>
        <v>#NAME?</v>
      </c>
      <c r="E757" t="e">
        <f ca="1">_xll.FDSB("JPYUSD","FG_PRICE("&amp;B757&amp;")")</f>
        <v>#NAME?</v>
      </c>
    </row>
    <row r="758" spans="2:5">
      <c r="B758" s="244">
        <f t="shared" si="53"/>
        <v>44221</v>
      </c>
      <c r="C758" s="245" t="e">
        <f ca="1">_xll.FDS("EURUSD","FG_PRICE("&amp;B758&amp;")")</f>
        <v>#NAME?</v>
      </c>
      <c r="D758" t="e">
        <f ca="1">_xll.FDS("GBPUSD","FG_PRICE("&amp;B758&amp;")")</f>
        <v>#NAME?</v>
      </c>
      <c r="E758" t="e">
        <f ca="1">_xll.FDSB("JPYUSD","FG_PRICE("&amp;B758&amp;")")</f>
        <v>#NAME?</v>
      </c>
    </row>
    <row r="759" spans="2:5">
      <c r="B759" s="244">
        <f t="shared" si="53"/>
        <v>44222</v>
      </c>
      <c r="C759" s="245" t="e">
        <f ca="1">_xll.FDS("EURUSD","FG_PRICE("&amp;B759&amp;")")</f>
        <v>#NAME?</v>
      </c>
      <c r="D759" t="e">
        <f ca="1">_xll.FDS("GBPUSD","FG_PRICE("&amp;B759&amp;")")</f>
        <v>#NAME?</v>
      </c>
      <c r="E759" t="e">
        <f ca="1">_xll.FDSB("JPYUSD","FG_PRICE("&amp;B759&amp;")")</f>
        <v>#NAME?</v>
      </c>
    </row>
    <row r="760" spans="2:5">
      <c r="B760" s="244">
        <f t="shared" si="53"/>
        <v>44223</v>
      </c>
      <c r="C760" s="245" t="e">
        <f ca="1">_xll.FDS("EURUSD","FG_PRICE("&amp;B760&amp;")")</f>
        <v>#NAME?</v>
      </c>
      <c r="D760" t="e">
        <f ca="1">_xll.FDS("GBPUSD","FG_PRICE("&amp;B760&amp;")")</f>
        <v>#NAME?</v>
      </c>
      <c r="E760" t="e">
        <f ca="1">_xll.FDSB("JPYUSD","FG_PRICE("&amp;B760&amp;")")</f>
        <v>#NAME?</v>
      </c>
    </row>
    <row r="761" spans="2:5">
      <c r="B761" s="244">
        <f t="shared" si="53"/>
        <v>44224</v>
      </c>
      <c r="C761" s="245" t="e">
        <f ca="1">_xll.FDS("EURUSD","FG_PRICE("&amp;B761&amp;")")</f>
        <v>#NAME?</v>
      </c>
      <c r="D761" t="e">
        <f ca="1">_xll.FDS("GBPUSD","FG_PRICE("&amp;B761&amp;")")</f>
        <v>#NAME?</v>
      </c>
      <c r="E761" t="e">
        <f ca="1">_xll.FDSB("JPYUSD","FG_PRICE("&amp;B761&amp;")")</f>
        <v>#NAME?</v>
      </c>
    </row>
    <row r="762" spans="2:5">
      <c r="B762" s="244">
        <f t="shared" si="53"/>
        <v>44225</v>
      </c>
      <c r="C762" s="245" t="e">
        <f ca="1">_xll.FDS("EURUSD","FG_PRICE("&amp;B762&amp;")")</f>
        <v>#NAME?</v>
      </c>
      <c r="D762" t="e">
        <f ca="1">_xll.FDS("GBPUSD","FG_PRICE("&amp;B762&amp;")")</f>
        <v>#NAME?</v>
      </c>
      <c r="E762" t="e">
        <f ca="1">_xll.FDSB("JPYUSD","FG_PRICE("&amp;B762&amp;")")</f>
        <v>#NAME?</v>
      </c>
    </row>
    <row r="763" spans="2:5">
      <c r="B763" s="244">
        <f t="shared" si="53"/>
        <v>44226</v>
      </c>
      <c r="C763" s="245" t="e">
        <f ca="1">_xll.FDS("EURUSD","FG_PRICE("&amp;B763&amp;")")</f>
        <v>#NAME?</v>
      </c>
      <c r="D763" t="e">
        <f ca="1">_xll.FDS("GBPUSD","FG_PRICE("&amp;B763&amp;")")</f>
        <v>#NAME?</v>
      </c>
      <c r="E763" t="e">
        <f ca="1">_xll.FDSB("JPYUSD","FG_PRICE("&amp;B763&amp;")")</f>
        <v>#NAME?</v>
      </c>
    </row>
    <row r="764" spans="2:5">
      <c r="B764" s="244">
        <f t="shared" si="53"/>
        <v>44227</v>
      </c>
      <c r="C764" s="245" t="e">
        <f ca="1">_xll.FDS("EURUSD","FG_PRICE("&amp;B764&amp;")")</f>
        <v>#NAME?</v>
      </c>
      <c r="D764" t="e">
        <f ca="1">_xll.FDS("GBPUSD","FG_PRICE("&amp;B764&amp;")")</f>
        <v>#NAME?</v>
      </c>
      <c r="E764" t="e">
        <f ca="1">_xll.FDSB("JPYUSD","FG_PRICE("&amp;B764&amp;")")</f>
        <v>#NAME?</v>
      </c>
    </row>
    <row r="765" spans="2:5">
      <c r="B765" s="244">
        <f t="shared" si="53"/>
        <v>44228</v>
      </c>
      <c r="C765" s="245" t="e">
        <f ca="1">_xll.FDS("EURUSD","FG_PRICE("&amp;B765&amp;")")</f>
        <v>#NAME?</v>
      </c>
      <c r="D765" t="e">
        <f ca="1">_xll.FDS("GBPUSD","FG_PRICE("&amp;B765&amp;")")</f>
        <v>#NAME?</v>
      </c>
      <c r="E765" t="e">
        <f ca="1">_xll.FDSB("JPYUSD","FG_PRICE("&amp;B765&amp;")")</f>
        <v>#NAME?</v>
      </c>
    </row>
    <row r="766" spans="2:5">
      <c r="B766" s="244">
        <f t="shared" si="53"/>
        <v>44229</v>
      </c>
      <c r="C766" s="245" t="e">
        <f ca="1">_xll.FDS("EURUSD","FG_PRICE("&amp;B766&amp;")")</f>
        <v>#NAME?</v>
      </c>
      <c r="D766" t="e">
        <f ca="1">_xll.FDS("GBPUSD","FG_PRICE("&amp;B766&amp;")")</f>
        <v>#NAME?</v>
      </c>
      <c r="E766" t="e">
        <f ca="1">_xll.FDSB("JPYUSD","FG_PRICE("&amp;B766&amp;")")</f>
        <v>#NAME?</v>
      </c>
    </row>
    <row r="767" spans="2:5">
      <c r="B767" s="244">
        <f t="shared" si="53"/>
        <v>44230</v>
      </c>
      <c r="C767" s="245" t="e">
        <f ca="1">_xll.FDS("EURUSD","FG_PRICE("&amp;B767&amp;")")</f>
        <v>#NAME?</v>
      </c>
      <c r="D767" t="e">
        <f ca="1">_xll.FDS("GBPUSD","FG_PRICE("&amp;B767&amp;")")</f>
        <v>#NAME?</v>
      </c>
      <c r="E767" t="e">
        <f ca="1">_xll.FDSB("JPYUSD","FG_PRICE("&amp;B767&amp;")")</f>
        <v>#NAME?</v>
      </c>
    </row>
    <row r="768" spans="2:5">
      <c r="B768" s="244">
        <f t="shared" si="53"/>
        <v>44231</v>
      </c>
      <c r="C768" s="245" t="e">
        <f ca="1">_xll.FDS("EURUSD","FG_PRICE("&amp;B768&amp;")")</f>
        <v>#NAME?</v>
      </c>
      <c r="D768" t="e">
        <f ca="1">_xll.FDS("GBPUSD","FG_PRICE("&amp;B768&amp;")")</f>
        <v>#NAME?</v>
      </c>
      <c r="E768" t="e">
        <f ca="1">_xll.FDSB("JPYUSD","FG_PRICE("&amp;B768&amp;")")</f>
        <v>#NAME?</v>
      </c>
    </row>
    <row r="769" spans="2:5">
      <c r="B769" s="244">
        <f t="shared" si="53"/>
        <v>44232</v>
      </c>
      <c r="C769" s="245" t="e">
        <f ca="1">_xll.FDS("EURUSD","FG_PRICE("&amp;B769&amp;")")</f>
        <v>#NAME?</v>
      </c>
      <c r="D769" t="e">
        <f ca="1">_xll.FDS("GBPUSD","FG_PRICE("&amp;B769&amp;")")</f>
        <v>#NAME?</v>
      </c>
      <c r="E769" t="e">
        <f ca="1">_xll.FDSB("JPYUSD","FG_PRICE("&amp;B769&amp;")")</f>
        <v>#NAME?</v>
      </c>
    </row>
    <row r="770" spans="2:5">
      <c r="B770" s="244">
        <f t="shared" si="53"/>
        <v>44233</v>
      </c>
      <c r="C770" s="245" t="e">
        <f ca="1">_xll.FDS("EURUSD","FG_PRICE("&amp;B770&amp;")")</f>
        <v>#NAME?</v>
      </c>
      <c r="D770" t="e">
        <f ca="1">_xll.FDS("GBPUSD","FG_PRICE("&amp;B770&amp;")")</f>
        <v>#NAME?</v>
      </c>
      <c r="E770" t="e">
        <f ca="1">_xll.FDSB("JPYUSD","FG_PRICE("&amp;B770&amp;")")</f>
        <v>#NAME?</v>
      </c>
    </row>
    <row r="771" spans="2:5">
      <c r="B771" s="244">
        <f t="shared" si="53"/>
        <v>44234</v>
      </c>
      <c r="C771" s="245" t="e">
        <f ca="1">_xll.FDS("EURUSD","FG_PRICE("&amp;B771&amp;")")</f>
        <v>#NAME?</v>
      </c>
      <c r="D771" t="e">
        <f ca="1">_xll.FDS("GBPUSD","FG_PRICE("&amp;B771&amp;")")</f>
        <v>#NAME?</v>
      </c>
      <c r="E771" t="e">
        <f ca="1">_xll.FDSB("JPYUSD","FG_PRICE("&amp;B771&amp;")")</f>
        <v>#NAME?</v>
      </c>
    </row>
    <row r="772" spans="2:5">
      <c r="B772" s="244">
        <f t="shared" si="53"/>
        <v>44235</v>
      </c>
      <c r="C772" s="245" t="e">
        <f ca="1">_xll.FDS("EURUSD","FG_PRICE("&amp;B772&amp;")")</f>
        <v>#NAME?</v>
      </c>
      <c r="D772" t="e">
        <f ca="1">_xll.FDS("GBPUSD","FG_PRICE("&amp;B772&amp;")")</f>
        <v>#NAME?</v>
      </c>
      <c r="E772" t="e">
        <f ca="1">_xll.FDSB("JPYUSD","FG_PRICE("&amp;B772&amp;")")</f>
        <v>#NAME?</v>
      </c>
    </row>
    <row r="773" spans="2:5">
      <c r="B773" s="244">
        <f t="shared" ref="B773:B836" si="54">B772+1</f>
        <v>44236</v>
      </c>
      <c r="C773" s="245" t="e">
        <f ca="1">_xll.FDS("EURUSD","FG_PRICE("&amp;B773&amp;")")</f>
        <v>#NAME?</v>
      </c>
      <c r="D773" t="e">
        <f ca="1">_xll.FDS("GBPUSD","FG_PRICE("&amp;B773&amp;")")</f>
        <v>#NAME?</v>
      </c>
      <c r="E773" t="e">
        <f ca="1">_xll.FDSB("JPYUSD","FG_PRICE("&amp;B773&amp;")")</f>
        <v>#NAME?</v>
      </c>
    </row>
    <row r="774" spans="2:5">
      <c r="B774" s="244">
        <f t="shared" si="54"/>
        <v>44237</v>
      </c>
      <c r="C774" s="245" t="e">
        <f ca="1">_xll.FDS("EURUSD","FG_PRICE("&amp;B774&amp;")")</f>
        <v>#NAME?</v>
      </c>
      <c r="D774" t="e">
        <f ca="1">_xll.FDS("GBPUSD","FG_PRICE("&amp;B774&amp;")")</f>
        <v>#NAME?</v>
      </c>
      <c r="E774" t="e">
        <f ca="1">_xll.FDSB("JPYUSD","FG_PRICE("&amp;B774&amp;")")</f>
        <v>#NAME?</v>
      </c>
    </row>
    <row r="775" spans="2:5">
      <c r="B775" s="244">
        <f t="shared" si="54"/>
        <v>44238</v>
      </c>
      <c r="C775" s="245" t="e">
        <f ca="1">_xll.FDS("EURUSD","FG_PRICE("&amp;B775&amp;")")</f>
        <v>#NAME?</v>
      </c>
      <c r="D775" t="e">
        <f ca="1">_xll.FDS("GBPUSD","FG_PRICE("&amp;B775&amp;")")</f>
        <v>#NAME?</v>
      </c>
      <c r="E775" t="e">
        <f ca="1">_xll.FDSB("JPYUSD","FG_PRICE("&amp;B775&amp;")")</f>
        <v>#NAME?</v>
      </c>
    </row>
    <row r="776" spans="2:5">
      <c r="B776" s="244">
        <f t="shared" si="54"/>
        <v>44239</v>
      </c>
      <c r="C776" s="245" t="e">
        <f ca="1">_xll.FDS("EURUSD","FG_PRICE("&amp;B776&amp;")")</f>
        <v>#NAME?</v>
      </c>
      <c r="D776" t="e">
        <f ca="1">_xll.FDS("GBPUSD","FG_PRICE("&amp;B776&amp;")")</f>
        <v>#NAME?</v>
      </c>
      <c r="E776" t="e">
        <f ca="1">_xll.FDSB("JPYUSD","FG_PRICE("&amp;B776&amp;")")</f>
        <v>#NAME?</v>
      </c>
    </row>
    <row r="777" spans="2:5">
      <c r="B777" s="244">
        <f t="shared" si="54"/>
        <v>44240</v>
      </c>
      <c r="C777" s="245" t="e">
        <f ca="1">_xll.FDS("EURUSD","FG_PRICE("&amp;B777&amp;")")</f>
        <v>#NAME?</v>
      </c>
      <c r="D777" t="e">
        <f ca="1">_xll.FDS("GBPUSD","FG_PRICE("&amp;B777&amp;")")</f>
        <v>#NAME?</v>
      </c>
      <c r="E777" t="e">
        <f ca="1">_xll.FDSB("JPYUSD","FG_PRICE("&amp;B777&amp;")")</f>
        <v>#NAME?</v>
      </c>
    </row>
    <row r="778" spans="2:5">
      <c r="B778" s="244">
        <f t="shared" si="54"/>
        <v>44241</v>
      </c>
      <c r="C778" s="245" t="e">
        <f ca="1">_xll.FDS("EURUSD","FG_PRICE("&amp;B778&amp;")")</f>
        <v>#NAME?</v>
      </c>
      <c r="D778" t="e">
        <f ca="1">_xll.FDS("GBPUSD","FG_PRICE("&amp;B778&amp;")")</f>
        <v>#NAME?</v>
      </c>
      <c r="E778" t="e">
        <f ca="1">_xll.FDSB("JPYUSD","FG_PRICE("&amp;B778&amp;")")</f>
        <v>#NAME?</v>
      </c>
    </row>
    <row r="779" spans="2:5">
      <c r="B779" s="244">
        <f t="shared" si="54"/>
        <v>44242</v>
      </c>
      <c r="C779" s="245" t="e">
        <f ca="1">_xll.FDS("EURUSD","FG_PRICE("&amp;B779&amp;")")</f>
        <v>#NAME?</v>
      </c>
      <c r="D779" t="e">
        <f ca="1">_xll.FDS("GBPUSD","FG_PRICE("&amp;B779&amp;")")</f>
        <v>#NAME?</v>
      </c>
      <c r="E779" t="e">
        <f ca="1">_xll.FDSB("JPYUSD","FG_PRICE("&amp;B779&amp;")")</f>
        <v>#NAME?</v>
      </c>
    </row>
    <row r="780" spans="2:5">
      <c r="B780" s="244">
        <f t="shared" si="54"/>
        <v>44243</v>
      </c>
      <c r="C780" s="245" t="e">
        <f ca="1">_xll.FDS("EURUSD","FG_PRICE("&amp;B780&amp;")")</f>
        <v>#NAME?</v>
      </c>
      <c r="D780" t="e">
        <f ca="1">_xll.FDS("GBPUSD","FG_PRICE("&amp;B780&amp;")")</f>
        <v>#NAME?</v>
      </c>
      <c r="E780" t="e">
        <f ca="1">_xll.FDSB("JPYUSD","FG_PRICE("&amp;B780&amp;")")</f>
        <v>#NAME?</v>
      </c>
    </row>
    <row r="781" spans="2:5">
      <c r="B781" s="244">
        <f t="shared" si="54"/>
        <v>44244</v>
      </c>
      <c r="C781" s="245" t="e">
        <f ca="1">_xll.FDS("EURUSD","FG_PRICE("&amp;B781&amp;")")</f>
        <v>#NAME?</v>
      </c>
      <c r="D781" t="e">
        <f ca="1">_xll.FDS("GBPUSD","FG_PRICE("&amp;B781&amp;")")</f>
        <v>#NAME?</v>
      </c>
      <c r="E781" t="e">
        <f ca="1">_xll.FDSB("JPYUSD","FG_PRICE("&amp;B781&amp;")")</f>
        <v>#NAME?</v>
      </c>
    </row>
    <row r="782" spans="2:5">
      <c r="B782" s="244">
        <f t="shared" si="54"/>
        <v>44245</v>
      </c>
      <c r="C782" s="245" t="e">
        <f ca="1">_xll.FDS("EURUSD","FG_PRICE("&amp;B782&amp;")")</f>
        <v>#NAME?</v>
      </c>
      <c r="D782" t="e">
        <f ca="1">_xll.FDS("GBPUSD","FG_PRICE("&amp;B782&amp;")")</f>
        <v>#NAME?</v>
      </c>
      <c r="E782" t="e">
        <f ca="1">_xll.FDSB("JPYUSD","FG_PRICE("&amp;B782&amp;")")</f>
        <v>#NAME?</v>
      </c>
    </row>
    <row r="783" spans="2:5">
      <c r="B783" s="244">
        <f t="shared" si="54"/>
        <v>44246</v>
      </c>
      <c r="C783" s="245" t="e">
        <f ca="1">_xll.FDS("EURUSD","FG_PRICE("&amp;B783&amp;")")</f>
        <v>#NAME?</v>
      </c>
      <c r="D783" t="e">
        <f ca="1">_xll.FDS("GBPUSD","FG_PRICE("&amp;B783&amp;")")</f>
        <v>#NAME?</v>
      </c>
      <c r="E783" t="e">
        <f ca="1">_xll.FDSB("JPYUSD","FG_PRICE("&amp;B783&amp;")")</f>
        <v>#NAME?</v>
      </c>
    </row>
    <row r="784" spans="2:5">
      <c r="B784" s="244">
        <f t="shared" si="54"/>
        <v>44247</v>
      </c>
      <c r="C784" s="245" t="e">
        <f ca="1">_xll.FDS("EURUSD","FG_PRICE("&amp;B784&amp;")")</f>
        <v>#NAME?</v>
      </c>
      <c r="D784" t="e">
        <f ca="1">_xll.FDS("GBPUSD","FG_PRICE("&amp;B784&amp;")")</f>
        <v>#NAME?</v>
      </c>
      <c r="E784" t="e">
        <f ca="1">_xll.FDSB("JPYUSD","FG_PRICE("&amp;B784&amp;")")</f>
        <v>#NAME?</v>
      </c>
    </row>
    <row r="785" spans="2:5">
      <c r="B785" s="244">
        <f t="shared" si="54"/>
        <v>44248</v>
      </c>
      <c r="C785" s="245" t="e">
        <f ca="1">_xll.FDS("EURUSD","FG_PRICE("&amp;B785&amp;")")</f>
        <v>#NAME?</v>
      </c>
      <c r="D785" t="e">
        <f ca="1">_xll.FDS("GBPUSD","FG_PRICE("&amp;B785&amp;")")</f>
        <v>#NAME?</v>
      </c>
      <c r="E785" t="e">
        <f ca="1">_xll.FDSB("JPYUSD","FG_PRICE("&amp;B785&amp;")")</f>
        <v>#NAME?</v>
      </c>
    </row>
    <row r="786" spans="2:5">
      <c r="B786" s="244">
        <f t="shared" si="54"/>
        <v>44249</v>
      </c>
      <c r="C786" s="245" t="e">
        <f ca="1">_xll.FDS("EURUSD","FG_PRICE("&amp;B786&amp;")")</f>
        <v>#NAME?</v>
      </c>
      <c r="D786" t="e">
        <f ca="1">_xll.FDS("GBPUSD","FG_PRICE("&amp;B786&amp;")")</f>
        <v>#NAME?</v>
      </c>
      <c r="E786" t="e">
        <f ca="1">_xll.FDSB("JPYUSD","FG_PRICE("&amp;B786&amp;")")</f>
        <v>#NAME?</v>
      </c>
    </row>
    <row r="787" spans="2:5">
      <c r="B787" s="244">
        <f t="shared" si="54"/>
        <v>44250</v>
      </c>
      <c r="C787" s="245" t="e">
        <f ca="1">_xll.FDS("EURUSD","FG_PRICE("&amp;B787&amp;")")</f>
        <v>#NAME?</v>
      </c>
      <c r="D787" t="e">
        <f ca="1">_xll.FDS("GBPUSD","FG_PRICE("&amp;B787&amp;")")</f>
        <v>#NAME?</v>
      </c>
      <c r="E787" t="e">
        <f ca="1">_xll.FDSB("JPYUSD","FG_PRICE("&amp;B787&amp;")")</f>
        <v>#NAME?</v>
      </c>
    </row>
    <row r="788" spans="2:5">
      <c r="B788" s="244">
        <f t="shared" si="54"/>
        <v>44251</v>
      </c>
      <c r="C788" s="245" t="e">
        <f ca="1">_xll.FDS("EURUSD","FG_PRICE("&amp;B788&amp;")")</f>
        <v>#NAME?</v>
      </c>
      <c r="D788" t="e">
        <f ca="1">_xll.FDS("GBPUSD","FG_PRICE("&amp;B788&amp;")")</f>
        <v>#NAME?</v>
      </c>
      <c r="E788" t="e">
        <f ca="1">_xll.FDSB("JPYUSD","FG_PRICE("&amp;B788&amp;")")</f>
        <v>#NAME?</v>
      </c>
    </row>
    <row r="789" spans="2:5">
      <c r="B789" s="244">
        <f t="shared" si="54"/>
        <v>44252</v>
      </c>
      <c r="C789" s="245" t="e">
        <f ca="1">_xll.FDS("EURUSD","FG_PRICE("&amp;B789&amp;")")</f>
        <v>#NAME?</v>
      </c>
      <c r="D789" t="e">
        <f ca="1">_xll.FDS("GBPUSD","FG_PRICE("&amp;B789&amp;")")</f>
        <v>#NAME?</v>
      </c>
      <c r="E789" t="e">
        <f ca="1">_xll.FDSB("JPYUSD","FG_PRICE("&amp;B789&amp;")")</f>
        <v>#NAME?</v>
      </c>
    </row>
    <row r="790" spans="2:5">
      <c r="B790" s="244">
        <f t="shared" si="54"/>
        <v>44253</v>
      </c>
      <c r="C790" s="245" t="e">
        <f ca="1">_xll.FDS("EURUSD","FG_PRICE("&amp;B790&amp;")")</f>
        <v>#NAME?</v>
      </c>
      <c r="D790" t="e">
        <f ca="1">_xll.FDS("GBPUSD","FG_PRICE("&amp;B790&amp;")")</f>
        <v>#NAME?</v>
      </c>
      <c r="E790" t="e">
        <f ca="1">_xll.FDSB("JPYUSD","FG_PRICE("&amp;B790&amp;")")</f>
        <v>#NAME?</v>
      </c>
    </row>
    <row r="791" spans="2:5">
      <c r="B791" s="244">
        <f t="shared" si="54"/>
        <v>44254</v>
      </c>
      <c r="C791" s="245" t="e">
        <f ca="1">_xll.FDS("EURUSD","FG_PRICE("&amp;B791&amp;")")</f>
        <v>#NAME?</v>
      </c>
      <c r="D791" t="e">
        <f ca="1">_xll.FDS("GBPUSD","FG_PRICE("&amp;B791&amp;")")</f>
        <v>#NAME?</v>
      </c>
      <c r="E791" t="e">
        <f ca="1">_xll.FDSB("JPYUSD","FG_PRICE("&amp;B791&amp;")")</f>
        <v>#NAME?</v>
      </c>
    </row>
    <row r="792" spans="2:5">
      <c r="B792" s="244">
        <f t="shared" si="54"/>
        <v>44255</v>
      </c>
      <c r="C792" s="245" t="e">
        <f ca="1">_xll.FDS("EURUSD","FG_PRICE("&amp;B792&amp;")")</f>
        <v>#NAME?</v>
      </c>
      <c r="D792" t="e">
        <f ca="1">_xll.FDS("GBPUSD","FG_PRICE("&amp;B792&amp;")")</f>
        <v>#NAME?</v>
      </c>
      <c r="E792" t="e">
        <f ca="1">_xll.FDSB("JPYUSD","FG_PRICE("&amp;B792&amp;")")</f>
        <v>#NAME?</v>
      </c>
    </row>
    <row r="793" spans="2:5">
      <c r="B793" s="244">
        <f t="shared" si="54"/>
        <v>44256</v>
      </c>
      <c r="C793" s="245" t="e">
        <f ca="1">_xll.FDS("EURUSD","FG_PRICE("&amp;B793&amp;")")</f>
        <v>#NAME?</v>
      </c>
      <c r="D793" t="e">
        <f ca="1">_xll.FDS("GBPUSD","FG_PRICE("&amp;B793&amp;")")</f>
        <v>#NAME?</v>
      </c>
      <c r="E793" t="e">
        <f ca="1">_xll.FDSB("JPYUSD","FG_PRICE("&amp;B793&amp;")")</f>
        <v>#NAME?</v>
      </c>
    </row>
    <row r="794" spans="2:5">
      <c r="B794" s="244">
        <f t="shared" si="54"/>
        <v>44257</v>
      </c>
      <c r="C794" s="245" t="e">
        <f ca="1">_xll.FDS("EURUSD","FG_PRICE("&amp;B794&amp;")")</f>
        <v>#NAME?</v>
      </c>
      <c r="D794" t="e">
        <f ca="1">_xll.FDS("GBPUSD","FG_PRICE("&amp;B794&amp;")")</f>
        <v>#NAME?</v>
      </c>
      <c r="E794" t="e">
        <f ca="1">_xll.FDSB("JPYUSD","FG_PRICE("&amp;B794&amp;")")</f>
        <v>#NAME?</v>
      </c>
    </row>
    <row r="795" spans="2:5">
      <c r="B795" s="244">
        <f t="shared" si="54"/>
        <v>44258</v>
      </c>
      <c r="C795" s="245" t="e">
        <f ca="1">_xll.FDS("EURUSD","FG_PRICE("&amp;B795&amp;")")</f>
        <v>#NAME?</v>
      </c>
      <c r="D795" t="e">
        <f ca="1">_xll.FDS("GBPUSD","FG_PRICE("&amp;B795&amp;")")</f>
        <v>#NAME?</v>
      </c>
      <c r="E795" t="e">
        <f ca="1">_xll.FDSB("JPYUSD","FG_PRICE("&amp;B795&amp;")")</f>
        <v>#NAME?</v>
      </c>
    </row>
    <row r="796" spans="2:5">
      <c r="B796" s="244">
        <f t="shared" si="54"/>
        <v>44259</v>
      </c>
      <c r="C796" s="245" t="e">
        <f ca="1">_xll.FDS("EURUSD","FG_PRICE("&amp;B796&amp;")")</f>
        <v>#NAME?</v>
      </c>
      <c r="D796" t="e">
        <f ca="1">_xll.FDS("GBPUSD","FG_PRICE("&amp;B796&amp;")")</f>
        <v>#NAME?</v>
      </c>
      <c r="E796" t="e">
        <f ca="1">_xll.FDSB("JPYUSD","FG_PRICE("&amp;B796&amp;")")</f>
        <v>#NAME?</v>
      </c>
    </row>
    <row r="797" spans="2:5">
      <c r="B797" s="244">
        <f t="shared" si="54"/>
        <v>44260</v>
      </c>
      <c r="C797" s="245" t="e">
        <f ca="1">_xll.FDS("EURUSD","FG_PRICE("&amp;B797&amp;")")</f>
        <v>#NAME?</v>
      </c>
      <c r="D797" t="e">
        <f ca="1">_xll.FDS("GBPUSD","FG_PRICE("&amp;B797&amp;")")</f>
        <v>#NAME?</v>
      </c>
      <c r="E797" t="e">
        <f ca="1">_xll.FDSB("JPYUSD","FG_PRICE("&amp;B797&amp;")")</f>
        <v>#NAME?</v>
      </c>
    </row>
    <row r="798" spans="2:5">
      <c r="B798" s="244">
        <f t="shared" si="54"/>
        <v>44261</v>
      </c>
      <c r="C798" s="245" t="e">
        <f ca="1">_xll.FDS("EURUSD","FG_PRICE("&amp;B798&amp;")")</f>
        <v>#NAME?</v>
      </c>
      <c r="D798" t="e">
        <f ca="1">_xll.FDS("GBPUSD","FG_PRICE("&amp;B798&amp;")")</f>
        <v>#NAME?</v>
      </c>
      <c r="E798" t="e">
        <f ca="1">_xll.FDSB("JPYUSD","FG_PRICE("&amp;B798&amp;")")</f>
        <v>#NAME?</v>
      </c>
    </row>
    <row r="799" spans="2:5">
      <c r="B799" s="244">
        <f t="shared" si="54"/>
        <v>44262</v>
      </c>
      <c r="C799" s="245" t="e">
        <f ca="1">_xll.FDS("EURUSD","FG_PRICE("&amp;B799&amp;")")</f>
        <v>#NAME?</v>
      </c>
      <c r="D799" t="e">
        <f ca="1">_xll.FDS("GBPUSD","FG_PRICE("&amp;B799&amp;")")</f>
        <v>#NAME?</v>
      </c>
      <c r="E799" t="e">
        <f ca="1">_xll.FDSB("JPYUSD","FG_PRICE("&amp;B799&amp;")")</f>
        <v>#NAME?</v>
      </c>
    </row>
    <row r="800" spans="2:5">
      <c r="B800" s="244">
        <f t="shared" si="54"/>
        <v>44263</v>
      </c>
      <c r="C800" s="245" t="e">
        <f ca="1">_xll.FDS("EURUSD","FG_PRICE("&amp;B800&amp;")")</f>
        <v>#NAME?</v>
      </c>
      <c r="D800" t="e">
        <f ca="1">_xll.FDS("GBPUSD","FG_PRICE("&amp;B800&amp;")")</f>
        <v>#NAME?</v>
      </c>
      <c r="E800" t="e">
        <f ca="1">_xll.FDSB("JPYUSD","FG_PRICE("&amp;B800&amp;")")</f>
        <v>#NAME?</v>
      </c>
    </row>
    <row r="801" spans="2:5">
      <c r="B801" s="244">
        <f t="shared" si="54"/>
        <v>44264</v>
      </c>
      <c r="C801" s="245" t="e">
        <f ca="1">_xll.FDS("EURUSD","FG_PRICE("&amp;B801&amp;")")</f>
        <v>#NAME?</v>
      </c>
      <c r="D801" t="e">
        <f ca="1">_xll.FDS("GBPUSD","FG_PRICE("&amp;B801&amp;")")</f>
        <v>#NAME?</v>
      </c>
      <c r="E801" t="e">
        <f ca="1">_xll.FDSB("JPYUSD","FG_PRICE("&amp;B801&amp;")")</f>
        <v>#NAME?</v>
      </c>
    </row>
    <row r="802" spans="2:5">
      <c r="B802" s="244">
        <f t="shared" si="54"/>
        <v>44265</v>
      </c>
      <c r="C802" s="245" t="e">
        <f ca="1">_xll.FDS("EURUSD","FG_PRICE("&amp;B802&amp;")")</f>
        <v>#NAME?</v>
      </c>
      <c r="D802" t="e">
        <f ca="1">_xll.FDS("GBPUSD","FG_PRICE("&amp;B802&amp;")")</f>
        <v>#NAME?</v>
      </c>
      <c r="E802" t="e">
        <f ca="1">_xll.FDSB("JPYUSD","FG_PRICE("&amp;B802&amp;")")</f>
        <v>#NAME?</v>
      </c>
    </row>
    <row r="803" spans="2:5">
      <c r="B803" s="244">
        <f t="shared" si="54"/>
        <v>44266</v>
      </c>
      <c r="C803" s="245" t="e">
        <f ca="1">_xll.FDS("EURUSD","FG_PRICE("&amp;B803&amp;")")</f>
        <v>#NAME?</v>
      </c>
      <c r="D803" t="e">
        <f ca="1">_xll.FDS("GBPUSD","FG_PRICE("&amp;B803&amp;")")</f>
        <v>#NAME?</v>
      </c>
      <c r="E803" t="e">
        <f ca="1">_xll.FDSB("JPYUSD","FG_PRICE("&amp;B803&amp;")")</f>
        <v>#NAME?</v>
      </c>
    </row>
    <row r="804" spans="2:5">
      <c r="B804" s="244">
        <f t="shared" si="54"/>
        <v>44267</v>
      </c>
      <c r="C804" s="245" t="e">
        <f ca="1">_xll.FDS("EURUSD","FG_PRICE("&amp;B804&amp;")")</f>
        <v>#NAME?</v>
      </c>
      <c r="D804" t="e">
        <f ca="1">_xll.FDS("GBPUSD","FG_PRICE("&amp;B804&amp;")")</f>
        <v>#NAME?</v>
      </c>
      <c r="E804" t="e">
        <f ca="1">_xll.FDSB("JPYUSD","FG_PRICE("&amp;B804&amp;")")</f>
        <v>#NAME?</v>
      </c>
    </row>
    <row r="805" spans="2:5">
      <c r="B805" s="244">
        <f t="shared" si="54"/>
        <v>44268</v>
      </c>
      <c r="C805" s="245" t="e">
        <f ca="1">_xll.FDS("EURUSD","FG_PRICE("&amp;B805&amp;")")</f>
        <v>#NAME?</v>
      </c>
      <c r="D805" t="e">
        <f ca="1">_xll.FDS("GBPUSD","FG_PRICE("&amp;B805&amp;")")</f>
        <v>#NAME?</v>
      </c>
      <c r="E805" t="e">
        <f ca="1">_xll.FDSB("JPYUSD","FG_PRICE("&amp;B805&amp;")")</f>
        <v>#NAME?</v>
      </c>
    </row>
    <row r="806" spans="2:5">
      <c r="B806" s="244">
        <f t="shared" si="54"/>
        <v>44269</v>
      </c>
      <c r="C806" s="245" t="e">
        <f ca="1">_xll.FDS("EURUSD","FG_PRICE("&amp;B806&amp;")")</f>
        <v>#NAME?</v>
      </c>
      <c r="D806" t="e">
        <f ca="1">_xll.FDS("GBPUSD","FG_PRICE("&amp;B806&amp;")")</f>
        <v>#NAME?</v>
      </c>
      <c r="E806" t="e">
        <f ca="1">_xll.FDSB("JPYUSD","FG_PRICE("&amp;B806&amp;")")</f>
        <v>#NAME?</v>
      </c>
    </row>
    <row r="807" spans="2:5">
      <c r="B807" s="244">
        <f t="shared" si="54"/>
        <v>44270</v>
      </c>
      <c r="C807" s="245" t="e">
        <f ca="1">_xll.FDS("EURUSD","FG_PRICE("&amp;B807&amp;")")</f>
        <v>#NAME?</v>
      </c>
      <c r="D807" t="e">
        <f ca="1">_xll.FDS("GBPUSD","FG_PRICE("&amp;B807&amp;")")</f>
        <v>#NAME?</v>
      </c>
      <c r="E807" t="e">
        <f ca="1">_xll.FDSB("JPYUSD","FG_PRICE("&amp;B807&amp;")")</f>
        <v>#NAME?</v>
      </c>
    </row>
    <row r="808" spans="2:5">
      <c r="B808" s="244">
        <f t="shared" si="54"/>
        <v>44271</v>
      </c>
      <c r="C808" s="245" t="e">
        <f ca="1">_xll.FDS("EURUSD","FG_PRICE("&amp;B808&amp;")")</f>
        <v>#NAME?</v>
      </c>
      <c r="D808" t="e">
        <f ca="1">_xll.FDS("GBPUSD","FG_PRICE("&amp;B808&amp;")")</f>
        <v>#NAME?</v>
      </c>
      <c r="E808" t="e">
        <f ca="1">_xll.FDSB("JPYUSD","FG_PRICE("&amp;B808&amp;")")</f>
        <v>#NAME?</v>
      </c>
    </row>
    <row r="809" spans="2:5">
      <c r="B809" s="244">
        <f t="shared" si="54"/>
        <v>44272</v>
      </c>
      <c r="C809" s="245" t="e">
        <f ca="1">_xll.FDS("EURUSD","FG_PRICE("&amp;B809&amp;")")</f>
        <v>#NAME?</v>
      </c>
      <c r="D809" t="e">
        <f ca="1">_xll.FDS("GBPUSD","FG_PRICE("&amp;B809&amp;")")</f>
        <v>#NAME?</v>
      </c>
      <c r="E809" t="e">
        <f ca="1">_xll.FDSB("JPYUSD","FG_PRICE("&amp;B809&amp;")")</f>
        <v>#NAME?</v>
      </c>
    </row>
    <row r="810" spans="2:5">
      <c r="B810" s="244">
        <f t="shared" si="54"/>
        <v>44273</v>
      </c>
      <c r="C810" s="245" t="e">
        <f ca="1">_xll.FDS("EURUSD","FG_PRICE("&amp;B810&amp;")")</f>
        <v>#NAME?</v>
      </c>
      <c r="D810" t="e">
        <f ca="1">_xll.FDS("GBPUSD","FG_PRICE("&amp;B810&amp;")")</f>
        <v>#NAME?</v>
      </c>
      <c r="E810" t="e">
        <f ca="1">_xll.FDSB("JPYUSD","FG_PRICE("&amp;B810&amp;")")</f>
        <v>#NAME?</v>
      </c>
    </row>
    <row r="811" spans="2:5">
      <c r="B811" s="244">
        <f t="shared" si="54"/>
        <v>44274</v>
      </c>
      <c r="C811" s="245" t="e">
        <f ca="1">_xll.FDS("EURUSD","FG_PRICE("&amp;B811&amp;")")</f>
        <v>#NAME?</v>
      </c>
      <c r="D811" t="e">
        <f ca="1">_xll.FDS("GBPUSD","FG_PRICE("&amp;B811&amp;")")</f>
        <v>#NAME?</v>
      </c>
      <c r="E811" t="e">
        <f ca="1">_xll.FDSB("JPYUSD","FG_PRICE("&amp;B811&amp;")")</f>
        <v>#NAME?</v>
      </c>
    </row>
    <row r="812" spans="2:5">
      <c r="B812" s="244">
        <f t="shared" si="54"/>
        <v>44275</v>
      </c>
      <c r="C812" s="245" t="e">
        <f ca="1">_xll.FDS("EURUSD","FG_PRICE("&amp;B812&amp;")")</f>
        <v>#NAME?</v>
      </c>
      <c r="D812" t="e">
        <f ca="1">_xll.FDS("GBPUSD","FG_PRICE("&amp;B812&amp;")")</f>
        <v>#NAME?</v>
      </c>
      <c r="E812" t="e">
        <f ca="1">_xll.FDSB("JPYUSD","FG_PRICE("&amp;B812&amp;")")</f>
        <v>#NAME?</v>
      </c>
    </row>
    <row r="813" spans="2:5">
      <c r="B813" s="244">
        <f t="shared" si="54"/>
        <v>44276</v>
      </c>
      <c r="C813" s="245" t="e">
        <f ca="1">_xll.FDS("EURUSD","FG_PRICE("&amp;B813&amp;")")</f>
        <v>#NAME?</v>
      </c>
      <c r="D813" t="e">
        <f ca="1">_xll.FDS("GBPUSD","FG_PRICE("&amp;B813&amp;")")</f>
        <v>#NAME?</v>
      </c>
      <c r="E813" t="e">
        <f ca="1">_xll.FDSB("JPYUSD","FG_PRICE("&amp;B813&amp;")")</f>
        <v>#NAME?</v>
      </c>
    </row>
    <row r="814" spans="2:5">
      <c r="B814" s="244">
        <f t="shared" si="54"/>
        <v>44277</v>
      </c>
      <c r="C814" s="245" t="e">
        <f ca="1">_xll.FDS("EURUSD","FG_PRICE("&amp;B814&amp;")")</f>
        <v>#NAME?</v>
      </c>
      <c r="D814" t="e">
        <f ca="1">_xll.FDS("GBPUSD","FG_PRICE("&amp;B814&amp;")")</f>
        <v>#NAME?</v>
      </c>
      <c r="E814" t="e">
        <f ca="1">_xll.FDSB("JPYUSD","FG_PRICE("&amp;B814&amp;")")</f>
        <v>#NAME?</v>
      </c>
    </row>
    <row r="815" spans="2:5">
      <c r="B815" s="244">
        <f t="shared" si="54"/>
        <v>44278</v>
      </c>
      <c r="C815" s="245" t="e">
        <f ca="1">_xll.FDS("EURUSD","FG_PRICE("&amp;B815&amp;")")</f>
        <v>#NAME?</v>
      </c>
      <c r="D815" t="e">
        <f ca="1">_xll.FDS("GBPUSD","FG_PRICE("&amp;B815&amp;")")</f>
        <v>#NAME?</v>
      </c>
      <c r="E815" t="e">
        <f ca="1">_xll.FDSB("JPYUSD","FG_PRICE("&amp;B815&amp;")")</f>
        <v>#NAME?</v>
      </c>
    </row>
    <row r="816" spans="2:5">
      <c r="B816" s="244">
        <f t="shared" si="54"/>
        <v>44279</v>
      </c>
      <c r="C816" s="245" t="e">
        <f ca="1">_xll.FDS("EURUSD","FG_PRICE("&amp;B816&amp;")")</f>
        <v>#NAME?</v>
      </c>
      <c r="D816" t="e">
        <f ca="1">_xll.FDS("GBPUSD","FG_PRICE("&amp;B816&amp;")")</f>
        <v>#NAME?</v>
      </c>
      <c r="E816" t="e">
        <f ca="1">_xll.FDSB("JPYUSD","FG_PRICE("&amp;B816&amp;")")</f>
        <v>#NAME?</v>
      </c>
    </row>
    <row r="817" spans="2:5">
      <c r="B817" s="244">
        <f t="shared" si="54"/>
        <v>44280</v>
      </c>
      <c r="C817" s="245" t="e">
        <f ca="1">_xll.FDS("EURUSD","FG_PRICE("&amp;B817&amp;")")</f>
        <v>#NAME?</v>
      </c>
      <c r="D817" t="e">
        <f ca="1">_xll.FDS("GBPUSD","FG_PRICE("&amp;B817&amp;")")</f>
        <v>#NAME?</v>
      </c>
      <c r="E817" t="e">
        <f ca="1">_xll.FDSB("JPYUSD","FG_PRICE("&amp;B817&amp;")")</f>
        <v>#NAME?</v>
      </c>
    </row>
    <row r="818" spans="2:5">
      <c r="B818" s="244">
        <f t="shared" si="54"/>
        <v>44281</v>
      </c>
      <c r="C818" s="245" t="e">
        <f ca="1">_xll.FDS("EURUSD","FG_PRICE("&amp;B818&amp;")")</f>
        <v>#NAME?</v>
      </c>
      <c r="D818" t="e">
        <f ca="1">_xll.FDS("GBPUSD","FG_PRICE("&amp;B818&amp;")")</f>
        <v>#NAME?</v>
      </c>
      <c r="E818" t="e">
        <f ca="1">_xll.FDSB("JPYUSD","FG_PRICE("&amp;B818&amp;")")</f>
        <v>#NAME?</v>
      </c>
    </row>
    <row r="819" spans="2:5">
      <c r="B819" s="244">
        <f t="shared" si="54"/>
        <v>44282</v>
      </c>
      <c r="C819" s="245" t="e">
        <f ca="1">_xll.FDS("EURUSD","FG_PRICE("&amp;B819&amp;")")</f>
        <v>#NAME?</v>
      </c>
      <c r="D819" t="e">
        <f ca="1">_xll.FDS("GBPUSD","FG_PRICE("&amp;B819&amp;")")</f>
        <v>#NAME?</v>
      </c>
      <c r="E819" t="e">
        <f ca="1">_xll.FDSB("JPYUSD","FG_PRICE("&amp;B819&amp;")")</f>
        <v>#NAME?</v>
      </c>
    </row>
    <row r="820" spans="2:5">
      <c r="B820" s="244">
        <f t="shared" si="54"/>
        <v>44283</v>
      </c>
      <c r="C820" s="245" t="e">
        <f ca="1">_xll.FDS("EURUSD","FG_PRICE("&amp;B820&amp;")")</f>
        <v>#NAME?</v>
      </c>
      <c r="D820" t="e">
        <f ca="1">_xll.FDS("GBPUSD","FG_PRICE("&amp;B820&amp;")")</f>
        <v>#NAME?</v>
      </c>
      <c r="E820" t="e">
        <f ca="1">_xll.FDSB("JPYUSD","FG_PRICE("&amp;B820&amp;")")</f>
        <v>#NAME?</v>
      </c>
    </row>
    <row r="821" spans="2:5">
      <c r="B821" s="244">
        <f t="shared" si="54"/>
        <v>44284</v>
      </c>
      <c r="C821" s="245" t="e">
        <f ca="1">_xll.FDS("EURUSD","FG_PRICE("&amp;B821&amp;")")</f>
        <v>#NAME?</v>
      </c>
      <c r="D821" t="e">
        <f ca="1">_xll.FDS("GBPUSD","FG_PRICE("&amp;B821&amp;")")</f>
        <v>#NAME?</v>
      </c>
      <c r="E821" t="e">
        <f ca="1">_xll.FDSB("JPYUSD","FG_PRICE("&amp;B821&amp;")")</f>
        <v>#NAME?</v>
      </c>
    </row>
    <row r="822" spans="2:5">
      <c r="B822" s="244">
        <f t="shared" si="54"/>
        <v>44285</v>
      </c>
      <c r="C822" s="245" t="e">
        <f ca="1">_xll.FDS("EURUSD","FG_PRICE("&amp;B822&amp;")")</f>
        <v>#NAME?</v>
      </c>
      <c r="D822" t="e">
        <f ca="1">_xll.FDS("GBPUSD","FG_PRICE("&amp;B822&amp;")")</f>
        <v>#NAME?</v>
      </c>
      <c r="E822" t="e">
        <f ca="1">_xll.FDSB("JPYUSD","FG_PRICE("&amp;B822&amp;")")</f>
        <v>#NAME?</v>
      </c>
    </row>
    <row r="823" spans="2:5">
      <c r="B823" s="244">
        <f t="shared" si="54"/>
        <v>44286</v>
      </c>
      <c r="C823" s="245" t="e">
        <f ca="1">_xll.FDS("EURUSD","FG_PRICE("&amp;B823&amp;")")</f>
        <v>#NAME?</v>
      </c>
      <c r="D823" t="e">
        <f ca="1">_xll.FDS("GBPUSD","FG_PRICE("&amp;B823&amp;")")</f>
        <v>#NAME?</v>
      </c>
      <c r="E823" t="e">
        <f ca="1">_xll.FDSB("JPYUSD","FG_PRICE("&amp;B823&amp;")")</f>
        <v>#NAME?</v>
      </c>
    </row>
    <row r="824" spans="2:5">
      <c r="B824" s="244">
        <f t="shared" si="54"/>
        <v>44287</v>
      </c>
      <c r="C824" s="245" t="e">
        <f ca="1">_xll.FDS("EURUSD","FG_PRICE("&amp;B824&amp;")")</f>
        <v>#NAME?</v>
      </c>
      <c r="D824" t="e">
        <f ca="1">_xll.FDS("GBPUSD","FG_PRICE("&amp;B824&amp;")")</f>
        <v>#NAME?</v>
      </c>
      <c r="E824" t="e">
        <f ca="1">_xll.FDSB("JPYUSD","FG_PRICE("&amp;B824&amp;")")</f>
        <v>#NAME?</v>
      </c>
    </row>
    <row r="825" spans="2:5">
      <c r="B825" s="244">
        <f t="shared" si="54"/>
        <v>44288</v>
      </c>
      <c r="C825" s="245" t="e">
        <f ca="1">_xll.FDS("EURUSD","FG_PRICE("&amp;B825&amp;")")</f>
        <v>#NAME?</v>
      </c>
      <c r="D825" t="e">
        <f ca="1">_xll.FDS("GBPUSD","FG_PRICE("&amp;B825&amp;")")</f>
        <v>#NAME?</v>
      </c>
      <c r="E825" t="e">
        <f ca="1">_xll.FDSB("JPYUSD","FG_PRICE("&amp;B825&amp;")")</f>
        <v>#NAME?</v>
      </c>
    </row>
    <row r="826" spans="2:5">
      <c r="B826" s="244">
        <f t="shared" si="54"/>
        <v>44289</v>
      </c>
      <c r="C826" s="245" t="e">
        <f ca="1">_xll.FDS("EURUSD","FG_PRICE("&amp;B826&amp;")")</f>
        <v>#NAME?</v>
      </c>
      <c r="D826" t="e">
        <f ca="1">_xll.FDS("GBPUSD","FG_PRICE("&amp;B826&amp;")")</f>
        <v>#NAME?</v>
      </c>
      <c r="E826" t="e">
        <f ca="1">_xll.FDSB("JPYUSD","FG_PRICE("&amp;B826&amp;")")</f>
        <v>#NAME?</v>
      </c>
    </row>
    <row r="827" spans="2:5">
      <c r="B827" s="244">
        <f t="shared" si="54"/>
        <v>44290</v>
      </c>
      <c r="C827" s="245" t="e">
        <f ca="1">_xll.FDS("EURUSD","FG_PRICE("&amp;B827&amp;")")</f>
        <v>#NAME?</v>
      </c>
      <c r="D827" t="e">
        <f ca="1">_xll.FDS("GBPUSD","FG_PRICE("&amp;B827&amp;")")</f>
        <v>#NAME?</v>
      </c>
      <c r="E827" t="e">
        <f ca="1">_xll.FDSB("JPYUSD","FG_PRICE("&amp;B827&amp;")")</f>
        <v>#NAME?</v>
      </c>
    </row>
    <row r="828" spans="2:5">
      <c r="B828" s="244">
        <f t="shared" si="54"/>
        <v>44291</v>
      </c>
      <c r="C828" s="245" t="e">
        <f ca="1">_xll.FDS("EURUSD","FG_PRICE("&amp;B828&amp;")")</f>
        <v>#NAME?</v>
      </c>
      <c r="D828" t="e">
        <f ca="1">_xll.FDS("GBPUSD","FG_PRICE("&amp;B828&amp;")")</f>
        <v>#NAME?</v>
      </c>
      <c r="E828" t="e">
        <f ca="1">_xll.FDSB("JPYUSD","FG_PRICE("&amp;B828&amp;")")</f>
        <v>#NAME?</v>
      </c>
    </row>
    <row r="829" spans="2:5">
      <c r="B829" s="244">
        <f t="shared" si="54"/>
        <v>44292</v>
      </c>
      <c r="C829" s="245" t="e">
        <f ca="1">_xll.FDS("EURUSD","FG_PRICE("&amp;B829&amp;")")</f>
        <v>#NAME?</v>
      </c>
      <c r="D829" t="e">
        <f ca="1">_xll.FDS("GBPUSD","FG_PRICE("&amp;B829&amp;")")</f>
        <v>#NAME?</v>
      </c>
      <c r="E829" t="e">
        <f ca="1">_xll.FDSB("JPYUSD","FG_PRICE("&amp;B829&amp;")")</f>
        <v>#NAME?</v>
      </c>
    </row>
    <row r="830" spans="2:5">
      <c r="B830" s="244">
        <f t="shared" si="54"/>
        <v>44293</v>
      </c>
      <c r="C830" s="245" t="e">
        <f ca="1">_xll.FDS("EURUSD","FG_PRICE("&amp;B830&amp;")")</f>
        <v>#NAME?</v>
      </c>
      <c r="D830" t="e">
        <f ca="1">_xll.FDS("GBPUSD","FG_PRICE("&amp;B830&amp;")")</f>
        <v>#NAME?</v>
      </c>
      <c r="E830" t="e">
        <f ca="1">_xll.FDSB("JPYUSD","FG_PRICE("&amp;B830&amp;")")</f>
        <v>#NAME?</v>
      </c>
    </row>
    <row r="831" spans="2:5">
      <c r="B831" s="244">
        <f t="shared" si="54"/>
        <v>44294</v>
      </c>
      <c r="C831" s="245" t="e">
        <f ca="1">_xll.FDS("EURUSD","FG_PRICE("&amp;B831&amp;")")</f>
        <v>#NAME?</v>
      </c>
      <c r="D831" t="e">
        <f ca="1">_xll.FDS("GBPUSD","FG_PRICE("&amp;B831&amp;")")</f>
        <v>#NAME?</v>
      </c>
      <c r="E831" t="e">
        <f ca="1">_xll.FDSB("JPYUSD","FG_PRICE("&amp;B831&amp;")")</f>
        <v>#NAME?</v>
      </c>
    </row>
    <row r="832" spans="2:5">
      <c r="B832" s="244">
        <f t="shared" si="54"/>
        <v>44295</v>
      </c>
      <c r="C832" s="245" t="e">
        <f ca="1">_xll.FDS("EURUSD","FG_PRICE("&amp;B832&amp;")")</f>
        <v>#NAME?</v>
      </c>
      <c r="D832" t="e">
        <f ca="1">_xll.FDS("GBPUSD","FG_PRICE("&amp;B832&amp;")")</f>
        <v>#NAME?</v>
      </c>
      <c r="E832" t="e">
        <f ca="1">_xll.FDSB("JPYUSD","FG_PRICE("&amp;B832&amp;")")</f>
        <v>#NAME?</v>
      </c>
    </row>
    <row r="833" spans="2:5">
      <c r="B833" s="244">
        <f t="shared" si="54"/>
        <v>44296</v>
      </c>
      <c r="C833" s="245" t="e">
        <f ca="1">_xll.FDS("EURUSD","FG_PRICE("&amp;B833&amp;")")</f>
        <v>#NAME?</v>
      </c>
      <c r="D833" t="e">
        <f ca="1">_xll.FDS("GBPUSD","FG_PRICE("&amp;B833&amp;")")</f>
        <v>#NAME?</v>
      </c>
      <c r="E833" t="e">
        <f ca="1">_xll.FDSB("JPYUSD","FG_PRICE("&amp;B833&amp;")")</f>
        <v>#NAME?</v>
      </c>
    </row>
    <row r="834" spans="2:5">
      <c r="B834" s="244">
        <f t="shared" si="54"/>
        <v>44297</v>
      </c>
      <c r="C834" s="245" t="e">
        <f ca="1">_xll.FDS("EURUSD","FG_PRICE("&amp;B834&amp;")")</f>
        <v>#NAME?</v>
      </c>
      <c r="D834" t="e">
        <f ca="1">_xll.FDS("GBPUSD","FG_PRICE("&amp;B834&amp;")")</f>
        <v>#NAME?</v>
      </c>
      <c r="E834" t="e">
        <f ca="1">_xll.FDSB("JPYUSD","FG_PRICE("&amp;B834&amp;")")</f>
        <v>#NAME?</v>
      </c>
    </row>
    <row r="835" spans="2:5">
      <c r="B835" s="244">
        <f t="shared" si="54"/>
        <v>44298</v>
      </c>
      <c r="C835" s="245" t="e">
        <f ca="1">_xll.FDS("EURUSD","FG_PRICE("&amp;B835&amp;")")</f>
        <v>#NAME?</v>
      </c>
      <c r="D835" t="e">
        <f ca="1">_xll.FDS("GBPUSD","FG_PRICE("&amp;B835&amp;")")</f>
        <v>#NAME?</v>
      </c>
      <c r="E835" t="e">
        <f ca="1">_xll.FDSB("JPYUSD","FG_PRICE("&amp;B835&amp;")")</f>
        <v>#NAME?</v>
      </c>
    </row>
    <row r="836" spans="2:5">
      <c r="B836" s="244">
        <f t="shared" si="54"/>
        <v>44299</v>
      </c>
      <c r="C836" s="245" t="e">
        <f ca="1">_xll.FDS("EURUSD","FG_PRICE("&amp;B836&amp;")")</f>
        <v>#NAME?</v>
      </c>
      <c r="D836" t="e">
        <f ca="1">_xll.FDS("GBPUSD","FG_PRICE("&amp;B836&amp;")")</f>
        <v>#NAME?</v>
      </c>
      <c r="E836" t="e">
        <f ca="1">_xll.FDSB("JPYUSD","FG_PRICE("&amp;B836&amp;")")</f>
        <v>#NAME?</v>
      </c>
    </row>
    <row r="837" spans="2:5">
      <c r="B837" s="244">
        <f t="shared" ref="B837:B900" si="55">B836+1</f>
        <v>44300</v>
      </c>
      <c r="C837" s="245" t="e">
        <f ca="1">_xll.FDS("EURUSD","FG_PRICE("&amp;B837&amp;")")</f>
        <v>#NAME?</v>
      </c>
      <c r="D837" t="e">
        <f ca="1">_xll.FDS("GBPUSD","FG_PRICE("&amp;B837&amp;")")</f>
        <v>#NAME?</v>
      </c>
      <c r="E837" t="e">
        <f ca="1">_xll.FDSB("JPYUSD","FG_PRICE("&amp;B837&amp;")")</f>
        <v>#NAME?</v>
      </c>
    </row>
    <row r="838" spans="2:5">
      <c r="B838" s="244">
        <f t="shared" si="55"/>
        <v>44301</v>
      </c>
      <c r="C838" s="245" t="e">
        <f ca="1">_xll.FDS("EURUSD","FG_PRICE("&amp;B838&amp;")")</f>
        <v>#NAME?</v>
      </c>
      <c r="D838" t="e">
        <f ca="1">_xll.FDS("GBPUSD","FG_PRICE("&amp;B838&amp;")")</f>
        <v>#NAME?</v>
      </c>
      <c r="E838" t="e">
        <f ca="1">_xll.FDSB("JPYUSD","FG_PRICE("&amp;B838&amp;")")</f>
        <v>#NAME?</v>
      </c>
    </row>
    <row r="839" spans="2:5">
      <c r="B839" s="244">
        <f t="shared" si="55"/>
        <v>44302</v>
      </c>
      <c r="C839" s="245" t="e">
        <f ca="1">_xll.FDS("EURUSD","FG_PRICE("&amp;B839&amp;")")</f>
        <v>#NAME?</v>
      </c>
      <c r="D839" t="e">
        <f ca="1">_xll.FDS("GBPUSD","FG_PRICE("&amp;B839&amp;")")</f>
        <v>#NAME?</v>
      </c>
      <c r="E839" t="e">
        <f ca="1">_xll.FDSB("JPYUSD","FG_PRICE("&amp;B839&amp;")")</f>
        <v>#NAME?</v>
      </c>
    </row>
    <row r="840" spans="2:5">
      <c r="B840" s="244">
        <f t="shared" si="55"/>
        <v>44303</v>
      </c>
      <c r="C840" s="245" t="e">
        <f ca="1">_xll.FDS("EURUSD","FG_PRICE("&amp;B840&amp;")")</f>
        <v>#NAME?</v>
      </c>
      <c r="D840" t="e">
        <f ca="1">_xll.FDS("GBPUSD","FG_PRICE("&amp;B840&amp;")")</f>
        <v>#NAME?</v>
      </c>
      <c r="E840" t="e">
        <f ca="1">_xll.FDSB("JPYUSD","FG_PRICE("&amp;B840&amp;")")</f>
        <v>#NAME?</v>
      </c>
    </row>
    <row r="841" spans="2:5">
      <c r="B841" s="244">
        <f t="shared" si="55"/>
        <v>44304</v>
      </c>
      <c r="C841" s="245" t="e">
        <f ca="1">_xll.FDS("EURUSD","FG_PRICE("&amp;B841&amp;")")</f>
        <v>#NAME?</v>
      </c>
      <c r="D841" t="e">
        <f ca="1">_xll.FDS("GBPUSD","FG_PRICE("&amp;B841&amp;")")</f>
        <v>#NAME?</v>
      </c>
      <c r="E841" t="e">
        <f ca="1">_xll.FDSB("JPYUSD","FG_PRICE("&amp;B841&amp;")")</f>
        <v>#NAME?</v>
      </c>
    </row>
    <row r="842" spans="2:5">
      <c r="B842" s="244">
        <f t="shared" si="55"/>
        <v>44305</v>
      </c>
      <c r="C842" s="245" t="e">
        <f ca="1">_xll.FDS("EURUSD","FG_PRICE("&amp;B842&amp;")")</f>
        <v>#NAME?</v>
      </c>
      <c r="D842" t="e">
        <f ca="1">_xll.FDS("GBPUSD","FG_PRICE("&amp;B842&amp;")")</f>
        <v>#NAME?</v>
      </c>
      <c r="E842" t="e">
        <f ca="1">_xll.FDSB("JPYUSD","FG_PRICE("&amp;B842&amp;")")</f>
        <v>#NAME?</v>
      </c>
    </row>
    <row r="843" spans="2:5">
      <c r="B843" s="244">
        <f t="shared" si="55"/>
        <v>44306</v>
      </c>
      <c r="C843" s="245" t="e">
        <f ca="1">_xll.FDS("EURUSD","FG_PRICE("&amp;B843&amp;")")</f>
        <v>#NAME?</v>
      </c>
      <c r="D843" t="e">
        <f ca="1">_xll.FDS("GBPUSD","FG_PRICE("&amp;B843&amp;")")</f>
        <v>#NAME?</v>
      </c>
      <c r="E843" t="e">
        <f ca="1">_xll.FDSB("JPYUSD","FG_PRICE("&amp;B843&amp;")")</f>
        <v>#NAME?</v>
      </c>
    </row>
    <row r="844" spans="2:5">
      <c r="B844" s="244">
        <f t="shared" si="55"/>
        <v>44307</v>
      </c>
      <c r="C844" s="245" t="e">
        <f ca="1">_xll.FDS("EURUSD","FG_PRICE("&amp;B844&amp;")")</f>
        <v>#NAME?</v>
      </c>
      <c r="D844" t="e">
        <f ca="1">_xll.FDS("GBPUSD","FG_PRICE("&amp;B844&amp;")")</f>
        <v>#NAME?</v>
      </c>
      <c r="E844" t="e">
        <f ca="1">_xll.FDSB("JPYUSD","FG_PRICE("&amp;B844&amp;")")</f>
        <v>#NAME?</v>
      </c>
    </row>
    <row r="845" spans="2:5">
      <c r="B845" s="244">
        <f t="shared" si="55"/>
        <v>44308</v>
      </c>
      <c r="C845" s="245" t="e">
        <f ca="1">_xll.FDS("EURUSD","FG_PRICE("&amp;B845&amp;")")</f>
        <v>#NAME?</v>
      </c>
      <c r="D845" t="e">
        <f ca="1">_xll.FDS("GBPUSD","FG_PRICE("&amp;B845&amp;")")</f>
        <v>#NAME?</v>
      </c>
      <c r="E845" t="e">
        <f ca="1">_xll.FDSB("JPYUSD","FG_PRICE("&amp;B845&amp;")")</f>
        <v>#NAME?</v>
      </c>
    </row>
    <row r="846" spans="2:5">
      <c r="B846" s="244">
        <f t="shared" si="55"/>
        <v>44309</v>
      </c>
      <c r="C846" s="245" t="e">
        <f ca="1">_xll.FDS("EURUSD","FG_PRICE("&amp;B846&amp;")")</f>
        <v>#NAME?</v>
      </c>
      <c r="D846" t="e">
        <f ca="1">_xll.FDS("GBPUSD","FG_PRICE("&amp;B846&amp;")")</f>
        <v>#NAME?</v>
      </c>
      <c r="E846" t="e">
        <f ca="1">_xll.FDSB("JPYUSD","FG_PRICE("&amp;B846&amp;")")</f>
        <v>#NAME?</v>
      </c>
    </row>
    <row r="847" spans="2:5">
      <c r="B847" s="244">
        <f t="shared" si="55"/>
        <v>44310</v>
      </c>
      <c r="C847" s="245" t="e">
        <f ca="1">_xll.FDS("EURUSD","FG_PRICE("&amp;B847&amp;")")</f>
        <v>#NAME?</v>
      </c>
      <c r="D847" t="e">
        <f ca="1">_xll.FDS("GBPUSD","FG_PRICE("&amp;B847&amp;")")</f>
        <v>#NAME?</v>
      </c>
      <c r="E847" t="e">
        <f ca="1">_xll.FDSB("JPYUSD","FG_PRICE("&amp;B847&amp;")")</f>
        <v>#NAME?</v>
      </c>
    </row>
    <row r="848" spans="2:5">
      <c r="B848" s="244">
        <f t="shared" si="55"/>
        <v>44311</v>
      </c>
      <c r="C848" s="245" t="e">
        <f ca="1">_xll.FDS("EURUSD","FG_PRICE("&amp;B848&amp;")")</f>
        <v>#NAME?</v>
      </c>
      <c r="D848" t="e">
        <f ca="1">_xll.FDS("GBPUSD","FG_PRICE("&amp;B848&amp;")")</f>
        <v>#NAME?</v>
      </c>
      <c r="E848" t="e">
        <f ca="1">_xll.FDSB("JPYUSD","FG_PRICE("&amp;B848&amp;")")</f>
        <v>#NAME?</v>
      </c>
    </row>
    <row r="849" spans="2:5">
      <c r="B849" s="244">
        <f t="shared" si="55"/>
        <v>44312</v>
      </c>
      <c r="C849" s="245" t="e">
        <f ca="1">_xll.FDS("EURUSD","FG_PRICE("&amp;B849&amp;")")</f>
        <v>#NAME?</v>
      </c>
      <c r="D849" t="e">
        <f ca="1">_xll.FDS("GBPUSD","FG_PRICE("&amp;B849&amp;")")</f>
        <v>#NAME?</v>
      </c>
      <c r="E849" t="e">
        <f ca="1">_xll.FDSB("JPYUSD","FG_PRICE("&amp;B849&amp;")")</f>
        <v>#NAME?</v>
      </c>
    </row>
    <row r="850" spans="2:5">
      <c r="B850" s="244">
        <f t="shared" si="55"/>
        <v>44313</v>
      </c>
      <c r="C850" s="245" t="e">
        <f ca="1">_xll.FDS("EURUSD","FG_PRICE("&amp;B850&amp;")")</f>
        <v>#NAME?</v>
      </c>
      <c r="D850" t="e">
        <f ca="1">_xll.FDS("GBPUSD","FG_PRICE("&amp;B850&amp;")")</f>
        <v>#NAME?</v>
      </c>
      <c r="E850" t="e">
        <f ca="1">_xll.FDSB("JPYUSD","FG_PRICE("&amp;B850&amp;")")</f>
        <v>#NAME?</v>
      </c>
    </row>
    <row r="851" spans="2:5">
      <c r="B851" s="244">
        <f t="shared" si="55"/>
        <v>44314</v>
      </c>
      <c r="C851" s="245" t="e">
        <f ca="1">_xll.FDS("EURUSD","FG_PRICE("&amp;B851&amp;")")</f>
        <v>#NAME?</v>
      </c>
      <c r="D851" t="e">
        <f ca="1">_xll.FDS("GBPUSD","FG_PRICE("&amp;B851&amp;")")</f>
        <v>#NAME?</v>
      </c>
      <c r="E851" t="e">
        <f ca="1">_xll.FDSB("JPYUSD","FG_PRICE("&amp;B851&amp;")")</f>
        <v>#NAME?</v>
      </c>
    </row>
    <row r="852" spans="2:5">
      <c r="B852" s="244">
        <f t="shared" si="55"/>
        <v>44315</v>
      </c>
      <c r="C852" s="245" t="e">
        <f ca="1">_xll.FDS("EURUSD","FG_PRICE("&amp;B852&amp;")")</f>
        <v>#NAME?</v>
      </c>
      <c r="D852" t="e">
        <f ca="1">_xll.FDS("GBPUSD","FG_PRICE("&amp;B852&amp;")")</f>
        <v>#NAME?</v>
      </c>
      <c r="E852" t="e">
        <f ca="1">_xll.FDSB("JPYUSD","FG_PRICE("&amp;B852&amp;")")</f>
        <v>#NAME?</v>
      </c>
    </row>
    <row r="853" spans="2:5">
      <c r="B853" s="244">
        <f t="shared" si="55"/>
        <v>44316</v>
      </c>
      <c r="C853" s="245" t="e">
        <f ca="1">_xll.FDS("EURUSD","FG_PRICE("&amp;B853&amp;")")</f>
        <v>#NAME?</v>
      </c>
      <c r="D853" t="e">
        <f ca="1">_xll.FDS("GBPUSD","FG_PRICE("&amp;B853&amp;")")</f>
        <v>#NAME?</v>
      </c>
      <c r="E853" t="e">
        <f ca="1">_xll.FDSB("JPYUSD","FG_PRICE("&amp;B853&amp;")")</f>
        <v>#NAME?</v>
      </c>
    </row>
    <row r="854" spans="2:5">
      <c r="B854" s="244">
        <f t="shared" si="55"/>
        <v>44317</v>
      </c>
      <c r="C854" s="245" t="e">
        <f ca="1">_xll.FDS("EURUSD","FG_PRICE("&amp;B854&amp;")")</f>
        <v>#NAME?</v>
      </c>
      <c r="D854" t="e">
        <f ca="1">_xll.FDS("GBPUSD","FG_PRICE("&amp;B854&amp;")")</f>
        <v>#NAME?</v>
      </c>
      <c r="E854" t="e">
        <f ca="1">_xll.FDSB("JPYUSD","FG_PRICE("&amp;B854&amp;")")</f>
        <v>#NAME?</v>
      </c>
    </row>
    <row r="855" spans="2:5">
      <c r="B855" s="244">
        <f t="shared" si="55"/>
        <v>44318</v>
      </c>
      <c r="C855" s="245" t="e">
        <f ca="1">_xll.FDS("EURUSD","FG_PRICE("&amp;B855&amp;")")</f>
        <v>#NAME?</v>
      </c>
      <c r="D855" t="e">
        <f ca="1">_xll.FDS("GBPUSD","FG_PRICE("&amp;B855&amp;")")</f>
        <v>#NAME?</v>
      </c>
      <c r="E855" t="e">
        <f ca="1">_xll.FDSB("JPYUSD","FG_PRICE("&amp;B855&amp;")")</f>
        <v>#NAME?</v>
      </c>
    </row>
    <row r="856" spans="2:5">
      <c r="B856" s="244">
        <f t="shared" si="55"/>
        <v>44319</v>
      </c>
      <c r="C856" s="245" t="e">
        <f ca="1">_xll.FDS("EURUSD","FG_PRICE("&amp;B856&amp;")")</f>
        <v>#NAME?</v>
      </c>
      <c r="D856" t="e">
        <f ca="1">_xll.FDS("GBPUSD","FG_PRICE("&amp;B856&amp;")")</f>
        <v>#NAME?</v>
      </c>
      <c r="E856" t="e">
        <f ca="1">_xll.FDSB("JPYUSD","FG_PRICE("&amp;B856&amp;")")</f>
        <v>#NAME?</v>
      </c>
    </row>
    <row r="857" spans="2:5">
      <c r="B857" s="244">
        <f t="shared" si="55"/>
        <v>44320</v>
      </c>
      <c r="C857" s="245" t="e">
        <f ca="1">_xll.FDS("EURUSD","FG_PRICE("&amp;B857&amp;")")</f>
        <v>#NAME?</v>
      </c>
      <c r="D857" t="e">
        <f ca="1">_xll.FDS("GBPUSD","FG_PRICE("&amp;B857&amp;")")</f>
        <v>#NAME?</v>
      </c>
      <c r="E857" t="e">
        <f ca="1">_xll.FDSB("JPYUSD","FG_PRICE("&amp;B857&amp;")")</f>
        <v>#NAME?</v>
      </c>
    </row>
    <row r="858" spans="2:5">
      <c r="B858" s="244">
        <f t="shared" si="55"/>
        <v>44321</v>
      </c>
      <c r="C858" s="245" t="e">
        <f ca="1">_xll.FDS("EURUSD","FG_PRICE("&amp;B858&amp;")")</f>
        <v>#NAME?</v>
      </c>
      <c r="D858" t="e">
        <f ca="1">_xll.FDS("GBPUSD","FG_PRICE("&amp;B858&amp;")")</f>
        <v>#NAME?</v>
      </c>
      <c r="E858" t="e">
        <f ca="1">_xll.FDSB("JPYUSD","FG_PRICE("&amp;B858&amp;")")</f>
        <v>#NAME?</v>
      </c>
    </row>
    <row r="859" spans="2:5">
      <c r="B859" s="244">
        <f t="shared" si="55"/>
        <v>44322</v>
      </c>
      <c r="C859" s="245" t="e">
        <f ca="1">_xll.FDS("EURUSD","FG_PRICE("&amp;B859&amp;")")</f>
        <v>#NAME?</v>
      </c>
      <c r="D859" t="e">
        <f ca="1">_xll.FDS("GBPUSD","FG_PRICE("&amp;B859&amp;")")</f>
        <v>#NAME?</v>
      </c>
      <c r="E859" t="e">
        <f ca="1">_xll.FDSB("JPYUSD","FG_PRICE("&amp;B859&amp;")")</f>
        <v>#NAME?</v>
      </c>
    </row>
    <row r="860" spans="2:5">
      <c r="B860" s="244">
        <f t="shared" si="55"/>
        <v>44323</v>
      </c>
      <c r="C860" s="245" t="e">
        <f ca="1">_xll.FDS("EURUSD","FG_PRICE("&amp;B860&amp;")")</f>
        <v>#NAME?</v>
      </c>
      <c r="D860" t="e">
        <f ca="1">_xll.FDS("GBPUSD","FG_PRICE("&amp;B860&amp;")")</f>
        <v>#NAME?</v>
      </c>
      <c r="E860" t="e">
        <f ca="1">_xll.FDSB("JPYUSD","FG_PRICE("&amp;B860&amp;")")</f>
        <v>#NAME?</v>
      </c>
    </row>
    <row r="861" spans="2:5">
      <c r="B861" s="244">
        <f t="shared" si="55"/>
        <v>44324</v>
      </c>
      <c r="C861" s="245" t="e">
        <f ca="1">_xll.FDS("EURUSD","FG_PRICE("&amp;B861&amp;")")</f>
        <v>#NAME?</v>
      </c>
      <c r="D861" t="e">
        <f ca="1">_xll.FDS("GBPUSD","FG_PRICE("&amp;B861&amp;")")</f>
        <v>#NAME?</v>
      </c>
      <c r="E861" t="e">
        <f ca="1">_xll.FDSB("JPYUSD","FG_PRICE("&amp;B861&amp;")")</f>
        <v>#NAME?</v>
      </c>
    </row>
    <row r="862" spans="2:5">
      <c r="B862" s="244">
        <f t="shared" si="55"/>
        <v>44325</v>
      </c>
      <c r="C862" s="245" t="e">
        <f ca="1">_xll.FDS("EURUSD","FG_PRICE("&amp;B862&amp;")")</f>
        <v>#NAME?</v>
      </c>
      <c r="D862" t="e">
        <f ca="1">_xll.FDS("GBPUSD","FG_PRICE("&amp;B862&amp;")")</f>
        <v>#NAME?</v>
      </c>
      <c r="E862" t="e">
        <f ca="1">_xll.FDSB("JPYUSD","FG_PRICE("&amp;B862&amp;")")</f>
        <v>#NAME?</v>
      </c>
    </row>
    <row r="863" spans="2:5">
      <c r="B863" s="244">
        <f t="shared" si="55"/>
        <v>44326</v>
      </c>
      <c r="C863" s="245" t="e">
        <f ca="1">_xll.FDS("EURUSD","FG_PRICE("&amp;B863&amp;")")</f>
        <v>#NAME?</v>
      </c>
      <c r="D863" t="e">
        <f ca="1">_xll.FDS("GBPUSD","FG_PRICE("&amp;B863&amp;")")</f>
        <v>#NAME?</v>
      </c>
      <c r="E863" t="e">
        <f ca="1">_xll.FDSB("JPYUSD","FG_PRICE("&amp;B863&amp;")")</f>
        <v>#NAME?</v>
      </c>
    </row>
    <row r="864" spans="2:5">
      <c r="B864" s="244">
        <f t="shared" si="55"/>
        <v>44327</v>
      </c>
      <c r="C864" s="245" t="e">
        <f ca="1">_xll.FDS("EURUSD","FG_PRICE("&amp;B864&amp;")")</f>
        <v>#NAME?</v>
      </c>
      <c r="D864" t="e">
        <f ca="1">_xll.FDS("GBPUSD","FG_PRICE("&amp;B864&amp;")")</f>
        <v>#NAME?</v>
      </c>
      <c r="E864" t="e">
        <f ca="1">_xll.FDSB("JPYUSD","FG_PRICE("&amp;B864&amp;")")</f>
        <v>#NAME?</v>
      </c>
    </row>
    <row r="865" spans="2:5">
      <c r="B865" s="244">
        <f t="shared" si="55"/>
        <v>44328</v>
      </c>
      <c r="C865" s="245" t="e">
        <f ca="1">_xll.FDS("EURUSD","FG_PRICE("&amp;B865&amp;")")</f>
        <v>#NAME?</v>
      </c>
      <c r="D865" t="e">
        <f ca="1">_xll.FDS("GBPUSD","FG_PRICE("&amp;B865&amp;")")</f>
        <v>#NAME?</v>
      </c>
      <c r="E865" t="e">
        <f ca="1">_xll.FDSB("JPYUSD","FG_PRICE("&amp;B865&amp;")")</f>
        <v>#NAME?</v>
      </c>
    </row>
    <row r="866" spans="2:5">
      <c r="B866" s="244">
        <f t="shared" si="55"/>
        <v>44329</v>
      </c>
      <c r="C866" s="245" t="e">
        <f ca="1">_xll.FDS("EURUSD","FG_PRICE("&amp;B866&amp;")")</f>
        <v>#NAME?</v>
      </c>
      <c r="D866" t="e">
        <f ca="1">_xll.FDS("GBPUSD","FG_PRICE("&amp;B866&amp;")")</f>
        <v>#NAME?</v>
      </c>
      <c r="E866" t="e">
        <f ca="1">_xll.FDSB("JPYUSD","FG_PRICE("&amp;B866&amp;")")</f>
        <v>#NAME?</v>
      </c>
    </row>
    <row r="867" spans="2:5">
      <c r="B867" s="244">
        <f t="shared" si="55"/>
        <v>44330</v>
      </c>
      <c r="C867" s="245" t="e">
        <f ca="1">_xll.FDS("EURUSD","FG_PRICE("&amp;B867&amp;")")</f>
        <v>#NAME?</v>
      </c>
      <c r="D867" t="e">
        <f ca="1">_xll.FDS("GBPUSD","FG_PRICE("&amp;B867&amp;")")</f>
        <v>#NAME?</v>
      </c>
      <c r="E867" t="e">
        <f ca="1">_xll.FDSB("JPYUSD","FG_PRICE("&amp;B867&amp;")")</f>
        <v>#NAME?</v>
      </c>
    </row>
    <row r="868" spans="2:5">
      <c r="B868" s="244">
        <f t="shared" si="55"/>
        <v>44331</v>
      </c>
      <c r="C868" s="245" t="e">
        <f ca="1">_xll.FDS("EURUSD","FG_PRICE("&amp;B868&amp;")")</f>
        <v>#NAME?</v>
      </c>
      <c r="D868" t="e">
        <f ca="1">_xll.FDS("GBPUSD","FG_PRICE("&amp;B868&amp;")")</f>
        <v>#NAME?</v>
      </c>
      <c r="E868" t="e">
        <f ca="1">_xll.FDSB("JPYUSD","FG_PRICE("&amp;B868&amp;")")</f>
        <v>#NAME?</v>
      </c>
    </row>
    <row r="869" spans="2:5">
      <c r="B869" s="244">
        <f t="shared" si="55"/>
        <v>44332</v>
      </c>
      <c r="C869" s="245" t="e">
        <f ca="1">_xll.FDS("EURUSD","FG_PRICE("&amp;B869&amp;")")</f>
        <v>#NAME?</v>
      </c>
      <c r="D869" t="e">
        <f ca="1">_xll.FDS("GBPUSD","FG_PRICE("&amp;B869&amp;")")</f>
        <v>#NAME?</v>
      </c>
      <c r="E869" t="e">
        <f ca="1">_xll.FDSB("JPYUSD","FG_PRICE("&amp;B869&amp;")")</f>
        <v>#NAME?</v>
      </c>
    </row>
    <row r="870" spans="2:5">
      <c r="B870" s="244">
        <f t="shared" si="55"/>
        <v>44333</v>
      </c>
      <c r="C870" s="245" t="e">
        <f ca="1">_xll.FDS("EURUSD","FG_PRICE("&amp;B870&amp;")")</f>
        <v>#NAME?</v>
      </c>
      <c r="D870" t="e">
        <f ca="1">_xll.FDS("GBPUSD","FG_PRICE("&amp;B870&amp;")")</f>
        <v>#NAME?</v>
      </c>
      <c r="E870" t="e">
        <f ca="1">_xll.FDSB("JPYUSD","FG_PRICE("&amp;B870&amp;")")</f>
        <v>#NAME?</v>
      </c>
    </row>
    <row r="871" spans="2:5">
      <c r="B871" s="244">
        <f t="shared" si="55"/>
        <v>44334</v>
      </c>
      <c r="C871" s="245" t="e">
        <f ca="1">_xll.FDS("EURUSD","FG_PRICE("&amp;B871&amp;")")</f>
        <v>#NAME?</v>
      </c>
      <c r="D871" t="e">
        <f ca="1">_xll.FDS("GBPUSD","FG_PRICE("&amp;B871&amp;")")</f>
        <v>#NAME?</v>
      </c>
      <c r="E871" t="e">
        <f ca="1">_xll.FDSB("JPYUSD","FG_PRICE("&amp;B871&amp;")")</f>
        <v>#NAME?</v>
      </c>
    </row>
    <row r="872" spans="2:5">
      <c r="B872" s="244">
        <f t="shared" si="55"/>
        <v>44335</v>
      </c>
      <c r="C872" s="245" t="e">
        <f ca="1">_xll.FDS("EURUSD","FG_PRICE("&amp;B872&amp;")")</f>
        <v>#NAME?</v>
      </c>
      <c r="D872" t="e">
        <f ca="1">_xll.FDS("GBPUSD","FG_PRICE("&amp;B872&amp;")")</f>
        <v>#NAME?</v>
      </c>
      <c r="E872" t="e">
        <f ca="1">_xll.FDSB("JPYUSD","FG_PRICE("&amp;B872&amp;")")</f>
        <v>#NAME?</v>
      </c>
    </row>
    <row r="873" spans="2:5">
      <c r="B873" s="244">
        <f t="shared" si="55"/>
        <v>44336</v>
      </c>
      <c r="C873" s="245" t="e">
        <f ca="1">_xll.FDS("EURUSD","FG_PRICE("&amp;B873&amp;")")</f>
        <v>#NAME?</v>
      </c>
      <c r="D873" t="e">
        <f ca="1">_xll.FDS("GBPUSD","FG_PRICE("&amp;B873&amp;")")</f>
        <v>#NAME?</v>
      </c>
      <c r="E873" t="e">
        <f ca="1">_xll.FDSB("JPYUSD","FG_PRICE("&amp;B873&amp;")")</f>
        <v>#NAME?</v>
      </c>
    </row>
    <row r="874" spans="2:5">
      <c r="B874" s="244">
        <f t="shared" si="55"/>
        <v>44337</v>
      </c>
      <c r="C874" s="245" t="e">
        <f ca="1">_xll.FDS("EURUSD","FG_PRICE("&amp;B874&amp;")")</f>
        <v>#NAME?</v>
      </c>
      <c r="D874" t="e">
        <f ca="1">_xll.FDS("GBPUSD","FG_PRICE("&amp;B874&amp;")")</f>
        <v>#NAME?</v>
      </c>
      <c r="E874" t="e">
        <f ca="1">_xll.FDSB("JPYUSD","FG_PRICE("&amp;B874&amp;")")</f>
        <v>#NAME?</v>
      </c>
    </row>
    <row r="875" spans="2:5">
      <c r="B875" s="244">
        <f t="shared" si="55"/>
        <v>44338</v>
      </c>
      <c r="C875" s="245" t="e">
        <f ca="1">_xll.FDS("EURUSD","FG_PRICE("&amp;B875&amp;")")</f>
        <v>#NAME?</v>
      </c>
      <c r="D875" t="e">
        <f ca="1">_xll.FDS("GBPUSD","FG_PRICE("&amp;B875&amp;")")</f>
        <v>#NAME?</v>
      </c>
      <c r="E875" t="e">
        <f ca="1">_xll.FDSB("JPYUSD","FG_PRICE("&amp;B875&amp;")")</f>
        <v>#NAME?</v>
      </c>
    </row>
    <row r="876" spans="2:5">
      <c r="B876" s="244">
        <f t="shared" si="55"/>
        <v>44339</v>
      </c>
      <c r="C876" s="245" t="e">
        <f ca="1">_xll.FDS("EURUSD","FG_PRICE("&amp;B876&amp;")")</f>
        <v>#NAME?</v>
      </c>
      <c r="D876" t="e">
        <f ca="1">_xll.FDS("GBPUSD","FG_PRICE("&amp;B876&amp;")")</f>
        <v>#NAME?</v>
      </c>
      <c r="E876" t="e">
        <f ca="1">_xll.FDSB("JPYUSD","FG_PRICE("&amp;B876&amp;")")</f>
        <v>#NAME?</v>
      </c>
    </row>
    <row r="877" spans="2:5">
      <c r="B877" s="244">
        <f t="shared" si="55"/>
        <v>44340</v>
      </c>
      <c r="C877" s="245" t="e">
        <f ca="1">_xll.FDS("EURUSD","FG_PRICE("&amp;B877&amp;")")</f>
        <v>#NAME?</v>
      </c>
      <c r="D877" t="e">
        <f ca="1">_xll.FDS("GBPUSD","FG_PRICE("&amp;B877&amp;")")</f>
        <v>#NAME?</v>
      </c>
      <c r="E877" t="e">
        <f ca="1">_xll.FDSB("JPYUSD","FG_PRICE("&amp;B877&amp;")")</f>
        <v>#NAME?</v>
      </c>
    </row>
    <row r="878" spans="2:5">
      <c r="B878" s="244">
        <f t="shared" si="55"/>
        <v>44341</v>
      </c>
      <c r="C878" s="245" t="e">
        <f ca="1">_xll.FDS("EURUSD","FG_PRICE("&amp;B878&amp;")")</f>
        <v>#NAME?</v>
      </c>
      <c r="D878" t="e">
        <f ca="1">_xll.FDS("GBPUSD","FG_PRICE("&amp;B878&amp;")")</f>
        <v>#NAME?</v>
      </c>
      <c r="E878" t="e">
        <f ca="1">_xll.FDSB("JPYUSD","FG_PRICE("&amp;B878&amp;")")</f>
        <v>#NAME?</v>
      </c>
    </row>
    <row r="879" spans="2:5">
      <c r="B879" s="244">
        <f t="shared" si="55"/>
        <v>44342</v>
      </c>
      <c r="C879" s="245" t="e">
        <f ca="1">_xll.FDS("EURUSD","FG_PRICE("&amp;B879&amp;")")</f>
        <v>#NAME?</v>
      </c>
      <c r="D879" t="e">
        <f ca="1">_xll.FDS("GBPUSD","FG_PRICE("&amp;B879&amp;")")</f>
        <v>#NAME?</v>
      </c>
      <c r="E879" t="e">
        <f ca="1">_xll.FDSB("JPYUSD","FG_PRICE("&amp;B879&amp;")")</f>
        <v>#NAME?</v>
      </c>
    </row>
    <row r="880" spans="2:5">
      <c r="B880" s="244">
        <f t="shared" si="55"/>
        <v>44343</v>
      </c>
      <c r="C880" s="245" t="e">
        <f ca="1">_xll.FDS("EURUSD","FG_PRICE("&amp;B880&amp;")")</f>
        <v>#NAME?</v>
      </c>
      <c r="D880" t="e">
        <f ca="1">_xll.FDS("GBPUSD","FG_PRICE("&amp;B880&amp;")")</f>
        <v>#NAME?</v>
      </c>
      <c r="E880" t="e">
        <f ca="1">_xll.FDSB("JPYUSD","FG_PRICE("&amp;B880&amp;")")</f>
        <v>#NAME?</v>
      </c>
    </row>
    <row r="881" spans="2:5">
      <c r="B881" s="244">
        <f t="shared" si="55"/>
        <v>44344</v>
      </c>
      <c r="C881" s="245" t="e">
        <f ca="1">_xll.FDS("EURUSD","FG_PRICE("&amp;B881&amp;")")</f>
        <v>#NAME?</v>
      </c>
      <c r="D881" t="e">
        <f ca="1">_xll.FDS("GBPUSD","FG_PRICE("&amp;B881&amp;")")</f>
        <v>#NAME?</v>
      </c>
      <c r="E881" t="e">
        <f ca="1">_xll.FDSB("JPYUSD","FG_PRICE("&amp;B881&amp;")")</f>
        <v>#NAME?</v>
      </c>
    </row>
    <row r="882" spans="2:5">
      <c r="B882" s="244">
        <f t="shared" si="55"/>
        <v>44345</v>
      </c>
      <c r="C882" s="245" t="e">
        <f ca="1">_xll.FDS("EURUSD","FG_PRICE("&amp;B882&amp;")")</f>
        <v>#NAME?</v>
      </c>
      <c r="D882" t="e">
        <f ca="1">_xll.FDS("GBPUSD","FG_PRICE("&amp;B882&amp;")")</f>
        <v>#NAME?</v>
      </c>
      <c r="E882" t="e">
        <f ca="1">_xll.FDSB("JPYUSD","FG_PRICE("&amp;B882&amp;")")</f>
        <v>#NAME?</v>
      </c>
    </row>
    <row r="883" spans="2:5">
      <c r="B883" s="244">
        <f t="shared" si="55"/>
        <v>44346</v>
      </c>
      <c r="C883" s="245" t="e">
        <f ca="1">_xll.FDS("EURUSD","FG_PRICE("&amp;B883&amp;")")</f>
        <v>#NAME?</v>
      </c>
      <c r="D883" t="e">
        <f ca="1">_xll.FDS("GBPUSD","FG_PRICE("&amp;B883&amp;")")</f>
        <v>#NAME?</v>
      </c>
      <c r="E883" t="e">
        <f ca="1">_xll.FDSB("JPYUSD","FG_PRICE("&amp;B883&amp;")")</f>
        <v>#NAME?</v>
      </c>
    </row>
    <row r="884" spans="2:5">
      <c r="B884" s="244">
        <f t="shared" si="55"/>
        <v>44347</v>
      </c>
      <c r="C884" s="245" t="e">
        <f ca="1">_xll.FDS("EURUSD","FG_PRICE("&amp;B884&amp;")")</f>
        <v>#NAME?</v>
      </c>
      <c r="D884" t="e">
        <f ca="1">_xll.FDS("GBPUSD","FG_PRICE("&amp;B884&amp;")")</f>
        <v>#NAME?</v>
      </c>
      <c r="E884" t="e">
        <f ca="1">_xll.FDSB("JPYUSD","FG_PRICE("&amp;B884&amp;")")</f>
        <v>#NAME?</v>
      </c>
    </row>
    <row r="885" spans="2:5">
      <c r="B885" s="244">
        <f t="shared" si="55"/>
        <v>44348</v>
      </c>
      <c r="C885" s="245" t="e">
        <f ca="1">_xll.FDS("EURUSD","FG_PRICE("&amp;B885&amp;")")</f>
        <v>#NAME?</v>
      </c>
      <c r="D885" t="e">
        <f ca="1">_xll.FDS("GBPUSD","FG_PRICE("&amp;B885&amp;")")</f>
        <v>#NAME?</v>
      </c>
      <c r="E885" t="e">
        <f ca="1">_xll.FDSB("JPYUSD","FG_PRICE("&amp;B885&amp;")")</f>
        <v>#NAME?</v>
      </c>
    </row>
    <row r="886" spans="2:5">
      <c r="B886" s="244">
        <f t="shared" si="55"/>
        <v>44349</v>
      </c>
      <c r="C886" s="245" t="e">
        <f ca="1">_xll.FDS("EURUSD","FG_PRICE("&amp;B886&amp;")")</f>
        <v>#NAME?</v>
      </c>
      <c r="D886" t="e">
        <f ca="1">_xll.FDS("GBPUSD","FG_PRICE("&amp;B886&amp;")")</f>
        <v>#NAME?</v>
      </c>
      <c r="E886" t="e">
        <f ca="1">_xll.FDSB("JPYUSD","FG_PRICE("&amp;B886&amp;")")</f>
        <v>#NAME?</v>
      </c>
    </row>
    <row r="887" spans="2:5">
      <c r="B887" s="244">
        <f t="shared" si="55"/>
        <v>44350</v>
      </c>
      <c r="C887" s="245" t="e">
        <f ca="1">_xll.FDS("EURUSD","FG_PRICE("&amp;B887&amp;")")</f>
        <v>#NAME?</v>
      </c>
      <c r="D887" t="e">
        <f ca="1">_xll.FDS("GBPUSD","FG_PRICE("&amp;B887&amp;")")</f>
        <v>#NAME?</v>
      </c>
      <c r="E887" t="e">
        <f ca="1">_xll.FDSB("JPYUSD","FG_PRICE("&amp;B887&amp;")")</f>
        <v>#NAME?</v>
      </c>
    </row>
    <row r="888" spans="2:5">
      <c r="B888" s="244">
        <f t="shared" si="55"/>
        <v>44351</v>
      </c>
      <c r="C888" s="245" t="e">
        <f ca="1">_xll.FDS("EURUSD","FG_PRICE("&amp;B888&amp;")")</f>
        <v>#NAME?</v>
      </c>
      <c r="D888" t="e">
        <f ca="1">_xll.FDS("GBPUSD","FG_PRICE("&amp;B888&amp;")")</f>
        <v>#NAME?</v>
      </c>
      <c r="E888" t="e">
        <f ca="1">_xll.FDSB("JPYUSD","FG_PRICE("&amp;B888&amp;")")</f>
        <v>#NAME?</v>
      </c>
    </row>
    <row r="889" spans="2:5">
      <c r="B889" s="244">
        <f t="shared" si="55"/>
        <v>44352</v>
      </c>
      <c r="C889" s="245" t="e">
        <f ca="1">_xll.FDS("EURUSD","FG_PRICE("&amp;B889&amp;")")</f>
        <v>#NAME?</v>
      </c>
      <c r="D889" t="e">
        <f ca="1">_xll.FDS("GBPUSD","FG_PRICE("&amp;B889&amp;")")</f>
        <v>#NAME?</v>
      </c>
      <c r="E889" t="e">
        <f ca="1">_xll.FDSB("JPYUSD","FG_PRICE("&amp;B889&amp;")")</f>
        <v>#NAME?</v>
      </c>
    </row>
    <row r="890" spans="2:5">
      <c r="B890" s="244">
        <f t="shared" si="55"/>
        <v>44353</v>
      </c>
      <c r="C890" s="245" t="e">
        <f ca="1">_xll.FDS("EURUSD","FG_PRICE("&amp;B890&amp;")")</f>
        <v>#NAME?</v>
      </c>
      <c r="D890" t="e">
        <f ca="1">_xll.FDS("GBPUSD","FG_PRICE("&amp;B890&amp;")")</f>
        <v>#NAME?</v>
      </c>
      <c r="E890" t="e">
        <f ca="1">_xll.FDSB("JPYUSD","FG_PRICE("&amp;B890&amp;")")</f>
        <v>#NAME?</v>
      </c>
    </row>
    <row r="891" spans="2:5">
      <c r="B891" s="244">
        <f t="shared" si="55"/>
        <v>44354</v>
      </c>
      <c r="C891" s="245" t="e">
        <f ca="1">_xll.FDS("EURUSD","FG_PRICE("&amp;B891&amp;")")</f>
        <v>#NAME?</v>
      </c>
      <c r="D891" t="e">
        <f ca="1">_xll.FDS("GBPUSD","FG_PRICE("&amp;B891&amp;")")</f>
        <v>#NAME?</v>
      </c>
      <c r="E891" t="e">
        <f ca="1">_xll.FDSB("JPYUSD","FG_PRICE("&amp;B891&amp;")")</f>
        <v>#NAME?</v>
      </c>
    </row>
    <row r="892" spans="2:5">
      <c r="B892" s="244">
        <f t="shared" si="55"/>
        <v>44355</v>
      </c>
      <c r="C892" s="245" t="e">
        <f ca="1">_xll.FDS("EURUSD","FG_PRICE("&amp;B892&amp;")")</f>
        <v>#NAME?</v>
      </c>
      <c r="D892" t="e">
        <f ca="1">_xll.FDS("GBPUSD","FG_PRICE("&amp;B892&amp;")")</f>
        <v>#NAME?</v>
      </c>
      <c r="E892" t="e">
        <f ca="1">_xll.FDSB("JPYUSD","FG_PRICE("&amp;B892&amp;")")</f>
        <v>#NAME?</v>
      </c>
    </row>
    <row r="893" spans="2:5">
      <c r="B893" s="244">
        <f t="shared" si="55"/>
        <v>44356</v>
      </c>
      <c r="C893" s="245" t="e">
        <f ca="1">_xll.FDS("EURUSD","FG_PRICE("&amp;B893&amp;")")</f>
        <v>#NAME?</v>
      </c>
      <c r="D893" t="e">
        <f ca="1">_xll.FDS("GBPUSD","FG_PRICE("&amp;B893&amp;")")</f>
        <v>#NAME?</v>
      </c>
      <c r="E893" t="e">
        <f ca="1">_xll.FDSB("JPYUSD","FG_PRICE("&amp;B893&amp;")")</f>
        <v>#NAME?</v>
      </c>
    </row>
    <row r="894" spans="2:5">
      <c r="B894" s="244">
        <f t="shared" si="55"/>
        <v>44357</v>
      </c>
      <c r="C894" s="245" t="e">
        <f ca="1">_xll.FDS("EURUSD","FG_PRICE("&amp;B894&amp;")")</f>
        <v>#NAME?</v>
      </c>
      <c r="D894" t="e">
        <f ca="1">_xll.FDS("GBPUSD","FG_PRICE("&amp;B894&amp;")")</f>
        <v>#NAME?</v>
      </c>
      <c r="E894" t="e">
        <f ca="1">_xll.FDSB("JPYUSD","FG_PRICE("&amp;B894&amp;")")</f>
        <v>#NAME?</v>
      </c>
    </row>
    <row r="895" spans="2:5">
      <c r="B895" s="244">
        <f t="shared" si="55"/>
        <v>44358</v>
      </c>
      <c r="C895" s="245" t="e">
        <f ca="1">_xll.FDS("EURUSD","FG_PRICE("&amp;B895&amp;")")</f>
        <v>#NAME?</v>
      </c>
      <c r="D895" t="e">
        <f ca="1">_xll.FDS("GBPUSD","FG_PRICE("&amp;B895&amp;")")</f>
        <v>#NAME?</v>
      </c>
      <c r="E895" t="e">
        <f ca="1">_xll.FDSB("JPYUSD","FG_PRICE("&amp;B895&amp;")")</f>
        <v>#NAME?</v>
      </c>
    </row>
    <row r="896" spans="2:5">
      <c r="B896" s="244">
        <f t="shared" si="55"/>
        <v>44359</v>
      </c>
      <c r="C896" s="245" t="e">
        <f ca="1">_xll.FDS("EURUSD","FG_PRICE("&amp;B896&amp;")")</f>
        <v>#NAME?</v>
      </c>
      <c r="D896" t="e">
        <f ca="1">_xll.FDS("GBPUSD","FG_PRICE("&amp;B896&amp;")")</f>
        <v>#NAME?</v>
      </c>
      <c r="E896" t="e">
        <f ca="1">_xll.FDSB("JPYUSD","FG_PRICE("&amp;B896&amp;")")</f>
        <v>#NAME?</v>
      </c>
    </row>
    <row r="897" spans="2:5">
      <c r="B897" s="244">
        <f t="shared" si="55"/>
        <v>44360</v>
      </c>
      <c r="C897" s="245" t="e">
        <f ca="1">_xll.FDS("EURUSD","FG_PRICE("&amp;B897&amp;")")</f>
        <v>#NAME?</v>
      </c>
      <c r="D897" t="e">
        <f ca="1">_xll.FDS("GBPUSD","FG_PRICE("&amp;B897&amp;")")</f>
        <v>#NAME?</v>
      </c>
      <c r="E897" t="e">
        <f ca="1">_xll.FDSB("JPYUSD","FG_PRICE("&amp;B897&amp;")")</f>
        <v>#NAME?</v>
      </c>
    </row>
    <row r="898" spans="2:5">
      <c r="B898" s="244">
        <f t="shared" si="55"/>
        <v>44361</v>
      </c>
      <c r="C898" s="245" t="e">
        <f ca="1">_xll.FDS("EURUSD","FG_PRICE("&amp;B898&amp;")")</f>
        <v>#NAME?</v>
      </c>
      <c r="D898" t="e">
        <f ca="1">_xll.FDS("GBPUSD","FG_PRICE("&amp;B898&amp;")")</f>
        <v>#NAME?</v>
      </c>
      <c r="E898" t="e">
        <f ca="1">_xll.FDSB("JPYUSD","FG_PRICE("&amp;B898&amp;")")</f>
        <v>#NAME?</v>
      </c>
    </row>
    <row r="899" spans="2:5">
      <c r="B899" s="244">
        <f t="shared" si="55"/>
        <v>44362</v>
      </c>
      <c r="C899" s="245" t="e">
        <f ca="1">_xll.FDS("EURUSD","FG_PRICE("&amp;B899&amp;")")</f>
        <v>#NAME?</v>
      </c>
      <c r="D899" t="e">
        <f ca="1">_xll.FDS("GBPUSD","FG_PRICE("&amp;B899&amp;")")</f>
        <v>#NAME?</v>
      </c>
      <c r="E899" t="e">
        <f ca="1">_xll.FDSB("JPYUSD","FG_PRICE("&amp;B899&amp;")")</f>
        <v>#NAME?</v>
      </c>
    </row>
    <row r="900" spans="2:5">
      <c r="B900" s="244">
        <f t="shared" si="55"/>
        <v>44363</v>
      </c>
      <c r="C900" s="245" t="e">
        <f ca="1">_xll.FDS("EURUSD","FG_PRICE("&amp;B900&amp;")")</f>
        <v>#NAME?</v>
      </c>
      <c r="D900" t="e">
        <f ca="1">_xll.FDS("GBPUSD","FG_PRICE("&amp;B900&amp;")")</f>
        <v>#NAME?</v>
      </c>
      <c r="E900" t="e">
        <f ca="1">_xll.FDSB("JPYUSD","FG_PRICE("&amp;B900&amp;")")</f>
        <v>#NAME?</v>
      </c>
    </row>
    <row r="901" spans="2:5">
      <c r="B901" s="244">
        <f t="shared" ref="B901:B964" si="56">B900+1</f>
        <v>44364</v>
      </c>
      <c r="C901" s="245" t="e">
        <f ca="1">_xll.FDS("EURUSD","FG_PRICE("&amp;B901&amp;")")</f>
        <v>#NAME?</v>
      </c>
      <c r="D901" t="e">
        <f ca="1">_xll.FDS("GBPUSD","FG_PRICE("&amp;B901&amp;")")</f>
        <v>#NAME?</v>
      </c>
      <c r="E901" t="e">
        <f ca="1">_xll.FDSB("JPYUSD","FG_PRICE("&amp;B901&amp;")")</f>
        <v>#NAME?</v>
      </c>
    </row>
    <row r="902" spans="2:5">
      <c r="B902" s="244">
        <f t="shared" si="56"/>
        <v>44365</v>
      </c>
      <c r="C902" s="245" t="e">
        <f ca="1">_xll.FDS("EURUSD","FG_PRICE("&amp;B902&amp;")")</f>
        <v>#NAME?</v>
      </c>
      <c r="D902" t="e">
        <f ca="1">_xll.FDS("GBPUSD","FG_PRICE("&amp;B902&amp;")")</f>
        <v>#NAME?</v>
      </c>
      <c r="E902" t="e">
        <f ca="1">_xll.FDSB("JPYUSD","FG_PRICE("&amp;B902&amp;")")</f>
        <v>#NAME?</v>
      </c>
    </row>
    <row r="903" spans="2:5">
      <c r="B903" s="244">
        <f t="shared" si="56"/>
        <v>44366</v>
      </c>
      <c r="C903" s="245" t="e">
        <f ca="1">_xll.FDS("EURUSD","FG_PRICE("&amp;B903&amp;")")</f>
        <v>#NAME?</v>
      </c>
      <c r="D903" t="e">
        <f ca="1">_xll.FDS("GBPUSD","FG_PRICE("&amp;B903&amp;")")</f>
        <v>#NAME?</v>
      </c>
      <c r="E903" t="e">
        <f ca="1">_xll.FDSB("JPYUSD","FG_PRICE("&amp;B903&amp;")")</f>
        <v>#NAME?</v>
      </c>
    </row>
    <row r="904" spans="2:5">
      <c r="B904" s="244">
        <f t="shared" si="56"/>
        <v>44367</v>
      </c>
      <c r="C904" s="245" t="e">
        <f ca="1">_xll.FDS("EURUSD","FG_PRICE("&amp;B904&amp;")")</f>
        <v>#NAME?</v>
      </c>
      <c r="D904" t="e">
        <f ca="1">_xll.FDS("GBPUSD","FG_PRICE("&amp;B904&amp;")")</f>
        <v>#NAME?</v>
      </c>
      <c r="E904" t="e">
        <f ca="1">_xll.FDSB("JPYUSD","FG_PRICE("&amp;B904&amp;")")</f>
        <v>#NAME?</v>
      </c>
    </row>
    <row r="905" spans="2:5">
      <c r="B905" s="244">
        <f t="shared" si="56"/>
        <v>44368</v>
      </c>
      <c r="C905" s="245" t="e">
        <f ca="1">_xll.FDS("EURUSD","FG_PRICE("&amp;B905&amp;")")</f>
        <v>#NAME?</v>
      </c>
      <c r="D905" t="e">
        <f ca="1">_xll.FDS("GBPUSD","FG_PRICE("&amp;B905&amp;")")</f>
        <v>#NAME?</v>
      </c>
      <c r="E905" t="e">
        <f ca="1">_xll.FDSB("JPYUSD","FG_PRICE("&amp;B905&amp;")")</f>
        <v>#NAME?</v>
      </c>
    </row>
    <row r="906" spans="2:5">
      <c r="B906" s="244">
        <f t="shared" si="56"/>
        <v>44369</v>
      </c>
      <c r="C906" s="245" t="e">
        <f ca="1">_xll.FDS("EURUSD","FG_PRICE("&amp;B906&amp;")")</f>
        <v>#NAME?</v>
      </c>
      <c r="D906" t="e">
        <f ca="1">_xll.FDS("GBPUSD","FG_PRICE("&amp;B906&amp;")")</f>
        <v>#NAME?</v>
      </c>
      <c r="E906" t="e">
        <f ca="1">_xll.FDSB("JPYUSD","FG_PRICE("&amp;B906&amp;")")</f>
        <v>#NAME?</v>
      </c>
    </row>
    <row r="907" spans="2:5">
      <c r="B907" s="244">
        <f t="shared" si="56"/>
        <v>44370</v>
      </c>
      <c r="C907" s="245" t="e">
        <f ca="1">_xll.FDS("EURUSD","FG_PRICE("&amp;B907&amp;")")</f>
        <v>#NAME?</v>
      </c>
      <c r="D907" t="e">
        <f ca="1">_xll.FDS("GBPUSD","FG_PRICE("&amp;B907&amp;")")</f>
        <v>#NAME?</v>
      </c>
      <c r="E907" t="e">
        <f ca="1">_xll.FDSB("JPYUSD","FG_PRICE("&amp;B907&amp;")")</f>
        <v>#NAME?</v>
      </c>
    </row>
    <row r="908" spans="2:5">
      <c r="B908" s="244">
        <f t="shared" si="56"/>
        <v>44371</v>
      </c>
      <c r="C908" s="245" t="e">
        <f ca="1">_xll.FDS("EURUSD","FG_PRICE("&amp;B908&amp;")")</f>
        <v>#NAME?</v>
      </c>
      <c r="D908" t="e">
        <f ca="1">_xll.FDS("GBPUSD","FG_PRICE("&amp;B908&amp;")")</f>
        <v>#NAME?</v>
      </c>
      <c r="E908" t="e">
        <f ca="1">_xll.FDSB("JPYUSD","FG_PRICE("&amp;B908&amp;")")</f>
        <v>#NAME?</v>
      </c>
    </row>
    <row r="909" spans="2:5">
      <c r="B909" s="244">
        <f t="shared" si="56"/>
        <v>44372</v>
      </c>
      <c r="C909" s="245" t="e">
        <f ca="1">_xll.FDS("EURUSD","FG_PRICE("&amp;B909&amp;")")</f>
        <v>#NAME?</v>
      </c>
      <c r="D909" t="e">
        <f ca="1">_xll.FDS("GBPUSD","FG_PRICE("&amp;B909&amp;")")</f>
        <v>#NAME?</v>
      </c>
      <c r="E909" t="e">
        <f ca="1">_xll.FDSB("JPYUSD","FG_PRICE("&amp;B909&amp;")")</f>
        <v>#NAME?</v>
      </c>
    </row>
    <row r="910" spans="2:5">
      <c r="B910" s="244">
        <f t="shared" si="56"/>
        <v>44373</v>
      </c>
      <c r="C910" s="245" t="e">
        <f ca="1">_xll.FDS("EURUSD","FG_PRICE("&amp;B910&amp;")")</f>
        <v>#NAME?</v>
      </c>
      <c r="D910" t="e">
        <f ca="1">_xll.FDS("GBPUSD","FG_PRICE("&amp;B910&amp;")")</f>
        <v>#NAME?</v>
      </c>
      <c r="E910" t="e">
        <f ca="1">_xll.FDSB("JPYUSD","FG_PRICE("&amp;B910&amp;")")</f>
        <v>#NAME?</v>
      </c>
    </row>
    <row r="911" spans="2:5">
      <c r="B911" s="244">
        <f t="shared" si="56"/>
        <v>44374</v>
      </c>
      <c r="C911" s="245" t="e">
        <f ca="1">_xll.FDS("EURUSD","FG_PRICE("&amp;B911&amp;")")</f>
        <v>#NAME?</v>
      </c>
      <c r="D911" t="e">
        <f ca="1">_xll.FDS("GBPUSD","FG_PRICE("&amp;B911&amp;")")</f>
        <v>#NAME?</v>
      </c>
      <c r="E911" t="e">
        <f ca="1">_xll.FDSB("JPYUSD","FG_PRICE("&amp;B911&amp;")")</f>
        <v>#NAME?</v>
      </c>
    </row>
    <row r="912" spans="2:5">
      <c r="B912" s="244">
        <f t="shared" si="56"/>
        <v>44375</v>
      </c>
      <c r="C912" s="245" t="e">
        <f ca="1">_xll.FDS("EURUSD","FG_PRICE("&amp;B912&amp;")")</f>
        <v>#NAME?</v>
      </c>
      <c r="D912" t="e">
        <f ca="1">_xll.FDS("GBPUSD","FG_PRICE("&amp;B912&amp;")")</f>
        <v>#NAME?</v>
      </c>
      <c r="E912" t="e">
        <f ca="1">_xll.FDSB("JPYUSD","FG_PRICE("&amp;B912&amp;")")</f>
        <v>#NAME?</v>
      </c>
    </row>
    <row r="913" spans="2:5">
      <c r="B913" s="244">
        <f t="shared" si="56"/>
        <v>44376</v>
      </c>
      <c r="C913" s="245" t="e">
        <f ca="1">_xll.FDS("EURUSD","FG_PRICE("&amp;B913&amp;")")</f>
        <v>#NAME?</v>
      </c>
      <c r="D913" t="e">
        <f ca="1">_xll.FDS("GBPUSD","FG_PRICE("&amp;B913&amp;")")</f>
        <v>#NAME?</v>
      </c>
      <c r="E913" t="e">
        <f ca="1">_xll.FDSB("JPYUSD","FG_PRICE("&amp;B913&amp;")")</f>
        <v>#NAME?</v>
      </c>
    </row>
    <row r="914" spans="2:5">
      <c r="B914" s="244">
        <f t="shared" si="56"/>
        <v>44377</v>
      </c>
      <c r="C914" s="245" t="e">
        <f ca="1">_xll.FDS("EURUSD","FG_PRICE("&amp;B914&amp;")")</f>
        <v>#NAME?</v>
      </c>
      <c r="D914" t="e">
        <f ca="1">_xll.FDS("GBPUSD","FG_PRICE("&amp;B914&amp;")")</f>
        <v>#NAME?</v>
      </c>
      <c r="E914" t="e">
        <f ca="1">_xll.FDSB("JPYUSD","FG_PRICE("&amp;B914&amp;")")</f>
        <v>#NAME?</v>
      </c>
    </row>
    <row r="915" spans="2:5">
      <c r="B915" s="244">
        <f t="shared" si="56"/>
        <v>44378</v>
      </c>
      <c r="C915" s="245" t="e">
        <f ca="1">_xll.FDS("EURUSD","FG_PRICE("&amp;B915&amp;")")</f>
        <v>#NAME?</v>
      </c>
      <c r="D915" t="e">
        <f ca="1">_xll.FDS("GBPUSD","FG_PRICE("&amp;B915&amp;")")</f>
        <v>#NAME?</v>
      </c>
      <c r="E915" t="e">
        <f ca="1">_xll.FDSB("JPYUSD","FG_PRICE("&amp;B915&amp;")")</f>
        <v>#NAME?</v>
      </c>
    </row>
    <row r="916" spans="2:5">
      <c r="B916" s="244">
        <f t="shared" si="56"/>
        <v>44379</v>
      </c>
      <c r="C916" s="245" t="e">
        <f ca="1">_xll.FDS("EURUSD","FG_PRICE("&amp;B916&amp;")")</f>
        <v>#NAME?</v>
      </c>
      <c r="D916" t="e">
        <f ca="1">_xll.FDS("GBPUSD","FG_PRICE("&amp;B916&amp;")")</f>
        <v>#NAME?</v>
      </c>
      <c r="E916" t="e">
        <f ca="1">_xll.FDSB("JPYUSD","FG_PRICE("&amp;B916&amp;")")</f>
        <v>#NAME?</v>
      </c>
    </row>
    <row r="917" spans="2:5">
      <c r="B917" s="244">
        <f t="shared" si="56"/>
        <v>44380</v>
      </c>
      <c r="C917" s="245" t="e">
        <f ca="1">_xll.FDS("EURUSD","FG_PRICE("&amp;B917&amp;")")</f>
        <v>#NAME?</v>
      </c>
      <c r="D917" t="e">
        <f ca="1">_xll.FDS("GBPUSD","FG_PRICE("&amp;B917&amp;")")</f>
        <v>#NAME?</v>
      </c>
      <c r="E917" t="e">
        <f ca="1">_xll.FDSB("JPYUSD","FG_PRICE("&amp;B917&amp;")")</f>
        <v>#NAME?</v>
      </c>
    </row>
    <row r="918" spans="2:5">
      <c r="B918" s="244">
        <f t="shared" si="56"/>
        <v>44381</v>
      </c>
      <c r="C918" s="245" t="e">
        <f ca="1">_xll.FDS("EURUSD","FG_PRICE("&amp;B918&amp;")")</f>
        <v>#NAME?</v>
      </c>
      <c r="D918" t="e">
        <f ca="1">_xll.FDS("GBPUSD","FG_PRICE("&amp;B918&amp;")")</f>
        <v>#NAME?</v>
      </c>
      <c r="E918" t="e">
        <f ca="1">_xll.FDSB("JPYUSD","FG_PRICE("&amp;B918&amp;")")</f>
        <v>#NAME?</v>
      </c>
    </row>
    <row r="919" spans="2:5">
      <c r="B919" s="244">
        <f t="shared" si="56"/>
        <v>44382</v>
      </c>
      <c r="C919" s="245" t="e">
        <f ca="1">_xll.FDS("EURUSD","FG_PRICE("&amp;B919&amp;")")</f>
        <v>#NAME?</v>
      </c>
      <c r="D919" t="e">
        <f ca="1">_xll.FDS("GBPUSD","FG_PRICE("&amp;B919&amp;")")</f>
        <v>#NAME?</v>
      </c>
      <c r="E919" t="e">
        <f ca="1">_xll.FDSB("JPYUSD","FG_PRICE("&amp;B919&amp;")")</f>
        <v>#NAME?</v>
      </c>
    </row>
    <row r="920" spans="2:5">
      <c r="B920" s="244">
        <f t="shared" si="56"/>
        <v>44383</v>
      </c>
      <c r="C920" s="245" t="e">
        <f ca="1">_xll.FDS("EURUSD","FG_PRICE("&amp;B920&amp;")")</f>
        <v>#NAME?</v>
      </c>
      <c r="D920" t="e">
        <f ca="1">_xll.FDS("GBPUSD","FG_PRICE("&amp;B920&amp;")")</f>
        <v>#NAME?</v>
      </c>
      <c r="E920" t="e">
        <f ca="1">_xll.FDSB("JPYUSD","FG_PRICE("&amp;B920&amp;")")</f>
        <v>#NAME?</v>
      </c>
    </row>
    <row r="921" spans="2:5">
      <c r="B921" s="244">
        <f t="shared" si="56"/>
        <v>44384</v>
      </c>
      <c r="C921" s="245" t="e">
        <f ca="1">_xll.FDS("EURUSD","FG_PRICE("&amp;B921&amp;")")</f>
        <v>#NAME?</v>
      </c>
      <c r="D921" t="e">
        <f ca="1">_xll.FDS("GBPUSD","FG_PRICE("&amp;B921&amp;")")</f>
        <v>#NAME?</v>
      </c>
      <c r="E921" t="e">
        <f ca="1">_xll.FDSB("JPYUSD","FG_PRICE("&amp;B921&amp;")")</f>
        <v>#NAME?</v>
      </c>
    </row>
    <row r="922" spans="2:5">
      <c r="B922" s="244">
        <f t="shared" si="56"/>
        <v>44385</v>
      </c>
      <c r="C922" s="245" t="e">
        <f ca="1">_xll.FDS("EURUSD","FG_PRICE("&amp;B922&amp;")")</f>
        <v>#NAME?</v>
      </c>
      <c r="D922" t="e">
        <f ca="1">_xll.FDS("GBPUSD","FG_PRICE("&amp;B922&amp;")")</f>
        <v>#NAME?</v>
      </c>
      <c r="E922" t="e">
        <f ca="1">_xll.FDSB("JPYUSD","FG_PRICE("&amp;B922&amp;")")</f>
        <v>#NAME?</v>
      </c>
    </row>
    <row r="923" spans="2:5">
      <c r="B923" s="244">
        <f t="shared" si="56"/>
        <v>44386</v>
      </c>
      <c r="C923" s="245" t="e">
        <f ca="1">_xll.FDS("EURUSD","FG_PRICE("&amp;B923&amp;")")</f>
        <v>#NAME?</v>
      </c>
      <c r="D923" t="e">
        <f ca="1">_xll.FDS("GBPUSD","FG_PRICE("&amp;B923&amp;")")</f>
        <v>#NAME?</v>
      </c>
      <c r="E923" t="e">
        <f ca="1">_xll.FDSB("JPYUSD","FG_PRICE("&amp;B923&amp;")")</f>
        <v>#NAME?</v>
      </c>
    </row>
    <row r="924" spans="2:5">
      <c r="B924" s="244">
        <f t="shared" si="56"/>
        <v>44387</v>
      </c>
      <c r="C924" s="245" t="e">
        <f ca="1">_xll.FDS("EURUSD","FG_PRICE("&amp;B924&amp;")")</f>
        <v>#NAME?</v>
      </c>
      <c r="D924" t="e">
        <f ca="1">_xll.FDS("GBPUSD","FG_PRICE("&amp;B924&amp;")")</f>
        <v>#NAME?</v>
      </c>
      <c r="E924" t="e">
        <f ca="1">_xll.FDSB("JPYUSD","FG_PRICE("&amp;B924&amp;")")</f>
        <v>#NAME?</v>
      </c>
    </row>
    <row r="925" spans="2:5">
      <c r="B925" s="244">
        <f t="shared" si="56"/>
        <v>44388</v>
      </c>
      <c r="C925" s="245" t="e">
        <f ca="1">_xll.FDS("EURUSD","FG_PRICE("&amp;B925&amp;")")</f>
        <v>#NAME?</v>
      </c>
      <c r="D925" t="e">
        <f ca="1">_xll.FDS("GBPUSD","FG_PRICE("&amp;B925&amp;")")</f>
        <v>#NAME?</v>
      </c>
      <c r="E925" t="e">
        <f ca="1">_xll.FDSB("JPYUSD","FG_PRICE("&amp;B925&amp;")")</f>
        <v>#NAME?</v>
      </c>
    </row>
    <row r="926" spans="2:5">
      <c r="B926" s="244">
        <f t="shared" si="56"/>
        <v>44389</v>
      </c>
      <c r="C926" s="245" t="e">
        <f ca="1">_xll.FDS("EURUSD","FG_PRICE("&amp;B926&amp;")")</f>
        <v>#NAME?</v>
      </c>
      <c r="D926" t="e">
        <f ca="1">_xll.FDS("GBPUSD","FG_PRICE("&amp;B926&amp;")")</f>
        <v>#NAME?</v>
      </c>
      <c r="E926" t="e">
        <f ca="1">_xll.FDSB("JPYUSD","FG_PRICE("&amp;B926&amp;")")</f>
        <v>#NAME?</v>
      </c>
    </row>
    <row r="927" spans="2:5">
      <c r="B927" s="244">
        <f t="shared" si="56"/>
        <v>44390</v>
      </c>
      <c r="C927" s="245" t="e">
        <f ca="1">_xll.FDS("EURUSD","FG_PRICE("&amp;B927&amp;")")</f>
        <v>#NAME?</v>
      </c>
      <c r="D927" t="e">
        <f ca="1">_xll.FDS("GBPUSD","FG_PRICE("&amp;B927&amp;")")</f>
        <v>#NAME?</v>
      </c>
      <c r="E927" t="e">
        <f ca="1">_xll.FDSB("JPYUSD","FG_PRICE("&amp;B927&amp;")")</f>
        <v>#NAME?</v>
      </c>
    </row>
    <row r="928" spans="2:5">
      <c r="B928" s="244">
        <f t="shared" si="56"/>
        <v>44391</v>
      </c>
      <c r="C928" s="245" t="e">
        <f ca="1">_xll.FDS("EURUSD","FG_PRICE("&amp;B928&amp;")")</f>
        <v>#NAME?</v>
      </c>
      <c r="D928" t="e">
        <f ca="1">_xll.FDS("GBPUSD","FG_PRICE("&amp;B928&amp;")")</f>
        <v>#NAME?</v>
      </c>
      <c r="E928" t="e">
        <f ca="1">_xll.FDSB("JPYUSD","FG_PRICE("&amp;B928&amp;")")</f>
        <v>#NAME?</v>
      </c>
    </row>
    <row r="929" spans="2:5">
      <c r="B929" s="244">
        <f t="shared" si="56"/>
        <v>44392</v>
      </c>
      <c r="C929" s="245" t="e">
        <f ca="1">_xll.FDS("EURUSD","FG_PRICE("&amp;B929&amp;")")</f>
        <v>#NAME?</v>
      </c>
      <c r="D929" t="e">
        <f ca="1">_xll.FDS("GBPUSD","FG_PRICE("&amp;B929&amp;")")</f>
        <v>#NAME?</v>
      </c>
      <c r="E929" t="e">
        <f ca="1">_xll.FDSB("JPYUSD","FG_PRICE("&amp;B929&amp;")")</f>
        <v>#NAME?</v>
      </c>
    </row>
    <row r="930" spans="2:5">
      <c r="B930" s="244">
        <f t="shared" si="56"/>
        <v>44393</v>
      </c>
      <c r="C930" s="245" t="e">
        <f ca="1">_xll.FDS("EURUSD","FG_PRICE("&amp;B930&amp;")")</f>
        <v>#NAME?</v>
      </c>
      <c r="D930" t="e">
        <f ca="1">_xll.FDS("GBPUSD","FG_PRICE("&amp;B930&amp;")")</f>
        <v>#NAME?</v>
      </c>
      <c r="E930" t="e">
        <f ca="1">_xll.FDSB("JPYUSD","FG_PRICE("&amp;B930&amp;")")</f>
        <v>#NAME?</v>
      </c>
    </row>
    <row r="931" spans="2:5">
      <c r="B931" s="244">
        <f t="shared" si="56"/>
        <v>44394</v>
      </c>
      <c r="C931" s="245" t="e">
        <f ca="1">_xll.FDS("EURUSD","FG_PRICE("&amp;B931&amp;")")</f>
        <v>#NAME?</v>
      </c>
      <c r="D931" t="e">
        <f ca="1">_xll.FDS("GBPUSD","FG_PRICE("&amp;B931&amp;")")</f>
        <v>#NAME?</v>
      </c>
      <c r="E931" t="e">
        <f ca="1">_xll.FDSB("JPYUSD","FG_PRICE("&amp;B931&amp;")")</f>
        <v>#NAME?</v>
      </c>
    </row>
    <row r="932" spans="2:5">
      <c r="B932" s="244">
        <f t="shared" si="56"/>
        <v>44395</v>
      </c>
      <c r="C932" s="245" t="e">
        <f ca="1">_xll.FDS("EURUSD","FG_PRICE("&amp;B932&amp;")")</f>
        <v>#NAME?</v>
      </c>
      <c r="D932" t="e">
        <f ca="1">_xll.FDS("GBPUSD","FG_PRICE("&amp;B932&amp;")")</f>
        <v>#NAME?</v>
      </c>
      <c r="E932" t="e">
        <f ca="1">_xll.FDSB("JPYUSD","FG_PRICE("&amp;B932&amp;")")</f>
        <v>#NAME?</v>
      </c>
    </row>
    <row r="933" spans="2:5">
      <c r="B933" s="244">
        <f t="shared" si="56"/>
        <v>44396</v>
      </c>
      <c r="C933" s="245" t="e">
        <f ca="1">_xll.FDS("EURUSD","FG_PRICE("&amp;B933&amp;")")</f>
        <v>#NAME?</v>
      </c>
      <c r="D933" t="e">
        <f ca="1">_xll.FDS("GBPUSD","FG_PRICE("&amp;B933&amp;")")</f>
        <v>#NAME?</v>
      </c>
      <c r="E933" t="e">
        <f ca="1">_xll.FDSB("JPYUSD","FG_PRICE("&amp;B933&amp;")")</f>
        <v>#NAME?</v>
      </c>
    </row>
    <row r="934" spans="2:5">
      <c r="B934" s="244">
        <f t="shared" si="56"/>
        <v>44397</v>
      </c>
      <c r="C934" s="245" t="e">
        <f ca="1">_xll.FDS("EURUSD","FG_PRICE("&amp;B934&amp;")")</f>
        <v>#NAME?</v>
      </c>
      <c r="D934" t="e">
        <f ca="1">_xll.FDS("GBPUSD","FG_PRICE("&amp;B934&amp;")")</f>
        <v>#NAME?</v>
      </c>
      <c r="E934" t="e">
        <f ca="1">_xll.FDSB("JPYUSD","FG_PRICE("&amp;B934&amp;")")</f>
        <v>#NAME?</v>
      </c>
    </row>
    <row r="935" spans="2:5">
      <c r="B935" s="244">
        <f t="shared" si="56"/>
        <v>44398</v>
      </c>
      <c r="C935" s="245" t="e">
        <f ca="1">_xll.FDS("EURUSD","FG_PRICE("&amp;B935&amp;")")</f>
        <v>#NAME?</v>
      </c>
      <c r="D935" t="e">
        <f ca="1">_xll.FDS("GBPUSD","FG_PRICE("&amp;B935&amp;")")</f>
        <v>#NAME?</v>
      </c>
      <c r="E935" t="e">
        <f ca="1">_xll.FDSB("JPYUSD","FG_PRICE("&amp;B935&amp;")")</f>
        <v>#NAME?</v>
      </c>
    </row>
    <row r="936" spans="2:5">
      <c r="B936" s="244">
        <f t="shared" si="56"/>
        <v>44399</v>
      </c>
      <c r="C936" s="245" t="e">
        <f ca="1">_xll.FDS("EURUSD","FG_PRICE("&amp;B936&amp;")")</f>
        <v>#NAME?</v>
      </c>
      <c r="D936" t="e">
        <f ca="1">_xll.FDS("GBPUSD","FG_PRICE("&amp;B936&amp;")")</f>
        <v>#NAME?</v>
      </c>
      <c r="E936" t="e">
        <f ca="1">_xll.FDSB("JPYUSD","FG_PRICE("&amp;B936&amp;")")</f>
        <v>#NAME?</v>
      </c>
    </row>
    <row r="937" spans="2:5">
      <c r="B937" s="244">
        <f t="shared" si="56"/>
        <v>44400</v>
      </c>
      <c r="C937" s="245" t="e">
        <f ca="1">_xll.FDS("EURUSD","FG_PRICE("&amp;B937&amp;")")</f>
        <v>#NAME?</v>
      </c>
      <c r="D937" t="e">
        <f ca="1">_xll.FDS("GBPUSD","FG_PRICE("&amp;B937&amp;")")</f>
        <v>#NAME?</v>
      </c>
      <c r="E937" t="e">
        <f ca="1">_xll.FDSB("JPYUSD","FG_PRICE("&amp;B937&amp;")")</f>
        <v>#NAME?</v>
      </c>
    </row>
    <row r="938" spans="2:5">
      <c r="B938" s="244">
        <f t="shared" si="56"/>
        <v>44401</v>
      </c>
      <c r="C938" s="245" t="e">
        <f ca="1">_xll.FDS("EURUSD","FG_PRICE("&amp;B938&amp;")")</f>
        <v>#NAME?</v>
      </c>
      <c r="D938" t="e">
        <f ca="1">_xll.FDS("GBPUSD","FG_PRICE("&amp;B938&amp;")")</f>
        <v>#NAME?</v>
      </c>
      <c r="E938" t="e">
        <f ca="1">_xll.FDSB("JPYUSD","FG_PRICE("&amp;B938&amp;")")</f>
        <v>#NAME?</v>
      </c>
    </row>
    <row r="939" spans="2:5">
      <c r="B939" s="244">
        <f t="shared" si="56"/>
        <v>44402</v>
      </c>
      <c r="C939" s="245" t="e">
        <f ca="1">_xll.FDS("EURUSD","FG_PRICE("&amp;B939&amp;")")</f>
        <v>#NAME?</v>
      </c>
      <c r="D939" t="e">
        <f ca="1">_xll.FDS("GBPUSD","FG_PRICE("&amp;B939&amp;")")</f>
        <v>#NAME?</v>
      </c>
      <c r="E939" t="e">
        <f ca="1">_xll.FDSB("JPYUSD","FG_PRICE("&amp;B939&amp;")")</f>
        <v>#NAME?</v>
      </c>
    </row>
    <row r="940" spans="2:5">
      <c r="B940" s="244">
        <f t="shared" si="56"/>
        <v>44403</v>
      </c>
      <c r="C940" s="245" t="e">
        <f ca="1">_xll.FDS("EURUSD","FG_PRICE("&amp;B940&amp;")")</f>
        <v>#NAME?</v>
      </c>
      <c r="D940" t="e">
        <f ca="1">_xll.FDS("GBPUSD","FG_PRICE("&amp;B940&amp;")")</f>
        <v>#NAME?</v>
      </c>
      <c r="E940" t="e">
        <f ca="1">_xll.FDSB("JPYUSD","FG_PRICE("&amp;B940&amp;")")</f>
        <v>#NAME?</v>
      </c>
    </row>
    <row r="941" spans="2:5">
      <c r="B941" s="244">
        <f t="shared" si="56"/>
        <v>44404</v>
      </c>
      <c r="C941" s="245" t="e">
        <f ca="1">_xll.FDS("EURUSD","FG_PRICE("&amp;B941&amp;")")</f>
        <v>#NAME?</v>
      </c>
      <c r="D941" t="e">
        <f ca="1">_xll.FDS("GBPUSD","FG_PRICE("&amp;B941&amp;")")</f>
        <v>#NAME?</v>
      </c>
      <c r="E941" t="e">
        <f ca="1">_xll.FDSB("JPYUSD","FG_PRICE("&amp;B941&amp;")")</f>
        <v>#NAME?</v>
      </c>
    </row>
    <row r="942" spans="2:5">
      <c r="B942" s="244">
        <f t="shared" si="56"/>
        <v>44405</v>
      </c>
      <c r="C942" s="245" t="e">
        <f ca="1">_xll.FDS("EURUSD","FG_PRICE("&amp;B942&amp;")")</f>
        <v>#NAME?</v>
      </c>
      <c r="D942" t="e">
        <f ca="1">_xll.FDS("GBPUSD","FG_PRICE("&amp;B942&amp;")")</f>
        <v>#NAME?</v>
      </c>
      <c r="E942" t="e">
        <f ca="1">_xll.FDSB("JPYUSD","FG_PRICE("&amp;B942&amp;")")</f>
        <v>#NAME?</v>
      </c>
    </row>
    <row r="943" spans="2:5">
      <c r="B943" s="244">
        <f t="shared" si="56"/>
        <v>44406</v>
      </c>
      <c r="C943" s="245" t="e">
        <f ca="1">_xll.FDS("EURUSD","FG_PRICE("&amp;B943&amp;")")</f>
        <v>#NAME?</v>
      </c>
      <c r="D943" t="e">
        <f ca="1">_xll.FDS("GBPUSD","FG_PRICE("&amp;B943&amp;")")</f>
        <v>#NAME?</v>
      </c>
      <c r="E943" t="e">
        <f ca="1">_xll.FDSB("JPYUSD","FG_PRICE("&amp;B943&amp;")")</f>
        <v>#NAME?</v>
      </c>
    </row>
    <row r="944" spans="2:5">
      <c r="B944" s="244">
        <f t="shared" si="56"/>
        <v>44407</v>
      </c>
      <c r="C944" s="245" t="e">
        <f ca="1">_xll.FDS("EURUSD","FG_PRICE("&amp;B944&amp;")")</f>
        <v>#NAME?</v>
      </c>
      <c r="D944" t="e">
        <f ca="1">_xll.FDS("GBPUSD","FG_PRICE("&amp;B944&amp;")")</f>
        <v>#NAME?</v>
      </c>
      <c r="E944" t="e">
        <f ca="1">_xll.FDSB("JPYUSD","FG_PRICE("&amp;B944&amp;")")</f>
        <v>#NAME?</v>
      </c>
    </row>
    <row r="945" spans="2:5">
      <c r="B945" s="244">
        <f t="shared" si="56"/>
        <v>44408</v>
      </c>
      <c r="C945" s="245" t="e">
        <f ca="1">_xll.FDS("EURUSD","FG_PRICE("&amp;B945&amp;")")</f>
        <v>#NAME?</v>
      </c>
      <c r="D945" t="e">
        <f ca="1">_xll.FDS("GBPUSD","FG_PRICE("&amp;B945&amp;")")</f>
        <v>#NAME?</v>
      </c>
      <c r="E945" t="e">
        <f ca="1">_xll.FDSB("JPYUSD","FG_PRICE("&amp;B945&amp;")")</f>
        <v>#NAME?</v>
      </c>
    </row>
    <row r="946" spans="2:5">
      <c r="B946" s="244">
        <f t="shared" si="56"/>
        <v>44409</v>
      </c>
      <c r="C946" s="245" t="e">
        <f ca="1">_xll.FDS("EURUSD","FG_PRICE("&amp;B946&amp;")")</f>
        <v>#NAME?</v>
      </c>
      <c r="D946" t="e">
        <f ca="1">_xll.FDS("GBPUSD","FG_PRICE("&amp;B946&amp;")")</f>
        <v>#NAME?</v>
      </c>
      <c r="E946" t="e">
        <f ca="1">_xll.FDSB("JPYUSD","FG_PRICE("&amp;B946&amp;")")</f>
        <v>#NAME?</v>
      </c>
    </row>
    <row r="947" spans="2:5">
      <c r="B947" s="244">
        <f t="shared" si="56"/>
        <v>44410</v>
      </c>
      <c r="C947" s="245" t="e">
        <f ca="1">_xll.FDS("EURUSD","FG_PRICE("&amp;B947&amp;")")</f>
        <v>#NAME?</v>
      </c>
      <c r="D947" t="e">
        <f ca="1">_xll.FDS("GBPUSD","FG_PRICE("&amp;B947&amp;")")</f>
        <v>#NAME?</v>
      </c>
      <c r="E947" t="e">
        <f ca="1">_xll.FDSB("JPYUSD","FG_PRICE("&amp;B947&amp;")")</f>
        <v>#NAME?</v>
      </c>
    </row>
    <row r="948" spans="2:5">
      <c r="B948" s="244">
        <f t="shared" si="56"/>
        <v>44411</v>
      </c>
      <c r="C948" s="245" t="e">
        <f ca="1">_xll.FDS("EURUSD","FG_PRICE("&amp;B948&amp;")")</f>
        <v>#NAME?</v>
      </c>
      <c r="D948" t="e">
        <f ca="1">_xll.FDS("GBPUSD","FG_PRICE("&amp;B948&amp;")")</f>
        <v>#NAME?</v>
      </c>
      <c r="E948" t="e">
        <f ca="1">_xll.FDSB("JPYUSD","FG_PRICE("&amp;B948&amp;")")</f>
        <v>#NAME?</v>
      </c>
    </row>
    <row r="949" spans="2:5">
      <c r="B949" s="244">
        <f t="shared" si="56"/>
        <v>44412</v>
      </c>
      <c r="C949" s="245" t="e">
        <f ca="1">_xll.FDS("EURUSD","FG_PRICE("&amp;B949&amp;")")</f>
        <v>#NAME?</v>
      </c>
      <c r="D949" t="e">
        <f ca="1">_xll.FDS("GBPUSD","FG_PRICE("&amp;B949&amp;")")</f>
        <v>#NAME?</v>
      </c>
      <c r="E949" t="e">
        <f ca="1">_xll.FDSB("JPYUSD","FG_PRICE("&amp;B949&amp;")")</f>
        <v>#NAME?</v>
      </c>
    </row>
    <row r="950" spans="2:5">
      <c r="B950" s="244">
        <f t="shared" si="56"/>
        <v>44413</v>
      </c>
      <c r="C950" s="245" t="e">
        <f ca="1">_xll.FDS("EURUSD","FG_PRICE("&amp;B950&amp;")")</f>
        <v>#NAME?</v>
      </c>
      <c r="D950" t="e">
        <f ca="1">_xll.FDS("GBPUSD","FG_PRICE("&amp;B950&amp;")")</f>
        <v>#NAME?</v>
      </c>
      <c r="E950" t="e">
        <f ca="1">_xll.FDSB("JPYUSD","FG_PRICE("&amp;B950&amp;")")</f>
        <v>#NAME?</v>
      </c>
    </row>
    <row r="951" spans="2:5">
      <c r="B951" s="244">
        <f t="shared" si="56"/>
        <v>44414</v>
      </c>
      <c r="C951" s="245" t="e">
        <f ca="1">_xll.FDS("EURUSD","FG_PRICE("&amp;B951&amp;")")</f>
        <v>#NAME?</v>
      </c>
      <c r="D951" t="e">
        <f ca="1">_xll.FDS("GBPUSD","FG_PRICE("&amp;B951&amp;")")</f>
        <v>#NAME?</v>
      </c>
      <c r="E951" t="e">
        <f ca="1">_xll.FDSB("JPYUSD","FG_PRICE("&amp;B951&amp;")")</f>
        <v>#NAME?</v>
      </c>
    </row>
    <row r="952" spans="2:5">
      <c r="B952" s="244">
        <f t="shared" si="56"/>
        <v>44415</v>
      </c>
      <c r="C952" s="245" t="e">
        <f ca="1">_xll.FDS("EURUSD","FG_PRICE("&amp;B952&amp;")")</f>
        <v>#NAME?</v>
      </c>
      <c r="D952" t="e">
        <f ca="1">_xll.FDS("GBPUSD","FG_PRICE("&amp;B952&amp;")")</f>
        <v>#NAME?</v>
      </c>
      <c r="E952" t="e">
        <f ca="1">_xll.FDSB("JPYUSD","FG_PRICE("&amp;B952&amp;")")</f>
        <v>#NAME?</v>
      </c>
    </row>
    <row r="953" spans="2:5">
      <c r="B953" s="244">
        <f t="shared" si="56"/>
        <v>44416</v>
      </c>
      <c r="C953" s="245" t="e">
        <f ca="1">_xll.FDS("EURUSD","FG_PRICE("&amp;B953&amp;")")</f>
        <v>#NAME?</v>
      </c>
      <c r="D953" t="e">
        <f ca="1">_xll.FDS("GBPUSD","FG_PRICE("&amp;B953&amp;")")</f>
        <v>#NAME?</v>
      </c>
      <c r="E953" t="e">
        <f ca="1">_xll.FDSB("JPYUSD","FG_PRICE("&amp;B953&amp;")")</f>
        <v>#NAME?</v>
      </c>
    </row>
    <row r="954" spans="2:5">
      <c r="B954" s="244">
        <f t="shared" si="56"/>
        <v>44417</v>
      </c>
      <c r="C954" s="245" t="e">
        <f ca="1">_xll.FDS("EURUSD","FG_PRICE("&amp;B954&amp;")")</f>
        <v>#NAME?</v>
      </c>
      <c r="D954" t="e">
        <f ca="1">_xll.FDS("GBPUSD","FG_PRICE("&amp;B954&amp;")")</f>
        <v>#NAME?</v>
      </c>
      <c r="E954" t="e">
        <f ca="1">_xll.FDSB("JPYUSD","FG_PRICE("&amp;B954&amp;")")</f>
        <v>#NAME?</v>
      </c>
    </row>
    <row r="955" spans="2:5">
      <c r="B955" s="244">
        <f t="shared" si="56"/>
        <v>44418</v>
      </c>
      <c r="C955" s="245" t="e">
        <f ca="1">_xll.FDS("EURUSD","FG_PRICE("&amp;B955&amp;")")</f>
        <v>#NAME?</v>
      </c>
      <c r="D955" t="e">
        <f ca="1">_xll.FDS("GBPUSD","FG_PRICE("&amp;B955&amp;")")</f>
        <v>#NAME?</v>
      </c>
      <c r="E955" t="e">
        <f ca="1">_xll.FDSB("JPYUSD","FG_PRICE("&amp;B955&amp;")")</f>
        <v>#NAME?</v>
      </c>
    </row>
    <row r="956" spans="2:5">
      <c r="B956" s="244">
        <f t="shared" si="56"/>
        <v>44419</v>
      </c>
      <c r="C956" s="245" t="e">
        <f ca="1">_xll.FDS("EURUSD","FG_PRICE("&amp;B956&amp;")")</f>
        <v>#NAME?</v>
      </c>
      <c r="D956" t="e">
        <f ca="1">_xll.FDS("GBPUSD","FG_PRICE("&amp;B956&amp;")")</f>
        <v>#NAME?</v>
      </c>
      <c r="E956" t="e">
        <f ca="1">_xll.FDSB("JPYUSD","FG_PRICE("&amp;B956&amp;")")</f>
        <v>#NAME?</v>
      </c>
    </row>
    <row r="957" spans="2:5">
      <c r="B957" s="244">
        <f t="shared" si="56"/>
        <v>44420</v>
      </c>
      <c r="C957" s="245" t="e">
        <f ca="1">_xll.FDS("EURUSD","FG_PRICE("&amp;B957&amp;")")</f>
        <v>#NAME?</v>
      </c>
      <c r="D957" t="e">
        <f ca="1">_xll.FDS("GBPUSD","FG_PRICE("&amp;B957&amp;")")</f>
        <v>#NAME?</v>
      </c>
      <c r="E957" t="e">
        <f ca="1">_xll.FDSB("JPYUSD","FG_PRICE("&amp;B957&amp;")")</f>
        <v>#NAME?</v>
      </c>
    </row>
    <row r="958" spans="2:5">
      <c r="B958" s="244">
        <f t="shared" si="56"/>
        <v>44421</v>
      </c>
      <c r="C958" s="245" t="e">
        <f ca="1">_xll.FDS("EURUSD","FG_PRICE("&amp;B958&amp;")")</f>
        <v>#NAME?</v>
      </c>
      <c r="D958" t="e">
        <f ca="1">_xll.FDS("GBPUSD","FG_PRICE("&amp;B958&amp;")")</f>
        <v>#NAME?</v>
      </c>
      <c r="E958" t="e">
        <f ca="1">_xll.FDSB("JPYUSD","FG_PRICE("&amp;B958&amp;")")</f>
        <v>#NAME?</v>
      </c>
    </row>
    <row r="959" spans="2:5">
      <c r="B959" s="244">
        <f t="shared" si="56"/>
        <v>44422</v>
      </c>
      <c r="C959" s="245" t="e">
        <f ca="1">_xll.FDS("EURUSD","FG_PRICE("&amp;B959&amp;")")</f>
        <v>#NAME?</v>
      </c>
      <c r="D959" t="e">
        <f ca="1">_xll.FDS("GBPUSD","FG_PRICE("&amp;B959&amp;")")</f>
        <v>#NAME?</v>
      </c>
      <c r="E959" t="e">
        <f ca="1">_xll.FDSB("JPYUSD","FG_PRICE("&amp;B959&amp;")")</f>
        <v>#NAME?</v>
      </c>
    </row>
    <row r="960" spans="2:5">
      <c r="B960" s="244">
        <f t="shared" si="56"/>
        <v>44423</v>
      </c>
      <c r="C960" s="245" t="e">
        <f ca="1">_xll.FDS("EURUSD","FG_PRICE("&amp;B960&amp;")")</f>
        <v>#NAME?</v>
      </c>
      <c r="D960" t="e">
        <f ca="1">_xll.FDS("GBPUSD","FG_PRICE("&amp;B960&amp;")")</f>
        <v>#NAME?</v>
      </c>
      <c r="E960" t="e">
        <f ca="1">_xll.FDSB("JPYUSD","FG_PRICE("&amp;B960&amp;")")</f>
        <v>#NAME?</v>
      </c>
    </row>
    <row r="961" spans="2:5">
      <c r="B961" s="244">
        <f t="shared" si="56"/>
        <v>44424</v>
      </c>
      <c r="C961" s="245" t="e">
        <f ca="1">_xll.FDS("EURUSD","FG_PRICE("&amp;B961&amp;")")</f>
        <v>#NAME?</v>
      </c>
      <c r="D961" t="e">
        <f ca="1">_xll.FDS("GBPUSD","FG_PRICE("&amp;B961&amp;")")</f>
        <v>#NAME?</v>
      </c>
      <c r="E961" t="e">
        <f ca="1">_xll.FDSB("JPYUSD","FG_PRICE("&amp;B961&amp;")")</f>
        <v>#NAME?</v>
      </c>
    </row>
    <row r="962" spans="2:5">
      <c r="B962" s="244">
        <f t="shared" si="56"/>
        <v>44425</v>
      </c>
      <c r="C962" s="245" t="e">
        <f ca="1">_xll.FDS("EURUSD","FG_PRICE("&amp;B962&amp;")")</f>
        <v>#NAME?</v>
      </c>
      <c r="D962" t="e">
        <f ca="1">_xll.FDS("GBPUSD","FG_PRICE("&amp;B962&amp;")")</f>
        <v>#NAME?</v>
      </c>
      <c r="E962" t="e">
        <f ca="1">_xll.FDSB("JPYUSD","FG_PRICE("&amp;B962&amp;")")</f>
        <v>#NAME?</v>
      </c>
    </row>
    <row r="963" spans="2:5">
      <c r="B963" s="244">
        <f t="shared" si="56"/>
        <v>44426</v>
      </c>
      <c r="C963" s="245" t="e">
        <f ca="1">_xll.FDS("EURUSD","FG_PRICE("&amp;B963&amp;")")</f>
        <v>#NAME?</v>
      </c>
      <c r="D963" t="e">
        <f ca="1">_xll.FDS("GBPUSD","FG_PRICE("&amp;B963&amp;")")</f>
        <v>#NAME?</v>
      </c>
      <c r="E963" t="e">
        <f ca="1">_xll.FDSB("JPYUSD","FG_PRICE("&amp;B963&amp;")")</f>
        <v>#NAME?</v>
      </c>
    </row>
    <row r="964" spans="2:5">
      <c r="B964" s="244">
        <f t="shared" si="56"/>
        <v>44427</v>
      </c>
      <c r="C964" s="245" t="e">
        <f ca="1">_xll.FDS("EURUSD","FG_PRICE("&amp;B964&amp;")")</f>
        <v>#NAME?</v>
      </c>
      <c r="D964" t="e">
        <f ca="1">_xll.FDS("GBPUSD","FG_PRICE("&amp;B964&amp;")")</f>
        <v>#NAME?</v>
      </c>
      <c r="E964" t="e">
        <f ca="1">_xll.FDSB("JPYUSD","FG_PRICE("&amp;B964&amp;")")</f>
        <v>#NAME?</v>
      </c>
    </row>
    <row r="965" spans="2:5">
      <c r="B965" s="244">
        <f t="shared" ref="B965:B1028" si="57">B964+1</f>
        <v>44428</v>
      </c>
      <c r="C965" s="245" t="e">
        <f ca="1">_xll.FDS("EURUSD","FG_PRICE("&amp;B965&amp;")")</f>
        <v>#NAME?</v>
      </c>
      <c r="D965" t="e">
        <f ca="1">_xll.FDS("GBPUSD","FG_PRICE("&amp;B965&amp;")")</f>
        <v>#NAME?</v>
      </c>
      <c r="E965" t="e">
        <f ca="1">_xll.FDSB("JPYUSD","FG_PRICE("&amp;B965&amp;")")</f>
        <v>#NAME?</v>
      </c>
    </row>
    <row r="966" spans="2:5">
      <c r="B966" s="244">
        <f t="shared" si="57"/>
        <v>44429</v>
      </c>
      <c r="C966" s="245" t="e">
        <f ca="1">_xll.FDS("EURUSD","FG_PRICE("&amp;B966&amp;")")</f>
        <v>#NAME?</v>
      </c>
      <c r="D966" t="e">
        <f ca="1">_xll.FDS("GBPUSD","FG_PRICE("&amp;B966&amp;")")</f>
        <v>#NAME?</v>
      </c>
      <c r="E966" t="e">
        <f ca="1">_xll.FDSB("JPYUSD","FG_PRICE("&amp;B966&amp;")")</f>
        <v>#NAME?</v>
      </c>
    </row>
    <row r="967" spans="2:5">
      <c r="B967" s="244">
        <f t="shared" si="57"/>
        <v>44430</v>
      </c>
      <c r="C967" s="245" t="e">
        <f ca="1">_xll.FDS("EURUSD","FG_PRICE("&amp;B967&amp;")")</f>
        <v>#NAME?</v>
      </c>
      <c r="D967" t="e">
        <f ca="1">_xll.FDS("GBPUSD","FG_PRICE("&amp;B967&amp;")")</f>
        <v>#NAME?</v>
      </c>
      <c r="E967" t="e">
        <f ca="1">_xll.FDSB("JPYUSD","FG_PRICE("&amp;B967&amp;")")</f>
        <v>#NAME?</v>
      </c>
    </row>
    <row r="968" spans="2:5">
      <c r="B968" s="244">
        <f t="shared" si="57"/>
        <v>44431</v>
      </c>
      <c r="C968" s="245" t="e">
        <f ca="1">_xll.FDS("EURUSD","FG_PRICE("&amp;B968&amp;")")</f>
        <v>#NAME?</v>
      </c>
      <c r="D968" t="e">
        <f ca="1">_xll.FDS("GBPUSD","FG_PRICE("&amp;B968&amp;")")</f>
        <v>#NAME?</v>
      </c>
      <c r="E968" t="e">
        <f ca="1">_xll.FDSB("JPYUSD","FG_PRICE("&amp;B968&amp;")")</f>
        <v>#NAME?</v>
      </c>
    </row>
    <row r="969" spans="2:5">
      <c r="B969" s="244">
        <f t="shared" si="57"/>
        <v>44432</v>
      </c>
      <c r="C969" s="245" t="e">
        <f ca="1">_xll.FDS("EURUSD","FG_PRICE("&amp;B969&amp;")")</f>
        <v>#NAME?</v>
      </c>
      <c r="D969" t="e">
        <f ca="1">_xll.FDS("GBPUSD","FG_PRICE("&amp;B969&amp;")")</f>
        <v>#NAME?</v>
      </c>
      <c r="E969" t="e">
        <f ca="1">_xll.FDSB("JPYUSD","FG_PRICE("&amp;B969&amp;")")</f>
        <v>#NAME?</v>
      </c>
    </row>
    <row r="970" spans="2:5">
      <c r="B970" s="244">
        <f t="shared" si="57"/>
        <v>44433</v>
      </c>
      <c r="C970" s="245" t="e">
        <f ca="1">_xll.FDS("EURUSD","FG_PRICE("&amp;B970&amp;")")</f>
        <v>#NAME?</v>
      </c>
      <c r="D970" t="e">
        <f ca="1">_xll.FDS("GBPUSD","FG_PRICE("&amp;B970&amp;")")</f>
        <v>#NAME?</v>
      </c>
      <c r="E970" t="e">
        <f ca="1">_xll.FDSB("JPYUSD","FG_PRICE("&amp;B970&amp;")")</f>
        <v>#NAME?</v>
      </c>
    </row>
    <row r="971" spans="2:5">
      <c r="B971" s="244">
        <f t="shared" si="57"/>
        <v>44434</v>
      </c>
      <c r="C971" s="245" t="e">
        <f ca="1">_xll.FDS("EURUSD","FG_PRICE("&amp;B971&amp;")")</f>
        <v>#NAME?</v>
      </c>
      <c r="D971" t="e">
        <f ca="1">_xll.FDS("GBPUSD","FG_PRICE("&amp;B971&amp;")")</f>
        <v>#NAME?</v>
      </c>
      <c r="E971" t="e">
        <f ca="1">_xll.FDSB("JPYUSD","FG_PRICE("&amp;B971&amp;")")</f>
        <v>#NAME?</v>
      </c>
    </row>
    <row r="972" spans="2:5">
      <c r="B972" s="244">
        <f t="shared" si="57"/>
        <v>44435</v>
      </c>
      <c r="C972" s="245" t="e">
        <f ca="1">_xll.FDS("EURUSD","FG_PRICE("&amp;B972&amp;")")</f>
        <v>#NAME?</v>
      </c>
      <c r="D972" t="e">
        <f ca="1">_xll.FDS("GBPUSD","FG_PRICE("&amp;B972&amp;")")</f>
        <v>#NAME?</v>
      </c>
      <c r="E972" t="e">
        <f ca="1">_xll.FDSB("JPYUSD","FG_PRICE("&amp;B972&amp;")")</f>
        <v>#NAME?</v>
      </c>
    </row>
    <row r="973" spans="2:5">
      <c r="B973" s="244">
        <f t="shared" si="57"/>
        <v>44436</v>
      </c>
      <c r="C973" s="245" t="e">
        <f ca="1">_xll.FDS("EURUSD","FG_PRICE("&amp;B973&amp;")")</f>
        <v>#NAME?</v>
      </c>
      <c r="D973" t="e">
        <f ca="1">_xll.FDS("GBPUSD","FG_PRICE("&amp;B973&amp;")")</f>
        <v>#NAME?</v>
      </c>
      <c r="E973" t="e">
        <f ca="1">_xll.FDSB("JPYUSD","FG_PRICE("&amp;B973&amp;")")</f>
        <v>#NAME?</v>
      </c>
    </row>
    <row r="974" spans="2:5">
      <c r="B974" s="244">
        <f t="shared" si="57"/>
        <v>44437</v>
      </c>
      <c r="C974" s="245" t="e">
        <f ca="1">_xll.FDS("EURUSD","FG_PRICE("&amp;B974&amp;")")</f>
        <v>#NAME?</v>
      </c>
      <c r="D974" t="e">
        <f ca="1">_xll.FDS("GBPUSD","FG_PRICE("&amp;B974&amp;")")</f>
        <v>#NAME?</v>
      </c>
      <c r="E974" t="e">
        <f ca="1">_xll.FDSB("JPYUSD","FG_PRICE("&amp;B974&amp;")")</f>
        <v>#NAME?</v>
      </c>
    </row>
    <row r="975" spans="2:5">
      <c r="B975" s="244">
        <f t="shared" si="57"/>
        <v>44438</v>
      </c>
      <c r="C975" s="245" t="e">
        <f ca="1">_xll.FDS("EURUSD","FG_PRICE("&amp;B975&amp;")")</f>
        <v>#NAME?</v>
      </c>
      <c r="D975" t="e">
        <f ca="1">_xll.FDS("GBPUSD","FG_PRICE("&amp;B975&amp;")")</f>
        <v>#NAME?</v>
      </c>
      <c r="E975" t="e">
        <f ca="1">_xll.FDSB("JPYUSD","FG_PRICE("&amp;B975&amp;")")</f>
        <v>#NAME?</v>
      </c>
    </row>
    <row r="976" spans="2:5">
      <c r="B976" s="244">
        <f t="shared" si="57"/>
        <v>44439</v>
      </c>
      <c r="C976" s="245" t="e">
        <f ca="1">_xll.FDS("EURUSD","FG_PRICE("&amp;B976&amp;")")</f>
        <v>#NAME?</v>
      </c>
      <c r="D976" t="e">
        <f ca="1">_xll.FDS("GBPUSD","FG_PRICE("&amp;B976&amp;")")</f>
        <v>#NAME?</v>
      </c>
      <c r="E976" t="e">
        <f ca="1">_xll.FDSB("JPYUSD","FG_PRICE("&amp;B976&amp;")")</f>
        <v>#NAME?</v>
      </c>
    </row>
    <row r="977" spans="2:5">
      <c r="B977" s="244">
        <f t="shared" si="57"/>
        <v>44440</v>
      </c>
      <c r="C977" s="245" t="e">
        <f ca="1">_xll.FDS("EURUSD","FG_PRICE("&amp;B977&amp;")")</f>
        <v>#NAME?</v>
      </c>
      <c r="D977" t="e">
        <f ca="1">_xll.FDS("GBPUSD","FG_PRICE("&amp;B977&amp;")")</f>
        <v>#NAME?</v>
      </c>
      <c r="E977" t="e">
        <f ca="1">_xll.FDSB("JPYUSD","FG_PRICE("&amp;B977&amp;")")</f>
        <v>#NAME?</v>
      </c>
    </row>
    <row r="978" spans="2:5">
      <c r="B978" s="244">
        <f t="shared" si="57"/>
        <v>44441</v>
      </c>
      <c r="C978" s="245" t="e">
        <f ca="1">_xll.FDS("EURUSD","FG_PRICE("&amp;B978&amp;")")</f>
        <v>#NAME?</v>
      </c>
      <c r="D978" t="e">
        <f ca="1">_xll.FDS("GBPUSD","FG_PRICE("&amp;B978&amp;")")</f>
        <v>#NAME?</v>
      </c>
      <c r="E978" t="e">
        <f ca="1">_xll.FDSB("JPYUSD","FG_PRICE("&amp;B978&amp;")")</f>
        <v>#NAME?</v>
      </c>
    </row>
    <row r="979" spans="2:5">
      <c r="B979" s="244">
        <f t="shared" si="57"/>
        <v>44442</v>
      </c>
      <c r="C979" s="245" t="e">
        <f ca="1">_xll.FDS("EURUSD","FG_PRICE("&amp;B979&amp;")")</f>
        <v>#NAME?</v>
      </c>
      <c r="D979" t="e">
        <f ca="1">_xll.FDS("GBPUSD","FG_PRICE("&amp;B979&amp;")")</f>
        <v>#NAME?</v>
      </c>
      <c r="E979" t="e">
        <f ca="1">_xll.FDSB("JPYUSD","FG_PRICE("&amp;B979&amp;")")</f>
        <v>#NAME?</v>
      </c>
    </row>
    <row r="980" spans="2:5">
      <c r="B980" s="244">
        <f t="shared" si="57"/>
        <v>44443</v>
      </c>
      <c r="C980" s="245" t="e">
        <f ca="1">_xll.FDS("EURUSD","FG_PRICE("&amp;B980&amp;")")</f>
        <v>#NAME?</v>
      </c>
      <c r="D980" t="e">
        <f ca="1">_xll.FDS("GBPUSD","FG_PRICE("&amp;B980&amp;")")</f>
        <v>#NAME?</v>
      </c>
      <c r="E980" t="e">
        <f ca="1">_xll.FDSB("JPYUSD","FG_PRICE("&amp;B980&amp;")")</f>
        <v>#NAME?</v>
      </c>
    </row>
    <row r="981" spans="2:5">
      <c r="B981" s="244">
        <f t="shared" si="57"/>
        <v>44444</v>
      </c>
      <c r="C981" s="245" t="e">
        <f ca="1">_xll.FDS("EURUSD","FG_PRICE("&amp;B981&amp;")")</f>
        <v>#NAME?</v>
      </c>
      <c r="D981" t="e">
        <f ca="1">_xll.FDS("GBPUSD","FG_PRICE("&amp;B981&amp;")")</f>
        <v>#NAME?</v>
      </c>
      <c r="E981" t="e">
        <f ca="1">_xll.FDSB("JPYUSD","FG_PRICE("&amp;B981&amp;")")</f>
        <v>#NAME?</v>
      </c>
    </row>
    <row r="982" spans="2:5">
      <c r="B982" s="244">
        <f t="shared" si="57"/>
        <v>44445</v>
      </c>
      <c r="C982" s="245" t="e">
        <f ca="1">_xll.FDS("EURUSD","FG_PRICE("&amp;B982&amp;")")</f>
        <v>#NAME?</v>
      </c>
      <c r="D982" t="e">
        <f ca="1">_xll.FDS("GBPUSD","FG_PRICE("&amp;B982&amp;")")</f>
        <v>#NAME?</v>
      </c>
      <c r="E982" t="e">
        <f ca="1">_xll.FDSB("JPYUSD","FG_PRICE("&amp;B982&amp;")")</f>
        <v>#NAME?</v>
      </c>
    </row>
    <row r="983" spans="2:5">
      <c r="B983" s="244">
        <f t="shared" si="57"/>
        <v>44446</v>
      </c>
      <c r="C983" s="245" t="e">
        <f ca="1">_xll.FDS("EURUSD","FG_PRICE("&amp;B983&amp;")")</f>
        <v>#NAME?</v>
      </c>
      <c r="D983" t="e">
        <f ca="1">_xll.FDS("GBPUSD","FG_PRICE("&amp;B983&amp;")")</f>
        <v>#NAME?</v>
      </c>
      <c r="E983" t="e">
        <f ca="1">_xll.FDSB("JPYUSD","FG_PRICE("&amp;B983&amp;")")</f>
        <v>#NAME?</v>
      </c>
    </row>
    <row r="984" spans="2:5">
      <c r="B984" s="244">
        <f t="shared" si="57"/>
        <v>44447</v>
      </c>
      <c r="C984" s="245" t="e">
        <f ca="1">_xll.FDS("EURUSD","FG_PRICE("&amp;B984&amp;")")</f>
        <v>#NAME?</v>
      </c>
      <c r="D984" t="e">
        <f ca="1">_xll.FDS("GBPUSD","FG_PRICE("&amp;B984&amp;")")</f>
        <v>#NAME?</v>
      </c>
      <c r="E984" t="e">
        <f ca="1">_xll.FDSB("JPYUSD","FG_PRICE("&amp;B984&amp;")")</f>
        <v>#NAME?</v>
      </c>
    </row>
    <row r="985" spans="2:5">
      <c r="B985" s="244">
        <f t="shared" si="57"/>
        <v>44448</v>
      </c>
      <c r="C985" s="245" t="e">
        <f ca="1">_xll.FDS("EURUSD","FG_PRICE("&amp;B985&amp;")")</f>
        <v>#NAME?</v>
      </c>
      <c r="D985" t="e">
        <f ca="1">_xll.FDS("GBPUSD","FG_PRICE("&amp;B985&amp;")")</f>
        <v>#NAME?</v>
      </c>
      <c r="E985" t="e">
        <f ca="1">_xll.FDSB("JPYUSD","FG_PRICE("&amp;B985&amp;")")</f>
        <v>#NAME?</v>
      </c>
    </row>
    <row r="986" spans="2:5">
      <c r="B986" s="244">
        <f t="shared" si="57"/>
        <v>44449</v>
      </c>
      <c r="C986" s="245" t="e">
        <f ca="1">_xll.FDS("EURUSD","FG_PRICE("&amp;B986&amp;")")</f>
        <v>#NAME?</v>
      </c>
      <c r="D986" t="e">
        <f ca="1">_xll.FDS("GBPUSD","FG_PRICE("&amp;B986&amp;")")</f>
        <v>#NAME?</v>
      </c>
      <c r="E986" t="e">
        <f ca="1">_xll.FDSB("JPYUSD","FG_PRICE("&amp;B986&amp;")")</f>
        <v>#NAME?</v>
      </c>
    </row>
    <row r="987" spans="2:5">
      <c r="B987" s="244">
        <f t="shared" si="57"/>
        <v>44450</v>
      </c>
      <c r="C987" s="245" t="e">
        <f ca="1">_xll.FDS("EURUSD","FG_PRICE("&amp;B987&amp;")")</f>
        <v>#NAME?</v>
      </c>
      <c r="D987" t="e">
        <f ca="1">_xll.FDS("GBPUSD","FG_PRICE("&amp;B987&amp;")")</f>
        <v>#NAME?</v>
      </c>
      <c r="E987" t="e">
        <f ca="1">_xll.FDSB("JPYUSD","FG_PRICE("&amp;B987&amp;")")</f>
        <v>#NAME?</v>
      </c>
    </row>
    <row r="988" spans="2:5">
      <c r="B988" s="244">
        <f t="shared" si="57"/>
        <v>44451</v>
      </c>
      <c r="C988" s="245" t="e">
        <f ca="1">_xll.FDS("EURUSD","FG_PRICE("&amp;B988&amp;")")</f>
        <v>#NAME?</v>
      </c>
      <c r="D988" t="e">
        <f ca="1">_xll.FDS("GBPUSD","FG_PRICE("&amp;B988&amp;")")</f>
        <v>#NAME?</v>
      </c>
      <c r="E988" t="e">
        <f ca="1">_xll.FDSB("JPYUSD","FG_PRICE("&amp;B988&amp;")")</f>
        <v>#NAME?</v>
      </c>
    </row>
    <row r="989" spans="2:5">
      <c r="B989" s="244">
        <f t="shared" si="57"/>
        <v>44452</v>
      </c>
      <c r="C989" s="245" t="e">
        <f ca="1">_xll.FDS("EURUSD","FG_PRICE("&amp;B989&amp;")")</f>
        <v>#NAME?</v>
      </c>
      <c r="D989" t="e">
        <f ca="1">_xll.FDS("GBPUSD","FG_PRICE("&amp;B989&amp;")")</f>
        <v>#NAME?</v>
      </c>
      <c r="E989" t="e">
        <f ca="1">_xll.FDSB("JPYUSD","FG_PRICE("&amp;B989&amp;")")</f>
        <v>#NAME?</v>
      </c>
    </row>
    <row r="990" spans="2:5">
      <c r="B990" s="244">
        <f t="shared" si="57"/>
        <v>44453</v>
      </c>
      <c r="C990" s="245" t="e">
        <f ca="1">_xll.FDS("EURUSD","FG_PRICE("&amp;B990&amp;")")</f>
        <v>#NAME?</v>
      </c>
      <c r="D990" t="e">
        <f ca="1">_xll.FDS("GBPUSD","FG_PRICE("&amp;B990&amp;")")</f>
        <v>#NAME?</v>
      </c>
      <c r="E990" t="e">
        <f ca="1">_xll.FDSB("JPYUSD","FG_PRICE("&amp;B990&amp;")")</f>
        <v>#NAME?</v>
      </c>
    </row>
    <row r="991" spans="2:5">
      <c r="B991" s="244">
        <f t="shared" si="57"/>
        <v>44454</v>
      </c>
      <c r="C991" s="245" t="e">
        <f ca="1">_xll.FDS("EURUSD","FG_PRICE("&amp;B991&amp;")")</f>
        <v>#NAME?</v>
      </c>
      <c r="D991" t="e">
        <f ca="1">_xll.FDS("GBPUSD","FG_PRICE("&amp;B991&amp;")")</f>
        <v>#NAME?</v>
      </c>
      <c r="E991" t="e">
        <f ca="1">_xll.FDSB("JPYUSD","FG_PRICE("&amp;B991&amp;")")</f>
        <v>#NAME?</v>
      </c>
    </row>
    <row r="992" spans="2:5">
      <c r="B992" s="244">
        <f t="shared" si="57"/>
        <v>44455</v>
      </c>
      <c r="C992" s="245" t="e">
        <f ca="1">_xll.FDS("EURUSD","FG_PRICE("&amp;B992&amp;")")</f>
        <v>#NAME?</v>
      </c>
      <c r="D992" t="e">
        <f ca="1">_xll.FDS("GBPUSD","FG_PRICE("&amp;B992&amp;")")</f>
        <v>#NAME?</v>
      </c>
      <c r="E992" t="e">
        <f ca="1">_xll.FDSB("JPYUSD","FG_PRICE("&amp;B992&amp;")")</f>
        <v>#NAME?</v>
      </c>
    </row>
    <row r="993" spans="2:5">
      <c r="B993" s="244">
        <f t="shared" si="57"/>
        <v>44456</v>
      </c>
      <c r="C993" s="245" t="e">
        <f ca="1">_xll.FDS("EURUSD","FG_PRICE("&amp;B993&amp;")")</f>
        <v>#NAME?</v>
      </c>
      <c r="D993" t="e">
        <f ca="1">_xll.FDS("GBPUSD","FG_PRICE("&amp;B993&amp;")")</f>
        <v>#NAME?</v>
      </c>
      <c r="E993" t="e">
        <f ca="1">_xll.FDSB("JPYUSD","FG_PRICE("&amp;B993&amp;")")</f>
        <v>#NAME?</v>
      </c>
    </row>
    <row r="994" spans="2:5">
      <c r="B994" s="244">
        <f t="shared" si="57"/>
        <v>44457</v>
      </c>
      <c r="C994" s="245" t="e">
        <f ca="1">_xll.FDS("EURUSD","FG_PRICE("&amp;B994&amp;")")</f>
        <v>#NAME?</v>
      </c>
      <c r="D994" t="e">
        <f ca="1">_xll.FDS("GBPUSD","FG_PRICE("&amp;B994&amp;")")</f>
        <v>#NAME?</v>
      </c>
      <c r="E994" t="e">
        <f ca="1">_xll.FDSB("JPYUSD","FG_PRICE("&amp;B994&amp;")")</f>
        <v>#NAME?</v>
      </c>
    </row>
    <row r="995" spans="2:5">
      <c r="B995" s="244">
        <f t="shared" si="57"/>
        <v>44458</v>
      </c>
      <c r="C995" s="245" t="e">
        <f ca="1">_xll.FDS("EURUSD","FG_PRICE("&amp;B995&amp;")")</f>
        <v>#NAME?</v>
      </c>
      <c r="D995" t="e">
        <f ca="1">_xll.FDS("GBPUSD","FG_PRICE("&amp;B995&amp;")")</f>
        <v>#NAME?</v>
      </c>
      <c r="E995" t="e">
        <f ca="1">_xll.FDSB("JPYUSD","FG_PRICE("&amp;B995&amp;")")</f>
        <v>#NAME?</v>
      </c>
    </row>
    <row r="996" spans="2:5">
      <c r="B996" s="244">
        <f t="shared" si="57"/>
        <v>44459</v>
      </c>
      <c r="C996" s="245" t="e">
        <f ca="1">_xll.FDS("EURUSD","FG_PRICE("&amp;B996&amp;")")</f>
        <v>#NAME?</v>
      </c>
      <c r="D996" t="e">
        <f ca="1">_xll.FDS("GBPUSD","FG_PRICE("&amp;B996&amp;")")</f>
        <v>#NAME?</v>
      </c>
      <c r="E996" t="e">
        <f ca="1">_xll.FDSB("JPYUSD","FG_PRICE("&amp;B996&amp;")")</f>
        <v>#NAME?</v>
      </c>
    </row>
    <row r="997" spans="2:5">
      <c r="B997" s="244">
        <f t="shared" si="57"/>
        <v>44460</v>
      </c>
      <c r="C997" s="245" t="e">
        <f ca="1">_xll.FDS("EURUSD","FG_PRICE("&amp;B997&amp;")")</f>
        <v>#NAME?</v>
      </c>
      <c r="D997" t="e">
        <f ca="1">_xll.FDS("GBPUSD","FG_PRICE("&amp;B997&amp;")")</f>
        <v>#NAME?</v>
      </c>
      <c r="E997" t="e">
        <f ca="1">_xll.FDSB("JPYUSD","FG_PRICE("&amp;B997&amp;")")</f>
        <v>#NAME?</v>
      </c>
    </row>
    <row r="998" spans="2:5">
      <c r="B998" s="244">
        <f t="shared" si="57"/>
        <v>44461</v>
      </c>
      <c r="C998" s="245" t="e">
        <f ca="1">_xll.FDS("EURUSD","FG_PRICE("&amp;B998&amp;")")</f>
        <v>#NAME?</v>
      </c>
      <c r="D998" t="e">
        <f ca="1">_xll.FDS("GBPUSD","FG_PRICE("&amp;B998&amp;")")</f>
        <v>#NAME?</v>
      </c>
      <c r="E998" t="e">
        <f ca="1">_xll.FDSB("JPYUSD","FG_PRICE("&amp;B998&amp;")")</f>
        <v>#NAME?</v>
      </c>
    </row>
    <row r="999" spans="2:5">
      <c r="B999" s="244">
        <f t="shared" si="57"/>
        <v>44462</v>
      </c>
      <c r="C999" s="245" t="e">
        <f ca="1">_xll.FDS("EURUSD","FG_PRICE("&amp;B999&amp;")")</f>
        <v>#NAME?</v>
      </c>
      <c r="D999" t="e">
        <f ca="1">_xll.FDS("GBPUSD","FG_PRICE("&amp;B999&amp;")")</f>
        <v>#NAME?</v>
      </c>
      <c r="E999" t="e">
        <f ca="1">_xll.FDSB("JPYUSD","FG_PRICE("&amp;B999&amp;")")</f>
        <v>#NAME?</v>
      </c>
    </row>
    <row r="1000" spans="2:5">
      <c r="B1000" s="244">
        <f t="shared" si="57"/>
        <v>44463</v>
      </c>
      <c r="C1000" s="245" t="e">
        <f ca="1">_xll.FDS("EURUSD","FG_PRICE("&amp;B1000&amp;")")</f>
        <v>#NAME?</v>
      </c>
      <c r="D1000" t="e">
        <f ca="1">_xll.FDS("GBPUSD","FG_PRICE("&amp;B1000&amp;")")</f>
        <v>#NAME?</v>
      </c>
      <c r="E1000" t="e">
        <f ca="1">_xll.FDSB("JPYUSD","FG_PRICE("&amp;B1000&amp;")")</f>
        <v>#NAME?</v>
      </c>
    </row>
    <row r="1001" spans="2:5">
      <c r="B1001" s="244">
        <f t="shared" si="57"/>
        <v>44464</v>
      </c>
      <c r="C1001" s="245" t="e">
        <f ca="1">_xll.FDS("EURUSD","FG_PRICE("&amp;B1001&amp;")")</f>
        <v>#NAME?</v>
      </c>
      <c r="D1001" t="e">
        <f ca="1">_xll.FDS("GBPUSD","FG_PRICE("&amp;B1001&amp;")")</f>
        <v>#NAME?</v>
      </c>
      <c r="E1001" t="e">
        <f ca="1">_xll.FDSB("JPYUSD","FG_PRICE("&amp;B1001&amp;")")</f>
        <v>#NAME?</v>
      </c>
    </row>
    <row r="1002" spans="2:5">
      <c r="B1002" s="244">
        <f t="shared" si="57"/>
        <v>44465</v>
      </c>
      <c r="C1002" s="245" t="e">
        <f ca="1">_xll.FDS("EURUSD","FG_PRICE("&amp;B1002&amp;")")</f>
        <v>#NAME?</v>
      </c>
      <c r="D1002" t="e">
        <f ca="1">_xll.FDS("GBPUSD","FG_PRICE("&amp;B1002&amp;")")</f>
        <v>#NAME?</v>
      </c>
      <c r="E1002" t="e">
        <f ca="1">_xll.FDSB("JPYUSD","FG_PRICE("&amp;B1002&amp;")")</f>
        <v>#NAME?</v>
      </c>
    </row>
    <row r="1003" spans="2:5">
      <c r="B1003" s="244">
        <f t="shared" si="57"/>
        <v>44466</v>
      </c>
      <c r="C1003" s="245" t="e">
        <f ca="1">_xll.FDS("EURUSD","FG_PRICE("&amp;B1003&amp;")")</f>
        <v>#NAME?</v>
      </c>
      <c r="D1003" t="e">
        <f ca="1">_xll.FDS("GBPUSD","FG_PRICE("&amp;B1003&amp;")")</f>
        <v>#NAME?</v>
      </c>
      <c r="E1003" t="e">
        <f ca="1">_xll.FDSB("JPYUSD","FG_PRICE("&amp;B1003&amp;")")</f>
        <v>#NAME?</v>
      </c>
    </row>
    <row r="1004" spans="2:5">
      <c r="B1004" s="244">
        <f t="shared" si="57"/>
        <v>44467</v>
      </c>
      <c r="C1004" s="245" t="e">
        <f ca="1">_xll.FDS("EURUSD","FG_PRICE("&amp;B1004&amp;")")</f>
        <v>#NAME?</v>
      </c>
      <c r="D1004" t="e">
        <f ca="1">_xll.FDS("GBPUSD","FG_PRICE("&amp;B1004&amp;")")</f>
        <v>#NAME?</v>
      </c>
      <c r="E1004" t="e">
        <f ca="1">_xll.FDSB("JPYUSD","FG_PRICE("&amp;B1004&amp;")")</f>
        <v>#NAME?</v>
      </c>
    </row>
    <row r="1005" spans="2:5">
      <c r="B1005" s="244">
        <f t="shared" si="57"/>
        <v>44468</v>
      </c>
      <c r="C1005" s="245" t="e">
        <f ca="1">_xll.FDS("EURUSD","FG_PRICE("&amp;B1005&amp;")")</f>
        <v>#NAME?</v>
      </c>
      <c r="D1005" t="e">
        <f ca="1">_xll.FDS("GBPUSD","FG_PRICE("&amp;B1005&amp;")")</f>
        <v>#NAME?</v>
      </c>
      <c r="E1005" t="e">
        <f ca="1">_xll.FDSB("JPYUSD","FG_PRICE("&amp;B1005&amp;")")</f>
        <v>#NAME?</v>
      </c>
    </row>
    <row r="1006" spans="2:5">
      <c r="B1006" s="244">
        <f t="shared" si="57"/>
        <v>44469</v>
      </c>
      <c r="C1006" s="245" t="e">
        <f ca="1">_xll.FDS("EURUSD","FG_PRICE("&amp;B1006&amp;")")</f>
        <v>#NAME?</v>
      </c>
      <c r="D1006" t="e">
        <f ca="1">_xll.FDS("GBPUSD","FG_PRICE("&amp;B1006&amp;")")</f>
        <v>#NAME?</v>
      </c>
      <c r="E1006" t="e">
        <f ca="1">_xll.FDSB("JPYUSD","FG_PRICE("&amp;B1006&amp;")")</f>
        <v>#NAME?</v>
      </c>
    </row>
    <row r="1007" spans="2:5">
      <c r="B1007" s="244">
        <f t="shared" si="57"/>
        <v>44470</v>
      </c>
      <c r="C1007" s="245" t="e">
        <f ca="1">_xll.FDS("EURUSD","FG_PRICE("&amp;B1007&amp;")")</f>
        <v>#NAME?</v>
      </c>
      <c r="D1007" t="e">
        <f ca="1">_xll.FDS("GBPUSD","FG_PRICE("&amp;B1007&amp;")")</f>
        <v>#NAME?</v>
      </c>
      <c r="E1007" t="e">
        <f ca="1">_xll.FDSB("JPYUSD","FG_PRICE("&amp;B1007&amp;")")</f>
        <v>#NAME?</v>
      </c>
    </row>
    <row r="1008" spans="2:5">
      <c r="B1008" s="244">
        <f t="shared" si="57"/>
        <v>44471</v>
      </c>
      <c r="C1008" s="245" t="e">
        <f ca="1">_xll.FDS("EURUSD","FG_PRICE("&amp;B1008&amp;")")</f>
        <v>#NAME?</v>
      </c>
      <c r="D1008" t="e">
        <f ca="1">_xll.FDS("GBPUSD","FG_PRICE("&amp;B1008&amp;")")</f>
        <v>#NAME?</v>
      </c>
      <c r="E1008" t="e">
        <f ca="1">_xll.FDSB("JPYUSD","FG_PRICE("&amp;B1008&amp;")")</f>
        <v>#NAME?</v>
      </c>
    </row>
    <row r="1009" spans="2:5">
      <c r="B1009" s="244">
        <f t="shared" si="57"/>
        <v>44472</v>
      </c>
      <c r="C1009" s="245" t="e">
        <f ca="1">_xll.FDS("EURUSD","FG_PRICE("&amp;B1009&amp;")")</f>
        <v>#NAME?</v>
      </c>
      <c r="D1009" t="e">
        <f ca="1">_xll.FDS("GBPUSD","FG_PRICE("&amp;B1009&amp;")")</f>
        <v>#NAME?</v>
      </c>
      <c r="E1009" t="e">
        <f ca="1">_xll.FDSB("JPYUSD","FG_PRICE("&amp;B1009&amp;")")</f>
        <v>#NAME?</v>
      </c>
    </row>
    <row r="1010" spans="2:5">
      <c r="B1010" s="244">
        <f t="shared" si="57"/>
        <v>44473</v>
      </c>
      <c r="C1010" s="245" t="e">
        <f ca="1">_xll.FDS("EURUSD","FG_PRICE("&amp;B1010&amp;")")</f>
        <v>#NAME?</v>
      </c>
      <c r="D1010" t="e">
        <f ca="1">_xll.FDS("GBPUSD","FG_PRICE("&amp;B1010&amp;")")</f>
        <v>#NAME?</v>
      </c>
      <c r="E1010" t="e">
        <f ca="1">_xll.FDSB("JPYUSD","FG_PRICE("&amp;B1010&amp;")")</f>
        <v>#NAME?</v>
      </c>
    </row>
    <row r="1011" spans="2:5">
      <c r="B1011" s="244">
        <f t="shared" si="57"/>
        <v>44474</v>
      </c>
      <c r="C1011" s="245" t="e">
        <f ca="1">_xll.FDS("EURUSD","FG_PRICE("&amp;B1011&amp;")")</f>
        <v>#NAME?</v>
      </c>
      <c r="D1011" t="e">
        <f ca="1">_xll.FDS("GBPUSD","FG_PRICE("&amp;B1011&amp;")")</f>
        <v>#NAME?</v>
      </c>
      <c r="E1011" t="e">
        <f ca="1">_xll.FDSB("JPYUSD","FG_PRICE("&amp;B1011&amp;")")</f>
        <v>#NAME?</v>
      </c>
    </row>
    <row r="1012" spans="2:5">
      <c r="B1012" s="244">
        <f t="shared" si="57"/>
        <v>44475</v>
      </c>
      <c r="C1012" s="245" t="e">
        <f ca="1">_xll.FDS("EURUSD","FG_PRICE("&amp;B1012&amp;")")</f>
        <v>#NAME?</v>
      </c>
      <c r="D1012" t="e">
        <f ca="1">_xll.FDS("GBPUSD","FG_PRICE("&amp;B1012&amp;")")</f>
        <v>#NAME?</v>
      </c>
      <c r="E1012" t="e">
        <f ca="1">_xll.FDSB("JPYUSD","FG_PRICE("&amp;B1012&amp;")")</f>
        <v>#NAME?</v>
      </c>
    </row>
    <row r="1013" spans="2:5">
      <c r="B1013" s="244">
        <f t="shared" si="57"/>
        <v>44476</v>
      </c>
      <c r="C1013" s="245" t="e">
        <f ca="1">_xll.FDS("EURUSD","FG_PRICE("&amp;B1013&amp;")")</f>
        <v>#NAME?</v>
      </c>
      <c r="D1013" t="e">
        <f ca="1">_xll.FDS("GBPUSD","FG_PRICE("&amp;B1013&amp;")")</f>
        <v>#NAME?</v>
      </c>
      <c r="E1013" t="e">
        <f ca="1">_xll.FDSB("JPYUSD","FG_PRICE("&amp;B1013&amp;")")</f>
        <v>#NAME?</v>
      </c>
    </row>
    <row r="1014" spans="2:5">
      <c r="B1014" s="244">
        <f t="shared" si="57"/>
        <v>44477</v>
      </c>
      <c r="C1014" s="245" t="e">
        <f ca="1">_xll.FDS("EURUSD","FG_PRICE("&amp;B1014&amp;")")</f>
        <v>#NAME?</v>
      </c>
      <c r="D1014" t="e">
        <f ca="1">_xll.FDS("GBPUSD","FG_PRICE("&amp;B1014&amp;")")</f>
        <v>#NAME?</v>
      </c>
      <c r="E1014" t="e">
        <f ca="1">_xll.FDSB("JPYUSD","FG_PRICE("&amp;B1014&amp;")")</f>
        <v>#NAME?</v>
      </c>
    </row>
    <row r="1015" spans="2:5">
      <c r="B1015" s="244">
        <f t="shared" si="57"/>
        <v>44478</v>
      </c>
      <c r="C1015" s="245" t="e">
        <f ca="1">_xll.FDS("EURUSD","FG_PRICE("&amp;B1015&amp;")")</f>
        <v>#NAME?</v>
      </c>
      <c r="D1015" t="e">
        <f ca="1">_xll.FDS("GBPUSD","FG_PRICE("&amp;B1015&amp;")")</f>
        <v>#NAME?</v>
      </c>
      <c r="E1015" t="e">
        <f ca="1">_xll.FDSB("JPYUSD","FG_PRICE("&amp;B1015&amp;")")</f>
        <v>#NAME?</v>
      </c>
    </row>
    <row r="1016" spans="2:5">
      <c r="B1016" s="244">
        <f t="shared" si="57"/>
        <v>44479</v>
      </c>
      <c r="C1016" s="245" t="e">
        <f ca="1">_xll.FDS("EURUSD","FG_PRICE("&amp;B1016&amp;")")</f>
        <v>#NAME?</v>
      </c>
      <c r="D1016" t="e">
        <f ca="1">_xll.FDS("GBPUSD","FG_PRICE("&amp;B1016&amp;")")</f>
        <v>#NAME?</v>
      </c>
      <c r="E1016" t="e">
        <f ca="1">_xll.FDSB("JPYUSD","FG_PRICE("&amp;B1016&amp;")")</f>
        <v>#NAME?</v>
      </c>
    </row>
    <row r="1017" spans="2:5">
      <c r="B1017" s="244">
        <f t="shared" si="57"/>
        <v>44480</v>
      </c>
      <c r="C1017" s="245" t="e">
        <f ca="1">_xll.FDS("EURUSD","FG_PRICE("&amp;B1017&amp;")")</f>
        <v>#NAME?</v>
      </c>
      <c r="D1017" t="e">
        <f ca="1">_xll.FDS("GBPUSD","FG_PRICE("&amp;B1017&amp;")")</f>
        <v>#NAME?</v>
      </c>
      <c r="E1017" t="e">
        <f ca="1">_xll.FDSB("JPYUSD","FG_PRICE("&amp;B1017&amp;")")</f>
        <v>#NAME?</v>
      </c>
    </row>
    <row r="1018" spans="2:5">
      <c r="B1018" s="244">
        <f t="shared" si="57"/>
        <v>44481</v>
      </c>
      <c r="C1018" s="245" t="e">
        <f ca="1">_xll.FDS("EURUSD","FG_PRICE("&amp;B1018&amp;")")</f>
        <v>#NAME?</v>
      </c>
      <c r="D1018" t="e">
        <f ca="1">_xll.FDS("GBPUSD","FG_PRICE("&amp;B1018&amp;")")</f>
        <v>#NAME?</v>
      </c>
      <c r="E1018" t="e">
        <f ca="1">_xll.FDSB("JPYUSD","FG_PRICE("&amp;B1018&amp;")")</f>
        <v>#NAME?</v>
      </c>
    </row>
    <row r="1019" spans="2:5">
      <c r="B1019" s="244">
        <f t="shared" si="57"/>
        <v>44482</v>
      </c>
      <c r="C1019" s="245" t="e">
        <f ca="1">_xll.FDS("EURUSD","FG_PRICE("&amp;B1019&amp;")")</f>
        <v>#NAME?</v>
      </c>
      <c r="D1019" t="e">
        <f ca="1">_xll.FDS("GBPUSD","FG_PRICE("&amp;B1019&amp;")")</f>
        <v>#NAME?</v>
      </c>
      <c r="E1019" t="e">
        <f ca="1">_xll.FDSB("JPYUSD","FG_PRICE("&amp;B1019&amp;")")</f>
        <v>#NAME?</v>
      </c>
    </row>
    <row r="1020" spans="2:5">
      <c r="B1020" s="244">
        <f t="shared" si="57"/>
        <v>44483</v>
      </c>
      <c r="C1020" s="245" t="e">
        <f ca="1">_xll.FDS("EURUSD","FG_PRICE("&amp;B1020&amp;")")</f>
        <v>#NAME?</v>
      </c>
      <c r="D1020" t="e">
        <f ca="1">_xll.FDS("GBPUSD","FG_PRICE("&amp;B1020&amp;")")</f>
        <v>#NAME?</v>
      </c>
      <c r="E1020" t="e">
        <f ca="1">_xll.FDSB("JPYUSD","FG_PRICE("&amp;B1020&amp;")")</f>
        <v>#NAME?</v>
      </c>
    </row>
    <row r="1021" spans="2:5">
      <c r="B1021" s="244">
        <f t="shared" si="57"/>
        <v>44484</v>
      </c>
      <c r="C1021" s="245" t="e">
        <f ca="1">_xll.FDS("EURUSD","FG_PRICE("&amp;B1021&amp;")")</f>
        <v>#NAME?</v>
      </c>
      <c r="D1021" t="e">
        <f ca="1">_xll.FDS("GBPUSD","FG_PRICE("&amp;B1021&amp;")")</f>
        <v>#NAME?</v>
      </c>
      <c r="E1021" t="e">
        <f ca="1">_xll.FDSB("JPYUSD","FG_PRICE("&amp;B1021&amp;")")</f>
        <v>#NAME?</v>
      </c>
    </row>
    <row r="1022" spans="2:5">
      <c r="B1022" s="244">
        <f t="shared" si="57"/>
        <v>44485</v>
      </c>
      <c r="C1022" s="245" t="e">
        <f ca="1">_xll.FDS("EURUSD","FG_PRICE("&amp;B1022&amp;")")</f>
        <v>#NAME?</v>
      </c>
      <c r="D1022" t="e">
        <f ca="1">_xll.FDS("GBPUSD","FG_PRICE("&amp;B1022&amp;")")</f>
        <v>#NAME?</v>
      </c>
      <c r="E1022" t="e">
        <f ca="1">_xll.FDSB("JPYUSD","FG_PRICE("&amp;B1022&amp;")")</f>
        <v>#NAME?</v>
      </c>
    </row>
    <row r="1023" spans="2:5">
      <c r="B1023" s="244">
        <f t="shared" si="57"/>
        <v>44486</v>
      </c>
      <c r="C1023" s="245" t="e">
        <f ca="1">_xll.FDS("EURUSD","FG_PRICE("&amp;B1023&amp;")")</f>
        <v>#NAME?</v>
      </c>
      <c r="D1023" t="e">
        <f ca="1">_xll.FDS("GBPUSD","FG_PRICE("&amp;B1023&amp;")")</f>
        <v>#NAME?</v>
      </c>
      <c r="E1023" t="e">
        <f ca="1">_xll.FDSB("JPYUSD","FG_PRICE("&amp;B1023&amp;")")</f>
        <v>#NAME?</v>
      </c>
    </row>
    <row r="1024" spans="2:5">
      <c r="B1024" s="244">
        <f t="shared" si="57"/>
        <v>44487</v>
      </c>
      <c r="C1024" s="245" t="e">
        <f ca="1">_xll.FDS("EURUSD","FG_PRICE("&amp;B1024&amp;")")</f>
        <v>#NAME?</v>
      </c>
      <c r="D1024" t="e">
        <f ca="1">_xll.FDS("GBPUSD","FG_PRICE("&amp;B1024&amp;")")</f>
        <v>#NAME?</v>
      </c>
      <c r="E1024" t="e">
        <f ca="1">_xll.FDSB("JPYUSD","FG_PRICE("&amp;B1024&amp;")")</f>
        <v>#NAME?</v>
      </c>
    </row>
    <row r="1025" spans="2:5">
      <c r="B1025" s="244">
        <f t="shared" si="57"/>
        <v>44488</v>
      </c>
      <c r="C1025" s="245" t="e">
        <f ca="1">_xll.FDS("EURUSD","FG_PRICE("&amp;B1025&amp;")")</f>
        <v>#NAME?</v>
      </c>
      <c r="D1025" t="e">
        <f ca="1">_xll.FDS("GBPUSD","FG_PRICE("&amp;B1025&amp;")")</f>
        <v>#NAME?</v>
      </c>
      <c r="E1025" t="e">
        <f ca="1">_xll.FDSB("JPYUSD","FG_PRICE("&amp;B1025&amp;")")</f>
        <v>#NAME?</v>
      </c>
    </row>
    <row r="1026" spans="2:5">
      <c r="B1026" s="244">
        <f t="shared" si="57"/>
        <v>44489</v>
      </c>
      <c r="C1026" s="245" t="e">
        <f ca="1">_xll.FDS("EURUSD","FG_PRICE("&amp;B1026&amp;")")</f>
        <v>#NAME?</v>
      </c>
      <c r="D1026" t="e">
        <f ca="1">_xll.FDS("GBPUSD","FG_PRICE("&amp;B1026&amp;")")</f>
        <v>#NAME?</v>
      </c>
      <c r="E1026" t="e">
        <f ca="1">_xll.FDSB("JPYUSD","FG_PRICE("&amp;B1026&amp;")")</f>
        <v>#NAME?</v>
      </c>
    </row>
    <row r="1027" spans="2:5">
      <c r="B1027" s="244">
        <f t="shared" si="57"/>
        <v>44490</v>
      </c>
      <c r="C1027" s="245" t="e">
        <f ca="1">_xll.FDS("EURUSD","FG_PRICE("&amp;B1027&amp;")")</f>
        <v>#NAME?</v>
      </c>
      <c r="D1027" t="e">
        <f ca="1">_xll.FDS("GBPUSD","FG_PRICE("&amp;B1027&amp;")")</f>
        <v>#NAME?</v>
      </c>
      <c r="E1027" t="e">
        <f ca="1">_xll.FDSB("JPYUSD","FG_PRICE("&amp;B1027&amp;")")</f>
        <v>#NAME?</v>
      </c>
    </row>
    <row r="1028" spans="2:5">
      <c r="B1028" s="244">
        <f t="shared" si="57"/>
        <v>44491</v>
      </c>
      <c r="C1028" s="245" t="e">
        <f ca="1">_xll.FDS("EURUSD","FG_PRICE("&amp;B1028&amp;")")</f>
        <v>#NAME?</v>
      </c>
      <c r="D1028" t="e">
        <f ca="1">_xll.FDS("GBPUSD","FG_PRICE("&amp;B1028&amp;")")</f>
        <v>#NAME?</v>
      </c>
      <c r="E1028" t="e">
        <f ca="1">_xll.FDSB("JPYUSD","FG_PRICE("&amp;B1028&amp;")")</f>
        <v>#NAME?</v>
      </c>
    </row>
    <row r="1029" spans="2:5">
      <c r="B1029" s="244">
        <f t="shared" ref="B1029:B1092" si="58">B1028+1</f>
        <v>44492</v>
      </c>
      <c r="C1029" s="245" t="e">
        <f ca="1">_xll.FDS("EURUSD","FG_PRICE("&amp;B1029&amp;")")</f>
        <v>#NAME?</v>
      </c>
      <c r="D1029" t="e">
        <f ca="1">_xll.FDS("GBPUSD","FG_PRICE("&amp;B1029&amp;")")</f>
        <v>#NAME?</v>
      </c>
      <c r="E1029" t="e">
        <f ca="1">_xll.FDSB("JPYUSD","FG_PRICE("&amp;B1029&amp;")")</f>
        <v>#NAME?</v>
      </c>
    </row>
    <row r="1030" spans="2:5">
      <c r="B1030" s="244">
        <f t="shared" si="58"/>
        <v>44493</v>
      </c>
      <c r="C1030" s="245" t="e">
        <f ca="1">_xll.FDS("EURUSD","FG_PRICE("&amp;B1030&amp;")")</f>
        <v>#NAME?</v>
      </c>
      <c r="D1030" t="e">
        <f ca="1">_xll.FDS("GBPUSD","FG_PRICE("&amp;B1030&amp;")")</f>
        <v>#NAME?</v>
      </c>
      <c r="E1030" t="e">
        <f ca="1">_xll.FDSB("JPYUSD","FG_PRICE("&amp;B1030&amp;")")</f>
        <v>#NAME?</v>
      </c>
    </row>
    <row r="1031" spans="2:5">
      <c r="B1031" s="244">
        <f t="shared" si="58"/>
        <v>44494</v>
      </c>
      <c r="C1031" s="245" t="e">
        <f ca="1">_xll.FDS("EURUSD","FG_PRICE("&amp;B1031&amp;")")</f>
        <v>#NAME?</v>
      </c>
      <c r="D1031" t="e">
        <f ca="1">_xll.FDS("GBPUSD","FG_PRICE("&amp;B1031&amp;")")</f>
        <v>#NAME?</v>
      </c>
      <c r="E1031" t="e">
        <f ca="1">_xll.FDSB("JPYUSD","FG_PRICE("&amp;B1031&amp;")")</f>
        <v>#NAME?</v>
      </c>
    </row>
    <row r="1032" spans="2:5">
      <c r="B1032" s="244">
        <f t="shared" si="58"/>
        <v>44495</v>
      </c>
      <c r="C1032" s="245" t="e">
        <f ca="1">_xll.FDS("EURUSD","FG_PRICE("&amp;B1032&amp;")")</f>
        <v>#NAME?</v>
      </c>
      <c r="D1032" t="e">
        <f ca="1">_xll.FDS("GBPUSD","FG_PRICE("&amp;B1032&amp;")")</f>
        <v>#NAME?</v>
      </c>
      <c r="E1032" t="e">
        <f ca="1">_xll.FDSB("JPYUSD","FG_PRICE("&amp;B1032&amp;")")</f>
        <v>#NAME?</v>
      </c>
    </row>
    <row r="1033" spans="2:5">
      <c r="B1033" s="244">
        <f t="shared" si="58"/>
        <v>44496</v>
      </c>
      <c r="C1033" s="245" t="e">
        <f ca="1">_xll.FDS("EURUSD","FG_PRICE("&amp;B1033&amp;")")</f>
        <v>#NAME?</v>
      </c>
      <c r="D1033" t="e">
        <f ca="1">_xll.FDS("GBPUSD","FG_PRICE("&amp;B1033&amp;")")</f>
        <v>#NAME?</v>
      </c>
      <c r="E1033" t="e">
        <f ca="1">_xll.FDSB("JPYUSD","FG_PRICE("&amp;B1033&amp;")")</f>
        <v>#NAME?</v>
      </c>
    </row>
    <row r="1034" spans="2:5">
      <c r="B1034" s="244">
        <f t="shared" si="58"/>
        <v>44497</v>
      </c>
      <c r="C1034" s="245" t="e">
        <f ca="1">_xll.FDS("EURUSD","FG_PRICE("&amp;B1034&amp;")")</f>
        <v>#NAME?</v>
      </c>
      <c r="D1034" t="e">
        <f ca="1">_xll.FDS("GBPUSD","FG_PRICE("&amp;B1034&amp;")")</f>
        <v>#NAME?</v>
      </c>
      <c r="E1034" t="e">
        <f ca="1">_xll.FDSB("JPYUSD","FG_PRICE("&amp;B1034&amp;")")</f>
        <v>#NAME?</v>
      </c>
    </row>
    <row r="1035" spans="2:5">
      <c r="B1035" s="244">
        <f t="shared" si="58"/>
        <v>44498</v>
      </c>
      <c r="C1035" s="245" t="e">
        <f ca="1">_xll.FDS("EURUSD","FG_PRICE("&amp;B1035&amp;")")</f>
        <v>#NAME?</v>
      </c>
      <c r="D1035" t="e">
        <f ca="1">_xll.FDS("GBPUSD","FG_PRICE("&amp;B1035&amp;")")</f>
        <v>#NAME?</v>
      </c>
      <c r="E1035" t="e">
        <f ca="1">_xll.FDSB("JPYUSD","FG_PRICE("&amp;B1035&amp;")")</f>
        <v>#NAME?</v>
      </c>
    </row>
    <row r="1036" spans="2:5">
      <c r="B1036" s="244">
        <f t="shared" si="58"/>
        <v>44499</v>
      </c>
      <c r="C1036" s="245" t="e">
        <f ca="1">_xll.FDS("EURUSD","FG_PRICE("&amp;B1036&amp;")")</f>
        <v>#NAME?</v>
      </c>
      <c r="D1036" t="e">
        <f ca="1">_xll.FDS("GBPUSD","FG_PRICE("&amp;B1036&amp;")")</f>
        <v>#NAME?</v>
      </c>
      <c r="E1036" t="e">
        <f ca="1">_xll.FDSB("JPYUSD","FG_PRICE("&amp;B1036&amp;")")</f>
        <v>#NAME?</v>
      </c>
    </row>
    <row r="1037" spans="2:5">
      <c r="B1037" s="244">
        <f t="shared" si="58"/>
        <v>44500</v>
      </c>
      <c r="C1037" s="245" t="e">
        <f ca="1">_xll.FDS("EURUSD","FG_PRICE("&amp;B1037&amp;")")</f>
        <v>#NAME?</v>
      </c>
      <c r="D1037" t="e">
        <f ca="1">_xll.FDS("GBPUSD","FG_PRICE("&amp;B1037&amp;")")</f>
        <v>#NAME?</v>
      </c>
      <c r="E1037" t="e">
        <f ca="1">_xll.FDSB("JPYUSD","FG_PRICE("&amp;B1037&amp;")")</f>
        <v>#NAME?</v>
      </c>
    </row>
    <row r="1038" spans="2:5">
      <c r="B1038" s="244">
        <f t="shared" si="58"/>
        <v>44501</v>
      </c>
      <c r="C1038" s="245" t="e">
        <f ca="1">_xll.FDS("EURUSD","FG_PRICE("&amp;B1038&amp;")")</f>
        <v>#NAME?</v>
      </c>
      <c r="D1038" t="e">
        <f ca="1">_xll.FDS("GBPUSD","FG_PRICE("&amp;B1038&amp;")")</f>
        <v>#NAME?</v>
      </c>
      <c r="E1038" t="e">
        <f ca="1">_xll.FDSB("JPYUSD","FG_PRICE("&amp;B1038&amp;")")</f>
        <v>#NAME?</v>
      </c>
    </row>
    <row r="1039" spans="2:5">
      <c r="B1039" s="244">
        <f t="shared" si="58"/>
        <v>44502</v>
      </c>
      <c r="C1039" s="245" t="e">
        <f ca="1">_xll.FDS("EURUSD","FG_PRICE("&amp;B1039&amp;")")</f>
        <v>#NAME?</v>
      </c>
      <c r="D1039" t="e">
        <f ca="1">_xll.FDS("GBPUSD","FG_PRICE("&amp;B1039&amp;")")</f>
        <v>#NAME?</v>
      </c>
      <c r="E1039" t="e">
        <f ca="1">_xll.FDSB("JPYUSD","FG_PRICE("&amp;B1039&amp;")")</f>
        <v>#NAME?</v>
      </c>
    </row>
    <row r="1040" spans="2:5">
      <c r="B1040" s="244">
        <f t="shared" si="58"/>
        <v>44503</v>
      </c>
      <c r="C1040" s="245" t="e">
        <f ca="1">_xll.FDS("EURUSD","FG_PRICE("&amp;B1040&amp;")")</f>
        <v>#NAME?</v>
      </c>
      <c r="D1040" t="e">
        <f ca="1">_xll.FDS("GBPUSD","FG_PRICE("&amp;B1040&amp;")")</f>
        <v>#NAME?</v>
      </c>
      <c r="E1040" t="e">
        <f ca="1">_xll.FDSB("JPYUSD","FG_PRICE("&amp;B1040&amp;")")</f>
        <v>#NAME?</v>
      </c>
    </row>
    <row r="1041" spans="2:5">
      <c r="B1041" s="244">
        <f t="shared" si="58"/>
        <v>44504</v>
      </c>
      <c r="C1041" s="245" t="e">
        <f ca="1">_xll.FDS("EURUSD","FG_PRICE("&amp;B1041&amp;")")</f>
        <v>#NAME?</v>
      </c>
      <c r="D1041" t="e">
        <f ca="1">_xll.FDS("GBPUSD","FG_PRICE("&amp;B1041&amp;")")</f>
        <v>#NAME?</v>
      </c>
      <c r="E1041" t="e">
        <f ca="1">_xll.FDSB("JPYUSD","FG_PRICE("&amp;B1041&amp;")")</f>
        <v>#NAME?</v>
      </c>
    </row>
    <row r="1042" spans="2:5">
      <c r="B1042" s="244">
        <f t="shared" si="58"/>
        <v>44505</v>
      </c>
      <c r="C1042" s="245" t="e">
        <f ca="1">_xll.FDS("EURUSD","FG_PRICE("&amp;B1042&amp;")")</f>
        <v>#NAME?</v>
      </c>
      <c r="D1042" t="e">
        <f ca="1">_xll.FDS("GBPUSD","FG_PRICE("&amp;B1042&amp;")")</f>
        <v>#NAME?</v>
      </c>
      <c r="E1042" t="e">
        <f ca="1">_xll.FDSB("JPYUSD","FG_PRICE("&amp;B1042&amp;")")</f>
        <v>#NAME?</v>
      </c>
    </row>
    <row r="1043" spans="2:5">
      <c r="B1043" s="244">
        <f t="shared" si="58"/>
        <v>44506</v>
      </c>
      <c r="C1043" s="245" t="e">
        <f ca="1">_xll.FDS("EURUSD","FG_PRICE("&amp;B1043&amp;")")</f>
        <v>#NAME?</v>
      </c>
      <c r="D1043" t="e">
        <f ca="1">_xll.FDS("GBPUSD","FG_PRICE("&amp;B1043&amp;")")</f>
        <v>#NAME?</v>
      </c>
      <c r="E1043" t="e">
        <f ca="1">_xll.FDSB("JPYUSD","FG_PRICE("&amp;B1043&amp;")")</f>
        <v>#NAME?</v>
      </c>
    </row>
    <row r="1044" spans="2:5">
      <c r="B1044" s="244">
        <f t="shared" si="58"/>
        <v>44507</v>
      </c>
      <c r="C1044" s="245" t="e">
        <f ca="1">_xll.FDS("EURUSD","FG_PRICE("&amp;B1044&amp;")")</f>
        <v>#NAME?</v>
      </c>
      <c r="D1044" t="e">
        <f ca="1">_xll.FDS("GBPUSD","FG_PRICE("&amp;B1044&amp;")")</f>
        <v>#NAME?</v>
      </c>
      <c r="E1044" t="e">
        <f ca="1">_xll.FDSB("JPYUSD","FG_PRICE("&amp;B1044&amp;")")</f>
        <v>#NAME?</v>
      </c>
    </row>
    <row r="1045" spans="2:5">
      <c r="B1045" s="244">
        <f t="shared" si="58"/>
        <v>44508</v>
      </c>
      <c r="C1045" s="245" t="e">
        <f ca="1">_xll.FDS("EURUSD","FG_PRICE("&amp;B1045&amp;")")</f>
        <v>#NAME?</v>
      </c>
      <c r="D1045" t="e">
        <f ca="1">_xll.FDS("GBPUSD","FG_PRICE("&amp;B1045&amp;")")</f>
        <v>#NAME?</v>
      </c>
      <c r="E1045" t="e">
        <f ca="1">_xll.FDSB("JPYUSD","FG_PRICE("&amp;B1045&amp;")")</f>
        <v>#NAME?</v>
      </c>
    </row>
    <row r="1046" spans="2:5">
      <c r="B1046" s="244">
        <f t="shared" si="58"/>
        <v>44509</v>
      </c>
      <c r="C1046" s="245" t="e">
        <f ca="1">_xll.FDS("EURUSD","FG_PRICE("&amp;B1046&amp;")")</f>
        <v>#NAME?</v>
      </c>
      <c r="D1046" t="e">
        <f ca="1">_xll.FDS("GBPUSD","FG_PRICE("&amp;B1046&amp;")")</f>
        <v>#NAME?</v>
      </c>
      <c r="E1046" t="e">
        <f ca="1">_xll.FDSB("JPYUSD","FG_PRICE("&amp;B1046&amp;")")</f>
        <v>#NAME?</v>
      </c>
    </row>
    <row r="1047" spans="2:5">
      <c r="B1047" s="244">
        <f t="shared" si="58"/>
        <v>44510</v>
      </c>
      <c r="C1047" s="245" t="e">
        <f ca="1">_xll.FDS("EURUSD","FG_PRICE("&amp;B1047&amp;")")</f>
        <v>#NAME?</v>
      </c>
      <c r="D1047" t="e">
        <f ca="1">_xll.FDS("GBPUSD","FG_PRICE("&amp;B1047&amp;")")</f>
        <v>#NAME?</v>
      </c>
      <c r="E1047" t="e">
        <f ca="1">_xll.FDSB("JPYUSD","FG_PRICE("&amp;B1047&amp;")")</f>
        <v>#NAME?</v>
      </c>
    </row>
    <row r="1048" spans="2:5">
      <c r="B1048" s="244">
        <f t="shared" si="58"/>
        <v>44511</v>
      </c>
      <c r="C1048" s="245" t="e">
        <f ca="1">_xll.FDS("EURUSD","FG_PRICE("&amp;B1048&amp;")")</f>
        <v>#NAME?</v>
      </c>
      <c r="D1048" t="e">
        <f ca="1">_xll.FDS("GBPUSD","FG_PRICE("&amp;B1048&amp;")")</f>
        <v>#NAME?</v>
      </c>
      <c r="E1048" t="e">
        <f ca="1">_xll.FDSB("JPYUSD","FG_PRICE("&amp;B1048&amp;")")</f>
        <v>#NAME?</v>
      </c>
    </row>
    <row r="1049" spans="2:5">
      <c r="B1049" s="244">
        <f t="shared" si="58"/>
        <v>44512</v>
      </c>
      <c r="C1049" s="245" t="e">
        <f ca="1">_xll.FDS("EURUSD","FG_PRICE("&amp;B1049&amp;")")</f>
        <v>#NAME?</v>
      </c>
      <c r="D1049" t="e">
        <f ca="1">_xll.FDS("GBPUSD","FG_PRICE("&amp;B1049&amp;")")</f>
        <v>#NAME?</v>
      </c>
      <c r="E1049" t="e">
        <f ca="1">_xll.FDSB("JPYUSD","FG_PRICE("&amp;B1049&amp;")")</f>
        <v>#NAME?</v>
      </c>
    </row>
    <row r="1050" spans="2:5">
      <c r="B1050" s="244">
        <f t="shared" si="58"/>
        <v>44513</v>
      </c>
      <c r="C1050" s="245" t="e">
        <f ca="1">_xll.FDS("EURUSD","FG_PRICE("&amp;B1050&amp;")")</f>
        <v>#NAME?</v>
      </c>
      <c r="D1050" t="e">
        <f ca="1">_xll.FDS("GBPUSD","FG_PRICE("&amp;B1050&amp;")")</f>
        <v>#NAME?</v>
      </c>
      <c r="E1050" t="e">
        <f ca="1">_xll.FDSB("JPYUSD","FG_PRICE("&amp;B1050&amp;")")</f>
        <v>#NAME?</v>
      </c>
    </row>
    <row r="1051" spans="2:5">
      <c r="B1051" s="244">
        <f t="shared" si="58"/>
        <v>44514</v>
      </c>
      <c r="C1051" s="245" t="e">
        <f ca="1">_xll.FDS("EURUSD","FG_PRICE("&amp;B1051&amp;")")</f>
        <v>#NAME?</v>
      </c>
      <c r="D1051" t="e">
        <f ca="1">_xll.FDS("GBPUSD","FG_PRICE("&amp;B1051&amp;")")</f>
        <v>#NAME?</v>
      </c>
      <c r="E1051" t="e">
        <f ca="1">_xll.FDSB("JPYUSD","FG_PRICE("&amp;B1051&amp;")")</f>
        <v>#NAME?</v>
      </c>
    </row>
    <row r="1052" spans="2:5">
      <c r="B1052" s="244">
        <f t="shared" si="58"/>
        <v>44515</v>
      </c>
      <c r="C1052" s="245" t="e">
        <f ca="1">_xll.FDS("EURUSD","FG_PRICE("&amp;B1052&amp;")")</f>
        <v>#NAME?</v>
      </c>
      <c r="D1052" t="e">
        <f ca="1">_xll.FDS("GBPUSD","FG_PRICE("&amp;B1052&amp;")")</f>
        <v>#NAME?</v>
      </c>
      <c r="E1052" t="e">
        <f ca="1">_xll.FDSB("JPYUSD","FG_PRICE("&amp;B1052&amp;")")</f>
        <v>#NAME?</v>
      </c>
    </row>
    <row r="1053" spans="2:5">
      <c r="B1053" s="244">
        <f t="shared" si="58"/>
        <v>44516</v>
      </c>
      <c r="C1053" s="245" t="e">
        <f ca="1">_xll.FDS("EURUSD","FG_PRICE("&amp;B1053&amp;")")</f>
        <v>#NAME?</v>
      </c>
      <c r="D1053" t="e">
        <f ca="1">_xll.FDS("GBPUSD","FG_PRICE("&amp;B1053&amp;")")</f>
        <v>#NAME?</v>
      </c>
      <c r="E1053" t="e">
        <f ca="1">_xll.FDSB("JPYUSD","FG_PRICE("&amp;B1053&amp;")")</f>
        <v>#NAME?</v>
      </c>
    </row>
    <row r="1054" spans="2:5">
      <c r="B1054" s="244">
        <f t="shared" si="58"/>
        <v>44517</v>
      </c>
      <c r="C1054" s="245" t="e">
        <f ca="1">_xll.FDS("EURUSD","FG_PRICE("&amp;B1054&amp;")")</f>
        <v>#NAME?</v>
      </c>
      <c r="D1054" t="e">
        <f ca="1">_xll.FDS("GBPUSD","FG_PRICE("&amp;B1054&amp;")")</f>
        <v>#NAME?</v>
      </c>
      <c r="E1054" t="e">
        <f ca="1">_xll.FDSB("JPYUSD","FG_PRICE("&amp;B1054&amp;")")</f>
        <v>#NAME?</v>
      </c>
    </row>
    <row r="1055" spans="2:5">
      <c r="B1055" s="244">
        <f t="shared" si="58"/>
        <v>44518</v>
      </c>
      <c r="C1055" s="245" t="e">
        <f ca="1">_xll.FDS("EURUSD","FG_PRICE("&amp;B1055&amp;")")</f>
        <v>#NAME?</v>
      </c>
      <c r="D1055" t="e">
        <f ca="1">_xll.FDS("GBPUSD","FG_PRICE("&amp;B1055&amp;")")</f>
        <v>#NAME?</v>
      </c>
      <c r="E1055" t="e">
        <f ca="1">_xll.FDSB("JPYUSD","FG_PRICE("&amp;B1055&amp;")")</f>
        <v>#NAME?</v>
      </c>
    </row>
    <row r="1056" spans="2:5">
      <c r="B1056" s="244">
        <f t="shared" si="58"/>
        <v>44519</v>
      </c>
      <c r="C1056" s="245" t="e">
        <f ca="1">_xll.FDS("EURUSD","FG_PRICE("&amp;B1056&amp;")")</f>
        <v>#NAME?</v>
      </c>
      <c r="D1056" t="e">
        <f ca="1">_xll.FDS("GBPUSD","FG_PRICE("&amp;B1056&amp;")")</f>
        <v>#NAME?</v>
      </c>
      <c r="E1056" t="e">
        <f ca="1">_xll.FDSB("JPYUSD","FG_PRICE("&amp;B1056&amp;")")</f>
        <v>#NAME?</v>
      </c>
    </row>
    <row r="1057" spans="2:5">
      <c r="B1057" s="244">
        <f t="shared" si="58"/>
        <v>44520</v>
      </c>
      <c r="C1057" s="245" t="e">
        <f ca="1">_xll.FDS("EURUSD","FG_PRICE("&amp;B1057&amp;")")</f>
        <v>#NAME?</v>
      </c>
      <c r="D1057" t="e">
        <f ca="1">_xll.FDS("GBPUSD","FG_PRICE("&amp;B1057&amp;")")</f>
        <v>#NAME?</v>
      </c>
      <c r="E1057" t="e">
        <f ca="1">_xll.FDSB("JPYUSD","FG_PRICE("&amp;B1057&amp;")")</f>
        <v>#NAME?</v>
      </c>
    </row>
    <row r="1058" spans="2:5">
      <c r="B1058" s="244">
        <f t="shared" si="58"/>
        <v>44521</v>
      </c>
      <c r="C1058" s="245" t="e">
        <f ca="1">_xll.FDS("EURUSD","FG_PRICE("&amp;B1058&amp;")")</f>
        <v>#NAME?</v>
      </c>
      <c r="D1058" t="e">
        <f ca="1">_xll.FDS("GBPUSD","FG_PRICE("&amp;B1058&amp;")")</f>
        <v>#NAME?</v>
      </c>
      <c r="E1058" t="e">
        <f ca="1">_xll.FDSB("JPYUSD","FG_PRICE("&amp;B1058&amp;")")</f>
        <v>#NAME?</v>
      </c>
    </row>
    <row r="1059" spans="2:5">
      <c r="B1059" s="244">
        <f t="shared" si="58"/>
        <v>44522</v>
      </c>
      <c r="C1059" s="245" t="e">
        <f ca="1">_xll.FDS("EURUSD","FG_PRICE("&amp;B1059&amp;")")</f>
        <v>#NAME?</v>
      </c>
      <c r="D1059" t="e">
        <f ca="1">_xll.FDS("GBPUSD","FG_PRICE("&amp;B1059&amp;")")</f>
        <v>#NAME?</v>
      </c>
      <c r="E1059" t="e">
        <f ca="1">_xll.FDSB("JPYUSD","FG_PRICE("&amp;B1059&amp;")")</f>
        <v>#NAME?</v>
      </c>
    </row>
    <row r="1060" spans="2:5">
      <c r="B1060" s="244">
        <f t="shared" si="58"/>
        <v>44523</v>
      </c>
      <c r="C1060" s="245" t="e">
        <f ca="1">_xll.FDS("EURUSD","FG_PRICE("&amp;B1060&amp;")")</f>
        <v>#NAME?</v>
      </c>
      <c r="D1060" t="e">
        <f ca="1">_xll.FDS("GBPUSD","FG_PRICE("&amp;B1060&amp;")")</f>
        <v>#NAME?</v>
      </c>
      <c r="E1060" t="e">
        <f ca="1">_xll.FDSB("JPYUSD","FG_PRICE("&amp;B1060&amp;")")</f>
        <v>#NAME?</v>
      </c>
    </row>
    <row r="1061" spans="2:5">
      <c r="B1061" s="244">
        <f t="shared" si="58"/>
        <v>44524</v>
      </c>
      <c r="C1061" s="245" t="e">
        <f ca="1">_xll.FDS("EURUSD","FG_PRICE("&amp;B1061&amp;")")</f>
        <v>#NAME?</v>
      </c>
      <c r="D1061" t="e">
        <f ca="1">_xll.FDS("GBPUSD","FG_PRICE("&amp;B1061&amp;")")</f>
        <v>#NAME?</v>
      </c>
      <c r="E1061" t="e">
        <f ca="1">_xll.FDSB("JPYUSD","FG_PRICE("&amp;B1061&amp;")")</f>
        <v>#NAME?</v>
      </c>
    </row>
    <row r="1062" spans="2:5">
      <c r="B1062" s="244">
        <f t="shared" si="58"/>
        <v>44525</v>
      </c>
      <c r="C1062" s="245" t="e">
        <f ca="1">_xll.FDS("EURUSD","FG_PRICE("&amp;B1062&amp;")")</f>
        <v>#NAME?</v>
      </c>
      <c r="D1062" t="e">
        <f ca="1">_xll.FDS("GBPUSD","FG_PRICE("&amp;B1062&amp;")")</f>
        <v>#NAME?</v>
      </c>
      <c r="E1062" t="e">
        <f ca="1">_xll.FDSB("JPYUSD","FG_PRICE("&amp;B1062&amp;")")</f>
        <v>#NAME?</v>
      </c>
    </row>
    <row r="1063" spans="2:5">
      <c r="B1063" s="244">
        <f t="shared" si="58"/>
        <v>44526</v>
      </c>
      <c r="C1063" s="245" t="e">
        <f ca="1">_xll.FDS("EURUSD","FG_PRICE("&amp;B1063&amp;")")</f>
        <v>#NAME?</v>
      </c>
      <c r="D1063" t="e">
        <f ca="1">_xll.FDS("GBPUSD","FG_PRICE("&amp;B1063&amp;")")</f>
        <v>#NAME?</v>
      </c>
      <c r="E1063" t="e">
        <f ca="1">_xll.FDSB("JPYUSD","FG_PRICE("&amp;B1063&amp;")")</f>
        <v>#NAME?</v>
      </c>
    </row>
    <row r="1064" spans="2:5">
      <c r="B1064" s="244">
        <f t="shared" si="58"/>
        <v>44527</v>
      </c>
      <c r="C1064" s="245" t="e">
        <f ca="1">_xll.FDS("EURUSD","FG_PRICE("&amp;B1064&amp;")")</f>
        <v>#NAME?</v>
      </c>
      <c r="D1064" t="e">
        <f ca="1">_xll.FDS("GBPUSD","FG_PRICE("&amp;B1064&amp;")")</f>
        <v>#NAME?</v>
      </c>
      <c r="E1064" t="e">
        <f ca="1">_xll.FDSB("JPYUSD","FG_PRICE("&amp;B1064&amp;")")</f>
        <v>#NAME?</v>
      </c>
    </row>
    <row r="1065" spans="2:5">
      <c r="B1065" s="244">
        <f t="shared" si="58"/>
        <v>44528</v>
      </c>
      <c r="C1065" s="245" t="e">
        <f ca="1">_xll.FDS("EURUSD","FG_PRICE("&amp;B1065&amp;")")</f>
        <v>#NAME?</v>
      </c>
      <c r="D1065" t="e">
        <f ca="1">_xll.FDS("GBPUSD","FG_PRICE("&amp;B1065&amp;")")</f>
        <v>#NAME?</v>
      </c>
      <c r="E1065" t="e">
        <f ca="1">_xll.FDSB("JPYUSD","FG_PRICE("&amp;B1065&amp;")")</f>
        <v>#NAME?</v>
      </c>
    </row>
    <row r="1066" spans="2:5">
      <c r="B1066" s="244">
        <f t="shared" si="58"/>
        <v>44529</v>
      </c>
      <c r="C1066" s="245" t="e">
        <f ca="1">_xll.FDS("EURUSD","FG_PRICE("&amp;B1066&amp;")")</f>
        <v>#NAME?</v>
      </c>
      <c r="D1066" t="e">
        <f ca="1">_xll.FDS("GBPUSD","FG_PRICE("&amp;B1066&amp;")")</f>
        <v>#NAME?</v>
      </c>
      <c r="E1066" t="e">
        <f ca="1">_xll.FDSB("JPYUSD","FG_PRICE("&amp;B1066&amp;")")</f>
        <v>#NAME?</v>
      </c>
    </row>
    <row r="1067" spans="2:5">
      <c r="B1067" s="244">
        <f t="shared" si="58"/>
        <v>44530</v>
      </c>
      <c r="C1067" s="245" t="e">
        <f ca="1">_xll.FDS("EURUSD","FG_PRICE("&amp;B1067&amp;")")</f>
        <v>#NAME?</v>
      </c>
      <c r="D1067" t="e">
        <f ca="1">_xll.FDS("GBPUSD","FG_PRICE("&amp;B1067&amp;")")</f>
        <v>#NAME?</v>
      </c>
      <c r="E1067" t="e">
        <f ca="1">_xll.FDSB("JPYUSD","FG_PRICE("&amp;B1067&amp;")")</f>
        <v>#NAME?</v>
      </c>
    </row>
    <row r="1068" spans="2:5">
      <c r="B1068" s="244">
        <f t="shared" si="58"/>
        <v>44531</v>
      </c>
      <c r="C1068" s="245" t="e">
        <f ca="1">_xll.FDS("EURUSD","FG_PRICE("&amp;B1068&amp;")")</f>
        <v>#NAME?</v>
      </c>
      <c r="D1068" t="e">
        <f ca="1">_xll.FDS("GBPUSD","FG_PRICE("&amp;B1068&amp;")")</f>
        <v>#NAME?</v>
      </c>
      <c r="E1068" t="e">
        <f ca="1">_xll.FDSB("JPYUSD","FG_PRICE("&amp;B1068&amp;")")</f>
        <v>#NAME?</v>
      </c>
    </row>
    <row r="1069" spans="2:5">
      <c r="B1069" s="244">
        <f t="shared" si="58"/>
        <v>44532</v>
      </c>
      <c r="C1069" s="245" t="e">
        <f ca="1">_xll.FDS("EURUSD","FG_PRICE("&amp;B1069&amp;")")</f>
        <v>#NAME?</v>
      </c>
      <c r="D1069" t="e">
        <f ca="1">_xll.FDS("GBPUSD","FG_PRICE("&amp;B1069&amp;")")</f>
        <v>#NAME?</v>
      </c>
      <c r="E1069" t="e">
        <f ca="1">_xll.FDSB("JPYUSD","FG_PRICE("&amp;B1069&amp;")")</f>
        <v>#NAME?</v>
      </c>
    </row>
    <row r="1070" spans="2:5">
      <c r="B1070" s="244">
        <f t="shared" si="58"/>
        <v>44533</v>
      </c>
      <c r="C1070" s="245" t="e">
        <f ca="1">_xll.FDS("EURUSD","FG_PRICE("&amp;B1070&amp;")")</f>
        <v>#NAME?</v>
      </c>
      <c r="D1070" t="e">
        <f ca="1">_xll.FDS("GBPUSD","FG_PRICE("&amp;B1070&amp;")")</f>
        <v>#NAME?</v>
      </c>
      <c r="E1070" t="e">
        <f ca="1">_xll.FDSB("JPYUSD","FG_PRICE("&amp;B1070&amp;")")</f>
        <v>#NAME?</v>
      </c>
    </row>
    <row r="1071" spans="2:5">
      <c r="B1071" s="244">
        <f t="shared" si="58"/>
        <v>44534</v>
      </c>
      <c r="C1071" s="245" t="e">
        <f ca="1">_xll.FDS("EURUSD","FG_PRICE("&amp;B1071&amp;")")</f>
        <v>#NAME?</v>
      </c>
      <c r="D1071" t="e">
        <f ca="1">_xll.FDS("GBPUSD","FG_PRICE("&amp;B1071&amp;")")</f>
        <v>#NAME?</v>
      </c>
      <c r="E1071" t="e">
        <f ca="1">_xll.FDSB("JPYUSD","FG_PRICE("&amp;B1071&amp;")")</f>
        <v>#NAME?</v>
      </c>
    </row>
    <row r="1072" spans="2:5">
      <c r="B1072" s="244">
        <f t="shared" si="58"/>
        <v>44535</v>
      </c>
      <c r="C1072" s="245" t="e">
        <f ca="1">_xll.FDS("EURUSD","FG_PRICE("&amp;B1072&amp;")")</f>
        <v>#NAME?</v>
      </c>
      <c r="D1072" t="e">
        <f ca="1">_xll.FDS("GBPUSD","FG_PRICE("&amp;B1072&amp;")")</f>
        <v>#NAME?</v>
      </c>
      <c r="E1072" t="e">
        <f ca="1">_xll.FDSB("JPYUSD","FG_PRICE("&amp;B1072&amp;")")</f>
        <v>#NAME?</v>
      </c>
    </row>
    <row r="1073" spans="2:5">
      <c r="B1073" s="244">
        <f t="shared" si="58"/>
        <v>44536</v>
      </c>
      <c r="C1073" s="245" t="e">
        <f ca="1">_xll.FDS("EURUSD","FG_PRICE("&amp;B1073&amp;")")</f>
        <v>#NAME?</v>
      </c>
      <c r="D1073" t="e">
        <f ca="1">_xll.FDS("GBPUSD","FG_PRICE("&amp;B1073&amp;")")</f>
        <v>#NAME?</v>
      </c>
      <c r="E1073" t="e">
        <f ca="1">_xll.FDSB("JPYUSD","FG_PRICE("&amp;B1073&amp;")")</f>
        <v>#NAME?</v>
      </c>
    </row>
    <row r="1074" spans="2:5">
      <c r="B1074" s="244">
        <f t="shared" si="58"/>
        <v>44537</v>
      </c>
      <c r="C1074" s="245" t="e">
        <f ca="1">_xll.FDS("EURUSD","FG_PRICE("&amp;B1074&amp;")")</f>
        <v>#NAME?</v>
      </c>
      <c r="D1074" t="e">
        <f ca="1">_xll.FDS("GBPUSD","FG_PRICE("&amp;B1074&amp;")")</f>
        <v>#NAME?</v>
      </c>
      <c r="E1074" t="e">
        <f ca="1">_xll.FDSB("JPYUSD","FG_PRICE("&amp;B1074&amp;")")</f>
        <v>#NAME?</v>
      </c>
    </row>
    <row r="1075" spans="2:5">
      <c r="B1075" s="244">
        <f t="shared" si="58"/>
        <v>44538</v>
      </c>
      <c r="C1075" s="245" t="e">
        <f ca="1">_xll.FDS("EURUSD","FG_PRICE("&amp;B1075&amp;")")</f>
        <v>#NAME?</v>
      </c>
      <c r="D1075" t="e">
        <f ca="1">_xll.FDS("GBPUSD","FG_PRICE("&amp;B1075&amp;")")</f>
        <v>#NAME?</v>
      </c>
      <c r="E1075" t="e">
        <f ca="1">_xll.FDSB("JPYUSD","FG_PRICE("&amp;B1075&amp;")")</f>
        <v>#NAME?</v>
      </c>
    </row>
    <row r="1076" spans="2:5">
      <c r="B1076" s="244">
        <f t="shared" si="58"/>
        <v>44539</v>
      </c>
      <c r="C1076" s="245" t="e">
        <f ca="1">_xll.FDS("EURUSD","FG_PRICE("&amp;B1076&amp;")")</f>
        <v>#NAME?</v>
      </c>
      <c r="D1076" t="e">
        <f ca="1">_xll.FDS("GBPUSD","FG_PRICE("&amp;B1076&amp;")")</f>
        <v>#NAME?</v>
      </c>
      <c r="E1076" t="e">
        <f ca="1">_xll.FDSB("JPYUSD","FG_PRICE("&amp;B1076&amp;")")</f>
        <v>#NAME?</v>
      </c>
    </row>
    <row r="1077" spans="2:5">
      <c r="B1077" s="244">
        <f t="shared" si="58"/>
        <v>44540</v>
      </c>
      <c r="C1077" s="245" t="e">
        <f ca="1">_xll.FDS("EURUSD","FG_PRICE("&amp;B1077&amp;")")</f>
        <v>#NAME?</v>
      </c>
      <c r="D1077" t="e">
        <f ca="1">_xll.FDS("GBPUSD","FG_PRICE("&amp;B1077&amp;")")</f>
        <v>#NAME?</v>
      </c>
      <c r="E1077" t="e">
        <f ca="1">_xll.FDSB("JPYUSD","FG_PRICE("&amp;B1077&amp;")")</f>
        <v>#NAME?</v>
      </c>
    </row>
    <row r="1078" spans="2:5">
      <c r="B1078" s="244">
        <f t="shared" si="58"/>
        <v>44541</v>
      </c>
      <c r="C1078" s="245" t="e">
        <f ca="1">_xll.FDS("EURUSD","FG_PRICE("&amp;B1078&amp;")")</f>
        <v>#NAME?</v>
      </c>
      <c r="D1078" t="e">
        <f ca="1">_xll.FDS("GBPUSD","FG_PRICE("&amp;B1078&amp;")")</f>
        <v>#NAME?</v>
      </c>
      <c r="E1078" t="e">
        <f ca="1">_xll.FDSB("JPYUSD","FG_PRICE("&amp;B1078&amp;")")</f>
        <v>#NAME?</v>
      </c>
    </row>
    <row r="1079" spans="2:5">
      <c r="B1079" s="244">
        <f t="shared" si="58"/>
        <v>44542</v>
      </c>
      <c r="C1079" s="245" t="e">
        <f ca="1">_xll.FDS("EURUSD","FG_PRICE("&amp;B1079&amp;")")</f>
        <v>#NAME?</v>
      </c>
      <c r="D1079" t="e">
        <f ca="1">_xll.FDS("GBPUSD","FG_PRICE("&amp;B1079&amp;")")</f>
        <v>#NAME?</v>
      </c>
      <c r="E1079" t="e">
        <f ca="1">_xll.FDSB("JPYUSD","FG_PRICE("&amp;B1079&amp;")")</f>
        <v>#NAME?</v>
      </c>
    </row>
    <row r="1080" spans="2:5">
      <c r="B1080" s="244">
        <f t="shared" si="58"/>
        <v>44543</v>
      </c>
      <c r="C1080" s="245" t="e">
        <f ca="1">_xll.FDS("EURUSD","FG_PRICE("&amp;B1080&amp;")")</f>
        <v>#NAME?</v>
      </c>
      <c r="D1080" t="e">
        <f ca="1">_xll.FDS("GBPUSD","FG_PRICE("&amp;B1080&amp;")")</f>
        <v>#NAME?</v>
      </c>
      <c r="E1080" t="e">
        <f ca="1">_xll.FDSB("JPYUSD","FG_PRICE("&amp;B1080&amp;")")</f>
        <v>#NAME?</v>
      </c>
    </row>
    <row r="1081" spans="2:5">
      <c r="B1081" s="244">
        <f t="shared" si="58"/>
        <v>44544</v>
      </c>
      <c r="C1081" s="245" t="e">
        <f ca="1">_xll.FDS("EURUSD","FG_PRICE("&amp;B1081&amp;")")</f>
        <v>#NAME?</v>
      </c>
      <c r="D1081" t="e">
        <f ca="1">_xll.FDS("GBPUSD","FG_PRICE("&amp;B1081&amp;")")</f>
        <v>#NAME?</v>
      </c>
      <c r="E1081" t="e">
        <f ca="1">_xll.FDSB("JPYUSD","FG_PRICE("&amp;B1081&amp;")")</f>
        <v>#NAME?</v>
      </c>
    </row>
    <row r="1082" spans="2:5">
      <c r="B1082" s="244">
        <f t="shared" si="58"/>
        <v>44545</v>
      </c>
      <c r="C1082" s="245" t="e">
        <f ca="1">_xll.FDS("EURUSD","FG_PRICE("&amp;B1082&amp;")")</f>
        <v>#NAME?</v>
      </c>
      <c r="D1082" t="e">
        <f ca="1">_xll.FDS("GBPUSD","FG_PRICE("&amp;B1082&amp;")")</f>
        <v>#NAME?</v>
      </c>
      <c r="E1082" t="e">
        <f ca="1">_xll.FDSB("JPYUSD","FG_PRICE("&amp;B1082&amp;")")</f>
        <v>#NAME?</v>
      </c>
    </row>
    <row r="1083" spans="2:5">
      <c r="B1083" s="244">
        <f t="shared" si="58"/>
        <v>44546</v>
      </c>
      <c r="C1083" s="245" t="e">
        <f ca="1">_xll.FDS("EURUSD","FG_PRICE("&amp;B1083&amp;")")</f>
        <v>#NAME?</v>
      </c>
      <c r="D1083" t="e">
        <f ca="1">_xll.FDS("GBPUSD","FG_PRICE("&amp;B1083&amp;")")</f>
        <v>#NAME?</v>
      </c>
      <c r="E1083" t="e">
        <f ca="1">_xll.FDSB("JPYUSD","FG_PRICE("&amp;B1083&amp;")")</f>
        <v>#NAME?</v>
      </c>
    </row>
    <row r="1084" spans="2:5">
      <c r="B1084" s="244">
        <f t="shared" si="58"/>
        <v>44547</v>
      </c>
      <c r="C1084" s="245" t="e">
        <f ca="1">_xll.FDS("EURUSD","FG_PRICE("&amp;B1084&amp;")")</f>
        <v>#NAME?</v>
      </c>
      <c r="D1084" t="e">
        <f ca="1">_xll.FDS("GBPUSD","FG_PRICE("&amp;B1084&amp;")")</f>
        <v>#NAME?</v>
      </c>
      <c r="E1084" t="e">
        <f ca="1">_xll.FDSB("JPYUSD","FG_PRICE("&amp;B1084&amp;")")</f>
        <v>#NAME?</v>
      </c>
    </row>
    <row r="1085" spans="2:5">
      <c r="B1085" s="244">
        <f t="shared" si="58"/>
        <v>44548</v>
      </c>
      <c r="C1085" s="245" t="e">
        <f ca="1">_xll.FDS("EURUSD","FG_PRICE("&amp;B1085&amp;")")</f>
        <v>#NAME?</v>
      </c>
      <c r="D1085" t="e">
        <f ca="1">_xll.FDS("GBPUSD","FG_PRICE("&amp;B1085&amp;")")</f>
        <v>#NAME?</v>
      </c>
      <c r="E1085" t="e">
        <f ca="1">_xll.FDSB("JPYUSD","FG_PRICE("&amp;B1085&amp;")")</f>
        <v>#NAME?</v>
      </c>
    </row>
    <row r="1086" spans="2:5">
      <c r="B1086" s="244">
        <f t="shared" si="58"/>
        <v>44549</v>
      </c>
      <c r="C1086" s="245" t="e">
        <f ca="1">_xll.FDS("EURUSD","FG_PRICE("&amp;B1086&amp;")")</f>
        <v>#NAME?</v>
      </c>
      <c r="D1086" t="e">
        <f ca="1">_xll.FDS("GBPUSD","FG_PRICE("&amp;B1086&amp;")")</f>
        <v>#NAME?</v>
      </c>
      <c r="E1086" t="e">
        <f ca="1">_xll.FDSB("JPYUSD","FG_PRICE("&amp;B1086&amp;")")</f>
        <v>#NAME?</v>
      </c>
    </row>
    <row r="1087" spans="2:5">
      <c r="B1087" s="244">
        <f t="shared" si="58"/>
        <v>44550</v>
      </c>
      <c r="C1087" s="245" t="e">
        <f ca="1">_xll.FDS("EURUSD","FG_PRICE("&amp;B1087&amp;")")</f>
        <v>#NAME?</v>
      </c>
      <c r="D1087" t="e">
        <f ca="1">_xll.FDS("GBPUSD","FG_PRICE("&amp;B1087&amp;")")</f>
        <v>#NAME?</v>
      </c>
      <c r="E1087" t="e">
        <f ca="1">_xll.FDSB("JPYUSD","FG_PRICE("&amp;B1087&amp;")")</f>
        <v>#NAME?</v>
      </c>
    </row>
    <row r="1088" spans="2:5">
      <c r="B1088" s="244">
        <f t="shared" si="58"/>
        <v>44551</v>
      </c>
      <c r="C1088" s="245" t="e">
        <f ca="1">_xll.FDS("EURUSD","FG_PRICE("&amp;B1088&amp;")")</f>
        <v>#NAME?</v>
      </c>
      <c r="D1088" t="e">
        <f ca="1">_xll.FDS("GBPUSD","FG_PRICE("&amp;B1088&amp;")")</f>
        <v>#NAME?</v>
      </c>
      <c r="E1088" t="e">
        <f ca="1">_xll.FDSB("JPYUSD","FG_PRICE("&amp;B1088&amp;")")</f>
        <v>#NAME?</v>
      </c>
    </row>
    <row r="1089" spans="2:5">
      <c r="B1089" s="244">
        <f t="shared" si="58"/>
        <v>44552</v>
      </c>
      <c r="C1089" s="245" t="e">
        <f ca="1">_xll.FDS("EURUSD","FG_PRICE("&amp;B1089&amp;")")</f>
        <v>#NAME?</v>
      </c>
      <c r="D1089" t="e">
        <f ca="1">_xll.FDS("GBPUSD","FG_PRICE("&amp;B1089&amp;")")</f>
        <v>#NAME?</v>
      </c>
      <c r="E1089" t="e">
        <f ca="1">_xll.FDSB("JPYUSD","FG_PRICE("&amp;B1089&amp;")")</f>
        <v>#NAME?</v>
      </c>
    </row>
    <row r="1090" spans="2:5">
      <c r="B1090" s="244">
        <f t="shared" si="58"/>
        <v>44553</v>
      </c>
      <c r="C1090" s="245" t="e">
        <f ca="1">_xll.FDS("EURUSD","FG_PRICE("&amp;B1090&amp;")")</f>
        <v>#NAME?</v>
      </c>
      <c r="D1090" t="e">
        <f ca="1">_xll.FDS("GBPUSD","FG_PRICE("&amp;B1090&amp;")")</f>
        <v>#NAME?</v>
      </c>
      <c r="E1090" t="e">
        <f ca="1">_xll.FDSB("JPYUSD","FG_PRICE("&amp;B1090&amp;")")</f>
        <v>#NAME?</v>
      </c>
    </row>
    <row r="1091" spans="2:5">
      <c r="B1091" s="244">
        <f t="shared" si="58"/>
        <v>44554</v>
      </c>
      <c r="C1091" s="245" t="e">
        <f ca="1">_xll.FDS("EURUSD","FG_PRICE("&amp;B1091&amp;")")</f>
        <v>#NAME?</v>
      </c>
      <c r="D1091" t="e">
        <f ca="1">_xll.FDS("GBPUSD","FG_PRICE("&amp;B1091&amp;")")</f>
        <v>#NAME?</v>
      </c>
      <c r="E1091" t="e">
        <f ca="1">_xll.FDSB("JPYUSD","FG_PRICE("&amp;B1091&amp;")")</f>
        <v>#NAME?</v>
      </c>
    </row>
    <row r="1092" spans="2:5">
      <c r="B1092" s="244">
        <f t="shared" si="58"/>
        <v>44555</v>
      </c>
      <c r="C1092" s="245" t="e">
        <f ca="1">_xll.FDS("EURUSD","FG_PRICE("&amp;B1092&amp;")")</f>
        <v>#NAME?</v>
      </c>
      <c r="D1092" t="e">
        <f ca="1">_xll.FDS("GBPUSD","FG_PRICE("&amp;B1092&amp;")")</f>
        <v>#NAME?</v>
      </c>
      <c r="E1092" t="e">
        <f ca="1">_xll.FDSB("JPYUSD","FG_PRICE("&amp;B1092&amp;")")</f>
        <v>#NAME?</v>
      </c>
    </row>
    <row r="1093" spans="2:5">
      <c r="B1093" s="244">
        <f t="shared" ref="B1093:B1156" si="59">B1092+1</f>
        <v>44556</v>
      </c>
      <c r="C1093" s="245" t="e">
        <f ca="1">_xll.FDS("EURUSD","FG_PRICE("&amp;B1093&amp;")")</f>
        <v>#NAME?</v>
      </c>
      <c r="D1093" t="e">
        <f ca="1">_xll.FDS("GBPUSD","FG_PRICE("&amp;B1093&amp;")")</f>
        <v>#NAME?</v>
      </c>
      <c r="E1093" t="e">
        <f ca="1">_xll.FDSB("JPYUSD","FG_PRICE("&amp;B1093&amp;")")</f>
        <v>#NAME?</v>
      </c>
    </row>
    <row r="1094" spans="2:5">
      <c r="B1094" s="244">
        <f t="shared" si="59"/>
        <v>44557</v>
      </c>
      <c r="C1094" s="245" t="e">
        <f ca="1">_xll.FDS("EURUSD","FG_PRICE("&amp;B1094&amp;")")</f>
        <v>#NAME?</v>
      </c>
      <c r="D1094" t="e">
        <f ca="1">_xll.FDS("GBPUSD","FG_PRICE("&amp;B1094&amp;")")</f>
        <v>#NAME?</v>
      </c>
      <c r="E1094" t="e">
        <f ca="1">_xll.FDSB("JPYUSD","FG_PRICE("&amp;B1094&amp;")")</f>
        <v>#NAME?</v>
      </c>
    </row>
    <row r="1095" spans="2:5">
      <c r="B1095" s="244">
        <f t="shared" si="59"/>
        <v>44558</v>
      </c>
      <c r="C1095" s="245" t="e">
        <f ca="1">_xll.FDS("EURUSD","FG_PRICE("&amp;B1095&amp;")")</f>
        <v>#NAME?</v>
      </c>
      <c r="D1095" t="e">
        <f ca="1">_xll.FDS("GBPUSD","FG_PRICE("&amp;B1095&amp;")")</f>
        <v>#NAME?</v>
      </c>
      <c r="E1095" t="e">
        <f ca="1">_xll.FDSB("JPYUSD","FG_PRICE("&amp;B1095&amp;")")</f>
        <v>#NAME?</v>
      </c>
    </row>
    <row r="1096" spans="2:5">
      <c r="B1096" s="244">
        <f t="shared" si="59"/>
        <v>44559</v>
      </c>
      <c r="C1096" s="245" t="e">
        <f ca="1">_xll.FDS("EURUSD","FG_PRICE("&amp;B1096&amp;")")</f>
        <v>#NAME?</v>
      </c>
      <c r="D1096" t="e">
        <f ca="1">_xll.FDS("GBPUSD","FG_PRICE("&amp;B1096&amp;")")</f>
        <v>#NAME?</v>
      </c>
      <c r="E1096" t="e">
        <f ca="1">_xll.FDSB("JPYUSD","FG_PRICE("&amp;B1096&amp;")")</f>
        <v>#NAME?</v>
      </c>
    </row>
    <row r="1097" spans="2:5">
      <c r="B1097" s="244">
        <f t="shared" si="59"/>
        <v>44560</v>
      </c>
      <c r="C1097" s="245" t="e">
        <f ca="1">_xll.FDS("EURUSD","FG_PRICE("&amp;B1097&amp;")")</f>
        <v>#NAME?</v>
      </c>
      <c r="D1097" t="e">
        <f ca="1">_xll.FDS("GBPUSD","FG_PRICE("&amp;B1097&amp;")")</f>
        <v>#NAME?</v>
      </c>
      <c r="E1097" t="e">
        <f ca="1">_xll.FDSB("JPYUSD","FG_PRICE("&amp;B1097&amp;")")</f>
        <v>#NAME?</v>
      </c>
    </row>
    <row r="1098" spans="2:5">
      <c r="B1098" s="244">
        <f t="shared" si="59"/>
        <v>44561</v>
      </c>
      <c r="C1098" s="245" t="e">
        <f ca="1">_xll.FDS("EURUSD","FG_PRICE("&amp;B1098&amp;")")</f>
        <v>#NAME?</v>
      </c>
      <c r="D1098" t="e">
        <f ca="1">_xll.FDS("GBPUSD","FG_PRICE("&amp;B1098&amp;")")</f>
        <v>#NAME?</v>
      </c>
      <c r="E1098" t="e">
        <f ca="1">_xll.FDSB("JPYUSD","FG_PRICE("&amp;B1098&amp;")")</f>
        <v>#NAME?</v>
      </c>
    </row>
    <row r="1099" spans="2:5">
      <c r="B1099" s="244">
        <f t="shared" si="59"/>
        <v>44562</v>
      </c>
      <c r="C1099" s="245" t="e">
        <f ca="1">_xll.FDS("EURUSD","FG_PRICE("&amp;B1099&amp;")")</f>
        <v>#NAME?</v>
      </c>
      <c r="D1099" t="e">
        <f ca="1">_xll.FDS("GBPUSD","FG_PRICE("&amp;B1099&amp;")")</f>
        <v>#NAME?</v>
      </c>
      <c r="E1099" t="e">
        <f ca="1">_xll.FDSB("JPYUSD","FG_PRICE("&amp;B1099&amp;")")</f>
        <v>#NAME?</v>
      </c>
    </row>
    <row r="1100" spans="2:5">
      <c r="B1100" s="244">
        <f t="shared" si="59"/>
        <v>44563</v>
      </c>
      <c r="C1100" s="245" t="e">
        <f ca="1">_xll.FDS("EURUSD","FG_PRICE("&amp;B1100&amp;")")</f>
        <v>#NAME?</v>
      </c>
      <c r="D1100" t="e">
        <f ca="1">_xll.FDS("GBPUSD","FG_PRICE("&amp;B1100&amp;")")</f>
        <v>#NAME?</v>
      </c>
      <c r="E1100" t="e">
        <f ca="1">_xll.FDSB("JPYUSD","FG_PRICE("&amp;B1100&amp;")")</f>
        <v>#NAME?</v>
      </c>
    </row>
    <row r="1101" spans="2:5">
      <c r="B1101" s="244">
        <f t="shared" si="59"/>
        <v>44564</v>
      </c>
      <c r="C1101" s="245" t="e">
        <f ca="1">_xll.FDS("EURUSD","FG_PRICE("&amp;B1101&amp;")")</f>
        <v>#NAME?</v>
      </c>
      <c r="D1101" t="e">
        <f ca="1">_xll.FDS("GBPUSD","FG_PRICE("&amp;B1101&amp;")")</f>
        <v>#NAME?</v>
      </c>
      <c r="E1101" t="e">
        <f ca="1">_xll.FDSB("JPYUSD","FG_PRICE("&amp;B1101&amp;")")</f>
        <v>#NAME?</v>
      </c>
    </row>
    <row r="1102" spans="2:5">
      <c r="B1102" s="244">
        <f t="shared" si="59"/>
        <v>44565</v>
      </c>
      <c r="C1102" s="245" t="e">
        <f ca="1">_xll.FDS("EURUSD","FG_PRICE("&amp;B1102&amp;")")</f>
        <v>#NAME?</v>
      </c>
      <c r="D1102" t="e">
        <f ca="1">_xll.FDS("GBPUSD","FG_PRICE("&amp;B1102&amp;")")</f>
        <v>#NAME?</v>
      </c>
      <c r="E1102" t="e">
        <f ca="1">_xll.FDSB("JPYUSD","FG_PRICE("&amp;B1102&amp;")")</f>
        <v>#NAME?</v>
      </c>
    </row>
    <row r="1103" spans="2:5">
      <c r="B1103" s="244">
        <f t="shared" si="59"/>
        <v>44566</v>
      </c>
      <c r="C1103" s="245" t="e">
        <f ca="1">_xll.FDS("EURUSD","FG_PRICE("&amp;B1103&amp;")")</f>
        <v>#NAME?</v>
      </c>
      <c r="D1103" t="e">
        <f ca="1">_xll.FDS("GBPUSD","FG_PRICE("&amp;B1103&amp;")")</f>
        <v>#NAME?</v>
      </c>
      <c r="E1103" t="e">
        <f ca="1">_xll.FDSB("JPYUSD","FG_PRICE("&amp;B1103&amp;")")</f>
        <v>#NAME?</v>
      </c>
    </row>
    <row r="1104" spans="2:5">
      <c r="B1104" s="244">
        <f t="shared" si="59"/>
        <v>44567</v>
      </c>
      <c r="C1104" s="245" t="e">
        <f ca="1">_xll.FDS("EURUSD","FG_PRICE("&amp;B1104&amp;")")</f>
        <v>#NAME?</v>
      </c>
      <c r="D1104" t="e">
        <f ca="1">_xll.FDS("GBPUSD","FG_PRICE("&amp;B1104&amp;")")</f>
        <v>#NAME?</v>
      </c>
      <c r="E1104" t="e">
        <f ca="1">_xll.FDSB("JPYUSD","FG_PRICE("&amp;B1104&amp;")")</f>
        <v>#NAME?</v>
      </c>
    </row>
    <row r="1105" spans="2:5">
      <c r="B1105" s="244">
        <f t="shared" si="59"/>
        <v>44568</v>
      </c>
      <c r="C1105" s="245" t="e">
        <f ca="1">_xll.FDS("EURUSD","FG_PRICE("&amp;B1105&amp;")")</f>
        <v>#NAME?</v>
      </c>
      <c r="D1105" t="e">
        <f ca="1">_xll.FDS("GBPUSD","FG_PRICE("&amp;B1105&amp;")")</f>
        <v>#NAME?</v>
      </c>
      <c r="E1105" t="e">
        <f ca="1">_xll.FDSB("JPYUSD","FG_PRICE("&amp;B1105&amp;")")</f>
        <v>#NAME?</v>
      </c>
    </row>
    <row r="1106" spans="2:5">
      <c r="B1106" s="244">
        <f t="shared" si="59"/>
        <v>44569</v>
      </c>
      <c r="C1106" s="245" t="e">
        <f ca="1">_xll.FDS("EURUSD","FG_PRICE("&amp;B1106&amp;")")</f>
        <v>#NAME?</v>
      </c>
      <c r="D1106" t="e">
        <f ca="1">_xll.FDS("GBPUSD","FG_PRICE("&amp;B1106&amp;")")</f>
        <v>#NAME?</v>
      </c>
      <c r="E1106" t="e">
        <f ca="1">_xll.FDSB("JPYUSD","FG_PRICE("&amp;B1106&amp;")")</f>
        <v>#NAME?</v>
      </c>
    </row>
    <row r="1107" spans="2:5">
      <c r="B1107" s="244">
        <f t="shared" si="59"/>
        <v>44570</v>
      </c>
      <c r="C1107" s="245" t="e">
        <f ca="1">_xll.FDS("EURUSD","FG_PRICE("&amp;B1107&amp;")")</f>
        <v>#NAME?</v>
      </c>
      <c r="D1107" t="e">
        <f ca="1">_xll.FDS("GBPUSD","FG_PRICE("&amp;B1107&amp;")")</f>
        <v>#NAME?</v>
      </c>
      <c r="E1107" t="e">
        <f ca="1">_xll.FDSB("JPYUSD","FG_PRICE("&amp;B1107&amp;")")</f>
        <v>#NAME?</v>
      </c>
    </row>
    <row r="1108" spans="2:5">
      <c r="B1108" s="244">
        <f t="shared" si="59"/>
        <v>44571</v>
      </c>
      <c r="C1108" s="245" t="e">
        <f ca="1">_xll.FDS("EURUSD","FG_PRICE("&amp;B1108&amp;")")</f>
        <v>#NAME?</v>
      </c>
      <c r="D1108" t="e">
        <f ca="1">_xll.FDS("GBPUSD","FG_PRICE("&amp;B1108&amp;")")</f>
        <v>#NAME?</v>
      </c>
      <c r="E1108" t="e">
        <f ca="1">_xll.FDSB("JPYUSD","FG_PRICE("&amp;B1108&amp;")")</f>
        <v>#NAME?</v>
      </c>
    </row>
    <row r="1109" spans="2:5">
      <c r="B1109" s="244">
        <f t="shared" si="59"/>
        <v>44572</v>
      </c>
      <c r="C1109" s="245" t="e">
        <f ca="1">_xll.FDS("EURUSD","FG_PRICE("&amp;B1109&amp;")")</f>
        <v>#NAME?</v>
      </c>
      <c r="D1109" t="e">
        <f ca="1">_xll.FDS("GBPUSD","FG_PRICE("&amp;B1109&amp;")")</f>
        <v>#NAME?</v>
      </c>
      <c r="E1109" t="e">
        <f ca="1">_xll.FDSB("JPYUSD","FG_PRICE("&amp;B1109&amp;")")</f>
        <v>#NAME?</v>
      </c>
    </row>
    <row r="1110" spans="2:5">
      <c r="B1110" s="244">
        <f t="shared" si="59"/>
        <v>44573</v>
      </c>
      <c r="C1110" s="245" t="e">
        <f ca="1">_xll.FDS("EURUSD","FG_PRICE("&amp;B1110&amp;")")</f>
        <v>#NAME?</v>
      </c>
      <c r="D1110" t="e">
        <f ca="1">_xll.FDS("GBPUSD","FG_PRICE("&amp;B1110&amp;")")</f>
        <v>#NAME?</v>
      </c>
      <c r="E1110" t="e">
        <f ca="1">_xll.FDSB("JPYUSD","FG_PRICE("&amp;B1110&amp;")")</f>
        <v>#NAME?</v>
      </c>
    </row>
    <row r="1111" spans="2:5">
      <c r="B1111" s="244">
        <f t="shared" si="59"/>
        <v>44574</v>
      </c>
      <c r="C1111" s="245" t="e">
        <f ca="1">_xll.FDS("EURUSD","FG_PRICE("&amp;B1111&amp;")")</f>
        <v>#NAME?</v>
      </c>
      <c r="D1111" t="e">
        <f ca="1">_xll.FDS("GBPUSD","FG_PRICE("&amp;B1111&amp;")")</f>
        <v>#NAME?</v>
      </c>
      <c r="E1111" t="e">
        <f ca="1">_xll.FDSB("JPYUSD","FG_PRICE("&amp;B1111&amp;")")</f>
        <v>#NAME?</v>
      </c>
    </row>
    <row r="1112" spans="2:5">
      <c r="B1112" s="244">
        <f t="shared" si="59"/>
        <v>44575</v>
      </c>
      <c r="C1112" s="245" t="e">
        <f ca="1">_xll.FDS("EURUSD","FG_PRICE("&amp;B1112&amp;")")</f>
        <v>#NAME?</v>
      </c>
      <c r="D1112" t="e">
        <f ca="1">_xll.FDS("GBPUSD","FG_PRICE("&amp;B1112&amp;")")</f>
        <v>#NAME?</v>
      </c>
      <c r="E1112" t="e">
        <f ca="1">_xll.FDSB("JPYUSD","FG_PRICE("&amp;B1112&amp;")")</f>
        <v>#NAME?</v>
      </c>
    </row>
    <row r="1113" spans="2:5">
      <c r="B1113" s="244">
        <f t="shared" si="59"/>
        <v>44576</v>
      </c>
      <c r="C1113" s="245" t="e">
        <f ca="1">_xll.FDS("EURUSD","FG_PRICE("&amp;B1113&amp;")")</f>
        <v>#NAME?</v>
      </c>
      <c r="D1113" t="e">
        <f ca="1">_xll.FDS("GBPUSD","FG_PRICE("&amp;B1113&amp;")")</f>
        <v>#NAME?</v>
      </c>
      <c r="E1113" t="e">
        <f ca="1">_xll.FDSB("JPYUSD","FG_PRICE("&amp;B1113&amp;")")</f>
        <v>#NAME?</v>
      </c>
    </row>
    <row r="1114" spans="2:5">
      <c r="B1114" s="244">
        <f t="shared" si="59"/>
        <v>44577</v>
      </c>
      <c r="C1114" s="245" t="e">
        <f ca="1">_xll.FDS("EURUSD","FG_PRICE("&amp;B1114&amp;")")</f>
        <v>#NAME?</v>
      </c>
      <c r="D1114" t="e">
        <f ca="1">_xll.FDS("GBPUSD","FG_PRICE("&amp;B1114&amp;")")</f>
        <v>#NAME?</v>
      </c>
      <c r="E1114" t="e">
        <f ca="1">_xll.FDSB("JPYUSD","FG_PRICE("&amp;B1114&amp;")")</f>
        <v>#NAME?</v>
      </c>
    </row>
    <row r="1115" spans="2:5">
      <c r="B1115" s="244">
        <f t="shared" si="59"/>
        <v>44578</v>
      </c>
      <c r="C1115" s="245" t="e">
        <f ca="1">_xll.FDS("EURUSD","FG_PRICE("&amp;B1115&amp;")")</f>
        <v>#NAME?</v>
      </c>
      <c r="D1115" t="e">
        <f ca="1">_xll.FDS("GBPUSD","FG_PRICE("&amp;B1115&amp;")")</f>
        <v>#NAME?</v>
      </c>
      <c r="E1115" t="e">
        <f ca="1">_xll.FDSB("JPYUSD","FG_PRICE("&amp;B1115&amp;")")</f>
        <v>#NAME?</v>
      </c>
    </row>
    <row r="1116" spans="2:5">
      <c r="B1116" s="244">
        <f t="shared" si="59"/>
        <v>44579</v>
      </c>
      <c r="C1116" s="245" t="e">
        <f ca="1">_xll.FDS("EURUSD","FG_PRICE("&amp;B1116&amp;")")</f>
        <v>#NAME?</v>
      </c>
      <c r="D1116" t="e">
        <f ca="1">_xll.FDS("GBPUSD","FG_PRICE("&amp;B1116&amp;")")</f>
        <v>#NAME?</v>
      </c>
      <c r="E1116" t="e">
        <f ca="1">_xll.FDSB("JPYUSD","FG_PRICE("&amp;B1116&amp;")")</f>
        <v>#NAME?</v>
      </c>
    </row>
    <row r="1117" spans="2:5">
      <c r="B1117" s="244">
        <f t="shared" si="59"/>
        <v>44580</v>
      </c>
      <c r="C1117" s="245" t="e">
        <f ca="1">_xll.FDS("EURUSD","FG_PRICE("&amp;B1117&amp;")")</f>
        <v>#NAME?</v>
      </c>
      <c r="D1117" t="e">
        <f ca="1">_xll.FDS("GBPUSD","FG_PRICE("&amp;B1117&amp;")")</f>
        <v>#NAME?</v>
      </c>
      <c r="E1117" t="e">
        <f ca="1">_xll.FDSB("JPYUSD","FG_PRICE("&amp;B1117&amp;")")</f>
        <v>#NAME?</v>
      </c>
    </row>
    <row r="1118" spans="2:5">
      <c r="B1118" s="244">
        <f t="shared" si="59"/>
        <v>44581</v>
      </c>
      <c r="C1118" s="245" t="e">
        <f ca="1">_xll.FDS("EURUSD","FG_PRICE("&amp;B1118&amp;")")</f>
        <v>#NAME?</v>
      </c>
      <c r="D1118" t="e">
        <f ca="1">_xll.FDS("GBPUSD","FG_PRICE("&amp;B1118&amp;")")</f>
        <v>#NAME?</v>
      </c>
      <c r="E1118" t="e">
        <f ca="1">_xll.FDSB("JPYUSD","FG_PRICE("&amp;B1118&amp;")")</f>
        <v>#NAME?</v>
      </c>
    </row>
    <row r="1119" spans="2:5">
      <c r="B1119" s="244">
        <f t="shared" si="59"/>
        <v>44582</v>
      </c>
      <c r="C1119" s="245" t="e">
        <f ca="1">_xll.FDS("EURUSD","FG_PRICE("&amp;B1119&amp;")")</f>
        <v>#NAME?</v>
      </c>
      <c r="D1119" t="e">
        <f ca="1">_xll.FDS("GBPUSD","FG_PRICE("&amp;B1119&amp;")")</f>
        <v>#NAME?</v>
      </c>
      <c r="E1119" t="e">
        <f ca="1">_xll.FDSB("JPYUSD","FG_PRICE("&amp;B1119&amp;")")</f>
        <v>#NAME?</v>
      </c>
    </row>
    <row r="1120" spans="2:5">
      <c r="B1120" s="244">
        <f t="shared" si="59"/>
        <v>44583</v>
      </c>
      <c r="C1120" s="245" t="e">
        <f ca="1">_xll.FDS("EURUSD","FG_PRICE("&amp;B1120&amp;")")</f>
        <v>#NAME?</v>
      </c>
      <c r="D1120" t="e">
        <f ca="1">_xll.FDS("GBPUSD","FG_PRICE("&amp;B1120&amp;")")</f>
        <v>#NAME?</v>
      </c>
      <c r="E1120" t="e">
        <f ca="1">_xll.FDSB("JPYUSD","FG_PRICE("&amp;B1120&amp;")")</f>
        <v>#NAME?</v>
      </c>
    </row>
    <row r="1121" spans="2:5">
      <c r="B1121" s="244">
        <f t="shared" si="59"/>
        <v>44584</v>
      </c>
      <c r="C1121" s="245" t="e">
        <f ca="1">_xll.FDS("EURUSD","FG_PRICE("&amp;B1121&amp;")")</f>
        <v>#NAME?</v>
      </c>
      <c r="D1121" t="e">
        <f ca="1">_xll.FDS("GBPUSD","FG_PRICE("&amp;B1121&amp;")")</f>
        <v>#NAME?</v>
      </c>
      <c r="E1121" t="e">
        <f ca="1">_xll.FDSB("JPYUSD","FG_PRICE("&amp;B1121&amp;")")</f>
        <v>#NAME?</v>
      </c>
    </row>
    <row r="1122" spans="2:5">
      <c r="B1122" s="244">
        <f t="shared" si="59"/>
        <v>44585</v>
      </c>
      <c r="C1122" s="245" t="e">
        <f ca="1">_xll.FDS("EURUSD","FG_PRICE("&amp;B1122&amp;")")</f>
        <v>#NAME?</v>
      </c>
      <c r="D1122" t="e">
        <f ca="1">_xll.FDS("GBPUSD","FG_PRICE("&amp;B1122&amp;")")</f>
        <v>#NAME?</v>
      </c>
      <c r="E1122" t="e">
        <f ca="1">_xll.FDSB("JPYUSD","FG_PRICE("&amp;B1122&amp;")")</f>
        <v>#NAME?</v>
      </c>
    </row>
    <row r="1123" spans="2:5">
      <c r="B1123" s="244">
        <f t="shared" si="59"/>
        <v>44586</v>
      </c>
      <c r="C1123" s="245" t="e">
        <f ca="1">_xll.FDS("EURUSD","FG_PRICE("&amp;B1123&amp;")")</f>
        <v>#NAME?</v>
      </c>
      <c r="D1123" t="e">
        <f ca="1">_xll.FDS("GBPUSD","FG_PRICE("&amp;B1123&amp;")")</f>
        <v>#NAME?</v>
      </c>
      <c r="E1123" t="e">
        <f ca="1">_xll.FDSB("JPYUSD","FG_PRICE("&amp;B1123&amp;")")</f>
        <v>#NAME?</v>
      </c>
    </row>
    <row r="1124" spans="2:5">
      <c r="B1124" s="244">
        <f t="shared" si="59"/>
        <v>44587</v>
      </c>
      <c r="C1124" s="245" t="e">
        <f ca="1">_xll.FDS("EURUSD","FG_PRICE("&amp;B1124&amp;")")</f>
        <v>#NAME?</v>
      </c>
      <c r="D1124" t="e">
        <f ca="1">_xll.FDS("GBPUSD","FG_PRICE("&amp;B1124&amp;")")</f>
        <v>#NAME?</v>
      </c>
      <c r="E1124" t="e">
        <f ca="1">_xll.FDSB("JPYUSD","FG_PRICE("&amp;B1124&amp;")")</f>
        <v>#NAME?</v>
      </c>
    </row>
    <row r="1125" spans="2:5">
      <c r="B1125" s="244">
        <f t="shared" si="59"/>
        <v>44588</v>
      </c>
      <c r="C1125" s="245" t="e">
        <f ca="1">_xll.FDS("EURUSD","FG_PRICE("&amp;B1125&amp;")")</f>
        <v>#NAME?</v>
      </c>
      <c r="D1125" t="e">
        <f ca="1">_xll.FDS("GBPUSD","FG_PRICE("&amp;B1125&amp;")")</f>
        <v>#NAME?</v>
      </c>
      <c r="E1125" t="e">
        <f ca="1">_xll.FDSB("JPYUSD","FG_PRICE("&amp;B1125&amp;")")</f>
        <v>#NAME?</v>
      </c>
    </row>
    <row r="1126" spans="2:5">
      <c r="B1126" s="244">
        <f t="shared" si="59"/>
        <v>44589</v>
      </c>
      <c r="C1126" s="245" t="e">
        <f ca="1">_xll.FDS("EURUSD","FG_PRICE("&amp;B1126&amp;")")</f>
        <v>#NAME?</v>
      </c>
      <c r="D1126" t="e">
        <f ca="1">_xll.FDS("GBPUSD","FG_PRICE("&amp;B1126&amp;")")</f>
        <v>#NAME?</v>
      </c>
      <c r="E1126" t="e">
        <f ca="1">_xll.FDSB("JPYUSD","FG_PRICE("&amp;B1126&amp;")")</f>
        <v>#NAME?</v>
      </c>
    </row>
    <row r="1127" spans="2:5">
      <c r="B1127" s="244">
        <f t="shared" si="59"/>
        <v>44590</v>
      </c>
      <c r="C1127" s="245" t="e">
        <f ca="1">_xll.FDS("EURUSD","FG_PRICE("&amp;B1127&amp;")")</f>
        <v>#NAME?</v>
      </c>
      <c r="D1127" t="e">
        <f ca="1">_xll.FDS("GBPUSD","FG_PRICE("&amp;B1127&amp;")")</f>
        <v>#NAME?</v>
      </c>
      <c r="E1127" t="e">
        <f ca="1">_xll.FDSB("JPYUSD","FG_PRICE("&amp;B1127&amp;")")</f>
        <v>#NAME?</v>
      </c>
    </row>
    <row r="1128" spans="2:5">
      <c r="B1128" s="244">
        <f t="shared" si="59"/>
        <v>44591</v>
      </c>
      <c r="C1128" s="245" t="e">
        <f ca="1">_xll.FDS("EURUSD","FG_PRICE("&amp;B1128&amp;")")</f>
        <v>#NAME?</v>
      </c>
      <c r="D1128" t="e">
        <f ca="1">_xll.FDS("GBPUSD","FG_PRICE("&amp;B1128&amp;")")</f>
        <v>#NAME?</v>
      </c>
      <c r="E1128" t="e">
        <f ca="1">_xll.FDSB("JPYUSD","FG_PRICE("&amp;B1128&amp;")")</f>
        <v>#NAME?</v>
      </c>
    </row>
    <row r="1129" spans="2:5">
      <c r="B1129" s="244">
        <f t="shared" si="59"/>
        <v>44592</v>
      </c>
      <c r="C1129" s="245" t="e">
        <f ca="1">_xll.FDS("EURUSD","FG_PRICE("&amp;B1129&amp;")")</f>
        <v>#NAME?</v>
      </c>
      <c r="D1129" t="e">
        <f ca="1">_xll.FDS("GBPUSD","FG_PRICE("&amp;B1129&amp;")")</f>
        <v>#NAME?</v>
      </c>
      <c r="E1129" t="e">
        <f ca="1">_xll.FDSB("JPYUSD","FG_PRICE("&amp;B1129&amp;")")</f>
        <v>#NAME?</v>
      </c>
    </row>
    <row r="1130" spans="2:5">
      <c r="B1130" s="244">
        <f t="shared" si="59"/>
        <v>44593</v>
      </c>
      <c r="C1130" s="245" t="e">
        <f ca="1">_xll.FDS("EURUSD","FG_PRICE("&amp;B1130&amp;")")</f>
        <v>#NAME?</v>
      </c>
      <c r="D1130" t="e">
        <f ca="1">_xll.FDS("GBPUSD","FG_PRICE("&amp;B1130&amp;")")</f>
        <v>#NAME?</v>
      </c>
      <c r="E1130" t="e">
        <f ca="1">_xll.FDSB("JPYUSD","FG_PRICE("&amp;B1130&amp;")")</f>
        <v>#NAME?</v>
      </c>
    </row>
    <row r="1131" spans="2:5">
      <c r="B1131" s="244">
        <f t="shared" si="59"/>
        <v>44594</v>
      </c>
      <c r="C1131" s="245" t="e">
        <f ca="1">_xll.FDS("EURUSD","FG_PRICE("&amp;B1131&amp;")")</f>
        <v>#NAME?</v>
      </c>
      <c r="D1131" t="e">
        <f ca="1">_xll.FDS("GBPUSD","FG_PRICE("&amp;B1131&amp;")")</f>
        <v>#NAME?</v>
      </c>
      <c r="E1131" t="e">
        <f ca="1">_xll.FDSB("JPYUSD","FG_PRICE("&amp;B1131&amp;")")</f>
        <v>#NAME?</v>
      </c>
    </row>
    <row r="1132" spans="2:5">
      <c r="B1132" s="244">
        <f t="shared" si="59"/>
        <v>44595</v>
      </c>
      <c r="C1132" s="245" t="e">
        <f ca="1">_xll.FDS("EURUSD","FG_PRICE("&amp;B1132&amp;")")</f>
        <v>#NAME?</v>
      </c>
      <c r="D1132" t="e">
        <f ca="1">_xll.FDS("GBPUSD","FG_PRICE("&amp;B1132&amp;")")</f>
        <v>#NAME?</v>
      </c>
      <c r="E1132" t="e">
        <f ca="1">_xll.FDSB("JPYUSD","FG_PRICE("&amp;B1132&amp;")")</f>
        <v>#NAME?</v>
      </c>
    </row>
    <row r="1133" spans="2:5">
      <c r="B1133" s="244">
        <f t="shared" si="59"/>
        <v>44596</v>
      </c>
      <c r="C1133" s="245" t="e">
        <f ca="1">_xll.FDS("EURUSD","FG_PRICE("&amp;B1133&amp;")")</f>
        <v>#NAME?</v>
      </c>
      <c r="D1133" t="e">
        <f ca="1">_xll.FDS("GBPUSD","FG_PRICE("&amp;B1133&amp;")")</f>
        <v>#NAME?</v>
      </c>
      <c r="E1133" t="e">
        <f ca="1">_xll.FDSB("JPYUSD","FG_PRICE("&amp;B1133&amp;")")</f>
        <v>#NAME?</v>
      </c>
    </row>
    <row r="1134" spans="2:5">
      <c r="B1134" s="244">
        <f t="shared" si="59"/>
        <v>44597</v>
      </c>
      <c r="C1134" s="245" t="e">
        <f ca="1">_xll.FDS("EURUSD","FG_PRICE("&amp;B1134&amp;")")</f>
        <v>#NAME?</v>
      </c>
      <c r="D1134" t="e">
        <f ca="1">_xll.FDS("GBPUSD","FG_PRICE("&amp;B1134&amp;")")</f>
        <v>#NAME?</v>
      </c>
      <c r="E1134" t="e">
        <f ca="1">_xll.FDSB("JPYUSD","FG_PRICE("&amp;B1134&amp;")")</f>
        <v>#NAME?</v>
      </c>
    </row>
    <row r="1135" spans="2:5">
      <c r="B1135" s="244">
        <f t="shared" si="59"/>
        <v>44598</v>
      </c>
      <c r="C1135" s="245" t="e">
        <f ca="1">_xll.FDS("EURUSD","FG_PRICE("&amp;B1135&amp;")")</f>
        <v>#NAME?</v>
      </c>
      <c r="D1135" t="e">
        <f ca="1">_xll.FDS("GBPUSD","FG_PRICE("&amp;B1135&amp;")")</f>
        <v>#NAME?</v>
      </c>
      <c r="E1135" t="e">
        <f ca="1">_xll.FDSB("JPYUSD","FG_PRICE("&amp;B1135&amp;")")</f>
        <v>#NAME?</v>
      </c>
    </row>
    <row r="1136" spans="2:5">
      <c r="B1136" s="244">
        <f t="shared" si="59"/>
        <v>44599</v>
      </c>
      <c r="C1136" s="245" t="e">
        <f ca="1">_xll.FDS("EURUSD","FG_PRICE("&amp;B1136&amp;")")</f>
        <v>#NAME?</v>
      </c>
      <c r="D1136" t="e">
        <f ca="1">_xll.FDS("GBPUSD","FG_PRICE("&amp;B1136&amp;")")</f>
        <v>#NAME?</v>
      </c>
      <c r="E1136" t="e">
        <f ca="1">_xll.FDSB("JPYUSD","FG_PRICE("&amp;B1136&amp;")")</f>
        <v>#NAME?</v>
      </c>
    </row>
    <row r="1137" spans="2:5">
      <c r="B1137" s="244">
        <f t="shared" si="59"/>
        <v>44600</v>
      </c>
      <c r="C1137" s="245" t="e">
        <f ca="1">_xll.FDS("EURUSD","FG_PRICE("&amp;B1137&amp;")")</f>
        <v>#NAME?</v>
      </c>
      <c r="D1137" t="e">
        <f ca="1">_xll.FDS("GBPUSD","FG_PRICE("&amp;B1137&amp;")")</f>
        <v>#NAME?</v>
      </c>
      <c r="E1137" t="e">
        <f ca="1">_xll.FDSB("JPYUSD","FG_PRICE("&amp;B1137&amp;")")</f>
        <v>#NAME?</v>
      </c>
    </row>
    <row r="1138" spans="2:5">
      <c r="B1138" s="244">
        <f t="shared" si="59"/>
        <v>44601</v>
      </c>
      <c r="C1138" s="245" t="e">
        <f ca="1">_xll.FDS("EURUSD","FG_PRICE("&amp;B1138&amp;")")</f>
        <v>#NAME?</v>
      </c>
      <c r="D1138" t="e">
        <f ca="1">_xll.FDS("GBPUSD","FG_PRICE("&amp;B1138&amp;")")</f>
        <v>#NAME?</v>
      </c>
      <c r="E1138" t="e">
        <f ca="1">_xll.FDSB("JPYUSD","FG_PRICE("&amp;B1138&amp;")")</f>
        <v>#NAME?</v>
      </c>
    </row>
    <row r="1139" spans="2:5">
      <c r="B1139" s="244">
        <f t="shared" si="59"/>
        <v>44602</v>
      </c>
      <c r="C1139" s="245" t="e">
        <f ca="1">_xll.FDS("EURUSD","FG_PRICE("&amp;B1139&amp;")")</f>
        <v>#NAME?</v>
      </c>
      <c r="D1139" t="e">
        <f ca="1">_xll.FDS("GBPUSD","FG_PRICE("&amp;B1139&amp;")")</f>
        <v>#NAME?</v>
      </c>
      <c r="E1139" t="e">
        <f ca="1">_xll.FDSB("JPYUSD","FG_PRICE("&amp;B1139&amp;")")</f>
        <v>#NAME?</v>
      </c>
    </row>
    <row r="1140" spans="2:5">
      <c r="B1140" s="244">
        <f t="shared" si="59"/>
        <v>44603</v>
      </c>
      <c r="C1140" s="245" t="e">
        <f ca="1">_xll.FDS("EURUSD","FG_PRICE("&amp;B1140&amp;")")</f>
        <v>#NAME?</v>
      </c>
      <c r="D1140" t="e">
        <f ca="1">_xll.FDS("GBPUSD","FG_PRICE("&amp;B1140&amp;")")</f>
        <v>#NAME?</v>
      </c>
      <c r="E1140" t="e">
        <f ca="1">_xll.FDSB("JPYUSD","FG_PRICE("&amp;B1140&amp;")")</f>
        <v>#NAME?</v>
      </c>
    </row>
    <row r="1141" spans="2:5">
      <c r="B1141" s="244">
        <f t="shared" si="59"/>
        <v>44604</v>
      </c>
      <c r="C1141" s="245" t="e">
        <f ca="1">_xll.FDS("EURUSD","FG_PRICE("&amp;B1141&amp;")")</f>
        <v>#NAME?</v>
      </c>
      <c r="D1141" t="e">
        <f ca="1">_xll.FDS("GBPUSD","FG_PRICE("&amp;B1141&amp;")")</f>
        <v>#NAME?</v>
      </c>
      <c r="E1141" t="e">
        <f ca="1">_xll.FDSB("JPYUSD","FG_PRICE("&amp;B1141&amp;")")</f>
        <v>#NAME?</v>
      </c>
    </row>
    <row r="1142" spans="2:5">
      <c r="B1142" s="244">
        <f t="shared" si="59"/>
        <v>44605</v>
      </c>
      <c r="C1142" s="245" t="e">
        <f ca="1">_xll.FDS("EURUSD","FG_PRICE("&amp;B1142&amp;")")</f>
        <v>#NAME?</v>
      </c>
      <c r="D1142" t="e">
        <f ca="1">_xll.FDS("GBPUSD","FG_PRICE("&amp;B1142&amp;")")</f>
        <v>#NAME?</v>
      </c>
      <c r="E1142" t="e">
        <f ca="1">_xll.FDSB("JPYUSD","FG_PRICE("&amp;B1142&amp;")")</f>
        <v>#NAME?</v>
      </c>
    </row>
    <row r="1143" spans="2:5">
      <c r="B1143" s="244">
        <f t="shared" si="59"/>
        <v>44606</v>
      </c>
      <c r="C1143" s="245" t="e">
        <f ca="1">_xll.FDS("EURUSD","FG_PRICE("&amp;B1143&amp;")")</f>
        <v>#NAME?</v>
      </c>
      <c r="D1143" t="e">
        <f ca="1">_xll.FDS("GBPUSD","FG_PRICE("&amp;B1143&amp;")")</f>
        <v>#NAME?</v>
      </c>
      <c r="E1143" t="e">
        <f ca="1">_xll.FDSB("JPYUSD","FG_PRICE("&amp;B1143&amp;")")</f>
        <v>#NAME?</v>
      </c>
    </row>
    <row r="1144" spans="2:5">
      <c r="B1144" s="244">
        <f t="shared" si="59"/>
        <v>44607</v>
      </c>
      <c r="C1144" s="245" t="e">
        <f ca="1">_xll.FDS("EURUSD","FG_PRICE("&amp;B1144&amp;")")</f>
        <v>#NAME?</v>
      </c>
      <c r="D1144" t="e">
        <f ca="1">_xll.FDS("GBPUSD","FG_PRICE("&amp;B1144&amp;")")</f>
        <v>#NAME?</v>
      </c>
      <c r="E1144" t="e">
        <f ca="1">_xll.FDSB("JPYUSD","FG_PRICE("&amp;B1144&amp;")")</f>
        <v>#NAME?</v>
      </c>
    </row>
    <row r="1145" spans="2:5">
      <c r="B1145" s="244">
        <f t="shared" si="59"/>
        <v>44608</v>
      </c>
      <c r="C1145" s="245" t="e">
        <f ca="1">_xll.FDS("EURUSD","FG_PRICE("&amp;B1145&amp;")")</f>
        <v>#NAME?</v>
      </c>
      <c r="D1145" t="e">
        <f ca="1">_xll.FDS("GBPUSD","FG_PRICE("&amp;B1145&amp;")")</f>
        <v>#NAME?</v>
      </c>
      <c r="E1145" t="e">
        <f ca="1">_xll.FDSB("JPYUSD","FG_PRICE("&amp;B1145&amp;")")</f>
        <v>#NAME?</v>
      </c>
    </row>
    <row r="1146" spans="2:5">
      <c r="B1146" s="244">
        <f t="shared" si="59"/>
        <v>44609</v>
      </c>
      <c r="C1146" s="245" t="e">
        <f ca="1">_xll.FDS("EURUSD","FG_PRICE("&amp;B1146&amp;")")</f>
        <v>#NAME?</v>
      </c>
      <c r="D1146" t="e">
        <f ca="1">_xll.FDS("GBPUSD","FG_PRICE("&amp;B1146&amp;")")</f>
        <v>#NAME?</v>
      </c>
      <c r="E1146" t="e">
        <f ca="1">_xll.FDSB("JPYUSD","FG_PRICE("&amp;B1146&amp;")")</f>
        <v>#NAME?</v>
      </c>
    </row>
    <row r="1147" spans="2:5">
      <c r="B1147" s="244">
        <f t="shared" si="59"/>
        <v>44610</v>
      </c>
      <c r="C1147" s="245" t="e">
        <f ca="1">_xll.FDS("EURUSD","FG_PRICE("&amp;B1147&amp;")")</f>
        <v>#NAME?</v>
      </c>
      <c r="D1147" t="e">
        <f ca="1">_xll.FDS("GBPUSD","FG_PRICE("&amp;B1147&amp;")")</f>
        <v>#NAME?</v>
      </c>
      <c r="E1147" t="e">
        <f ca="1">_xll.FDSB("JPYUSD","FG_PRICE("&amp;B1147&amp;")")</f>
        <v>#NAME?</v>
      </c>
    </row>
    <row r="1148" spans="2:5">
      <c r="B1148" s="244">
        <f t="shared" si="59"/>
        <v>44611</v>
      </c>
      <c r="C1148" s="245" t="e">
        <f ca="1">_xll.FDS("EURUSD","FG_PRICE("&amp;B1148&amp;")")</f>
        <v>#NAME?</v>
      </c>
      <c r="D1148" t="e">
        <f ca="1">_xll.FDS("GBPUSD","FG_PRICE("&amp;B1148&amp;")")</f>
        <v>#NAME?</v>
      </c>
      <c r="E1148" t="e">
        <f ca="1">_xll.FDSB("JPYUSD","FG_PRICE("&amp;B1148&amp;")")</f>
        <v>#NAME?</v>
      </c>
    </row>
    <row r="1149" spans="2:5">
      <c r="B1149" s="244">
        <f t="shared" si="59"/>
        <v>44612</v>
      </c>
      <c r="C1149" s="245" t="e">
        <f ca="1">_xll.FDS("EURUSD","FG_PRICE("&amp;B1149&amp;")")</f>
        <v>#NAME?</v>
      </c>
      <c r="D1149" t="e">
        <f ca="1">_xll.FDS("GBPUSD","FG_PRICE("&amp;B1149&amp;")")</f>
        <v>#NAME?</v>
      </c>
      <c r="E1149" t="e">
        <f ca="1">_xll.FDSB("JPYUSD","FG_PRICE("&amp;B1149&amp;")")</f>
        <v>#NAME?</v>
      </c>
    </row>
    <row r="1150" spans="2:5">
      <c r="B1150" s="244">
        <f t="shared" si="59"/>
        <v>44613</v>
      </c>
      <c r="C1150" s="245" t="e">
        <f ca="1">_xll.FDS("EURUSD","FG_PRICE("&amp;B1150&amp;")")</f>
        <v>#NAME?</v>
      </c>
      <c r="D1150" t="e">
        <f ca="1">_xll.FDS("GBPUSD","FG_PRICE("&amp;B1150&amp;")")</f>
        <v>#NAME?</v>
      </c>
      <c r="E1150" t="e">
        <f ca="1">_xll.FDSB("JPYUSD","FG_PRICE("&amp;B1150&amp;")")</f>
        <v>#NAME?</v>
      </c>
    </row>
    <row r="1151" spans="2:5">
      <c r="B1151" s="244">
        <f t="shared" si="59"/>
        <v>44614</v>
      </c>
      <c r="C1151" s="245" t="e">
        <f ca="1">_xll.FDS("EURUSD","FG_PRICE("&amp;B1151&amp;")")</f>
        <v>#NAME?</v>
      </c>
      <c r="D1151" t="e">
        <f ca="1">_xll.FDS("GBPUSD","FG_PRICE("&amp;B1151&amp;")")</f>
        <v>#NAME?</v>
      </c>
      <c r="E1151" t="e">
        <f ca="1">_xll.FDSB("JPYUSD","FG_PRICE("&amp;B1151&amp;")")</f>
        <v>#NAME?</v>
      </c>
    </row>
    <row r="1152" spans="2:5">
      <c r="B1152" s="244">
        <f t="shared" si="59"/>
        <v>44615</v>
      </c>
      <c r="C1152" s="245" t="e">
        <f ca="1">_xll.FDS("EURUSD","FG_PRICE("&amp;B1152&amp;")")</f>
        <v>#NAME?</v>
      </c>
      <c r="D1152" t="e">
        <f ca="1">_xll.FDS("GBPUSD","FG_PRICE("&amp;B1152&amp;")")</f>
        <v>#NAME?</v>
      </c>
      <c r="E1152" t="e">
        <f ca="1">_xll.FDSB("JPYUSD","FG_PRICE("&amp;B1152&amp;")")</f>
        <v>#NAME?</v>
      </c>
    </row>
    <row r="1153" spans="2:5">
      <c r="B1153" s="244">
        <f t="shared" si="59"/>
        <v>44616</v>
      </c>
      <c r="C1153" s="245" t="e">
        <f ca="1">_xll.FDS("EURUSD","FG_PRICE("&amp;B1153&amp;")")</f>
        <v>#NAME?</v>
      </c>
      <c r="D1153" t="e">
        <f ca="1">_xll.FDS("GBPUSD","FG_PRICE("&amp;B1153&amp;")")</f>
        <v>#NAME?</v>
      </c>
      <c r="E1153" t="e">
        <f ca="1">_xll.FDSB("JPYUSD","FG_PRICE("&amp;B1153&amp;")")</f>
        <v>#NAME?</v>
      </c>
    </row>
    <row r="1154" spans="2:5">
      <c r="B1154" s="244">
        <f t="shared" si="59"/>
        <v>44617</v>
      </c>
      <c r="C1154" s="245" t="e">
        <f ca="1">_xll.FDS("EURUSD","FG_PRICE("&amp;B1154&amp;")")</f>
        <v>#NAME?</v>
      </c>
      <c r="D1154" t="e">
        <f ca="1">_xll.FDS("GBPUSD","FG_PRICE("&amp;B1154&amp;")")</f>
        <v>#NAME?</v>
      </c>
      <c r="E1154" t="e">
        <f ca="1">_xll.FDSB("JPYUSD","FG_PRICE("&amp;B1154&amp;")")</f>
        <v>#NAME?</v>
      </c>
    </row>
    <row r="1155" spans="2:5">
      <c r="B1155" s="244">
        <f t="shared" si="59"/>
        <v>44618</v>
      </c>
      <c r="C1155" s="245" t="e">
        <f ca="1">_xll.FDS("EURUSD","FG_PRICE("&amp;B1155&amp;")")</f>
        <v>#NAME?</v>
      </c>
      <c r="D1155" t="e">
        <f ca="1">_xll.FDS("GBPUSD","FG_PRICE("&amp;B1155&amp;")")</f>
        <v>#NAME?</v>
      </c>
      <c r="E1155" t="e">
        <f ca="1">_xll.FDSB("JPYUSD","FG_PRICE("&amp;B1155&amp;")")</f>
        <v>#NAME?</v>
      </c>
    </row>
    <row r="1156" spans="2:5">
      <c r="B1156" s="244">
        <f t="shared" si="59"/>
        <v>44619</v>
      </c>
      <c r="C1156" s="245" t="e">
        <f ca="1">_xll.FDS("EURUSD","FG_PRICE("&amp;B1156&amp;")")</f>
        <v>#NAME?</v>
      </c>
      <c r="D1156" t="e">
        <f ca="1">_xll.FDS("GBPUSD","FG_PRICE("&amp;B1156&amp;")")</f>
        <v>#NAME?</v>
      </c>
      <c r="E1156" t="e">
        <f ca="1">_xll.FDSB("JPYUSD","FG_PRICE("&amp;B1156&amp;")")</f>
        <v>#NAME?</v>
      </c>
    </row>
    <row r="1157" spans="2:5">
      <c r="B1157" s="244">
        <f t="shared" ref="B1157:B1220" si="60">B1156+1</f>
        <v>44620</v>
      </c>
      <c r="C1157" s="245" t="e">
        <f ca="1">_xll.FDS("EURUSD","FG_PRICE("&amp;B1157&amp;")")</f>
        <v>#NAME?</v>
      </c>
      <c r="D1157" t="e">
        <f ca="1">_xll.FDS("GBPUSD","FG_PRICE("&amp;B1157&amp;")")</f>
        <v>#NAME?</v>
      </c>
      <c r="E1157" t="e">
        <f ca="1">_xll.FDSB("JPYUSD","FG_PRICE("&amp;B1157&amp;")")</f>
        <v>#NAME?</v>
      </c>
    </row>
    <row r="1158" spans="2:5">
      <c r="B1158" s="244">
        <f t="shared" si="60"/>
        <v>44621</v>
      </c>
      <c r="C1158" s="245" t="e">
        <f ca="1">_xll.FDS("EURUSD","FG_PRICE("&amp;B1158&amp;")")</f>
        <v>#NAME?</v>
      </c>
      <c r="D1158" t="e">
        <f ca="1">_xll.FDS("GBPUSD","FG_PRICE("&amp;B1158&amp;")")</f>
        <v>#NAME?</v>
      </c>
      <c r="E1158" t="e">
        <f ca="1">_xll.FDSB("JPYUSD","FG_PRICE("&amp;B1158&amp;")")</f>
        <v>#NAME?</v>
      </c>
    </row>
    <row r="1159" spans="2:5">
      <c r="B1159" s="244">
        <f t="shared" si="60"/>
        <v>44622</v>
      </c>
      <c r="C1159" s="245" t="e">
        <f ca="1">_xll.FDS("EURUSD","FG_PRICE("&amp;B1159&amp;")")</f>
        <v>#NAME?</v>
      </c>
      <c r="D1159" t="e">
        <f ca="1">_xll.FDS("GBPUSD","FG_PRICE("&amp;B1159&amp;")")</f>
        <v>#NAME?</v>
      </c>
      <c r="E1159" t="e">
        <f ca="1">_xll.FDSB("JPYUSD","FG_PRICE("&amp;B1159&amp;")")</f>
        <v>#NAME?</v>
      </c>
    </row>
    <row r="1160" spans="2:5">
      <c r="B1160" s="244">
        <f t="shared" si="60"/>
        <v>44623</v>
      </c>
      <c r="C1160" s="245" t="e">
        <f ca="1">_xll.FDS("EURUSD","FG_PRICE("&amp;B1160&amp;")")</f>
        <v>#NAME?</v>
      </c>
      <c r="D1160" t="e">
        <f ca="1">_xll.FDS("GBPUSD","FG_PRICE("&amp;B1160&amp;")")</f>
        <v>#NAME?</v>
      </c>
      <c r="E1160" t="e">
        <f ca="1">_xll.FDSB("JPYUSD","FG_PRICE("&amp;B1160&amp;")")</f>
        <v>#NAME?</v>
      </c>
    </row>
    <row r="1161" spans="2:5">
      <c r="B1161" s="244">
        <f t="shared" si="60"/>
        <v>44624</v>
      </c>
      <c r="C1161" s="245" t="e">
        <f ca="1">_xll.FDS("EURUSD","FG_PRICE("&amp;B1161&amp;")")</f>
        <v>#NAME?</v>
      </c>
      <c r="D1161" t="e">
        <f ca="1">_xll.FDS("GBPUSD","FG_PRICE("&amp;B1161&amp;")")</f>
        <v>#NAME?</v>
      </c>
      <c r="E1161" t="e">
        <f ca="1">_xll.FDSB("JPYUSD","FG_PRICE("&amp;B1161&amp;")")</f>
        <v>#NAME?</v>
      </c>
    </row>
    <row r="1162" spans="2:5">
      <c r="B1162" s="244">
        <f t="shared" si="60"/>
        <v>44625</v>
      </c>
      <c r="C1162" s="245" t="e">
        <f ca="1">_xll.FDS("EURUSD","FG_PRICE("&amp;B1162&amp;")")</f>
        <v>#NAME?</v>
      </c>
      <c r="D1162" t="e">
        <f ca="1">_xll.FDS("GBPUSD","FG_PRICE("&amp;B1162&amp;")")</f>
        <v>#NAME?</v>
      </c>
      <c r="E1162" t="e">
        <f ca="1">_xll.FDSB("JPYUSD","FG_PRICE("&amp;B1162&amp;")")</f>
        <v>#NAME?</v>
      </c>
    </row>
    <row r="1163" spans="2:5">
      <c r="B1163" s="244">
        <f t="shared" si="60"/>
        <v>44626</v>
      </c>
      <c r="C1163" s="245" t="e">
        <f ca="1">_xll.FDS("EURUSD","FG_PRICE("&amp;B1163&amp;")")</f>
        <v>#NAME?</v>
      </c>
      <c r="D1163" t="e">
        <f ca="1">_xll.FDS("GBPUSD","FG_PRICE("&amp;B1163&amp;")")</f>
        <v>#NAME?</v>
      </c>
      <c r="E1163" t="e">
        <f ca="1">_xll.FDSB("JPYUSD","FG_PRICE("&amp;B1163&amp;")")</f>
        <v>#NAME?</v>
      </c>
    </row>
    <row r="1164" spans="2:5">
      <c r="B1164" s="244">
        <f t="shared" si="60"/>
        <v>44627</v>
      </c>
      <c r="C1164" s="245" t="e">
        <f ca="1">_xll.FDS("EURUSD","FG_PRICE("&amp;B1164&amp;")")</f>
        <v>#NAME?</v>
      </c>
      <c r="D1164" t="e">
        <f ca="1">_xll.FDS("GBPUSD","FG_PRICE("&amp;B1164&amp;")")</f>
        <v>#NAME?</v>
      </c>
      <c r="E1164" t="e">
        <f ca="1">_xll.FDSB("JPYUSD","FG_PRICE("&amp;B1164&amp;")")</f>
        <v>#NAME?</v>
      </c>
    </row>
    <row r="1165" spans="2:5">
      <c r="B1165" s="244">
        <f t="shared" si="60"/>
        <v>44628</v>
      </c>
      <c r="C1165" s="245" t="e">
        <f ca="1">_xll.FDS("EURUSD","FG_PRICE("&amp;B1165&amp;")")</f>
        <v>#NAME?</v>
      </c>
      <c r="D1165" t="e">
        <f ca="1">_xll.FDS("GBPUSD","FG_PRICE("&amp;B1165&amp;")")</f>
        <v>#NAME?</v>
      </c>
      <c r="E1165" t="e">
        <f ca="1">_xll.FDSB("JPYUSD","FG_PRICE("&amp;B1165&amp;")")</f>
        <v>#NAME?</v>
      </c>
    </row>
    <row r="1166" spans="2:5">
      <c r="B1166" s="244">
        <f t="shared" si="60"/>
        <v>44629</v>
      </c>
      <c r="C1166" s="245" t="e">
        <f ca="1">_xll.FDS("EURUSD","FG_PRICE("&amp;B1166&amp;")")</f>
        <v>#NAME?</v>
      </c>
      <c r="D1166" t="e">
        <f ca="1">_xll.FDS("GBPUSD","FG_PRICE("&amp;B1166&amp;")")</f>
        <v>#NAME?</v>
      </c>
      <c r="E1166" t="e">
        <f ca="1">_xll.FDSB("JPYUSD","FG_PRICE("&amp;B1166&amp;")")</f>
        <v>#NAME?</v>
      </c>
    </row>
    <row r="1167" spans="2:5">
      <c r="B1167" s="244">
        <f t="shared" si="60"/>
        <v>44630</v>
      </c>
      <c r="C1167" s="245" t="e">
        <f ca="1">_xll.FDS("EURUSD","FG_PRICE("&amp;B1167&amp;")")</f>
        <v>#NAME?</v>
      </c>
      <c r="D1167" t="e">
        <f ca="1">_xll.FDS("GBPUSD","FG_PRICE("&amp;B1167&amp;")")</f>
        <v>#NAME?</v>
      </c>
      <c r="E1167" t="e">
        <f ca="1">_xll.FDSB("JPYUSD","FG_PRICE("&amp;B1167&amp;")")</f>
        <v>#NAME?</v>
      </c>
    </row>
    <row r="1168" spans="2:5">
      <c r="B1168" s="244">
        <f t="shared" si="60"/>
        <v>44631</v>
      </c>
      <c r="C1168" s="245" t="e">
        <f ca="1">_xll.FDS("EURUSD","FG_PRICE("&amp;B1168&amp;")")</f>
        <v>#NAME?</v>
      </c>
      <c r="D1168" t="e">
        <f ca="1">_xll.FDS("GBPUSD","FG_PRICE("&amp;B1168&amp;")")</f>
        <v>#NAME?</v>
      </c>
      <c r="E1168" t="e">
        <f ca="1">_xll.FDSB("JPYUSD","FG_PRICE("&amp;B1168&amp;")")</f>
        <v>#NAME?</v>
      </c>
    </row>
    <row r="1169" spans="2:5">
      <c r="B1169" s="244">
        <f t="shared" si="60"/>
        <v>44632</v>
      </c>
      <c r="C1169" s="245" t="e">
        <f ca="1">_xll.FDS("EURUSD","FG_PRICE("&amp;B1169&amp;")")</f>
        <v>#NAME?</v>
      </c>
      <c r="D1169" t="e">
        <f ca="1">_xll.FDS("GBPUSD","FG_PRICE("&amp;B1169&amp;")")</f>
        <v>#NAME?</v>
      </c>
      <c r="E1169" t="e">
        <f ca="1">_xll.FDSB("JPYUSD","FG_PRICE("&amp;B1169&amp;")")</f>
        <v>#NAME?</v>
      </c>
    </row>
    <row r="1170" spans="2:5">
      <c r="B1170" s="244">
        <f t="shared" si="60"/>
        <v>44633</v>
      </c>
      <c r="C1170" s="245" t="e">
        <f ca="1">_xll.FDS("EURUSD","FG_PRICE("&amp;B1170&amp;")")</f>
        <v>#NAME?</v>
      </c>
      <c r="D1170" t="e">
        <f ca="1">_xll.FDS("GBPUSD","FG_PRICE("&amp;B1170&amp;")")</f>
        <v>#NAME?</v>
      </c>
      <c r="E1170" t="e">
        <f ca="1">_xll.FDSB("JPYUSD","FG_PRICE("&amp;B1170&amp;")")</f>
        <v>#NAME?</v>
      </c>
    </row>
    <row r="1171" spans="2:5">
      <c r="B1171" s="244">
        <f t="shared" si="60"/>
        <v>44634</v>
      </c>
      <c r="C1171" s="245" t="e">
        <f ca="1">_xll.FDS("EURUSD","FG_PRICE("&amp;B1171&amp;")")</f>
        <v>#NAME?</v>
      </c>
      <c r="D1171" t="e">
        <f ca="1">_xll.FDS("GBPUSD","FG_PRICE("&amp;B1171&amp;")")</f>
        <v>#NAME?</v>
      </c>
      <c r="E1171" t="e">
        <f ca="1">_xll.FDSB("JPYUSD","FG_PRICE("&amp;B1171&amp;")")</f>
        <v>#NAME?</v>
      </c>
    </row>
    <row r="1172" spans="2:5">
      <c r="B1172" s="244">
        <f t="shared" si="60"/>
        <v>44635</v>
      </c>
      <c r="C1172" s="245" t="e">
        <f ca="1">_xll.FDS("EURUSD","FG_PRICE("&amp;B1172&amp;")")</f>
        <v>#NAME?</v>
      </c>
      <c r="D1172" t="e">
        <f ca="1">_xll.FDS("GBPUSD","FG_PRICE("&amp;B1172&amp;")")</f>
        <v>#NAME?</v>
      </c>
      <c r="E1172" t="e">
        <f ca="1">_xll.FDSB("JPYUSD","FG_PRICE("&amp;B1172&amp;")")</f>
        <v>#NAME?</v>
      </c>
    </row>
    <row r="1173" spans="2:5">
      <c r="B1173" s="244">
        <f t="shared" si="60"/>
        <v>44636</v>
      </c>
      <c r="C1173" s="245" t="e">
        <f ca="1">_xll.FDS("EURUSD","FG_PRICE("&amp;B1173&amp;")")</f>
        <v>#NAME?</v>
      </c>
      <c r="D1173" t="e">
        <f ca="1">_xll.FDS("GBPUSD","FG_PRICE("&amp;B1173&amp;")")</f>
        <v>#NAME?</v>
      </c>
      <c r="E1173" t="e">
        <f ca="1">_xll.FDSB("JPYUSD","FG_PRICE("&amp;B1173&amp;")")</f>
        <v>#NAME?</v>
      </c>
    </row>
    <row r="1174" spans="2:5">
      <c r="B1174" s="244">
        <f t="shared" si="60"/>
        <v>44637</v>
      </c>
      <c r="C1174" s="245" t="e">
        <f ca="1">_xll.FDS("EURUSD","FG_PRICE("&amp;B1174&amp;")")</f>
        <v>#NAME?</v>
      </c>
      <c r="D1174" t="e">
        <f ca="1">_xll.FDS("GBPUSD","FG_PRICE("&amp;B1174&amp;")")</f>
        <v>#NAME?</v>
      </c>
      <c r="E1174" t="e">
        <f ca="1">_xll.FDSB("JPYUSD","FG_PRICE("&amp;B1174&amp;")")</f>
        <v>#NAME?</v>
      </c>
    </row>
    <row r="1175" spans="2:5">
      <c r="B1175" s="244">
        <f t="shared" si="60"/>
        <v>44638</v>
      </c>
      <c r="C1175" s="245" t="e">
        <f ca="1">_xll.FDS("EURUSD","FG_PRICE("&amp;B1175&amp;")")</f>
        <v>#NAME?</v>
      </c>
      <c r="D1175" t="e">
        <f ca="1">_xll.FDS("GBPUSD","FG_PRICE("&amp;B1175&amp;")")</f>
        <v>#NAME?</v>
      </c>
      <c r="E1175" t="e">
        <f ca="1">_xll.FDSB("JPYUSD","FG_PRICE("&amp;B1175&amp;")")</f>
        <v>#NAME?</v>
      </c>
    </row>
    <row r="1176" spans="2:5">
      <c r="B1176" s="244">
        <f t="shared" si="60"/>
        <v>44639</v>
      </c>
      <c r="C1176" s="245" t="e">
        <f ca="1">_xll.FDS("EURUSD","FG_PRICE("&amp;B1176&amp;")")</f>
        <v>#NAME?</v>
      </c>
      <c r="D1176" t="e">
        <f ca="1">_xll.FDS("GBPUSD","FG_PRICE("&amp;B1176&amp;")")</f>
        <v>#NAME?</v>
      </c>
      <c r="E1176" t="e">
        <f ca="1">_xll.FDSB("JPYUSD","FG_PRICE("&amp;B1176&amp;")")</f>
        <v>#NAME?</v>
      </c>
    </row>
    <row r="1177" spans="2:5">
      <c r="B1177" s="244">
        <f t="shared" si="60"/>
        <v>44640</v>
      </c>
      <c r="C1177" s="245" t="e">
        <f ca="1">_xll.FDS("EURUSD","FG_PRICE("&amp;B1177&amp;")")</f>
        <v>#NAME?</v>
      </c>
      <c r="D1177" t="e">
        <f ca="1">_xll.FDS("GBPUSD","FG_PRICE("&amp;B1177&amp;")")</f>
        <v>#NAME?</v>
      </c>
      <c r="E1177" t="e">
        <f ca="1">_xll.FDSB("JPYUSD","FG_PRICE("&amp;B1177&amp;")")</f>
        <v>#NAME?</v>
      </c>
    </row>
    <row r="1178" spans="2:5">
      <c r="B1178" s="244">
        <f t="shared" si="60"/>
        <v>44641</v>
      </c>
      <c r="C1178" s="245" t="e">
        <f ca="1">_xll.FDS("EURUSD","FG_PRICE("&amp;B1178&amp;")")</f>
        <v>#NAME?</v>
      </c>
      <c r="D1178" t="e">
        <f ca="1">_xll.FDS("GBPUSD","FG_PRICE("&amp;B1178&amp;")")</f>
        <v>#NAME?</v>
      </c>
      <c r="E1178" t="e">
        <f ca="1">_xll.FDSB("JPYUSD","FG_PRICE("&amp;B1178&amp;")")</f>
        <v>#NAME?</v>
      </c>
    </row>
    <row r="1179" spans="2:5">
      <c r="B1179" s="244">
        <f t="shared" si="60"/>
        <v>44642</v>
      </c>
      <c r="C1179" s="245" t="e">
        <f ca="1">_xll.FDS("EURUSD","FG_PRICE("&amp;B1179&amp;")")</f>
        <v>#NAME?</v>
      </c>
      <c r="D1179" t="e">
        <f ca="1">_xll.FDS("GBPUSD","FG_PRICE("&amp;B1179&amp;")")</f>
        <v>#NAME?</v>
      </c>
      <c r="E1179" t="e">
        <f ca="1">_xll.FDSB("JPYUSD","FG_PRICE("&amp;B1179&amp;")")</f>
        <v>#NAME?</v>
      </c>
    </row>
    <row r="1180" spans="2:5">
      <c r="B1180" s="244">
        <f t="shared" si="60"/>
        <v>44643</v>
      </c>
      <c r="C1180" s="245" t="e">
        <f ca="1">_xll.FDS("EURUSD","FG_PRICE("&amp;B1180&amp;")")</f>
        <v>#NAME?</v>
      </c>
      <c r="D1180" t="e">
        <f ca="1">_xll.FDS("GBPUSD","FG_PRICE("&amp;B1180&amp;")")</f>
        <v>#NAME?</v>
      </c>
      <c r="E1180" t="e">
        <f ca="1">_xll.FDSB("JPYUSD","FG_PRICE("&amp;B1180&amp;")")</f>
        <v>#NAME?</v>
      </c>
    </row>
    <row r="1181" spans="2:5">
      <c r="B1181" s="244">
        <f t="shared" si="60"/>
        <v>44644</v>
      </c>
      <c r="C1181" s="245" t="e">
        <f ca="1">_xll.FDS("EURUSD","FG_PRICE("&amp;B1181&amp;")")</f>
        <v>#NAME?</v>
      </c>
      <c r="D1181" t="e">
        <f ca="1">_xll.FDS("GBPUSD","FG_PRICE("&amp;B1181&amp;")")</f>
        <v>#NAME?</v>
      </c>
      <c r="E1181" t="e">
        <f ca="1">_xll.FDSB("JPYUSD","FG_PRICE("&amp;B1181&amp;")")</f>
        <v>#NAME?</v>
      </c>
    </row>
    <row r="1182" spans="2:5">
      <c r="B1182" s="244">
        <f t="shared" si="60"/>
        <v>44645</v>
      </c>
      <c r="C1182" s="245" t="e">
        <f ca="1">_xll.FDS("EURUSD","FG_PRICE("&amp;B1182&amp;")")</f>
        <v>#NAME?</v>
      </c>
      <c r="D1182" t="e">
        <f ca="1">_xll.FDS("GBPUSD","FG_PRICE("&amp;B1182&amp;")")</f>
        <v>#NAME?</v>
      </c>
      <c r="E1182" t="e">
        <f ca="1">_xll.FDSB("JPYUSD","FG_PRICE("&amp;B1182&amp;")")</f>
        <v>#NAME?</v>
      </c>
    </row>
    <row r="1183" spans="2:5">
      <c r="B1183" s="244">
        <f t="shared" si="60"/>
        <v>44646</v>
      </c>
      <c r="C1183" s="245" t="e">
        <f ca="1">_xll.FDS("EURUSD","FG_PRICE("&amp;B1183&amp;")")</f>
        <v>#NAME?</v>
      </c>
      <c r="D1183" t="e">
        <f ca="1">_xll.FDS("GBPUSD","FG_PRICE("&amp;B1183&amp;")")</f>
        <v>#NAME?</v>
      </c>
      <c r="E1183" t="e">
        <f ca="1">_xll.FDSB("JPYUSD","FG_PRICE("&amp;B1183&amp;")")</f>
        <v>#NAME?</v>
      </c>
    </row>
    <row r="1184" spans="2:5">
      <c r="B1184" s="244">
        <f t="shared" si="60"/>
        <v>44647</v>
      </c>
      <c r="C1184" s="245" t="e">
        <f ca="1">_xll.FDS("EURUSD","FG_PRICE("&amp;B1184&amp;")")</f>
        <v>#NAME?</v>
      </c>
      <c r="D1184" t="e">
        <f ca="1">_xll.FDS("GBPUSD","FG_PRICE("&amp;B1184&amp;")")</f>
        <v>#NAME?</v>
      </c>
      <c r="E1184" t="e">
        <f ca="1">_xll.FDSB("JPYUSD","FG_PRICE("&amp;B1184&amp;")")</f>
        <v>#NAME?</v>
      </c>
    </row>
    <row r="1185" spans="2:5">
      <c r="B1185" s="244">
        <f t="shared" si="60"/>
        <v>44648</v>
      </c>
      <c r="C1185" s="245" t="e">
        <f ca="1">_xll.FDS("EURUSD","FG_PRICE("&amp;B1185&amp;")")</f>
        <v>#NAME?</v>
      </c>
      <c r="D1185" t="e">
        <f ca="1">_xll.FDS("GBPUSD","FG_PRICE("&amp;B1185&amp;")")</f>
        <v>#NAME?</v>
      </c>
      <c r="E1185" t="e">
        <f ca="1">_xll.FDSB("JPYUSD","FG_PRICE("&amp;B1185&amp;")")</f>
        <v>#NAME?</v>
      </c>
    </row>
    <row r="1186" spans="2:5">
      <c r="B1186" s="244">
        <f t="shared" si="60"/>
        <v>44649</v>
      </c>
      <c r="C1186" s="245" t="e">
        <f ca="1">_xll.FDS("EURUSD","FG_PRICE("&amp;B1186&amp;")")</f>
        <v>#NAME?</v>
      </c>
      <c r="D1186" t="e">
        <f ca="1">_xll.FDS("GBPUSD","FG_PRICE("&amp;B1186&amp;")")</f>
        <v>#NAME?</v>
      </c>
      <c r="E1186" t="e">
        <f ca="1">_xll.FDSB("JPYUSD","FG_PRICE("&amp;B1186&amp;")")</f>
        <v>#NAME?</v>
      </c>
    </row>
    <row r="1187" spans="2:5">
      <c r="B1187" s="244">
        <f t="shared" si="60"/>
        <v>44650</v>
      </c>
      <c r="C1187" s="245" t="e">
        <f ca="1">_xll.FDS("EURUSD","FG_PRICE("&amp;B1187&amp;")")</f>
        <v>#NAME?</v>
      </c>
      <c r="D1187" t="e">
        <f ca="1">_xll.FDS("GBPUSD","FG_PRICE("&amp;B1187&amp;")")</f>
        <v>#NAME?</v>
      </c>
      <c r="E1187" t="e">
        <f ca="1">_xll.FDSB("JPYUSD","FG_PRICE("&amp;B1187&amp;")")</f>
        <v>#NAME?</v>
      </c>
    </row>
    <row r="1188" spans="2:5">
      <c r="B1188" s="244">
        <f t="shared" si="60"/>
        <v>44651</v>
      </c>
      <c r="C1188" s="245" t="e">
        <f ca="1">_xll.FDS("EURUSD","FG_PRICE("&amp;B1188&amp;")")</f>
        <v>#NAME?</v>
      </c>
      <c r="D1188" t="e">
        <f ca="1">_xll.FDS("GBPUSD","FG_PRICE("&amp;B1188&amp;")")</f>
        <v>#NAME?</v>
      </c>
      <c r="E1188" t="e">
        <f ca="1">_xll.FDSB("JPYUSD","FG_PRICE("&amp;B1188&amp;")")</f>
        <v>#NAME?</v>
      </c>
    </row>
    <row r="1189" spans="2:5">
      <c r="B1189" s="244">
        <f t="shared" si="60"/>
        <v>44652</v>
      </c>
      <c r="C1189" s="245" t="e">
        <f ca="1">_xll.FDS("EURUSD","FG_PRICE("&amp;B1189&amp;")")</f>
        <v>#NAME?</v>
      </c>
      <c r="D1189" t="e">
        <f ca="1">_xll.FDS("GBPUSD","FG_PRICE("&amp;B1189&amp;")")</f>
        <v>#NAME?</v>
      </c>
      <c r="E1189" t="e">
        <f ca="1">_xll.FDSB("JPYUSD","FG_PRICE("&amp;B1189&amp;")")</f>
        <v>#NAME?</v>
      </c>
    </row>
    <row r="1190" spans="2:5">
      <c r="B1190" s="244">
        <f t="shared" si="60"/>
        <v>44653</v>
      </c>
      <c r="C1190" s="245" t="e">
        <f ca="1">_xll.FDS("EURUSD","FG_PRICE("&amp;B1190&amp;")")</f>
        <v>#NAME?</v>
      </c>
      <c r="D1190" t="e">
        <f ca="1">_xll.FDS("GBPUSD","FG_PRICE("&amp;B1190&amp;")")</f>
        <v>#NAME?</v>
      </c>
      <c r="E1190" t="e">
        <f ca="1">_xll.FDSB("JPYUSD","FG_PRICE("&amp;B1190&amp;")")</f>
        <v>#NAME?</v>
      </c>
    </row>
    <row r="1191" spans="2:5">
      <c r="B1191" s="244">
        <f t="shared" si="60"/>
        <v>44654</v>
      </c>
      <c r="C1191" s="245" t="e">
        <f ca="1">_xll.FDS("EURUSD","FG_PRICE("&amp;B1191&amp;")")</f>
        <v>#NAME?</v>
      </c>
      <c r="D1191" t="e">
        <f ca="1">_xll.FDS("GBPUSD","FG_PRICE("&amp;B1191&amp;")")</f>
        <v>#NAME?</v>
      </c>
      <c r="E1191" t="e">
        <f ca="1">_xll.FDSB("JPYUSD","FG_PRICE("&amp;B1191&amp;")")</f>
        <v>#NAME?</v>
      </c>
    </row>
    <row r="1192" spans="2:5">
      <c r="B1192" s="244">
        <f t="shared" si="60"/>
        <v>44655</v>
      </c>
      <c r="C1192" s="245" t="e">
        <f ca="1">_xll.FDS("EURUSD","FG_PRICE("&amp;B1192&amp;")")</f>
        <v>#NAME?</v>
      </c>
      <c r="D1192" t="e">
        <f ca="1">_xll.FDS("GBPUSD","FG_PRICE("&amp;B1192&amp;")")</f>
        <v>#NAME?</v>
      </c>
      <c r="E1192" t="e">
        <f ca="1">_xll.FDSB("JPYUSD","FG_PRICE("&amp;B1192&amp;")")</f>
        <v>#NAME?</v>
      </c>
    </row>
    <row r="1193" spans="2:5">
      <c r="B1193" s="244">
        <f t="shared" si="60"/>
        <v>44656</v>
      </c>
      <c r="C1193" s="245" t="e">
        <f ca="1">_xll.FDS("EURUSD","FG_PRICE("&amp;B1193&amp;")")</f>
        <v>#NAME?</v>
      </c>
      <c r="D1193" t="e">
        <f ca="1">_xll.FDS("GBPUSD","FG_PRICE("&amp;B1193&amp;")")</f>
        <v>#NAME?</v>
      </c>
      <c r="E1193" t="e">
        <f ca="1">_xll.FDSB("JPYUSD","FG_PRICE("&amp;B1193&amp;")")</f>
        <v>#NAME?</v>
      </c>
    </row>
    <row r="1194" spans="2:5">
      <c r="B1194" s="244">
        <f t="shared" si="60"/>
        <v>44657</v>
      </c>
      <c r="C1194" s="245" t="e">
        <f ca="1">_xll.FDS("EURUSD","FG_PRICE("&amp;B1194&amp;")")</f>
        <v>#NAME?</v>
      </c>
      <c r="D1194" t="e">
        <f ca="1">_xll.FDS("GBPUSD","FG_PRICE("&amp;B1194&amp;")")</f>
        <v>#NAME?</v>
      </c>
      <c r="E1194" t="e">
        <f ca="1">_xll.FDSB("JPYUSD","FG_PRICE("&amp;B1194&amp;")")</f>
        <v>#NAME?</v>
      </c>
    </row>
    <row r="1195" spans="2:5">
      <c r="B1195" s="244">
        <f t="shared" si="60"/>
        <v>44658</v>
      </c>
      <c r="C1195" s="245" t="e">
        <f ca="1">_xll.FDS("EURUSD","FG_PRICE("&amp;B1195&amp;")")</f>
        <v>#NAME?</v>
      </c>
      <c r="D1195" t="e">
        <f ca="1">_xll.FDS("GBPUSD","FG_PRICE("&amp;B1195&amp;")")</f>
        <v>#NAME?</v>
      </c>
      <c r="E1195" t="e">
        <f ca="1">_xll.FDSB("JPYUSD","FG_PRICE("&amp;B1195&amp;")")</f>
        <v>#NAME?</v>
      </c>
    </row>
    <row r="1196" spans="2:5">
      <c r="B1196" s="244">
        <f t="shared" si="60"/>
        <v>44659</v>
      </c>
      <c r="C1196" s="245" t="e">
        <f ca="1">_xll.FDS("EURUSD","FG_PRICE("&amp;B1196&amp;")")</f>
        <v>#NAME?</v>
      </c>
      <c r="D1196" t="e">
        <f ca="1">_xll.FDS("GBPUSD","FG_PRICE("&amp;B1196&amp;")")</f>
        <v>#NAME?</v>
      </c>
      <c r="E1196" t="e">
        <f ca="1">_xll.FDSB("JPYUSD","FG_PRICE("&amp;B1196&amp;")")</f>
        <v>#NAME?</v>
      </c>
    </row>
    <row r="1197" spans="2:5">
      <c r="B1197" s="244">
        <f t="shared" si="60"/>
        <v>44660</v>
      </c>
      <c r="C1197" s="245" t="e">
        <f ca="1">_xll.FDS("EURUSD","FG_PRICE("&amp;B1197&amp;")")</f>
        <v>#NAME?</v>
      </c>
      <c r="D1197" t="e">
        <f ca="1">_xll.FDS("GBPUSD","FG_PRICE("&amp;B1197&amp;")")</f>
        <v>#NAME?</v>
      </c>
      <c r="E1197" t="e">
        <f ca="1">_xll.FDSB("JPYUSD","FG_PRICE("&amp;B1197&amp;")")</f>
        <v>#NAME?</v>
      </c>
    </row>
    <row r="1198" spans="2:5">
      <c r="B1198" s="244">
        <f t="shared" si="60"/>
        <v>44661</v>
      </c>
      <c r="C1198" s="245" t="e">
        <f ca="1">_xll.FDS("EURUSD","FG_PRICE("&amp;B1198&amp;")")</f>
        <v>#NAME?</v>
      </c>
      <c r="D1198" t="e">
        <f ca="1">_xll.FDS("GBPUSD","FG_PRICE("&amp;B1198&amp;")")</f>
        <v>#NAME?</v>
      </c>
      <c r="E1198" t="e">
        <f ca="1">_xll.FDSB("JPYUSD","FG_PRICE("&amp;B1198&amp;")")</f>
        <v>#NAME?</v>
      </c>
    </row>
    <row r="1199" spans="2:5">
      <c r="B1199" s="244">
        <f t="shared" si="60"/>
        <v>44662</v>
      </c>
      <c r="C1199" s="245" t="e">
        <f ca="1">_xll.FDS("EURUSD","FG_PRICE("&amp;B1199&amp;")")</f>
        <v>#NAME?</v>
      </c>
      <c r="D1199" t="e">
        <f ca="1">_xll.FDS("GBPUSD","FG_PRICE("&amp;B1199&amp;")")</f>
        <v>#NAME?</v>
      </c>
      <c r="E1199" t="e">
        <f ca="1">_xll.FDSB("JPYUSD","FG_PRICE("&amp;B1199&amp;")")</f>
        <v>#NAME?</v>
      </c>
    </row>
    <row r="1200" spans="2:5">
      <c r="B1200" s="244">
        <f t="shared" si="60"/>
        <v>44663</v>
      </c>
      <c r="C1200" s="245" t="e">
        <f ca="1">_xll.FDS("EURUSD","FG_PRICE("&amp;B1200&amp;")")</f>
        <v>#NAME?</v>
      </c>
      <c r="D1200" t="e">
        <f ca="1">_xll.FDS("GBPUSD","FG_PRICE("&amp;B1200&amp;")")</f>
        <v>#NAME?</v>
      </c>
      <c r="E1200" t="e">
        <f ca="1">_xll.FDSB("JPYUSD","FG_PRICE("&amp;B1200&amp;")")</f>
        <v>#NAME?</v>
      </c>
    </row>
    <row r="1201" spans="2:5">
      <c r="B1201" s="244">
        <f t="shared" si="60"/>
        <v>44664</v>
      </c>
      <c r="C1201" s="245" t="e">
        <f ca="1">_xll.FDS("EURUSD","FG_PRICE("&amp;B1201&amp;")")</f>
        <v>#NAME?</v>
      </c>
      <c r="D1201" t="e">
        <f ca="1">_xll.FDS("GBPUSD","FG_PRICE("&amp;B1201&amp;")")</f>
        <v>#NAME?</v>
      </c>
      <c r="E1201" t="e">
        <f ca="1">_xll.FDSB("JPYUSD","FG_PRICE("&amp;B1201&amp;")")</f>
        <v>#NAME?</v>
      </c>
    </row>
    <row r="1202" spans="2:5">
      <c r="B1202" s="244">
        <f t="shared" si="60"/>
        <v>44665</v>
      </c>
      <c r="C1202" s="245" t="e">
        <f ca="1">_xll.FDS("EURUSD","FG_PRICE("&amp;B1202&amp;")")</f>
        <v>#NAME?</v>
      </c>
      <c r="D1202" t="e">
        <f ca="1">_xll.FDS("GBPUSD","FG_PRICE("&amp;B1202&amp;")")</f>
        <v>#NAME?</v>
      </c>
      <c r="E1202" t="e">
        <f ca="1">_xll.FDSB("JPYUSD","FG_PRICE("&amp;B1202&amp;")")</f>
        <v>#NAME?</v>
      </c>
    </row>
    <row r="1203" spans="2:5">
      <c r="B1203" s="244">
        <f t="shared" si="60"/>
        <v>44666</v>
      </c>
      <c r="C1203" s="245" t="e">
        <f ca="1">_xll.FDS("EURUSD","FG_PRICE("&amp;B1203&amp;")")</f>
        <v>#NAME?</v>
      </c>
      <c r="D1203" t="e">
        <f ca="1">_xll.FDS("GBPUSD","FG_PRICE("&amp;B1203&amp;")")</f>
        <v>#NAME?</v>
      </c>
      <c r="E1203" t="e">
        <f ca="1">_xll.FDSB("JPYUSD","FG_PRICE("&amp;B1203&amp;")")</f>
        <v>#NAME?</v>
      </c>
    </row>
    <row r="1204" spans="2:5">
      <c r="B1204" s="244">
        <f t="shared" si="60"/>
        <v>44667</v>
      </c>
      <c r="C1204" s="245" t="e">
        <f ca="1">_xll.FDS("EURUSD","FG_PRICE("&amp;B1204&amp;")")</f>
        <v>#NAME?</v>
      </c>
      <c r="D1204" t="e">
        <f ca="1">_xll.FDS("GBPUSD","FG_PRICE("&amp;B1204&amp;")")</f>
        <v>#NAME?</v>
      </c>
      <c r="E1204" t="e">
        <f ca="1">_xll.FDSB("JPYUSD","FG_PRICE("&amp;B1204&amp;")")</f>
        <v>#NAME?</v>
      </c>
    </row>
    <row r="1205" spans="2:5">
      <c r="B1205" s="244">
        <f t="shared" si="60"/>
        <v>44668</v>
      </c>
      <c r="C1205" s="245" t="e">
        <f ca="1">_xll.FDS("EURUSD","FG_PRICE("&amp;B1205&amp;")")</f>
        <v>#NAME?</v>
      </c>
      <c r="D1205" t="e">
        <f ca="1">_xll.FDS("GBPUSD","FG_PRICE("&amp;B1205&amp;")")</f>
        <v>#NAME?</v>
      </c>
      <c r="E1205" t="e">
        <f ca="1">_xll.FDSB("JPYUSD","FG_PRICE("&amp;B1205&amp;")")</f>
        <v>#NAME?</v>
      </c>
    </row>
    <row r="1206" spans="2:5">
      <c r="B1206" s="244">
        <f t="shared" si="60"/>
        <v>44669</v>
      </c>
      <c r="C1206" s="245" t="e">
        <f ca="1">_xll.FDS("EURUSD","FG_PRICE("&amp;B1206&amp;")")</f>
        <v>#NAME?</v>
      </c>
      <c r="D1206" t="e">
        <f ca="1">_xll.FDS("GBPUSD","FG_PRICE("&amp;B1206&amp;")")</f>
        <v>#NAME?</v>
      </c>
      <c r="E1206" t="e">
        <f ca="1">_xll.FDSB("JPYUSD","FG_PRICE("&amp;B1206&amp;")")</f>
        <v>#NAME?</v>
      </c>
    </row>
    <row r="1207" spans="2:5">
      <c r="B1207" s="244">
        <f t="shared" si="60"/>
        <v>44670</v>
      </c>
      <c r="C1207" s="245" t="e">
        <f ca="1">_xll.FDS("EURUSD","FG_PRICE("&amp;B1207&amp;")")</f>
        <v>#NAME?</v>
      </c>
      <c r="D1207" t="e">
        <f ca="1">_xll.FDS("GBPUSD","FG_PRICE("&amp;B1207&amp;")")</f>
        <v>#NAME?</v>
      </c>
      <c r="E1207" t="e">
        <f ca="1">_xll.FDSB("JPYUSD","FG_PRICE("&amp;B1207&amp;")")</f>
        <v>#NAME?</v>
      </c>
    </row>
    <row r="1208" spans="2:5">
      <c r="B1208" s="244">
        <f t="shared" si="60"/>
        <v>44671</v>
      </c>
      <c r="C1208" s="245" t="e">
        <f ca="1">_xll.FDS("EURUSD","FG_PRICE("&amp;B1208&amp;")")</f>
        <v>#NAME?</v>
      </c>
      <c r="D1208" t="e">
        <f ca="1">_xll.FDS("GBPUSD","FG_PRICE("&amp;B1208&amp;")")</f>
        <v>#NAME?</v>
      </c>
      <c r="E1208" t="e">
        <f ca="1">_xll.FDSB("JPYUSD","FG_PRICE("&amp;B1208&amp;")")</f>
        <v>#NAME?</v>
      </c>
    </row>
    <row r="1209" spans="2:5">
      <c r="B1209" s="244">
        <f t="shared" si="60"/>
        <v>44672</v>
      </c>
      <c r="C1209" s="245" t="e">
        <f ca="1">_xll.FDS("EURUSD","FG_PRICE("&amp;B1209&amp;")")</f>
        <v>#NAME?</v>
      </c>
      <c r="D1209" t="e">
        <f ca="1">_xll.FDS("GBPUSD","FG_PRICE("&amp;B1209&amp;")")</f>
        <v>#NAME?</v>
      </c>
      <c r="E1209" t="e">
        <f ca="1">_xll.FDSB("JPYUSD","FG_PRICE("&amp;B1209&amp;")")</f>
        <v>#NAME?</v>
      </c>
    </row>
    <row r="1210" spans="2:5">
      <c r="B1210" s="244">
        <f t="shared" si="60"/>
        <v>44673</v>
      </c>
      <c r="C1210" s="245" t="e">
        <f ca="1">_xll.FDS("EURUSD","FG_PRICE("&amp;B1210&amp;")")</f>
        <v>#NAME?</v>
      </c>
      <c r="D1210" t="e">
        <f ca="1">_xll.FDS("GBPUSD","FG_PRICE("&amp;B1210&amp;")")</f>
        <v>#NAME?</v>
      </c>
      <c r="E1210" t="e">
        <f ca="1">_xll.FDSB("JPYUSD","FG_PRICE("&amp;B1210&amp;")")</f>
        <v>#NAME?</v>
      </c>
    </row>
    <row r="1211" spans="2:5">
      <c r="B1211" s="244">
        <f t="shared" si="60"/>
        <v>44674</v>
      </c>
      <c r="C1211" s="245" t="e">
        <f ca="1">_xll.FDS("EURUSD","FG_PRICE("&amp;B1211&amp;")")</f>
        <v>#NAME?</v>
      </c>
      <c r="D1211" t="e">
        <f ca="1">_xll.FDS("GBPUSD","FG_PRICE("&amp;B1211&amp;")")</f>
        <v>#NAME?</v>
      </c>
      <c r="E1211" t="e">
        <f ca="1">_xll.FDSB("JPYUSD","FG_PRICE("&amp;B1211&amp;")")</f>
        <v>#NAME?</v>
      </c>
    </row>
    <row r="1212" spans="2:5">
      <c r="B1212" s="244">
        <f t="shared" si="60"/>
        <v>44675</v>
      </c>
      <c r="C1212" s="245" t="e">
        <f ca="1">_xll.FDS("EURUSD","FG_PRICE("&amp;B1212&amp;")")</f>
        <v>#NAME?</v>
      </c>
      <c r="D1212" t="e">
        <f ca="1">_xll.FDS("GBPUSD","FG_PRICE("&amp;B1212&amp;")")</f>
        <v>#NAME?</v>
      </c>
      <c r="E1212" t="e">
        <f ca="1">_xll.FDSB("JPYUSD","FG_PRICE("&amp;B1212&amp;")")</f>
        <v>#NAME?</v>
      </c>
    </row>
    <row r="1213" spans="2:5">
      <c r="B1213" s="244">
        <f t="shared" si="60"/>
        <v>44676</v>
      </c>
      <c r="C1213" s="245" t="e">
        <f ca="1">_xll.FDS("EURUSD","FG_PRICE("&amp;B1213&amp;")")</f>
        <v>#NAME?</v>
      </c>
      <c r="D1213" t="e">
        <f ca="1">_xll.FDS("GBPUSD","FG_PRICE("&amp;B1213&amp;")")</f>
        <v>#NAME?</v>
      </c>
      <c r="E1213" t="e">
        <f ca="1">_xll.FDSB("JPYUSD","FG_PRICE("&amp;B1213&amp;")")</f>
        <v>#NAME?</v>
      </c>
    </row>
    <row r="1214" spans="2:5">
      <c r="B1214" s="244">
        <f t="shared" si="60"/>
        <v>44677</v>
      </c>
      <c r="C1214" s="245" t="e">
        <f ca="1">_xll.FDS("EURUSD","FG_PRICE("&amp;B1214&amp;")")</f>
        <v>#NAME?</v>
      </c>
      <c r="D1214" t="e">
        <f ca="1">_xll.FDS("GBPUSD","FG_PRICE("&amp;B1214&amp;")")</f>
        <v>#NAME?</v>
      </c>
      <c r="E1214" t="e">
        <f ca="1">_xll.FDSB("JPYUSD","FG_PRICE("&amp;B1214&amp;")")</f>
        <v>#NAME?</v>
      </c>
    </row>
    <row r="1215" spans="2:5">
      <c r="B1215" s="244">
        <f t="shared" si="60"/>
        <v>44678</v>
      </c>
      <c r="C1215" s="245" t="e">
        <f ca="1">_xll.FDS("EURUSD","FG_PRICE("&amp;B1215&amp;")")</f>
        <v>#NAME?</v>
      </c>
      <c r="D1215" t="e">
        <f ca="1">_xll.FDS("GBPUSD","FG_PRICE("&amp;B1215&amp;")")</f>
        <v>#NAME?</v>
      </c>
      <c r="E1215" t="e">
        <f ca="1">_xll.FDSB("JPYUSD","FG_PRICE("&amp;B1215&amp;")")</f>
        <v>#NAME?</v>
      </c>
    </row>
    <row r="1216" spans="2:5">
      <c r="B1216" s="244">
        <f t="shared" si="60"/>
        <v>44679</v>
      </c>
      <c r="C1216" s="245" t="e">
        <f ca="1">_xll.FDS("EURUSD","FG_PRICE("&amp;B1216&amp;")")</f>
        <v>#NAME?</v>
      </c>
      <c r="D1216" t="e">
        <f ca="1">_xll.FDS("GBPUSD","FG_PRICE("&amp;B1216&amp;")")</f>
        <v>#NAME?</v>
      </c>
      <c r="E1216" t="e">
        <f ca="1">_xll.FDSB("JPYUSD","FG_PRICE("&amp;B1216&amp;")")</f>
        <v>#NAME?</v>
      </c>
    </row>
    <row r="1217" spans="2:5">
      <c r="B1217" s="244">
        <f t="shared" si="60"/>
        <v>44680</v>
      </c>
      <c r="C1217" s="245" t="e">
        <f ca="1">_xll.FDS("EURUSD","FG_PRICE("&amp;B1217&amp;")")</f>
        <v>#NAME?</v>
      </c>
      <c r="D1217" t="e">
        <f ca="1">_xll.FDS("GBPUSD","FG_PRICE("&amp;B1217&amp;")")</f>
        <v>#NAME?</v>
      </c>
      <c r="E1217" t="e">
        <f ca="1">_xll.FDSB("JPYUSD","FG_PRICE("&amp;B1217&amp;")")</f>
        <v>#NAME?</v>
      </c>
    </row>
    <row r="1218" spans="2:5">
      <c r="B1218" s="244">
        <f t="shared" si="60"/>
        <v>44681</v>
      </c>
      <c r="C1218" s="245" t="e">
        <f ca="1">_xll.FDS("EURUSD","FG_PRICE("&amp;B1218&amp;")")</f>
        <v>#NAME?</v>
      </c>
      <c r="D1218" t="e">
        <f ca="1">_xll.FDS("GBPUSD","FG_PRICE("&amp;B1218&amp;")")</f>
        <v>#NAME?</v>
      </c>
      <c r="E1218" t="e">
        <f ca="1">_xll.FDSB("JPYUSD","FG_PRICE("&amp;B1218&amp;")")</f>
        <v>#NAME?</v>
      </c>
    </row>
    <row r="1219" spans="2:5">
      <c r="B1219" s="244">
        <f t="shared" si="60"/>
        <v>44682</v>
      </c>
      <c r="C1219" s="245" t="e">
        <f ca="1">_xll.FDS("EURUSD","FG_PRICE("&amp;B1219&amp;")")</f>
        <v>#NAME?</v>
      </c>
      <c r="D1219" t="e">
        <f ca="1">_xll.FDS("GBPUSD","FG_PRICE("&amp;B1219&amp;")")</f>
        <v>#NAME?</v>
      </c>
      <c r="E1219" t="e">
        <f ca="1">_xll.FDSB("JPYUSD","FG_PRICE("&amp;B1219&amp;")")</f>
        <v>#NAME?</v>
      </c>
    </row>
    <row r="1220" spans="2:5">
      <c r="B1220" s="244">
        <f t="shared" si="60"/>
        <v>44683</v>
      </c>
      <c r="C1220" s="245" t="e">
        <f ca="1">_xll.FDS("EURUSD","FG_PRICE("&amp;B1220&amp;")")</f>
        <v>#NAME?</v>
      </c>
      <c r="D1220" t="e">
        <f ca="1">_xll.FDS("GBPUSD","FG_PRICE("&amp;B1220&amp;")")</f>
        <v>#NAME?</v>
      </c>
      <c r="E1220" t="e">
        <f ca="1">_xll.FDSB("JPYUSD","FG_PRICE("&amp;B1220&amp;")")</f>
        <v>#NAME?</v>
      </c>
    </row>
    <row r="1221" spans="2:5">
      <c r="B1221" s="244">
        <f t="shared" ref="B1221:B1284" si="61">B1220+1</f>
        <v>44684</v>
      </c>
      <c r="C1221" s="245" t="e">
        <f ca="1">_xll.FDS("EURUSD","FG_PRICE("&amp;B1221&amp;")")</f>
        <v>#NAME?</v>
      </c>
      <c r="D1221" t="e">
        <f ca="1">_xll.FDS("GBPUSD","FG_PRICE("&amp;B1221&amp;")")</f>
        <v>#NAME?</v>
      </c>
      <c r="E1221" t="e">
        <f ca="1">_xll.FDSB("JPYUSD","FG_PRICE("&amp;B1221&amp;")")</f>
        <v>#NAME?</v>
      </c>
    </row>
    <row r="1222" spans="2:5">
      <c r="B1222" s="244">
        <f t="shared" si="61"/>
        <v>44685</v>
      </c>
      <c r="C1222" s="245" t="e">
        <f ca="1">_xll.FDS("EURUSD","FG_PRICE("&amp;B1222&amp;")")</f>
        <v>#NAME?</v>
      </c>
      <c r="D1222" t="e">
        <f ca="1">_xll.FDS("GBPUSD","FG_PRICE("&amp;B1222&amp;")")</f>
        <v>#NAME?</v>
      </c>
      <c r="E1222" t="e">
        <f ca="1">_xll.FDSB("JPYUSD","FG_PRICE("&amp;B1222&amp;")")</f>
        <v>#NAME?</v>
      </c>
    </row>
    <row r="1223" spans="2:5">
      <c r="B1223" s="244">
        <f t="shared" si="61"/>
        <v>44686</v>
      </c>
      <c r="C1223" s="245" t="e">
        <f ca="1">_xll.FDS("EURUSD","FG_PRICE("&amp;B1223&amp;")")</f>
        <v>#NAME?</v>
      </c>
      <c r="D1223" t="e">
        <f ca="1">_xll.FDS("GBPUSD","FG_PRICE("&amp;B1223&amp;")")</f>
        <v>#NAME?</v>
      </c>
      <c r="E1223" t="e">
        <f ca="1">_xll.FDSB("JPYUSD","FG_PRICE("&amp;B1223&amp;")")</f>
        <v>#NAME?</v>
      </c>
    </row>
    <row r="1224" spans="2:5">
      <c r="B1224" s="244">
        <f t="shared" si="61"/>
        <v>44687</v>
      </c>
      <c r="C1224" s="245" t="e">
        <f ca="1">_xll.FDS("EURUSD","FG_PRICE("&amp;B1224&amp;")")</f>
        <v>#NAME?</v>
      </c>
      <c r="D1224" t="e">
        <f ca="1">_xll.FDS("GBPUSD","FG_PRICE("&amp;B1224&amp;")")</f>
        <v>#NAME?</v>
      </c>
      <c r="E1224" t="e">
        <f ca="1">_xll.FDSB("JPYUSD","FG_PRICE("&amp;B1224&amp;")")</f>
        <v>#NAME?</v>
      </c>
    </row>
    <row r="1225" spans="2:5">
      <c r="B1225" s="244">
        <f t="shared" si="61"/>
        <v>44688</v>
      </c>
      <c r="C1225" s="245" t="e">
        <f ca="1">_xll.FDS("EURUSD","FG_PRICE("&amp;B1225&amp;")")</f>
        <v>#NAME?</v>
      </c>
      <c r="D1225" t="e">
        <f ca="1">_xll.FDS("GBPUSD","FG_PRICE("&amp;B1225&amp;")")</f>
        <v>#NAME?</v>
      </c>
      <c r="E1225" t="e">
        <f ca="1">_xll.FDSB("JPYUSD","FG_PRICE("&amp;B1225&amp;")")</f>
        <v>#NAME?</v>
      </c>
    </row>
    <row r="1226" spans="2:5">
      <c r="B1226" s="244">
        <f t="shared" si="61"/>
        <v>44689</v>
      </c>
      <c r="C1226" s="245" t="e">
        <f ca="1">_xll.FDS("EURUSD","FG_PRICE("&amp;B1226&amp;")")</f>
        <v>#NAME?</v>
      </c>
      <c r="D1226" t="e">
        <f ca="1">_xll.FDS("GBPUSD","FG_PRICE("&amp;B1226&amp;")")</f>
        <v>#NAME?</v>
      </c>
      <c r="E1226" t="e">
        <f ca="1">_xll.FDSB("JPYUSD","FG_PRICE("&amp;B1226&amp;")")</f>
        <v>#NAME?</v>
      </c>
    </row>
    <row r="1227" spans="2:5">
      <c r="B1227" s="244">
        <f t="shared" si="61"/>
        <v>44690</v>
      </c>
      <c r="C1227" s="245" t="e">
        <f ca="1">_xll.FDS("EURUSD","FG_PRICE("&amp;B1227&amp;")")</f>
        <v>#NAME?</v>
      </c>
      <c r="D1227" t="e">
        <f ca="1">_xll.FDS("GBPUSD","FG_PRICE("&amp;B1227&amp;")")</f>
        <v>#NAME?</v>
      </c>
      <c r="E1227" t="e">
        <f ca="1">_xll.FDSB("JPYUSD","FG_PRICE("&amp;B1227&amp;")")</f>
        <v>#NAME?</v>
      </c>
    </row>
    <row r="1228" spans="2:5">
      <c r="B1228" s="244">
        <f t="shared" si="61"/>
        <v>44691</v>
      </c>
      <c r="C1228" s="245" t="e">
        <f ca="1">_xll.FDS("EURUSD","FG_PRICE("&amp;B1228&amp;")")</f>
        <v>#NAME?</v>
      </c>
      <c r="D1228" t="e">
        <f ca="1">_xll.FDS("GBPUSD","FG_PRICE("&amp;B1228&amp;")")</f>
        <v>#NAME?</v>
      </c>
      <c r="E1228" t="e">
        <f ca="1">_xll.FDSB("JPYUSD","FG_PRICE("&amp;B1228&amp;")")</f>
        <v>#NAME?</v>
      </c>
    </row>
    <row r="1229" spans="2:5">
      <c r="B1229" s="244">
        <f t="shared" si="61"/>
        <v>44692</v>
      </c>
      <c r="C1229" s="245" t="e">
        <f ca="1">_xll.FDS("EURUSD","FG_PRICE("&amp;B1229&amp;")")</f>
        <v>#NAME?</v>
      </c>
      <c r="D1229" t="e">
        <f ca="1">_xll.FDS("GBPUSD","FG_PRICE("&amp;B1229&amp;")")</f>
        <v>#NAME?</v>
      </c>
      <c r="E1229" t="e">
        <f ca="1">_xll.FDSB("JPYUSD","FG_PRICE("&amp;B1229&amp;")")</f>
        <v>#NAME?</v>
      </c>
    </row>
    <row r="1230" spans="2:5">
      <c r="B1230" s="244">
        <f t="shared" si="61"/>
        <v>44693</v>
      </c>
      <c r="C1230" s="245" t="e">
        <f ca="1">_xll.FDS("EURUSD","FG_PRICE("&amp;B1230&amp;")")</f>
        <v>#NAME?</v>
      </c>
      <c r="D1230" t="e">
        <f ca="1">_xll.FDS("GBPUSD","FG_PRICE("&amp;B1230&amp;")")</f>
        <v>#NAME?</v>
      </c>
      <c r="E1230" t="e">
        <f ca="1">_xll.FDSB("JPYUSD","FG_PRICE("&amp;B1230&amp;")")</f>
        <v>#NAME?</v>
      </c>
    </row>
    <row r="1231" spans="2:5">
      <c r="B1231" s="244">
        <f t="shared" si="61"/>
        <v>44694</v>
      </c>
      <c r="C1231" s="245" t="e">
        <f ca="1">_xll.FDS("EURUSD","FG_PRICE("&amp;B1231&amp;")")</f>
        <v>#NAME?</v>
      </c>
      <c r="D1231" t="e">
        <f ca="1">_xll.FDS("GBPUSD","FG_PRICE("&amp;B1231&amp;")")</f>
        <v>#NAME?</v>
      </c>
      <c r="E1231" t="e">
        <f ca="1">_xll.FDSB("JPYUSD","FG_PRICE("&amp;B1231&amp;")")</f>
        <v>#NAME?</v>
      </c>
    </row>
    <row r="1232" spans="2:5">
      <c r="B1232" s="244">
        <f t="shared" si="61"/>
        <v>44695</v>
      </c>
      <c r="C1232" s="245" t="e">
        <f ca="1">_xll.FDS("EURUSD","FG_PRICE("&amp;B1232&amp;")")</f>
        <v>#NAME?</v>
      </c>
      <c r="D1232" t="e">
        <f ca="1">_xll.FDS("GBPUSD","FG_PRICE("&amp;B1232&amp;")")</f>
        <v>#NAME?</v>
      </c>
      <c r="E1232" t="e">
        <f ca="1">_xll.FDSB("JPYUSD","FG_PRICE("&amp;B1232&amp;")")</f>
        <v>#NAME?</v>
      </c>
    </row>
    <row r="1233" spans="2:5">
      <c r="B1233" s="244">
        <f t="shared" si="61"/>
        <v>44696</v>
      </c>
      <c r="C1233" s="245" t="e">
        <f ca="1">_xll.FDS("EURUSD","FG_PRICE("&amp;B1233&amp;")")</f>
        <v>#NAME?</v>
      </c>
      <c r="D1233" t="e">
        <f ca="1">_xll.FDS("GBPUSD","FG_PRICE("&amp;B1233&amp;")")</f>
        <v>#NAME?</v>
      </c>
      <c r="E1233" t="e">
        <f ca="1">_xll.FDSB("JPYUSD","FG_PRICE("&amp;B1233&amp;")")</f>
        <v>#NAME?</v>
      </c>
    </row>
    <row r="1234" spans="2:5">
      <c r="B1234" s="244">
        <f t="shared" si="61"/>
        <v>44697</v>
      </c>
      <c r="C1234" s="245" t="e">
        <f ca="1">_xll.FDS("EURUSD","FG_PRICE("&amp;B1234&amp;")")</f>
        <v>#NAME?</v>
      </c>
      <c r="D1234" t="e">
        <f ca="1">_xll.FDS("GBPUSD","FG_PRICE("&amp;B1234&amp;")")</f>
        <v>#NAME?</v>
      </c>
      <c r="E1234" t="e">
        <f ca="1">_xll.FDSB("JPYUSD","FG_PRICE("&amp;B1234&amp;")")</f>
        <v>#NAME?</v>
      </c>
    </row>
    <row r="1235" spans="2:5">
      <c r="B1235" s="244">
        <f t="shared" si="61"/>
        <v>44698</v>
      </c>
      <c r="C1235" s="245" t="e">
        <f ca="1">_xll.FDS("EURUSD","FG_PRICE("&amp;B1235&amp;")")</f>
        <v>#NAME?</v>
      </c>
      <c r="D1235" t="e">
        <f ca="1">_xll.FDS("GBPUSD","FG_PRICE("&amp;B1235&amp;")")</f>
        <v>#NAME?</v>
      </c>
      <c r="E1235" t="e">
        <f ca="1">_xll.FDSB("JPYUSD","FG_PRICE("&amp;B1235&amp;")")</f>
        <v>#NAME?</v>
      </c>
    </row>
    <row r="1236" spans="2:5">
      <c r="B1236" s="244">
        <f t="shared" si="61"/>
        <v>44699</v>
      </c>
      <c r="C1236" s="245" t="e">
        <f ca="1">_xll.FDS("EURUSD","FG_PRICE("&amp;B1236&amp;")")</f>
        <v>#NAME?</v>
      </c>
      <c r="D1236" t="e">
        <f ca="1">_xll.FDS("GBPUSD","FG_PRICE("&amp;B1236&amp;")")</f>
        <v>#NAME?</v>
      </c>
      <c r="E1236" t="e">
        <f ca="1">_xll.FDSB("JPYUSD","FG_PRICE("&amp;B1236&amp;")")</f>
        <v>#NAME?</v>
      </c>
    </row>
    <row r="1237" spans="2:5">
      <c r="B1237" s="244">
        <f t="shared" si="61"/>
        <v>44700</v>
      </c>
      <c r="C1237" s="245" t="e">
        <f ca="1">_xll.FDS("EURUSD","FG_PRICE("&amp;B1237&amp;")")</f>
        <v>#NAME?</v>
      </c>
      <c r="D1237" t="e">
        <f ca="1">_xll.FDS("GBPUSD","FG_PRICE("&amp;B1237&amp;")")</f>
        <v>#NAME?</v>
      </c>
      <c r="E1237" t="e">
        <f ca="1">_xll.FDSB("JPYUSD","FG_PRICE("&amp;B1237&amp;")")</f>
        <v>#NAME?</v>
      </c>
    </row>
    <row r="1238" spans="2:5">
      <c r="B1238" s="244">
        <f t="shared" si="61"/>
        <v>44701</v>
      </c>
      <c r="C1238" s="245" t="e">
        <f ca="1">_xll.FDS("EURUSD","FG_PRICE("&amp;B1238&amp;")")</f>
        <v>#NAME?</v>
      </c>
      <c r="D1238" t="e">
        <f ca="1">_xll.FDS("GBPUSD","FG_PRICE("&amp;B1238&amp;")")</f>
        <v>#NAME?</v>
      </c>
      <c r="E1238" t="e">
        <f ca="1">_xll.FDSB("JPYUSD","FG_PRICE("&amp;B1238&amp;")")</f>
        <v>#NAME?</v>
      </c>
    </row>
    <row r="1239" spans="2:5">
      <c r="B1239" s="244">
        <f t="shared" si="61"/>
        <v>44702</v>
      </c>
      <c r="C1239" s="245" t="e">
        <f ca="1">_xll.FDS("EURUSD","FG_PRICE("&amp;B1239&amp;")")</f>
        <v>#NAME?</v>
      </c>
      <c r="D1239" t="e">
        <f ca="1">_xll.FDS("GBPUSD","FG_PRICE("&amp;B1239&amp;")")</f>
        <v>#NAME?</v>
      </c>
      <c r="E1239" t="e">
        <f ca="1">_xll.FDSB("JPYUSD","FG_PRICE("&amp;B1239&amp;")")</f>
        <v>#NAME?</v>
      </c>
    </row>
    <row r="1240" spans="2:5">
      <c r="B1240" s="244">
        <f t="shared" si="61"/>
        <v>44703</v>
      </c>
      <c r="C1240" s="245" t="e">
        <f ca="1">_xll.FDS("EURUSD","FG_PRICE("&amp;B1240&amp;")")</f>
        <v>#NAME?</v>
      </c>
      <c r="D1240" t="e">
        <f ca="1">_xll.FDS("GBPUSD","FG_PRICE("&amp;B1240&amp;")")</f>
        <v>#NAME?</v>
      </c>
      <c r="E1240" t="e">
        <f ca="1">_xll.FDSB("JPYUSD","FG_PRICE("&amp;B1240&amp;")")</f>
        <v>#NAME?</v>
      </c>
    </row>
    <row r="1241" spans="2:5">
      <c r="B1241" s="244">
        <f t="shared" si="61"/>
        <v>44704</v>
      </c>
      <c r="C1241" s="245" t="e">
        <f ca="1">_xll.FDS("EURUSD","FG_PRICE("&amp;B1241&amp;")")</f>
        <v>#NAME?</v>
      </c>
      <c r="D1241" t="e">
        <f ca="1">_xll.FDS("GBPUSD","FG_PRICE("&amp;B1241&amp;")")</f>
        <v>#NAME?</v>
      </c>
      <c r="E1241" t="e">
        <f ca="1">_xll.FDSB("JPYUSD","FG_PRICE("&amp;B1241&amp;")")</f>
        <v>#NAME?</v>
      </c>
    </row>
    <row r="1242" spans="2:5">
      <c r="B1242" s="244">
        <f t="shared" si="61"/>
        <v>44705</v>
      </c>
      <c r="C1242" s="245" t="e">
        <f ca="1">_xll.FDS("EURUSD","FG_PRICE("&amp;B1242&amp;")")</f>
        <v>#NAME?</v>
      </c>
      <c r="D1242" t="e">
        <f ca="1">_xll.FDS("GBPUSD","FG_PRICE("&amp;B1242&amp;")")</f>
        <v>#NAME?</v>
      </c>
      <c r="E1242" t="e">
        <f ca="1">_xll.FDSB("JPYUSD","FG_PRICE("&amp;B1242&amp;")")</f>
        <v>#NAME?</v>
      </c>
    </row>
    <row r="1243" spans="2:5">
      <c r="B1243" s="244">
        <f t="shared" si="61"/>
        <v>44706</v>
      </c>
      <c r="C1243" s="245" t="e">
        <f ca="1">_xll.FDS("EURUSD","FG_PRICE("&amp;B1243&amp;")")</f>
        <v>#NAME?</v>
      </c>
      <c r="D1243" t="e">
        <f ca="1">_xll.FDS("GBPUSD","FG_PRICE("&amp;B1243&amp;")")</f>
        <v>#NAME?</v>
      </c>
      <c r="E1243" t="e">
        <f ca="1">_xll.FDSB("JPYUSD","FG_PRICE("&amp;B1243&amp;")")</f>
        <v>#NAME?</v>
      </c>
    </row>
    <row r="1244" spans="2:5">
      <c r="B1244" s="244">
        <f t="shared" si="61"/>
        <v>44707</v>
      </c>
      <c r="C1244" s="245" t="e">
        <f ca="1">_xll.FDS("EURUSD","FG_PRICE("&amp;B1244&amp;")")</f>
        <v>#NAME?</v>
      </c>
      <c r="D1244" t="e">
        <f ca="1">_xll.FDS("GBPUSD","FG_PRICE("&amp;B1244&amp;")")</f>
        <v>#NAME?</v>
      </c>
      <c r="E1244" t="e">
        <f ca="1">_xll.FDSB("JPYUSD","FG_PRICE("&amp;B1244&amp;")")</f>
        <v>#NAME?</v>
      </c>
    </row>
    <row r="1245" spans="2:5">
      <c r="B1245" s="244">
        <f t="shared" si="61"/>
        <v>44708</v>
      </c>
      <c r="C1245" s="245" t="e">
        <f ca="1">_xll.FDS("EURUSD","FG_PRICE("&amp;B1245&amp;")")</f>
        <v>#NAME?</v>
      </c>
      <c r="D1245" t="e">
        <f ca="1">_xll.FDS("GBPUSD","FG_PRICE("&amp;B1245&amp;")")</f>
        <v>#NAME?</v>
      </c>
      <c r="E1245" t="e">
        <f ca="1">_xll.FDSB("JPYUSD","FG_PRICE("&amp;B1245&amp;")")</f>
        <v>#NAME?</v>
      </c>
    </row>
    <row r="1246" spans="2:5">
      <c r="B1246" s="244">
        <f t="shared" si="61"/>
        <v>44709</v>
      </c>
      <c r="C1246" s="245" t="e">
        <f ca="1">_xll.FDS("EURUSD","FG_PRICE("&amp;B1246&amp;")")</f>
        <v>#NAME?</v>
      </c>
      <c r="D1246" t="e">
        <f ca="1">_xll.FDS("GBPUSD","FG_PRICE("&amp;B1246&amp;")")</f>
        <v>#NAME?</v>
      </c>
      <c r="E1246" t="e">
        <f ca="1">_xll.FDSB("JPYUSD","FG_PRICE("&amp;B1246&amp;")")</f>
        <v>#NAME?</v>
      </c>
    </row>
    <row r="1247" spans="2:5">
      <c r="B1247" s="244">
        <f t="shared" si="61"/>
        <v>44710</v>
      </c>
      <c r="C1247" s="245" t="e">
        <f ca="1">_xll.FDS("EURUSD","FG_PRICE("&amp;B1247&amp;")")</f>
        <v>#NAME?</v>
      </c>
      <c r="D1247" t="e">
        <f ca="1">_xll.FDS("GBPUSD","FG_PRICE("&amp;B1247&amp;")")</f>
        <v>#NAME?</v>
      </c>
      <c r="E1247" t="e">
        <f ca="1">_xll.FDSB("JPYUSD","FG_PRICE("&amp;B1247&amp;")")</f>
        <v>#NAME?</v>
      </c>
    </row>
    <row r="1248" spans="2:5">
      <c r="B1248" s="244">
        <f t="shared" si="61"/>
        <v>44711</v>
      </c>
      <c r="C1248" s="245" t="e">
        <f ca="1">_xll.FDS("EURUSD","FG_PRICE("&amp;B1248&amp;")")</f>
        <v>#NAME?</v>
      </c>
      <c r="D1248" t="e">
        <f ca="1">_xll.FDS("GBPUSD","FG_PRICE("&amp;B1248&amp;")")</f>
        <v>#NAME?</v>
      </c>
      <c r="E1248" t="e">
        <f ca="1">_xll.FDSB("JPYUSD","FG_PRICE("&amp;B1248&amp;")")</f>
        <v>#NAME?</v>
      </c>
    </row>
    <row r="1249" spans="2:5">
      <c r="B1249" s="244">
        <f t="shared" si="61"/>
        <v>44712</v>
      </c>
      <c r="C1249" s="245" t="e">
        <f ca="1">_xll.FDS("EURUSD","FG_PRICE("&amp;B1249&amp;")")</f>
        <v>#NAME?</v>
      </c>
      <c r="D1249" t="e">
        <f ca="1">_xll.FDS("GBPUSD","FG_PRICE("&amp;B1249&amp;")")</f>
        <v>#NAME?</v>
      </c>
      <c r="E1249" t="e">
        <f ca="1">_xll.FDSB("JPYUSD","FG_PRICE("&amp;B1249&amp;")")</f>
        <v>#NAME?</v>
      </c>
    </row>
    <row r="1250" spans="2:5">
      <c r="B1250" s="244">
        <f t="shared" si="61"/>
        <v>44713</v>
      </c>
      <c r="C1250" s="245" t="e">
        <f ca="1">_xll.FDS("EURUSD","FG_PRICE("&amp;B1250&amp;")")</f>
        <v>#NAME?</v>
      </c>
      <c r="D1250" t="e">
        <f ca="1">_xll.FDS("GBPUSD","FG_PRICE("&amp;B1250&amp;")")</f>
        <v>#NAME?</v>
      </c>
      <c r="E1250" t="e">
        <f ca="1">_xll.FDSB("JPYUSD","FG_PRICE("&amp;B1250&amp;")")</f>
        <v>#NAME?</v>
      </c>
    </row>
    <row r="1251" spans="2:5">
      <c r="B1251" s="244">
        <f t="shared" si="61"/>
        <v>44714</v>
      </c>
      <c r="C1251" s="245" t="e">
        <f ca="1">_xll.FDS("EURUSD","FG_PRICE("&amp;B1251&amp;")")</f>
        <v>#NAME?</v>
      </c>
      <c r="D1251" t="e">
        <f ca="1">_xll.FDS("GBPUSD","FG_PRICE("&amp;B1251&amp;")")</f>
        <v>#NAME?</v>
      </c>
      <c r="E1251" t="e">
        <f ca="1">_xll.FDSB("JPYUSD","FG_PRICE("&amp;B1251&amp;")")</f>
        <v>#NAME?</v>
      </c>
    </row>
    <row r="1252" spans="2:5">
      <c r="B1252" s="244">
        <f t="shared" si="61"/>
        <v>44715</v>
      </c>
      <c r="C1252" s="245" t="e">
        <f ca="1">_xll.FDS("EURUSD","FG_PRICE("&amp;B1252&amp;")")</f>
        <v>#NAME?</v>
      </c>
      <c r="D1252" t="e">
        <f ca="1">_xll.FDS("GBPUSD","FG_PRICE("&amp;B1252&amp;")")</f>
        <v>#NAME?</v>
      </c>
      <c r="E1252" t="e">
        <f ca="1">_xll.FDSB("JPYUSD","FG_PRICE("&amp;B1252&amp;")")</f>
        <v>#NAME?</v>
      </c>
    </row>
    <row r="1253" spans="2:5">
      <c r="B1253" s="244">
        <f t="shared" si="61"/>
        <v>44716</v>
      </c>
      <c r="C1253" s="245" t="e">
        <f ca="1">_xll.FDS("EURUSD","FG_PRICE("&amp;B1253&amp;")")</f>
        <v>#NAME?</v>
      </c>
      <c r="D1253" t="e">
        <f ca="1">_xll.FDS("GBPUSD","FG_PRICE("&amp;B1253&amp;")")</f>
        <v>#NAME?</v>
      </c>
      <c r="E1253" t="e">
        <f ca="1">_xll.FDSB("JPYUSD","FG_PRICE("&amp;B1253&amp;")")</f>
        <v>#NAME?</v>
      </c>
    </row>
    <row r="1254" spans="2:5">
      <c r="B1254" s="244">
        <f t="shared" si="61"/>
        <v>44717</v>
      </c>
      <c r="C1254" s="245" t="e">
        <f ca="1">_xll.FDS("EURUSD","FG_PRICE("&amp;B1254&amp;")")</f>
        <v>#NAME?</v>
      </c>
      <c r="D1254" t="e">
        <f ca="1">_xll.FDS("GBPUSD","FG_PRICE("&amp;B1254&amp;")")</f>
        <v>#NAME?</v>
      </c>
      <c r="E1254" t="e">
        <f ca="1">_xll.FDSB("JPYUSD","FG_PRICE("&amp;B1254&amp;")")</f>
        <v>#NAME?</v>
      </c>
    </row>
    <row r="1255" spans="2:5">
      <c r="B1255" s="244">
        <f t="shared" si="61"/>
        <v>44718</v>
      </c>
      <c r="C1255" s="245" t="e">
        <f ca="1">_xll.FDS("EURUSD","FG_PRICE("&amp;B1255&amp;")")</f>
        <v>#NAME?</v>
      </c>
      <c r="D1255" t="e">
        <f ca="1">_xll.FDS("GBPUSD","FG_PRICE("&amp;B1255&amp;")")</f>
        <v>#NAME?</v>
      </c>
      <c r="E1255" t="e">
        <f ca="1">_xll.FDSB("JPYUSD","FG_PRICE("&amp;B1255&amp;")")</f>
        <v>#NAME?</v>
      </c>
    </row>
    <row r="1256" spans="2:5">
      <c r="B1256" s="244">
        <f t="shared" si="61"/>
        <v>44719</v>
      </c>
      <c r="C1256" s="245" t="e">
        <f ca="1">_xll.FDS("EURUSD","FG_PRICE("&amp;B1256&amp;")")</f>
        <v>#NAME?</v>
      </c>
      <c r="D1256" t="e">
        <f ca="1">_xll.FDS("GBPUSD","FG_PRICE("&amp;B1256&amp;")")</f>
        <v>#NAME?</v>
      </c>
      <c r="E1256" t="e">
        <f ca="1">_xll.FDSB("JPYUSD","FG_PRICE("&amp;B1256&amp;")")</f>
        <v>#NAME?</v>
      </c>
    </row>
    <row r="1257" spans="2:5">
      <c r="B1257" s="244">
        <f t="shared" si="61"/>
        <v>44720</v>
      </c>
      <c r="C1257" s="245" t="e">
        <f ca="1">_xll.FDS("EURUSD","FG_PRICE("&amp;B1257&amp;")")</f>
        <v>#NAME?</v>
      </c>
      <c r="D1257" t="e">
        <f ca="1">_xll.FDS("GBPUSD","FG_PRICE("&amp;B1257&amp;")")</f>
        <v>#NAME?</v>
      </c>
      <c r="E1257" t="e">
        <f ca="1">_xll.FDSB("JPYUSD","FG_PRICE("&amp;B1257&amp;")")</f>
        <v>#NAME?</v>
      </c>
    </row>
    <row r="1258" spans="2:5">
      <c r="B1258" s="244">
        <f t="shared" si="61"/>
        <v>44721</v>
      </c>
      <c r="C1258" s="245" t="e">
        <f ca="1">_xll.FDS("EURUSD","FG_PRICE("&amp;B1258&amp;")")</f>
        <v>#NAME?</v>
      </c>
      <c r="D1258" t="e">
        <f ca="1">_xll.FDS("GBPUSD","FG_PRICE("&amp;B1258&amp;")")</f>
        <v>#NAME?</v>
      </c>
      <c r="E1258" t="e">
        <f ca="1">_xll.FDSB("JPYUSD","FG_PRICE("&amp;B1258&amp;")")</f>
        <v>#NAME?</v>
      </c>
    </row>
    <row r="1259" spans="2:5">
      <c r="B1259" s="244">
        <f t="shared" si="61"/>
        <v>44722</v>
      </c>
      <c r="C1259" s="245" t="e">
        <f ca="1">_xll.FDS("EURUSD","FG_PRICE("&amp;B1259&amp;")")</f>
        <v>#NAME?</v>
      </c>
      <c r="D1259" t="e">
        <f ca="1">_xll.FDS("GBPUSD","FG_PRICE("&amp;B1259&amp;")")</f>
        <v>#NAME?</v>
      </c>
      <c r="E1259" t="e">
        <f ca="1">_xll.FDSB("JPYUSD","FG_PRICE("&amp;B1259&amp;")")</f>
        <v>#NAME?</v>
      </c>
    </row>
    <row r="1260" spans="2:5">
      <c r="B1260" s="244">
        <f t="shared" si="61"/>
        <v>44723</v>
      </c>
      <c r="C1260" s="245" t="e">
        <f ca="1">_xll.FDS("EURUSD","FG_PRICE("&amp;B1260&amp;")")</f>
        <v>#NAME?</v>
      </c>
      <c r="D1260" t="e">
        <f ca="1">_xll.FDS("GBPUSD","FG_PRICE("&amp;B1260&amp;")")</f>
        <v>#NAME?</v>
      </c>
      <c r="E1260" t="e">
        <f ca="1">_xll.FDSB("JPYUSD","FG_PRICE("&amp;B1260&amp;")")</f>
        <v>#NAME?</v>
      </c>
    </row>
    <row r="1261" spans="2:5">
      <c r="B1261" s="244">
        <f t="shared" si="61"/>
        <v>44724</v>
      </c>
      <c r="C1261" s="245" t="e">
        <f ca="1">_xll.FDS("EURUSD","FG_PRICE("&amp;B1261&amp;")")</f>
        <v>#NAME?</v>
      </c>
      <c r="D1261" t="e">
        <f ca="1">_xll.FDS("GBPUSD","FG_PRICE("&amp;B1261&amp;")")</f>
        <v>#NAME?</v>
      </c>
      <c r="E1261" t="e">
        <f ca="1">_xll.FDSB("JPYUSD","FG_PRICE("&amp;B1261&amp;")")</f>
        <v>#NAME?</v>
      </c>
    </row>
    <row r="1262" spans="2:5">
      <c r="B1262" s="244">
        <f t="shared" si="61"/>
        <v>44725</v>
      </c>
      <c r="C1262" s="245" t="e">
        <f ca="1">_xll.FDS("EURUSD","FG_PRICE("&amp;B1262&amp;")")</f>
        <v>#NAME?</v>
      </c>
      <c r="D1262" t="e">
        <f ca="1">_xll.FDS("GBPUSD","FG_PRICE("&amp;B1262&amp;")")</f>
        <v>#NAME?</v>
      </c>
      <c r="E1262" t="e">
        <f ca="1">_xll.FDSB("JPYUSD","FG_PRICE("&amp;B1262&amp;")")</f>
        <v>#NAME?</v>
      </c>
    </row>
    <row r="1263" spans="2:5">
      <c r="B1263" s="244">
        <f t="shared" si="61"/>
        <v>44726</v>
      </c>
      <c r="C1263" s="245" t="e">
        <f ca="1">_xll.FDS("EURUSD","FG_PRICE("&amp;B1263&amp;")")</f>
        <v>#NAME?</v>
      </c>
      <c r="D1263" t="e">
        <f ca="1">_xll.FDS("GBPUSD","FG_PRICE("&amp;B1263&amp;")")</f>
        <v>#NAME?</v>
      </c>
      <c r="E1263" t="e">
        <f ca="1">_xll.FDSB("JPYUSD","FG_PRICE("&amp;B1263&amp;")")</f>
        <v>#NAME?</v>
      </c>
    </row>
    <row r="1264" spans="2:5">
      <c r="B1264" s="244">
        <f t="shared" si="61"/>
        <v>44727</v>
      </c>
      <c r="C1264" s="245" t="e">
        <f ca="1">_xll.FDS("EURUSD","FG_PRICE("&amp;B1264&amp;")")</f>
        <v>#NAME?</v>
      </c>
      <c r="D1264" t="e">
        <f ca="1">_xll.FDS("GBPUSD","FG_PRICE("&amp;B1264&amp;")")</f>
        <v>#NAME?</v>
      </c>
      <c r="E1264" t="e">
        <f ca="1">_xll.FDSB("JPYUSD","FG_PRICE("&amp;B1264&amp;")")</f>
        <v>#NAME?</v>
      </c>
    </row>
    <row r="1265" spans="2:5">
      <c r="B1265" s="244">
        <f t="shared" si="61"/>
        <v>44728</v>
      </c>
      <c r="C1265" s="245" t="e">
        <f ca="1">_xll.FDS("EURUSD","FG_PRICE("&amp;B1265&amp;")")</f>
        <v>#NAME?</v>
      </c>
      <c r="D1265" t="e">
        <f ca="1">_xll.FDS("GBPUSD","FG_PRICE("&amp;B1265&amp;")")</f>
        <v>#NAME?</v>
      </c>
      <c r="E1265" t="e">
        <f ca="1">_xll.FDSB("JPYUSD","FG_PRICE("&amp;B1265&amp;")")</f>
        <v>#NAME?</v>
      </c>
    </row>
    <row r="1266" spans="2:5">
      <c r="B1266" s="244">
        <f t="shared" si="61"/>
        <v>44729</v>
      </c>
      <c r="C1266" s="245" t="e">
        <f ca="1">_xll.FDS("EURUSD","FG_PRICE("&amp;B1266&amp;")")</f>
        <v>#NAME?</v>
      </c>
      <c r="D1266" t="e">
        <f ca="1">_xll.FDS("GBPUSD","FG_PRICE("&amp;B1266&amp;")")</f>
        <v>#NAME?</v>
      </c>
      <c r="E1266" t="e">
        <f ca="1">_xll.FDSB("JPYUSD","FG_PRICE("&amp;B1266&amp;")")</f>
        <v>#NAME?</v>
      </c>
    </row>
    <row r="1267" spans="2:5">
      <c r="B1267" s="244">
        <f t="shared" si="61"/>
        <v>44730</v>
      </c>
      <c r="C1267" s="245" t="e">
        <f ca="1">_xll.FDS("EURUSD","FG_PRICE("&amp;B1267&amp;")")</f>
        <v>#NAME?</v>
      </c>
      <c r="D1267" t="e">
        <f ca="1">_xll.FDS("GBPUSD","FG_PRICE("&amp;B1267&amp;")")</f>
        <v>#NAME?</v>
      </c>
      <c r="E1267" t="e">
        <f ca="1">_xll.FDSB("JPYUSD","FG_PRICE("&amp;B1267&amp;")")</f>
        <v>#NAME?</v>
      </c>
    </row>
    <row r="1268" spans="2:5">
      <c r="B1268" s="244">
        <f t="shared" si="61"/>
        <v>44731</v>
      </c>
      <c r="C1268" s="245" t="e">
        <f ca="1">_xll.FDS("EURUSD","FG_PRICE("&amp;B1268&amp;")")</f>
        <v>#NAME?</v>
      </c>
      <c r="D1268" t="e">
        <f ca="1">_xll.FDS("GBPUSD","FG_PRICE("&amp;B1268&amp;")")</f>
        <v>#NAME?</v>
      </c>
      <c r="E1268" t="e">
        <f ca="1">_xll.FDSB("JPYUSD","FG_PRICE("&amp;B1268&amp;")")</f>
        <v>#NAME?</v>
      </c>
    </row>
    <row r="1269" spans="2:5">
      <c r="B1269" s="244">
        <f t="shared" si="61"/>
        <v>44732</v>
      </c>
      <c r="C1269" s="245" t="e">
        <f ca="1">_xll.FDS("EURUSD","FG_PRICE("&amp;B1269&amp;")")</f>
        <v>#NAME?</v>
      </c>
      <c r="D1269" t="e">
        <f ca="1">_xll.FDS("GBPUSD","FG_PRICE("&amp;B1269&amp;")")</f>
        <v>#NAME?</v>
      </c>
      <c r="E1269" t="e">
        <f ca="1">_xll.FDSB("JPYUSD","FG_PRICE("&amp;B1269&amp;")")</f>
        <v>#NAME?</v>
      </c>
    </row>
    <row r="1270" spans="2:5">
      <c r="B1270" s="244">
        <f t="shared" si="61"/>
        <v>44733</v>
      </c>
      <c r="C1270" s="245" t="e">
        <f ca="1">_xll.FDS("EURUSD","FG_PRICE("&amp;B1270&amp;")")</f>
        <v>#NAME?</v>
      </c>
      <c r="D1270" t="e">
        <f ca="1">_xll.FDS("GBPUSD","FG_PRICE("&amp;B1270&amp;")")</f>
        <v>#NAME?</v>
      </c>
      <c r="E1270" t="e">
        <f ca="1">_xll.FDSB("JPYUSD","FG_PRICE("&amp;B1270&amp;")")</f>
        <v>#NAME?</v>
      </c>
    </row>
    <row r="1271" spans="2:5">
      <c r="B1271" s="244">
        <f t="shared" si="61"/>
        <v>44734</v>
      </c>
      <c r="C1271" s="245" t="e">
        <f ca="1">_xll.FDS("EURUSD","FG_PRICE("&amp;B1271&amp;")")</f>
        <v>#NAME?</v>
      </c>
      <c r="D1271" t="e">
        <f ca="1">_xll.FDS("GBPUSD","FG_PRICE("&amp;B1271&amp;")")</f>
        <v>#NAME?</v>
      </c>
      <c r="E1271" t="e">
        <f ca="1">_xll.FDSB("JPYUSD","FG_PRICE("&amp;B1271&amp;")")</f>
        <v>#NAME?</v>
      </c>
    </row>
    <row r="1272" spans="2:5">
      <c r="B1272" s="244">
        <f t="shared" si="61"/>
        <v>44735</v>
      </c>
      <c r="C1272" s="245" t="e">
        <f ca="1">_xll.FDS("EURUSD","FG_PRICE("&amp;B1272&amp;")")</f>
        <v>#NAME?</v>
      </c>
      <c r="D1272" t="e">
        <f ca="1">_xll.FDS("GBPUSD","FG_PRICE("&amp;B1272&amp;")")</f>
        <v>#NAME?</v>
      </c>
      <c r="E1272" t="e">
        <f ca="1">_xll.FDSB("JPYUSD","FG_PRICE("&amp;B1272&amp;")")</f>
        <v>#NAME?</v>
      </c>
    </row>
    <row r="1273" spans="2:5">
      <c r="B1273" s="244">
        <f t="shared" si="61"/>
        <v>44736</v>
      </c>
      <c r="C1273" s="245" t="e">
        <f ca="1">_xll.FDS("EURUSD","FG_PRICE("&amp;B1273&amp;")")</f>
        <v>#NAME?</v>
      </c>
      <c r="D1273" t="e">
        <f ca="1">_xll.FDS("GBPUSD","FG_PRICE("&amp;B1273&amp;")")</f>
        <v>#NAME?</v>
      </c>
      <c r="E1273" t="e">
        <f ca="1">_xll.FDSB("JPYUSD","FG_PRICE("&amp;B1273&amp;")")</f>
        <v>#NAME?</v>
      </c>
    </row>
    <row r="1274" spans="2:5">
      <c r="B1274" s="244">
        <f t="shared" si="61"/>
        <v>44737</v>
      </c>
      <c r="C1274" s="245" t="e">
        <f ca="1">_xll.FDS("EURUSD","FG_PRICE("&amp;B1274&amp;")")</f>
        <v>#NAME?</v>
      </c>
      <c r="D1274" t="e">
        <f ca="1">_xll.FDS("GBPUSD","FG_PRICE("&amp;B1274&amp;")")</f>
        <v>#NAME?</v>
      </c>
      <c r="E1274" t="e">
        <f ca="1">_xll.FDSB("JPYUSD","FG_PRICE("&amp;B1274&amp;")")</f>
        <v>#NAME?</v>
      </c>
    </row>
    <row r="1275" spans="2:5">
      <c r="B1275" s="244">
        <f t="shared" si="61"/>
        <v>44738</v>
      </c>
      <c r="C1275" s="245" t="e">
        <f ca="1">_xll.FDS("EURUSD","FG_PRICE("&amp;B1275&amp;")")</f>
        <v>#NAME?</v>
      </c>
      <c r="D1275" t="e">
        <f ca="1">_xll.FDS("GBPUSD","FG_PRICE("&amp;B1275&amp;")")</f>
        <v>#NAME?</v>
      </c>
      <c r="E1275" t="e">
        <f ca="1">_xll.FDSB("JPYUSD","FG_PRICE("&amp;B1275&amp;")")</f>
        <v>#NAME?</v>
      </c>
    </row>
    <row r="1276" spans="2:5">
      <c r="B1276" s="244">
        <f t="shared" si="61"/>
        <v>44739</v>
      </c>
      <c r="C1276" s="245" t="e">
        <f ca="1">_xll.FDS("EURUSD","FG_PRICE("&amp;B1276&amp;")")</f>
        <v>#NAME?</v>
      </c>
      <c r="D1276" t="e">
        <f ca="1">_xll.FDS("GBPUSD","FG_PRICE("&amp;B1276&amp;")")</f>
        <v>#NAME?</v>
      </c>
      <c r="E1276" t="e">
        <f ca="1">_xll.FDSB("JPYUSD","FG_PRICE("&amp;B1276&amp;")")</f>
        <v>#NAME?</v>
      </c>
    </row>
    <row r="1277" spans="2:5">
      <c r="B1277" s="244">
        <f t="shared" si="61"/>
        <v>44740</v>
      </c>
      <c r="C1277" s="245" t="e">
        <f ca="1">_xll.FDS("EURUSD","FG_PRICE("&amp;B1277&amp;")")</f>
        <v>#NAME?</v>
      </c>
      <c r="D1277" t="e">
        <f ca="1">_xll.FDS("GBPUSD","FG_PRICE("&amp;B1277&amp;")")</f>
        <v>#NAME?</v>
      </c>
      <c r="E1277" t="e">
        <f ca="1">_xll.FDSB("JPYUSD","FG_PRICE("&amp;B1277&amp;")")</f>
        <v>#NAME?</v>
      </c>
    </row>
    <row r="1278" spans="2:5">
      <c r="B1278" s="244">
        <f t="shared" si="61"/>
        <v>44741</v>
      </c>
      <c r="C1278" s="245" t="e">
        <f ca="1">_xll.FDS("EURUSD","FG_PRICE("&amp;B1278&amp;")")</f>
        <v>#NAME?</v>
      </c>
      <c r="D1278" t="e">
        <f ca="1">_xll.FDS("GBPUSD","FG_PRICE("&amp;B1278&amp;")")</f>
        <v>#NAME?</v>
      </c>
      <c r="E1278" t="e">
        <f ca="1">_xll.FDSB("JPYUSD","FG_PRICE("&amp;B1278&amp;")")</f>
        <v>#NAME?</v>
      </c>
    </row>
    <row r="1279" spans="2:5">
      <c r="B1279" s="244">
        <f t="shared" si="61"/>
        <v>44742</v>
      </c>
      <c r="C1279" s="245" t="e">
        <f ca="1">_xll.FDS("EURUSD","FG_PRICE("&amp;B1279&amp;")")</f>
        <v>#NAME?</v>
      </c>
      <c r="D1279" t="e">
        <f ca="1">_xll.FDS("GBPUSD","FG_PRICE("&amp;B1279&amp;")")</f>
        <v>#NAME?</v>
      </c>
      <c r="E1279" t="e">
        <f ca="1">_xll.FDSB("JPYUSD","FG_PRICE("&amp;B1279&amp;")")</f>
        <v>#NAME?</v>
      </c>
    </row>
    <row r="1280" spans="2:5">
      <c r="B1280" s="244">
        <f t="shared" si="61"/>
        <v>44743</v>
      </c>
      <c r="C1280" s="245" t="e">
        <f ca="1">_xll.FDS("EURUSD","FG_PRICE("&amp;B1280&amp;")")</f>
        <v>#NAME?</v>
      </c>
      <c r="D1280" t="e">
        <f ca="1">_xll.FDS("GBPUSD","FG_PRICE("&amp;B1280&amp;")")</f>
        <v>#NAME?</v>
      </c>
      <c r="E1280" t="e">
        <f ca="1">_xll.FDSB("JPYUSD","FG_PRICE("&amp;B1280&amp;")")</f>
        <v>#NAME?</v>
      </c>
    </row>
    <row r="1281" spans="2:5">
      <c r="B1281" s="244">
        <f t="shared" si="61"/>
        <v>44744</v>
      </c>
      <c r="C1281" s="245" t="e">
        <f ca="1">_xll.FDS("EURUSD","FG_PRICE("&amp;B1281&amp;")")</f>
        <v>#NAME?</v>
      </c>
      <c r="D1281" t="e">
        <f ca="1">_xll.FDS("GBPUSD","FG_PRICE("&amp;B1281&amp;")")</f>
        <v>#NAME?</v>
      </c>
      <c r="E1281" t="e">
        <f ca="1">_xll.FDSB("JPYUSD","FG_PRICE("&amp;B1281&amp;")")</f>
        <v>#NAME?</v>
      </c>
    </row>
    <row r="1282" spans="2:5">
      <c r="B1282" s="244">
        <f t="shared" si="61"/>
        <v>44745</v>
      </c>
      <c r="C1282" s="245" t="e">
        <f ca="1">_xll.FDS("EURUSD","FG_PRICE("&amp;B1282&amp;")")</f>
        <v>#NAME?</v>
      </c>
      <c r="D1282" t="e">
        <f ca="1">_xll.FDS("GBPUSD","FG_PRICE("&amp;B1282&amp;")")</f>
        <v>#NAME?</v>
      </c>
      <c r="E1282" t="e">
        <f ca="1">_xll.FDSB("JPYUSD","FG_PRICE("&amp;B1282&amp;")")</f>
        <v>#NAME?</v>
      </c>
    </row>
    <row r="1283" spans="2:5">
      <c r="B1283" s="244">
        <f t="shared" si="61"/>
        <v>44746</v>
      </c>
      <c r="C1283" s="245" t="e">
        <f ca="1">_xll.FDS("EURUSD","FG_PRICE("&amp;B1283&amp;")")</f>
        <v>#NAME?</v>
      </c>
      <c r="D1283" t="e">
        <f ca="1">_xll.FDS("GBPUSD","FG_PRICE("&amp;B1283&amp;")")</f>
        <v>#NAME?</v>
      </c>
      <c r="E1283" t="e">
        <f ca="1">_xll.FDSB("JPYUSD","FG_PRICE("&amp;B1283&amp;")")</f>
        <v>#NAME?</v>
      </c>
    </row>
    <row r="1284" spans="2:5">
      <c r="B1284" s="244">
        <f t="shared" si="61"/>
        <v>44747</v>
      </c>
      <c r="C1284" s="245" t="e">
        <f ca="1">_xll.FDS("EURUSD","FG_PRICE("&amp;B1284&amp;")")</f>
        <v>#NAME?</v>
      </c>
      <c r="D1284" t="e">
        <f ca="1">_xll.FDS("GBPUSD","FG_PRICE("&amp;B1284&amp;")")</f>
        <v>#NAME?</v>
      </c>
      <c r="E1284" t="e">
        <f ca="1">_xll.FDSB("JPYUSD","FG_PRICE("&amp;B1284&amp;")")</f>
        <v>#NAME?</v>
      </c>
    </row>
    <row r="1285" spans="2:5">
      <c r="B1285" s="244">
        <f t="shared" ref="B1285:B1348" si="62">B1284+1</f>
        <v>44748</v>
      </c>
      <c r="C1285" s="245" t="e">
        <f ca="1">_xll.FDS("EURUSD","FG_PRICE("&amp;B1285&amp;")")</f>
        <v>#NAME?</v>
      </c>
      <c r="D1285" t="e">
        <f ca="1">_xll.FDS("GBPUSD","FG_PRICE("&amp;B1285&amp;")")</f>
        <v>#NAME?</v>
      </c>
      <c r="E1285" t="e">
        <f ca="1">_xll.FDSB("JPYUSD","FG_PRICE("&amp;B1285&amp;")")</f>
        <v>#NAME?</v>
      </c>
    </row>
    <row r="1286" spans="2:5">
      <c r="B1286" s="244">
        <f t="shared" si="62"/>
        <v>44749</v>
      </c>
      <c r="C1286" s="245" t="e">
        <f ca="1">_xll.FDS("EURUSD","FG_PRICE("&amp;B1286&amp;")")</f>
        <v>#NAME?</v>
      </c>
      <c r="D1286" t="e">
        <f ca="1">_xll.FDS("GBPUSD","FG_PRICE("&amp;B1286&amp;")")</f>
        <v>#NAME?</v>
      </c>
      <c r="E1286" t="e">
        <f ca="1">_xll.FDSB("JPYUSD","FG_PRICE("&amp;B1286&amp;")")</f>
        <v>#NAME?</v>
      </c>
    </row>
    <row r="1287" spans="2:5">
      <c r="B1287" s="244">
        <f t="shared" si="62"/>
        <v>44750</v>
      </c>
      <c r="C1287" s="245" t="e">
        <f ca="1">_xll.FDS("EURUSD","FG_PRICE("&amp;B1287&amp;")")</f>
        <v>#NAME?</v>
      </c>
      <c r="D1287" t="e">
        <f ca="1">_xll.FDS("GBPUSD","FG_PRICE("&amp;B1287&amp;")")</f>
        <v>#NAME?</v>
      </c>
      <c r="E1287" t="e">
        <f ca="1">_xll.FDSB("JPYUSD","FG_PRICE("&amp;B1287&amp;")")</f>
        <v>#NAME?</v>
      </c>
    </row>
    <row r="1288" spans="2:5">
      <c r="B1288" s="244">
        <f t="shared" si="62"/>
        <v>44751</v>
      </c>
      <c r="C1288" s="245" t="e">
        <f ca="1">_xll.FDS("EURUSD","FG_PRICE("&amp;B1288&amp;")")</f>
        <v>#NAME?</v>
      </c>
      <c r="D1288" t="e">
        <f ca="1">_xll.FDS("GBPUSD","FG_PRICE("&amp;B1288&amp;")")</f>
        <v>#NAME?</v>
      </c>
      <c r="E1288" t="e">
        <f ca="1">_xll.FDSB("JPYUSD","FG_PRICE("&amp;B1288&amp;")")</f>
        <v>#NAME?</v>
      </c>
    </row>
    <row r="1289" spans="2:5">
      <c r="B1289" s="244">
        <f t="shared" si="62"/>
        <v>44752</v>
      </c>
      <c r="C1289" s="245" t="e">
        <f ca="1">_xll.FDS("EURUSD","FG_PRICE("&amp;B1289&amp;")")</f>
        <v>#NAME?</v>
      </c>
      <c r="D1289" t="e">
        <f ca="1">_xll.FDS("GBPUSD","FG_PRICE("&amp;B1289&amp;")")</f>
        <v>#NAME?</v>
      </c>
      <c r="E1289" t="e">
        <f ca="1">_xll.FDSB("JPYUSD","FG_PRICE("&amp;B1289&amp;")")</f>
        <v>#NAME?</v>
      </c>
    </row>
    <row r="1290" spans="2:5">
      <c r="B1290" s="244">
        <f t="shared" si="62"/>
        <v>44753</v>
      </c>
      <c r="C1290" s="245" t="e">
        <f ca="1">_xll.FDS("EURUSD","FG_PRICE("&amp;B1290&amp;")")</f>
        <v>#NAME?</v>
      </c>
      <c r="D1290" t="e">
        <f ca="1">_xll.FDS("GBPUSD","FG_PRICE("&amp;B1290&amp;")")</f>
        <v>#NAME?</v>
      </c>
      <c r="E1290" t="e">
        <f ca="1">_xll.FDSB("JPYUSD","FG_PRICE("&amp;B1290&amp;")")</f>
        <v>#NAME?</v>
      </c>
    </row>
    <row r="1291" spans="2:5">
      <c r="B1291" s="244">
        <f t="shared" si="62"/>
        <v>44754</v>
      </c>
      <c r="C1291" s="245" t="e">
        <f ca="1">_xll.FDS("EURUSD","FG_PRICE("&amp;B1291&amp;")")</f>
        <v>#NAME?</v>
      </c>
      <c r="D1291" t="e">
        <f ca="1">_xll.FDS("GBPUSD","FG_PRICE("&amp;B1291&amp;")")</f>
        <v>#NAME?</v>
      </c>
      <c r="E1291" t="e">
        <f ca="1">_xll.FDSB("JPYUSD","FG_PRICE("&amp;B1291&amp;")")</f>
        <v>#NAME?</v>
      </c>
    </row>
    <row r="1292" spans="2:5">
      <c r="B1292" s="244">
        <f t="shared" si="62"/>
        <v>44755</v>
      </c>
      <c r="C1292" s="245" t="e">
        <f ca="1">_xll.FDS("EURUSD","FG_PRICE("&amp;B1292&amp;")")</f>
        <v>#NAME?</v>
      </c>
      <c r="D1292" t="e">
        <f ca="1">_xll.FDS("GBPUSD","FG_PRICE("&amp;B1292&amp;")")</f>
        <v>#NAME?</v>
      </c>
      <c r="E1292" t="e">
        <f ca="1">_xll.FDSB("JPYUSD","FG_PRICE("&amp;B1292&amp;")")</f>
        <v>#NAME?</v>
      </c>
    </row>
    <row r="1293" spans="2:5">
      <c r="B1293" s="244">
        <f t="shared" si="62"/>
        <v>44756</v>
      </c>
      <c r="C1293" s="245" t="e">
        <f ca="1">_xll.FDS("EURUSD","FG_PRICE("&amp;B1293&amp;")")</f>
        <v>#NAME?</v>
      </c>
      <c r="D1293" t="e">
        <f ca="1">_xll.FDS("GBPUSD","FG_PRICE("&amp;B1293&amp;")")</f>
        <v>#NAME?</v>
      </c>
      <c r="E1293" t="e">
        <f ca="1">_xll.FDSB("JPYUSD","FG_PRICE("&amp;B1293&amp;")")</f>
        <v>#NAME?</v>
      </c>
    </row>
    <row r="1294" spans="2:5">
      <c r="B1294" s="244">
        <f t="shared" si="62"/>
        <v>44757</v>
      </c>
      <c r="C1294" s="245" t="e">
        <f ca="1">_xll.FDS("EURUSD","FG_PRICE("&amp;B1294&amp;")")</f>
        <v>#NAME?</v>
      </c>
      <c r="D1294" t="e">
        <f ca="1">_xll.FDS("GBPUSD","FG_PRICE("&amp;B1294&amp;")")</f>
        <v>#NAME?</v>
      </c>
      <c r="E1294" t="e">
        <f ca="1">_xll.FDSB("JPYUSD","FG_PRICE("&amp;B1294&amp;")")</f>
        <v>#NAME?</v>
      </c>
    </row>
    <row r="1295" spans="2:5">
      <c r="B1295" s="244">
        <f t="shared" si="62"/>
        <v>44758</v>
      </c>
      <c r="C1295" s="245" t="e">
        <f ca="1">_xll.FDS("EURUSD","FG_PRICE("&amp;B1295&amp;")")</f>
        <v>#NAME?</v>
      </c>
      <c r="D1295" t="e">
        <f ca="1">_xll.FDS("GBPUSD","FG_PRICE("&amp;B1295&amp;")")</f>
        <v>#NAME?</v>
      </c>
      <c r="E1295" t="e">
        <f ca="1">_xll.FDSB("JPYUSD","FG_PRICE("&amp;B1295&amp;")")</f>
        <v>#NAME?</v>
      </c>
    </row>
    <row r="1296" spans="2:5">
      <c r="B1296" s="244">
        <f t="shared" si="62"/>
        <v>44759</v>
      </c>
      <c r="C1296" s="245" t="e">
        <f ca="1">_xll.FDS("EURUSD","FG_PRICE("&amp;B1296&amp;")")</f>
        <v>#NAME?</v>
      </c>
      <c r="D1296" t="e">
        <f ca="1">_xll.FDS("GBPUSD","FG_PRICE("&amp;B1296&amp;")")</f>
        <v>#NAME?</v>
      </c>
      <c r="E1296" t="e">
        <f ca="1">_xll.FDSB("JPYUSD","FG_PRICE("&amp;B1296&amp;")")</f>
        <v>#NAME?</v>
      </c>
    </row>
    <row r="1297" spans="2:5">
      <c r="B1297" s="244">
        <f t="shared" si="62"/>
        <v>44760</v>
      </c>
      <c r="C1297" s="245" t="e">
        <f ca="1">_xll.FDS("EURUSD","FG_PRICE("&amp;B1297&amp;")")</f>
        <v>#NAME?</v>
      </c>
      <c r="D1297" t="e">
        <f ca="1">_xll.FDS("GBPUSD","FG_PRICE("&amp;B1297&amp;")")</f>
        <v>#NAME?</v>
      </c>
      <c r="E1297" t="e">
        <f ca="1">_xll.FDSB("JPYUSD","FG_PRICE("&amp;B1297&amp;")")</f>
        <v>#NAME?</v>
      </c>
    </row>
    <row r="1298" spans="2:5">
      <c r="B1298" s="244">
        <f t="shared" si="62"/>
        <v>44761</v>
      </c>
      <c r="C1298" s="245" t="e">
        <f ca="1">_xll.FDS("EURUSD","FG_PRICE("&amp;B1298&amp;")")</f>
        <v>#NAME?</v>
      </c>
      <c r="D1298" t="e">
        <f ca="1">_xll.FDS("GBPUSD","FG_PRICE("&amp;B1298&amp;")")</f>
        <v>#NAME?</v>
      </c>
      <c r="E1298" t="e">
        <f ca="1">_xll.FDSB("JPYUSD","FG_PRICE("&amp;B1298&amp;")")</f>
        <v>#NAME?</v>
      </c>
    </row>
    <row r="1299" spans="2:5">
      <c r="B1299" s="244">
        <f t="shared" si="62"/>
        <v>44762</v>
      </c>
      <c r="C1299" s="245" t="e">
        <f ca="1">_xll.FDS("EURUSD","FG_PRICE("&amp;B1299&amp;")")</f>
        <v>#NAME?</v>
      </c>
      <c r="D1299" t="e">
        <f ca="1">_xll.FDS("GBPUSD","FG_PRICE("&amp;B1299&amp;")")</f>
        <v>#NAME?</v>
      </c>
      <c r="E1299" t="e">
        <f ca="1">_xll.FDSB("JPYUSD","FG_PRICE("&amp;B1299&amp;")")</f>
        <v>#NAME?</v>
      </c>
    </row>
    <row r="1300" spans="2:5">
      <c r="B1300" s="244">
        <f t="shared" si="62"/>
        <v>44763</v>
      </c>
      <c r="C1300" s="245" t="e">
        <f ca="1">_xll.FDS("EURUSD","FG_PRICE("&amp;B1300&amp;")")</f>
        <v>#NAME?</v>
      </c>
      <c r="D1300" t="e">
        <f ca="1">_xll.FDS("GBPUSD","FG_PRICE("&amp;B1300&amp;")")</f>
        <v>#NAME?</v>
      </c>
      <c r="E1300" t="e">
        <f ca="1">_xll.FDSB("JPYUSD","FG_PRICE("&amp;B1300&amp;")")</f>
        <v>#NAME?</v>
      </c>
    </row>
    <row r="1301" spans="2:5">
      <c r="B1301" s="244">
        <f t="shared" si="62"/>
        <v>44764</v>
      </c>
      <c r="C1301" s="245" t="e">
        <f ca="1">_xll.FDS("EURUSD","FG_PRICE("&amp;B1301&amp;")")</f>
        <v>#NAME?</v>
      </c>
      <c r="D1301" t="e">
        <f ca="1">_xll.FDS("GBPUSD","FG_PRICE("&amp;B1301&amp;")")</f>
        <v>#NAME?</v>
      </c>
      <c r="E1301" t="e">
        <f ca="1">_xll.FDSB("JPYUSD","FG_PRICE("&amp;B1301&amp;")")</f>
        <v>#NAME?</v>
      </c>
    </row>
    <row r="1302" spans="2:5">
      <c r="B1302" s="244">
        <f t="shared" si="62"/>
        <v>44765</v>
      </c>
      <c r="C1302" s="245" t="e">
        <f ca="1">_xll.FDS("EURUSD","FG_PRICE("&amp;B1302&amp;")")</f>
        <v>#NAME?</v>
      </c>
      <c r="D1302" t="e">
        <f ca="1">_xll.FDS("GBPUSD","FG_PRICE("&amp;B1302&amp;")")</f>
        <v>#NAME?</v>
      </c>
      <c r="E1302" t="e">
        <f ca="1">_xll.FDSB("JPYUSD","FG_PRICE("&amp;B1302&amp;")")</f>
        <v>#NAME?</v>
      </c>
    </row>
    <row r="1303" spans="2:5">
      <c r="B1303" s="244">
        <f t="shared" si="62"/>
        <v>44766</v>
      </c>
      <c r="C1303" s="245" t="e">
        <f ca="1">_xll.FDS("EURUSD","FG_PRICE("&amp;B1303&amp;")")</f>
        <v>#NAME?</v>
      </c>
      <c r="D1303" t="e">
        <f ca="1">_xll.FDS("GBPUSD","FG_PRICE("&amp;B1303&amp;")")</f>
        <v>#NAME?</v>
      </c>
      <c r="E1303" t="e">
        <f ca="1">_xll.FDSB("JPYUSD","FG_PRICE("&amp;B1303&amp;")")</f>
        <v>#NAME?</v>
      </c>
    </row>
    <row r="1304" spans="2:5">
      <c r="B1304" s="244">
        <f t="shared" si="62"/>
        <v>44767</v>
      </c>
      <c r="C1304" s="245" t="e">
        <f ca="1">_xll.FDS("EURUSD","FG_PRICE("&amp;B1304&amp;")")</f>
        <v>#NAME?</v>
      </c>
      <c r="D1304" t="e">
        <f ca="1">_xll.FDS("GBPUSD","FG_PRICE("&amp;B1304&amp;")")</f>
        <v>#NAME?</v>
      </c>
      <c r="E1304" t="e">
        <f ca="1">_xll.FDSB("JPYUSD","FG_PRICE("&amp;B1304&amp;")")</f>
        <v>#NAME?</v>
      </c>
    </row>
    <row r="1305" spans="2:5">
      <c r="B1305" s="244">
        <f t="shared" si="62"/>
        <v>44768</v>
      </c>
      <c r="C1305" s="245" t="e">
        <f ca="1">_xll.FDS("EURUSD","FG_PRICE("&amp;B1305&amp;")")</f>
        <v>#NAME?</v>
      </c>
      <c r="D1305" t="e">
        <f ca="1">_xll.FDS("GBPUSD","FG_PRICE("&amp;B1305&amp;")")</f>
        <v>#NAME?</v>
      </c>
      <c r="E1305" t="e">
        <f ca="1">_xll.FDSB("JPYUSD","FG_PRICE("&amp;B1305&amp;")")</f>
        <v>#NAME?</v>
      </c>
    </row>
    <row r="1306" spans="2:5">
      <c r="B1306" s="244">
        <f t="shared" si="62"/>
        <v>44769</v>
      </c>
      <c r="C1306" s="245" t="e">
        <f ca="1">_xll.FDS("EURUSD","FG_PRICE("&amp;B1306&amp;")")</f>
        <v>#NAME?</v>
      </c>
      <c r="D1306" t="e">
        <f ca="1">_xll.FDS("GBPUSD","FG_PRICE("&amp;B1306&amp;")")</f>
        <v>#NAME?</v>
      </c>
      <c r="E1306" t="e">
        <f ca="1">_xll.FDSB("JPYUSD","FG_PRICE("&amp;B1306&amp;")")</f>
        <v>#NAME?</v>
      </c>
    </row>
    <row r="1307" spans="2:5">
      <c r="B1307" s="244">
        <f t="shared" si="62"/>
        <v>44770</v>
      </c>
      <c r="C1307" s="245" t="e">
        <f ca="1">_xll.FDS("EURUSD","FG_PRICE("&amp;B1307&amp;")")</f>
        <v>#NAME?</v>
      </c>
      <c r="D1307" t="e">
        <f ca="1">_xll.FDS("GBPUSD","FG_PRICE("&amp;B1307&amp;")")</f>
        <v>#NAME?</v>
      </c>
      <c r="E1307" t="e">
        <f ca="1">_xll.FDSB("JPYUSD","FG_PRICE("&amp;B1307&amp;")")</f>
        <v>#NAME?</v>
      </c>
    </row>
    <row r="1308" spans="2:5">
      <c r="B1308" s="244">
        <f t="shared" si="62"/>
        <v>44771</v>
      </c>
      <c r="C1308" s="245" t="e">
        <f ca="1">_xll.FDS("EURUSD","FG_PRICE("&amp;B1308&amp;")")</f>
        <v>#NAME?</v>
      </c>
      <c r="D1308" t="e">
        <f ca="1">_xll.FDS("GBPUSD","FG_PRICE("&amp;B1308&amp;")")</f>
        <v>#NAME?</v>
      </c>
      <c r="E1308" t="e">
        <f ca="1">_xll.FDSB("JPYUSD","FG_PRICE("&amp;B1308&amp;")")</f>
        <v>#NAME?</v>
      </c>
    </row>
    <row r="1309" spans="2:5">
      <c r="B1309" s="244">
        <f t="shared" si="62"/>
        <v>44772</v>
      </c>
      <c r="C1309" s="245" t="e">
        <f ca="1">_xll.FDS("EURUSD","FG_PRICE("&amp;B1309&amp;")")</f>
        <v>#NAME?</v>
      </c>
      <c r="D1309" t="e">
        <f ca="1">_xll.FDS("GBPUSD","FG_PRICE("&amp;B1309&amp;")")</f>
        <v>#NAME?</v>
      </c>
      <c r="E1309" t="e">
        <f ca="1">_xll.FDSB("JPYUSD","FG_PRICE("&amp;B1309&amp;")")</f>
        <v>#NAME?</v>
      </c>
    </row>
    <row r="1310" spans="2:5">
      <c r="B1310" s="244">
        <f t="shared" si="62"/>
        <v>44773</v>
      </c>
      <c r="C1310" s="245" t="e">
        <f ca="1">_xll.FDS("EURUSD","FG_PRICE("&amp;B1310&amp;")")</f>
        <v>#NAME?</v>
      </c>
      <c r="D1310" t="e">
        <f ca="1">_xll.FDS("GBPUSD","FG_PRICE("&amp;B1310&amp;")")</f>
        <v>#NAME?</v>
      </c>
      <c r="E1310" t="e">
        <f ca="1">_xll.FDSB("JPYUSD","FG_PRICE("&amp;B1310&amp;")")</f>
        <v>#NAME?</v>
      </c>
    </row>
    <row r="1311" spans="2:5">
      <c r="B1311" s="244">
        <f t="shared" si="62"/>
        <v>44774</v>
      </c>
      <c r="C1311" s="245" t="e">
        <f ca="1">_xll.FDS("EURUSD","FG_PRICE("&amp;B1311&amp;")")</f>
        <v>#NAME?</v>
      </c>
      <c r="D1311" t="e">
        <f ca="1">_xll.FDS("GBPUSD","FG_PRICE("&amp;B1311&amp;")")</f>
        <v>#NAME?</v>
      </c>
      <c r="E1311" t="e">
        <f ca="1">_xll.FDSB("JPYUSD","FG_PRICE("&amp;B1311&amp;")")</f>
        <v>#NAME?</v>
      </c>
    </row>
    <row r="1312" spans="2:5">
      <c r="B1312" s="244">
        <f t="shared" si="62"/>
        <v>44775</v>
      </c>
      <c r="C1312" s="245" t="e">
        <f ca="1">_xll.FDS("EURUSD","FG_PRICE("&amp;B1312&amp;")")</f>
        <v>#NAME?</v>
      </c>
      <c r="D1312" t="e">
        <f ca="1">_xll.FDS("GBPUSD","FG_PRICE("&amp;B1312&amp;")")</f>
        <v>#NAME?</v>
      </c>
      <c r="E1312" t="e">
        <f ca="1">_xll.FDSB("JPYUSD","FG_PRICE("&amp;B1312&amp;")")</f>
        <v>#NAME?</v>
      </c>
    </row>
    <row r="1313" spans="2:5">
      <c r="B1313" s="244">
        <f t="shared" si="62"/>
        <v>44776</v>
      </c>
      <c r="C1313" s="245" t="e">
        <f ca="1">_xll.FDS("EURUSD","FG_PRICE("&amp;B1313&amp;")")</f>
        <v>#NAME?</v>
      </c>
      <c r="D1313" t="e">
        <f ca="1">_xll.FDS("GBPUSD","FG_PRICE("&amp;B1313&amp;")")</f>
        <v>#NAME?</v>
      </c>
      <c r="E1313" t="e">
        <f ca="1">_xll.FDSB("JPYUSD","FG_PRICE("&amp;B1313&amp;")")</f>
        <v>#NAME?</v>
      </c>
    </row>
    <row r="1314" spans="2:5">
      <c r="B1314" s="244">
        <f t="shared" si="62"/>
        <v>44777</v>
      </c>
      <c r="C1314" s="245" t="e">
        <f ca="1">_xll.FDS("EURUSD","FG_PRICE("&amp;B1314&amp;")")</f>
        <v>#NAME?</v>
      </c>
      <c r="D1314" t="e">
        <f ca="1">_xll.FDS("GBPUSD","FG_PRICE("&amp;B1314&amp;")")</f>
        <v>#NAME?</v>
      </c>
      <c r="E1314" t="e">
        <f ca="1">_xll.FDSB("JPYUSD","FG_PRICE("&amp;B1314&amp;")")</f>
        <v>#NAME?</v>
      </c>
    </row>
    <row r="1315" spans="2:5">
      <c r="B1315" s="244">
        <f t="shared" si="62"/>
        <v>44778</v>
      </c>
      <c r="C1315" s="245" t="e">
        <f ca="1">_xll.FDS("EURUSD","FG_PRICE("&amp;B1315&amp;")")</f>
        <v>#NAME?</v>
      </c>
      <c r="D1315" t="e">
        <f ca="1">_xll.FDS("GBPUSD","FG_PRICE("&amp;B1315&amp;")")</f>
        <v>#NAME?</v>
      </c>
      <c r="E1315" t="e">
        <f ca="1">_xll.FDSB("JPYUSD","FG_PRICE("&amp;B1315&amp;")")</f>
        <v>#NAME?</v>
      </c>
    </row>
    <row r="1316" spans="2:5">
      <c r="B1316" s="244">
        <f t="shared" si="62"/>
        <v>44779</v>
      </c>
      <c r="C1316" s="245" t="e">
        <f ca="1">_xll.FDS("EURUSD","FG_PRICE("&amp;B1316&amp;")")</f>
        <v>#NAME?</v>
      </c>
      <c r="D1316" t="e">
        <f ca="1">_xll.FDS("GBPUSD","FG_PRICE("&amp;B1316&amp;")")</f>
        <v>#NAME?</v>
      </c>
      <c r="E1316" t="e">
        <f ca="1">_xll.FDSB("JPYUSD","FG_PRICE("&amp;B1316&amp;")")</f>
        <v>#NAME?</v>
      </c>
    </row>
    <row r="1317" spans="2:5">
      <c r="B1317" s="244">
        <f t="shared" si="62"/>
        <v>44780</v>
      </c>
      <c r="C1317" s="245" t="e">
        <f ca="1">_xll.FDS("EURUSD","FG_PRICE("&amp;B1317&amp;")")</f>
        <v>#NAME?</v>
      </c>
      <c r="D1317" t="e">
        <f ca="1">_xll.FDS("GBPUSD","FG_PRICE("&amp;B1317&amp;")")</f>
        <v>#NAME?</v>
      </c>
      <c r="E1317" t="e">
        <f ca="1">_xll.FDSB("JPYUSD","FG_PRICE("&amp;B1317&amp;")")</f>
        <v>#NAME?</v>
      </c>
    </row>
    <row r="1318" spans="2:5">
      <c r="B1318" s="244">
        <f t="shared" si="62"/>
        <v>44781</v>
      </c>
      <c r="C1318" s="245" t="e">
        <f ca="1">_xll.FDS("EURUSD","FG_PRICE("&amp;B1318&amp;")")</f>
        <v>#NAME?</v>
      </c>
      <c r="D1318" t="e">
        <f ca="1">_xll.FDS("GBPUSD","FG_PRICE("&amp;B1318&amp;")")</f>
        <v>#NAME?</v>
      </c>
      <c r="E1318" t="e">
        <f ca="1">_xll.FDSB("JPYUSD","FG_PRICE("&amp;B1318&amp;")")</f>
        <v>#NAME?</v>
      </c>
    </row>
    <row r="1319" spans="2:5">
      <c r="B1319" s="244">
        <f t="shared" si="62"/>
        <v>44782</v>
      </c>
      <c r="C1319" s="245" t="e">
        <f ca="1">_xll.FDS("EURUSD","FG_PRICE("&amp;B1319&amp;")")</f>
        <v>#NAME?</v>
      </c>
      <c r="D1319" t="e">
        <f ca="1">_xll.FDS("GBPUSD","FG_PRICE("&amp;B1319&amp;")")</f>
        <v>#NAME?</v>
      </c>
      <c r="E1319" t="e">
        <f ca="1">_xll.FDSB("JPYUSD","FG_PRICE("&amp;B1319&amp;")")</f>
        <v>#NAME?</v>
      </c>
    </row>
    <row r="1320" spans="2:5">
      <c r="B1320" s="244">
        <f t="shared" si="62"/>
        <v>44783</v>
      </c>
      <c r="C1320" s="245" t="e">
        <f ca="1">_xll.FDS("EURUSD","FG_PRICE("&amp;B1320&amp;")")</f>
        <v>#NAME?</v>
      </c>
      <c r="D1320" t="e">
        <f ca="1">_xll.FDS("GBPUSD","FG_PRICE("&amp;B1320&amp;")")</f>
        <v>#NAME?</v>
      </c>
      <c r="E1320" t="e">
        <f ca="1">_xll.FDSB("JPYUSD","FG_PRICE("&amp;B1320&amp;")")</f>
        <v>#NAME?</v>
      </c>
    </row>
    <row r="1321" spans="2:5">
      <c r="B1321" s="244">
        <f t="shared" si="62"/>
        <v>44784</v>
      </c>
      <c r="C1321" s="245" t="e">
        <f ca="1">_xll.FDS("EURUSD","FG_PRICE("&amp;B1321&amp;")")</f>
        <v>#NAME?</v>
      </c>
      <c r="D1321" t="e">
        <f ca="1">_xll.FDS("GBPUSD","FG_PRICE("&amp;B1321&amp;")")</f>
        <v>#NAME?</v>
      </c>
      <c r="E1321" t="e">
        <f ca="1">_xll.FDSB("JPYUSD","FG_PRICE("&amp;B1321&amp;")")</f>
        <v>#NAME?</v>
      </c>
    </row>
    <row r="1322" spans="2:5">
      <c r="B1322" s="244">
        <f t="shared" si="62"/>
        <v>44785</v>
      </c>
      <c r="C1322" s="245" t="e">
        <f ca="1">_xll.FDS("EURUSD","FG_PRICE("&amp;B1322&amp;")")</f>
        <v>#NAME?</v>
      </c>
      <c r="D1322" t="e">
        <f ca="1">_xll.FDS("GBPUSD","FG_PRICE("&amp;B1322&amp;")")</f>
        <v>#NAME?</v>
      </c>
      <c r="E1322" t="e">
        <f ca="1">_xll.FDSB("JPYUSD","FG_PRICE("&amp;B1322&amp;")")</f>
        <v>#NAME?</v>
      </c>
    </row>
    <row r="1323" spans="2:5">
      <c r="B1323" s="244">
        <f t="shared" si="62"/>
        <v>44786</v>
      </c>
      <c r="C1323" s="245" t="e">
        <f ca="1">_xll.FDS("EURUSD","FG_PRICE("&amp;B1323&amp;")")</f>
        <v>#NAME?</v>
      </c>
      <c r="D1323" t="e">
        <f ca="1">_xll.FDS("GBPUSD","FG_PRICE("&amp;B1323&amp;")")</f>
        <v>#NAME?</v>
      </c>
      <c r="E1323" t="e">
        <f ca="1">_xll.FDSB("JPYUSD","FG_PRICE("&amp;B1323&amp;")")</f>
        <v>#NAME?</v>
      </c>
    </row>
    <row r="1324" spans="2:5">
      <c r="B1324" s="244">
        <f t="shared" si="62"/>
        <v>44787</v>
      </c>
      <c r="C1324" s="245" t="e">
        <f ca="1">_xll.FDS("EURUSD","FG_PRICE("&amp;B1324&amp;")")</f>
        <v>#NAME?</v>
      </c>
      <c r="D1324" t="e">
        <f ca="1">_xll.FDS("GBPUSD","FG_PRICE("&amp;B1324&amp;")")</f>
        <v>#NAME?</v>
      </c>
      <c r="E1324" t="e">
        <f ca="1">_xll.FDSB("JPYUSD","FG_PRICE("&amp;B1324&amp;")")</f>
        <v>#NAME?</v>
      </c>
    </row>
    <row r="1325" spans="2:5">
      <c r="B1325" s="244">
        <f t="shared" si="62"/>
        <v>44788</v>
      </c>
      <c r="C1325" s="245" t="e">
        <f ca="1">_xll.FDS("EURUSD","FG_PRICE("&amp;B1325&amp;")")</f>
        <v>#NAME?</v>
      </c>
      <c r="D1325" t="e">
        <f ca="1">_xll.FDS("GBPUSD","FG_PRICE("&amp;B1325&amp;")")</f>
        <v>#NAME?</v>
      </c>
      <c r="E1325" t="e">
        <f ca="1">_xll.FDSB("JPYUSD","FG_PRICE("&amp;B1325&amp;")")</f>
        <v>#NAME?</v>
      </c>
    </row>
    <row r="1326" spans="2:5">
      <c r="B1326" s="244">
        <f t="shared" si="62"/>
        <v>44789</v>
      </c>
      <c r="C1326" s="245" t="e">
        <f ca="1">_xll.FDS("EURUSD","FG_PRICE("&amp;B1326&amp;")")</f>
        <v>#NAME?</v>
      </c>
      <c r="D1326" t="e">
        <f ca="1">_xll.FDS("GBPUSD","FG_PRICE("&amp;B1326&amp;")")</f>
        <v>#NAME?</v>
      </c>
      <c r="E1326" t="e">
        <f ca="1">_xll.FDSB("JPYUSD","FG_PRICE("&amp;B1326&amp;")")</f>
        <v>#NAME?</v>
      </c>
    </row>
    <row r="1327" spans="2:5">
      <c r="B1327" s="244">
        <f t="shared" si="62"/>
        <v>44790</v>
      </c>
      <c r="C1327" s="245" t="e">
        <f ca="1">_xll.FDS("EURUSD","FG_PRICE("&amp;B1327&amp;")")</f>
        <v>#NAME?</v>
      </c>
      <c r="D1327" t="e">
        <f ca="1">_xll.FDS("GBPUSD","FG_PRICE("&amp;B1327&amp;")")</f>
        <v>#NAME?</v>
      </c>
      <c r="E1327" t="e">
        <f ca="1">_xll.FDSB("JPYUSD","FG_PRICE("&amp;B1327&amp;")")</f>
        <v>#NAME?</v>
      </c>
    </row>
    <row r="1328" spans="2:5">
      <c r="B1328" s="244">
        <f t="shared" si="62"/>
        <v>44791</v>
      </c>
      <c r="C1328" s="245" t="e">
        <f ca="1">_xll.FDS("EURUSD","FG_PRICE("&amp;B1328&amp;")")</f>
        <v>#NAME?</v>
      </c>
      <c r="D1328" t="e">
        <f ca="1">_xll.FDS("GBPUSD","FG_PRICE("&amp;B1328&amp;")")</f>
        <v>#NAME?</v>
      </c>
      <c r="E1328" t="e">
        <f ca="1">_xll.FDSB("JPYUSD","FG_PRICE("&amp;B1328&amp;")")</f>
        <v>#NAME?</v>
      </c>
    </row>
    <row r="1329" spans="2:5">
      <c r="B1329" s="244">
        <f t="shared" si="62"/>
        <v>44792</v>
      </c>
      <c r="C1329" s="245" t="e">
        <f ca="1">_xll.FDS("EURUSD","FG_PRICE("&amp;B1329&amp;")")</f>
        <v>#NAME?</v>
      </c>
      <c r="D1329" t="e">
        <f ca="1">_xll.FDS("GBPUSD","FG_PRICE("&amp;B1329&amp;")")</f>
        <v>#NAME?</v>
      </c>
      <c r="E1329" t="e">
        <f ca="1">_xll.FDSB("JPYUSD","FG_PRICE("&amp;B1329&amp;")")</f>
        <v>#NAME?</v>
      </c>
    </row>
    <row r="1330" spans="2:5">
      <c r="B1330" s="244">
        <f t="shared" si="62"/>
        <v>44793</v>
      </c>
      <c r="C1330" s="245" t="e">
        <f ca="1">_xll.FDS("EURUSD","FG_PRICE("&amp;B1330&amp;")")</f>
        <v>#NAME?</v>
      </c>
      <c r="D1330" t="e">
        <f ca="1">_xll.FDS("GBPUSD","FG_PRICE("&amp;B1330&amp;")")</f>
        <v>#NAME?</v>
      </c>
      <c r="E1330" t="e">
        <f ca="1">_xll.FDSB("JPYUSD","FG_PRICE("&amp;B1330&amp;")")</f>
        <v>#NAME?</v>
      </c>
    </row>
    <row r="1331" spans="2:5">
      <c r="B1331" s="244">
        <f t="shared" si="62"/>
        <v>44794</v>
      </c>
      <c r="C1331" s="245" t="e">
        <f ca="1">_xll.FDS("EURUSD","FG_PRICE("&amp;B1331&amp;")")</f>
        <v>#NAME?</v>
      </c>
      <c r="D1331" t="e">
        <f ca="1">_xll.FDS("GBPUSD","FG_PRICE("&amp;B1331&amp;")")</f>
        <v>#NAME?</v>
      </c>
      <c r="E1331" t="e">
        <f ca="1">_xll.FDSB("JPYUSD","FG_PRICE("&amp;B1331&amp;")")</f>
        <v>#NAME?</v>
      </c>
    </row>
    <row r="1332" spans="2:5">
      <c r="B1332" s="244">
        <f t="shared" si="62"/>
        <v>44795</v>
      </c>
      <c r="C1332" s="245" t="e">
        <f ca="1">_xll.FDS("EURUSD","FG_PRICE("&amp;B1332&amp;")")</f>
        <v>#NAME?</v>
      </c>
      <c r="D1332" t="e">
        <f ca="1">_xll.FDS("GBPUSD","FG_PRICE("&amp;B1332&amp;")")</f>
        <v>#NAME?</v>
      </c>
      <c r="E1332" t="e">
        <f ca="1">_xll.FDSB("JPYUSD","FG_PRICE("&amp;B1332&amp;")")</f>
        <v>#NAME?</v>
      </c>
    </row>
    <row r="1333" spans="2:5">
      <c r="B1333" s="244">
        <f t="shared" si="62"/>
        <v>44796</v>
      </c>
      <c r="C1333" s="245" t="e">
        <f ca="1">_xll.FDS("EURUSD","FG_PRICE("&amp;B1333&amp;")")</f>
        <v>#NAME?</v>
      </c>
      <c r="D1333" t="e">
        <f ca="1">_xll.FDS("GBPUSD","FG_PRICE("&amp;B1333&amp;")")</f>
        <v>#NAME?</v>
      </c>
      <c r="E1333" t="e">
        <f ca="1">_xll.FDSB("JPYUSD","FG_PRICE("&amp;B1333&amp;")")</f>
        <v>#NAME?</v>
      </c>
    </row>
    <row r="1334" spans="2:5">
      <c r="B1334" s="244">
        <f t="shared" si="62"/>
        <v>44797</v>
      </c>
      <c r="C1334" s="245" t="e">
        <f ca="1">_xll.FDS("EURUSD","FG_PRICE("&amp;B1334&amp;")")</f>
        <v>#NAME?</v>
      </c>
      <c r="D1334" t="e">
        <f ca="1">_xll.FDS("GBPUSD","FG_PRICE("&amp;B1334&amp;")")</f>
        <v>#NAME?</v>
      </c>
      <c r="E1334" t="e">
        <f ca="1">_xll.FDSB("JPYUSD","FG_PRICE("&amp;B1334&amp;")")</f>
        <v>#NAME?</v>
      </c>
    </row>
    <row r="1335" spans="2:5">
      <c r="B1335" s="244">
        <f t="shared" si="62"/>
        <v>44798</v>
      </c>
      <c r="C1335" s="245" t="e">
        <f ca="1">_xll.FDS("EURUSD","FG_PRICE("&amp;B1335&amp;")")</f>
        <v>#NAME?</v>
      </c>
      <c r="D1335" t="e">
        <f ca="1">_xll.FDS("GBPUSD","FG_PRICE("&amp;B1335&amp;")")</f>
        <v>#NAME?</v>
      </c>
      <c r="E1335" t="e">
        <f ca="1">_xll.FDSB("JPYUSD","FG_PRICE("&amp;B1335&amp;")")</f>
        <v>#NAME?</v>
      </c>
    </row>
    <row r="1336" spans="2:5">
      <c r="B1336" s="244">
        <f t="shared" si="62"/>
        <v>44799</v>
      </c>
      <c r="C1336" s="245" t="e">
        <f ca="1">_xll.FDS("EURUSD","FG_PRICE("&amp;B1336&amp;")")</f>
        <v>#NAME?</v>
      </c>
      <c r="D1336" t="e">
        <f ca="1">_xll.FDS("GBPUSD","FG_PRICE("&amp;B1336&amp;")")</f>
        <v>#NAME?</v>
      </c>
      <c r="E1336" t="e">
        <f ca="1">_xll.FDSB("JPYUSD","FG_PRICE("&amp;B1336&amp;")")</f>
        <v>#NAME?</v>
      </c>
    </row>
    <row r="1337" spans="2:5">
      <c r="B1337" s="244">
        <f t="shared" si="62"/>
        <v>44800</v>
      </c>
      <c r="C1337" s="245" t="e">
        <f ca="1">_xll.FDS("EURUSD","FG_PRICE("&amp;B1337&amp;")")</f>
        <v>#NAME?</v>
      </c>
      <c r="D1337" t="e">
        <f ca="1">_xll.FDS("GBPUSD","FG_PRICE("&amp;B1337&amp;")")</f>
        <v>#NAME?</v>
      </c>
      <c r="E1337" t="e">
        <f ca="1">_xll.FDSB("JPYUSD","FG_PRICE("&amp;B1337&amp;")")</f>
        <v>#NAME?</v>
      </c>
    </row>
    <row r="1338" spans="2:5">
      <c r="B1338" s="244">
        <f t="shared" si="62"/>
        <v>44801</v>
      </c>
      <c r="C1338" s="245" t="e">
        <f ca="1">_xll.FDS("EURUSD","FG_PRICE("&amp;B1338&amp;")")</f>
        <v>#NAME?</v>
      </c>
      <c r="D1338" t="e">
        <f ca="1">_xll.FDS("GBPUSD","FG_PRICE("&amp;B1338&amp;")")</f>
        <v>#NAME?</v>
      </c>
      <c r="E1338" t="e">
        <f ca="1">_xll.FDSB("JPYUSD","FG_PRICE("&amp;B1338&amp;")")</f>
        <v>#NAME?</v>
      </c>
    </row>
    <row r="1339" spans="2:5">
      <c r="B1339" s="244">
        <f t="shared" si="62"/>
        <v>44802</v>
      </c>
      <c r="C1339" s="245" t="e">
        <f ca="1">_xll.FDS("EURUSD","FG_PRICE("&amp;B1339&amp;")")</f>
        <v>#NAME?</v>
      </c>
      <c r="D1339" t="e">
        <f ca="1">_xll.FDS("GBPUSD","FG_PRICE("&amp;B1339&amp;")")</f>
        <v>#NAME?</v>
      </c>
      <c r="E1339" t="e">
        <f ca="1">_xll.FDSB("JPYUSD","FG_PRICE("&amp;B1339&amp;")")</f>
        <v>#NAME?</v>
      </c>
    </row>
    <row r="1340" spans="2:5">
      <c r="B1340" s="244">
        <f t="shared" si="62"/>
        <v>44803</v>
      </c>
      <c r="C1340" s="245" t="e">
        <f ca="1">_xll.FDS("EURUSD","FG_PRICE("&amp;B1340&amp;")")</f>
        <v>#NAME?</v>
      </c>
      <c r="D1340" t="e">
        <f ca="1">_xll.FDS("GBPUSD","FG_PRICE("&amp;B1340&amp;")")</f>
        <v>#NAME?</v>
      </c>
      <c r="E1340" t="e">
        <f ca="1">_xll.FDSB("JPYUSD","FG_PRICE("&amp;B1340&amp;")")</f>
        <v>#NAME?</v>
      </c>
    </row>
    <row r="1341" spans="2:5">
      <c r="B1341" s="244">
        <f t="shared" si="62"/>
        <v>44804</v>
      </c>
      <c r="C1341" s="245" t="e">
        <f ca="1">_xll.FDS("EURUSD","FG_PRICE("&amp;B1341&amp;")")</f>
        <v>#NAME?</v>
      </c>
      <c r="D1341" t="e">
        <f ca="1">_xll.FDS("GBPUSD","FG_PRICE("&amp;B1341&amp;")")</f>
        <v>#NAME?</v>
      </c>
      <c r="E1341" t="e">
        <f ca="1">_xll.FDSB("JPYUSD","FG_PRICE("&amp;B1341&amp;")")</f>
        <v>#NAME?</v>
      </c>
    </row>
    <row r="1342" spans="2:5">
      <c r="B1342" s="244">
        <f t="shared" si="62"/>
        <v>44805</v>
      </c>
      <c r="C1342" s="245" t="e">
        <f ca="1">_xll.FDS("EURUSD","FG_PRICE("&amp;B1342&amp;")")</f>
        <v>#NAME?</v>
      </c>
      <c r="D1342" t="e">
        <f ca="1">_xll.FDS("GBPUSD","FG_PRICE("&amp;B1342&amp;")")</f>
        <v>#NAME?</v>
      </c>
      <c r="E1342" t="e">
        <f ca="1">_xll.FDSB("JPYUSD","FG_PRICE("&amp;B1342&amp;")")</f>
        <v>#NAME?</v>
      </c>
    </row>
    <row r="1343" spans="2:5">
      <c r="B1343" s="244">
        <f t="shared" si="62"/>
        <v>44806</v>
      </c>
      <c r="C1343" s="245" t="e">
        <f ca="1">_xll.FDS("EURUSD","FG_PRICE("&amp;B1343&amp;")")</f>
        <v>#NAME?</v>
      </c>
      <c r="D1343" t="e">
        <f ca="1">_xll.FDS("GBPUSD","FG_PRICE("&amp;B1343&amp;")")</f>
        <v>#NAME?</v>
      </c>
      <c r="E1343" t="e">
        <f ca="1">_xll.FDSB("JPYUSD","FG_PRICE("&amp;B1343&amp;")")</f>
        <v>#NAME?</v>
      </c>
    </row>
    <row r="1344" spans="2:5">
      <c r="B1344" s="244">
        <f t="shared" si="62"/>
        <v>44807</v>
      </c>
      <c r="C1344" s="245" t="e">
        <f ca="1">_xll.FDS("EURUSD","FG_PRICE("&amp;B1344&amp;")")</f>
        <v>#NAME?</v>
      </c>
      <c r="D1344" t="e">
        <f ca="1">_xll.FDS("GBPUSD","FG_PRICE("&amp;B1344&amp;")")</f>
        <v>#NAME?</v>
      </c>
      <c r="E1344" t="e">
        <f ca="1">_xll.FDSB("JPYUSD","FG_PRICE("&amp;B1344&amp;")")</f>
        <v>#NAME?</v>
      </c>
    </row>
    <row r="1345" spans="2:5">
      <c r="B1345" s="244">
        <f t="shared" si="62"/>
        <v>44808</v>
      </c>
      <c r="C1345" s="245" t="e">
        <f ca="1">_xll.FDS("EURUSD","FG_PRICE("&amp;B1345&amp;")")</f>
        <v>#NAME?</v>
      </c>
      <c r="D1345" t="e">
        <f ca="1">_xll.FDS("GBPUSD","FG_PRICE("&amp;B1345&amp;")")</f>
        <v>#NAME?</v>
      </c>
      <c r="E1345" t="e">
        <f ca="1">_xll.FDSB("JPYUSD","FG_PRICE("&amp;B1345&amp;")")</f>
        <v>#NAME?</v>
      </c>
    </row>
    <row r="1346" spans="2:5">
      <c r="B1346" s="244">
        <f t="shared" si="62"/>
        <v>44809</v>
      </c>
      <c r="C1346" s="245" t="e">
        <f ca="1">_xll.FDS("EURUSD","FG_PRICE("&amp;B1346&amp;")")</f>
        <v>#NAME?</v>
      </c>
      <c r="D1346" t="e">
        <f ca="1">_xll.FDS("GBPUSD","FG_PRICE("&amp;B1346&amp;")")</f>
        <v>#NAME?</v>
      </c>
      <c r="E1346" t="e">
        <f ca="1">_xll.FDSB("JPYUSD","FG_PRICE("&amp;B1346&amp;")")</f>
        <v>#NAME?</v>
      </c>
    </row>
    <row r="1347" spans="2:5">
      <c r="B1347" s="244">
        <f t="shared" si="62"/>
        <v>44810</v>
      </c>
      <c r="C1347" s="245" t="e">
        <f ca="1">_xll.FDS("EURUSD","FG_PRICE("&amp;B1347&amp;")")</f>
        <v>#NAME?</v>
      </c>
      <c r="D1347" t="e">
        <f ca="1">_xll.FDS("GBPUSD","FG_PRICE("&amp;B1347&amp;")")</f>
        <v>#NAME?</v>
      </c>
      <c r="E1347" t="e">
        <f ca="1">_xll.FDSB("JPYUSD","FG_PRICE("&amp;B1347&amp;")")</f>
        <v>#NAME?</v>
      </c>
    </row>
    <row r="1348" spans="2:5">
      <c r="B1348" s="244">
        <f t="shared" si="62"/>
        <v>44811</v>
      </c>
      <c r="C1348" s="245" t="e">
        <f ca="1">_xll.FDS("EURUSD","FG_PRICE("&amp;B1348&amp;")")</f>
        <v>#NAME?</v>
      </c>
      <c r="D1348" t="e">
        <f ca="1">_xll.FDS("GBPUSD","FG_PRICE("&amp;B1348&amp;")")</f>
        <v>#NAME?</v>
      </c>
      <c r="E1348" t="e">
        <f ca="1">_xll.FDSB("JPYUSD","FG_PRICE("&amp;B1348&amp;")")</f>
        <v>#NAME?</v>
      </c>
    </row>
    <row r="1349" spans="2:5">
      <c r="B1349" s="244">
        <f t="shared" ref="B1349:B1412" si="63">B1348+1</f>
        <v>44812</v>
      </c>
      <c r="C1349" s="245" t="e">
        <f ca="1">_xll.FDS("EURUSD","FG_PRICE("&amp;B1349&amp;")")</f>
        <v>#NAME?</v>
      </c>
      <c r="D1349" t="e">
        <f ca="1">_xll.FDS("GBPUSD","FG_PRICE("&amp;B1349&amp;")")</f>
        <v>#NAME?</v>
      </c>
      <c r="E1349" t="e">
        <f ca="1">_xll.FDSB("JPYUSD","FG_PRICE("&amp;B1349&amp;")")</f>
        <v>#NAME?</v>
      </c>
    </row>
    <row r="1350" spans="2:5">
      <c r="B1350" s="244">
        <f t="shared" si="63"/>
        <v>44813</v>
      </c>
      <c r="C1350" s="245" t="e">
        <f ca="1">_xll.FDS("EURUSD","FG_PRICE("&amp;B1350&amp;")")</f>
        <v>#NAME?</v>
      </c>
      <c r="D1350" t="e">
        <f ca="1">_xll.FDS("GBPUSD","FG_PRICE("&amp;B1350&amp;")")</f>
        <v>#NAME?</v>
      </c>
      <c r="E1350" t="e">
        <f ca="1">_xll.FDSB("JPYUSD","FG_PRICE("&amp;B1350&amp;")")</f>
        <v>#NAME?</v>
      </c>
    </row>
    <row r="1351" spans="2:5">
      <c r="B1351" s="244">
        <f t="shared" si="63"/>
        <v>44814</v>
      </c>
      <c r="C1351" s="245" t="e">
        <f ca="1">_xll.FDS("EURUSD","FG_PRICE("&amp;B1351&amp;")")</f>
        <v>#NAME?</v>
      </c>
      <c r="D1351" t="e">
        <f ca="1">_xll.FDS("GBPUSD","FG_PRICE("&amp;B1351&amp;")")</f>
        <v>#NAME?</v>
      </c>
      <c r="E1351" t="e">
        <f ca="1">_xll.FDSB("JPYUSD","FG_PRICE("&amp;B1351&amp;")")</f>
        <v>#NAME?</v>
      </c>
    </row>
    <row r="1352" spans="2:5">
      <c r="B1352" s="244">
        <f t="shared" si="63"/>
        <v>44815</v>
      </c>
      <c r="C1352" s="245" t="e">
        <f ca="1">_xll.FDS("EURUSD","FG_PRICE("&amp;B1352&amp;")")</f>
        <v>#NAME?</v>
      </c>
      <c r="D1352" t="e">
        <f ca="1">_xll.FDS("GBPUSD","FG_PRICE("&amp;B1352&amp;")")</f>
        <v>#NAME?</v>
      </c>
      <c r="E1352" t="e">
        <f ca="1">_xll.FDSB("JPYUSD","FG_PRICE("&amp;B1352&amp;")")</f>
        <v>#NAME?</v>
      </c>
    </row>
    <row r="1353" spans="2:5">
      <c r="B1353" s="244">
        <f t="shared" si="63"/>
        <v>44816</v>
      </c>
      <c r="C1353" s="245" t="e">
        <f ca="1">_xll.FDS("EURUSD","FG_PRICE("&amp;B1353&amp;")")</f>
        <v>#NAME?</v>
      </c>
      <c r="D1353" t="e">
        <f ca="1">_xll.FDS("GBPUSD","FG_PRICE("&amp;B1353&amp;")")</f>
        <v>#NAME?</v>
      </c>
      <c r="E1353" t="e">
        <f ca="1">_xll.FDSB("JPYUSD","FG_PRICE("&amp;B1353&amp;")")</f>
        <v>#NAME?</v>
      </c>
    </row>
    <row r="1354" spans="2:5">
      <c r="B1354" s="244">
        <f t="shared" si="63"/>
        <v>44817</v>
      </c>
      <c r="C1354" s="245" t="e">
        <f ca="1">_xll.FDS("EURUSD","FG_PRICE("&amp;B1354&amp;")")</f>
        <v>#NAME?</v>
      </c>
      <c r="D1354" t="e">
        <f ca="1">_xll.FDS("GBPUSD","FG_PRICE("&amp;B1354&amp;")")</f>
        <v>#NAME?</v>
      </c>
      <c r="E1354" t="e">
        <f ca="1">_xll.FDSB("JPYUSD","FG_PRICE("&amp;B1354&amp;")")</f>
        <v>#NAME?</v>
      </c>
    </row>
    <row r="1355" spans="2:5">
      <c r="B1355" s="244">
        <f t="shared" si="63"/>
        <v>44818</v>
      </c>
      <c r="C1355" s="245" t="e">
        <f ca="1">_xll.FDS("EURUSD","FG_PRICE("&amp;B1355&amp;")")</f>
        <v>#NAME?</v>
      </c>
      <c r="D1355" t="e">
        <f ca="1">_xll.FDS("GBPUSD","FG_PRICE("&amp;B1355&amp;")")</f>
        <v>#NAME?</v>
      </c>
      <c r="E1355" t="e">
        <f ca="1">_xll.FDSB("JPYUSD","FG_PRICE("&amp;B1355&amp;")")</f>
        <v>#NAME?</v>
      </c>
    </row>
    <row r="1356" spans="2:5">
      <c r="B1356" s="244">
        <f t="shared" si="63"/>
        <v>44819</v>
      </c>
      <c r="C1356" s="245" t="e">
        <f ca="1">_xll.FDS("EURUSD","FG_PRICE("&amp;B1356&amp;")")</f>
        <v>#NAME?</v>
      </c>
      <c r="D1356" t="e">
        <f ca="1">_xll.FDS("GBPUSD","FG_PRICE("&amp;B1356&amp;")")</f>
        <v>#NAME?</v>
      </c>
      <c r="E1356" t="e">
        <f ca="1">_xll.FDSB("JPYUSD","FG_PRICE("&amp;B1356&amp;")")</f>
        <v>#NAME?</v>
      </c>
    </row>
    <row r="1357" spans="2:5">
      <c r="B1357" s="244">
        <f t="shared" si="63"/>
        <v>44820</v>
      </c>
      <c r="C1357" s="245" t="e">
        <f ca="1">_xll.FDS("EURUSD","FG_PRICE("&amp;B1357&amp;")")</f>
        <v>#NAME?</v>
      </c>
      <c r="D1357" t="e">
        <f ca="1">_xll.FDS("GBPUSD","FG_PRICE("&amp;B1357&amp;")")</f>
        <v>#NAME?</v>
      </c>
      <c r="E1357" t="e">
        <f ca="1">_xll.FDSB("JPYUSD","FG_PRICE("&amp;B1357&amp;")")</f>
        <v>#NAME?</v>
      </c>
    </row>
    <row r="1358" spans="2:5">
      <c r="B1358" s="244">
        <f t="shared" si="63"/>
        <v>44821</v>
      </c>
      <c r="C1358" s="245" t="e">
        <f ca="1">_xll.FDS("EURUSD","FG_PRICE("&amp;B1358&amp;")")</f>
        <v>#NAME?</v>
      </c>
      <c r="D1358" t="e">
        <f ca="1">_xll.FDS("GBPUSD","FG_PRICE("&amp;B1358&amp;")")</f>
        <v>#NAME?</v>
      </c>
      <c r="E1358" t="e">
        <f ca="1">_xll.FDSB("JPYUSD","FG_PRICE("&amp;B1358&amp;")")</f>
        <v>#NAME?</v>
      </c>
    </row>
    <row r="1359" spans="2:5">
      <c r="B1359" s="244">
        <f t="shared" si="63"/>
        <v>44822</v>
      </c>
      <c r="C1359" s="245" t="e">
        <f ca="1">_xll.FDS("EURUSD","FG_PRICE("&amp;B1359&amp;")")</f>
        <v>#NAME?</v>
      </c>
      <c r="D1359" t="e">
        <f ca="1">_xll.FDS("GBPUSD","FG_PRICE("&amp;B1359&amp;")")</f>
        <v>#NAME?</v>
      </c>
      <c r="E1359" t="e">
        <f ca="1">_xll.FDSB("JPYUSD","FG_PRICE("&amp;B1359&amp;")")</f>
        <v>#NAME?</v>
      </c>
    </row>
    <row r="1360" spans="2:5">
      <c r="B1360" s="244">
        <f t="shared" si="63"/>
        <v>44823</v>
      </c>
      <c r="C1360" s="245" t="e">
        <f ca="1">_xll.FDS("EURUSD","FG_PRICE("&amp;B1360&amp;")")</f>
        <v>#NAME?</v>
      </c>
      <c r="D1360" t="e">
        <f ca="1">_xll.FDS("GBPUSD","FG_PRICE("&amp;B1360&amp;")")</f>
        <v>#NAME?</v>
      </c>
      <c r="E1360" t="e">
        <f ca="1">_xll.FDSB("JPYUSD","FG_PRICE("&amp;B1360&amp;")")</f>
        <v>#NAME?</v>
      </c>
    </row>
    <row r="1361" spans="2:5">
      <c r="B1361" s="244">
        <f t="shared" si="63"/>
        <v>44824</v>
      </c>
      <c r="C1361" s="245" t="e">
        <f ca="1">_xll.FDS("EURUSD","FG_PRICE("&amp;B1361&amp;")")</f>
        <v>#NAME?</v>
      </c>
      <c r="D1361" t="e">
        <f ca="1">_xll.FDS("GBPUSD","FG_PRICE("&amp;B1361&amp;")")</f>
        <v>#NAME?</v>
      </c>
      <c r="E1361" t="e">
        <f ca="1">_xll.FDSB("JPYUSD","FG_PRICE("&amp;B1361&amp;")")</f>
        <v>#NAME?</v>
      </c>
    </row>
    <row r="1362" spans="2:5">
      <c r="B1362" s="244">
        <f t="shared" si="63"/>
        <v>44825</v>
      </c>
      <c r="C1362" s="245" t="e">
        <f ca="1">_xll.FDS("EURUSD","FG_PRICE("&amp;B1362&amp;")")</f>
        <v>#NAME?</v>
      </c>
      <c r="D1362" t="e">
        <f ca="1">_xll.FDS("GBPUSD","FG_PRICE("&amp;B1362&amp;")")</f>
        <v>#NAME?</v>
      </c>
      <c r="E1362" t="e">
        <f ca="1">_xll.FDSB("JPYUSD","FG_PRICE("&amp;B1362&amp;")")</f>
        <v>#NAME?</v>
      </c>
    </row>
    <row r="1363" spans="2:5">
      <c r="B1363" s="244">
        <f t="shared" si="63"/>
        <v>44826</v>
      </c>
      <c r="C1363" s="245" t="e">
        <f ca="1">_xll.FDS("EURUSD","FG_PRICE("&amp;B1363&amp;")")</f>
        <v>#NAME?</v>
      </c>
      <c r="D1363" t="e">
        <f ca="1">_xll.FDS("GBPUSD","FG_PRICE("&amp;B1363&amp;")")</f>
        <v>#NAME?</v>
      </c>
      <c r="E1363" t="e">
        <f ca="1">_xll.FDSB("JPYUSD","FG_PRICE("&amp;B1363&amp;")")</f>
        <v>#NAME?</v>
      </c>
    </row>
    <row r="1364" spans="2:5">
      <c r="B1364" s="244">
        <f t="shared" si="63"/>
        <v>44827</v>
      </c>
      <c r="C1364" s="245" t="e">
        <f ca="1">_xll.FDS("EURUSD","FG_PRICE("&amp;B1364&amp;")")</f>
        <v>#NAME?</v>
      </c>
      <c r="D1364" t="e">
        <f ca="1">_xll.FDS("GBPUSD","FG_PRICE("&amp;B1364&amp;")")</f>
        <v>#NAME?</v>
      </c>
      <c r="E1364" t="e">
        <f ca="1">_xll.FDSB("JPYUSD","FG_PRICE("&amp;B1364&amp;")")</f>
        <v>#NAME?</v>
      </c>
    </row>
    <row r="1365" spans="2:5">
      <c r="B1365" s="244">
        <f t="shared" si="63"/>
        <v>44828</v>
      </c>
      <c r="C1365" s="245" t="e">
        <f ca="1">_xll.FDS("EURUSD","FG_PRICE("&amp;B1365&amp;")")</f>
        <v>#NAME?</v>
      </c>
      <c r="D1365" t="e">
        <f ca="1">_xll.FDS("GBPUSD","FG_PRICE("&amp;B1365&amp;")")</f>
        <v>#NAME?</v>
      </c>
      <c r="E1365" t="e">
        <f ca="1">_xll.FDSB("JPYUSD","FG_PRICE("&amp;B1365&amp;")")</f>
        <v>#NAME?</v>
      </c>
    </row>
    <row r="1366" spans="2:5">
      <c r="B1366" s="244">
        <f t="shared" si="63"/>
        <v>44829</v>
      </c>
      <c r="C1366" s="245" t="e">
        <f ca="1">_xll.FDS("EURUSD","FG_PRICE("&amp;B1366&amp;")")</f>
        <v>#NAME?</v>
      </c>
      <c r="D1366" t="e">
        <f ca="1">_xll.FDS("GBPUSD","FG_PRICE("&amp;B1366&amp;")")</f>
        <v>#NAME?</v>
      </c>
      <c r="E1366" t="e">
        <f ca="1">_xll.FDSB("JPYUSD","FG_PRICE("&amp;B1366&amp;")")</f>
        <v>#NAME?</v>
      </c>
    </row>
    <row r="1367" spans="2:5">
      <c r="B1367" s="244">
        <f t="shared" si="63"/>
        <v>44830</v>
      </c>
      <c r="C1367" s="245" t="e">
        <f ca="1">_xll.FDS("EURUSD","FG_PRICE("&amp;B1367&amp;")")</f>
        <v>#NAME?</v>
      </c>
      <c r="D1367" t="e">
        <f ca="1">_xll.FDS("GBPUSD","FG_PRICE("&amp;B1367&amp;")")</f>
        <v>#NAME?</v>
      </c>
      <c r="E1367" t="e">
        <f ca="1">_xll.FDSB("JPYUSD","FG_PRICE("&amp;B1367&amp;")")</f>
        <v>#NAME?</v>
      </c>
    </row>
    <row r="1368" spans="2:5">
      <c r="B1368" s="244">
        <f t="shared" si="63"/>
        <v>44831</v>
      </c>
      <c r="C1368" s="245" t="e">
        <f ca="1">_xll.FDS("EURUSD","FG_PRICE("&amp;B1368&amp;")")</f>
        <v>#NAME?</v>
      </c>
      <c r="D1368" t="e">
        <f ca="1">_xll.FDS("GBPUSD","FG_PRICE("&amp;B1368&amp;")")</f>
        <v>#NAME?</v>
      </c>
      <c r="E1368" t="e">
        <f ca="1">_xll.FDSB("JPYUSD","FG_PRICE("&amp;B1368&amp;")")</f>
        <v>#NAME?</v>
      </c>
    </row>
    <row r="1369" spans="2:5">
      <c r="B1369" s="244">
        <f t="shared" si="63"/>
        <v>44832</v>
      </c>
      <c r="C1369" s="245" t="e">
        <f ca="1">_xll.FDS("EURUSD","FG_PRICE("&amp;B1369&amp;")")</f>
        <v>#NAME?</v>
      </c>
      <c r="D1369" t="e">
        <f ca="1">_xll.FDS("GBPUSD","FG_PRICE("&amp;B1369&amp;")")</f>
        <v>#NAME?</v>
      </c>
      <c r="E1369" t="e">
        <f ca="1">_xll.FDSB("JPYUSD","FG_PRICE("&amp;B1369&amp;")")</f>
        <v>#NAME?</v>
      </c>
    </row>
    <row r="1370" spans="2:5">
      <c r="B1370" s="244">
        <f t="shared" si="63"/>
        <v>44833</v>
      </c>
      <c r="C1370" s="245" t="e">
        <f ca="1">_xll.FDS("EURUSD","FG_PRICE("&amp;B1370&amp;")")</f>
        <v>#NAME?</v>
      </c>
      <c r="D1370" t="e">
        <f ca="1">_xll.FDS("GBPUSD","FG_PRICE("&amp;B1370&amp;")")</f>
        <v>#NAME?</v>
      </c>
      <c r="E1370" t="e">
        <f ca="1">_xll.FDSB("JPYUSD","FG_PRICE("&amp;B1370&amp;")")</f>
        <v>#NAME?</v>
      </c>
    </row>
    <row r="1371" spans="2:5">
      <c r="B1371" s="244">
        <f t="shared" si="63"/>
        <v>44834</v>
      </c>
      <c r="C1371" s="245" t="e">
        <f ca="1">_xll.FDS("EURUSD","FG_PRICE("&amp;B1371&amp;")")</f>
        <v>#NAME?</v>
      </c>
      <c r="D1371" t="e">
        <f ca="1">_xll.FDS("GBPUSD","FG_PRICE("&amp;B1371&amp;")")</f>
        <v>#NAME?</v>
      </c>
      <c r="E1371" t="e">
        <f ca="1">_xll.FDSB("JPYUSD","FG_PRICE("&amp;B1371&amp;")")</f>
        <v>#NAME?</v>
      </c>
    </row>
    <row r="1372" spans="2:5">
      <c r="B1372" s="244">
        <f t="shared" si="63"/>
        <v>44835</v>
      </c>
      <c r="C1372" s="245" t="e">
        <f ca="1">_xll.FDS("EURUSD","FG_PRICE("&amp;B1372&amp;")")</f>
        <v>#NAME?</v>
      </c>
      <c r="D1372" t="e">
        <f ca="1">_xll.FDS("GBPUSD","FG_PRICE("&amp;B1372&amp;")")</f>
        <v>#NAME?</v>
      </c>
      <c r="E1372" t="e">
        <f ca="1">_xll.FDSB("JPYUSD","FG_PRICE("&amp;B1372&amp;")")</f>
        <v>#NAME?</v>
      </c>
    </row>
    <row r="1373" spans="2:5">
      <c r="B1373" s="244">
        <f t="shared" si="63"/>
        <v>44836</v>
      </c>
      <c r="C1373" s="245" t="e">
        <f ca="1">_xll.FDS("EURUSD","FG_PRICE("&amp;B1373&amp;")")</f>
        <v>#NAME?</v>
      </c>
      <c r="D1373" t="e">
        <f ca="1">_xll.FDS("GBPUSD","FG_PRICE("&amp;B1373&amp;")")</f>
        <v>#NAME?</v>
      </c>
      <c r="E1373" t="e">
        <f ca="1">_xll.FDSB("JPYUSD","FG_PRICE("&amp;B1373&amp;")")</f>
        <v>#NAME?</v>
      </c>
    </row>
    <row r="1374" spans="2:5">
      <c r="B1374" s="244">
        <f t="shared" si="63"/>
        <v>44837</v>
      </c>
      <c r="C1374" s="245" t="e">
        <f ca="1">_xll.FDS("EURUSD","FG_PRICE("&amp;B1374&amp;")")</f>
        <v>#NAME?</v>
      </c>
      <c r="D1374" t="e">
        <f ca="1">_xll.FDS("GBPUSD","FG_PRICE("&amp;B1374&amp;")")</f>
        <v>#NAME?</v>
      </c>
      <c r="E1374" t="e">
        <f ca="1">_xll.FDSB("JPYUSD","FG_PRICE("&amp;B1374&amp;")")</f>
        <v>#NAME?</v>
      </c>
    </row>
    <row r="1375" spans="2:5">
      <c r="B1375" s="244">
        <f t="shared" si="63"/>
        <v>44838</v>
      </c>
      <c r="C1375" s="245" t="e">
        <f ca="1">_xll.FDS("EURUSD","FG_PRICE("&amp;B1375&amp;")")</f>
        <v>#NAME?</v>
      </c>
      <c r="D1375" t="e">
        <f ca="1">_xll.FDS("GBPUSD","FG_PRICE("&amp;B1375&amp;")")</f>
        <v>#NAME?</v>
      </c>
      <c r="E1375" t="e">
        <f ca="1">_xll.FDSB("JPYUSD","FG_PRICE("&amp;B1375&amp;")")</f>
        <v>#NAME?</v>
      </c>
    </row>
    <row r="1376" spans="2:5">
      <c r="B1376" s="244">
        <f t="shared" si="63"/>
        <v>44839</v>
      </c>
      <c r="C1376" s="245" t="e">
        <f ca="1">_xll.FDS("EURUSD","FG_PRICE("&amp;B1376&amp;")")</f>
        <v>#NAME?</v>
      </c>
      <c r="D1376" t="e">
        <f ca="1">_xll.FDS("GBPUSD","FG_PRICE("&amp;B1376&amp;")")</f>
        <v>#NAME?</v>
      </c>
      <c r="E1376" t="e">
        <f ca="1">_xll.FDSB("JPYUSD","FG_PRICE("&amp;B1376&amp;")")</f>
        <v>#NAME?</v>
      </c>
    </row>
    <row r="1377" spans="2:5">
      <c r="B1377" s="244">
        <f t="shared" si="63"/>
        <v>44840</v>
      </c>
      <c r="C1377" s="245" t="e">
        <f ca="1">_xll.FDS("EURUSD","FG_PRICE("&amp;B1377&amp;")")</f>
        <v>#NAME?</v>
      </c>
      <c r="D1377" t="e">
        <f ca="1">_xll.FDS("GBPUSD","FG_PRICE("&amp;B1377&amp;")")</f>
        <v>#NAME?</v>
      </c>
      <c r="E1377" t="e">
        <f ca="1">_xll.FDSB("JPYUSD","FG_PRICE("&amp;B1377&amp;")")</f>
        <v>#NAME?</v>
      </c>
    </row>
    <row r="1378" spans="2:5">
      <c r="B1378" s="244">
        <f t="shared" si="63"/>
        <v>44841</v>
      </c>
      <c r="C1378" s="245" t="e">
        <f ca="1">_xll.FDS("EURUSD","FG_PRICE("&amp;B1378&amp;")")</f>
        <v>#NAME?</v>
      </c>
      <c r="D1378" t="e">
        <f ca="1">_xll.FDS("GBPUSD","FG_PRICE("&amp;B1378&amp;")")</f>
        <v>#NAME?</v>
      </c>
      <c r="E1378" t="e">
        <f ca="1">_xll.FDSB("JPYUSD","FG_PRICE("&amp;B1378&amp;")")</f>
        <v>#NAME?</v>
      </c>
    </row>
    <row r="1379" spans="2:5">
      <c r="B1379" s="244">
        <f t="shared" si="63"/>
        <v>44842</v>
      </c>
      <c r="C1379" s="245" t="e">
        <f ca="1">_xll.FDS("EURUSD","FG_PRICE("&amp;B1379&amp;")")</f>
        <v>#NAME?</v>
      </c>
      <c r="D1379" t="e">
        <f ca="1">_xll.FDS("GBPUSD","FG_PRICE("&amp;B1379&amp;")")</f>
        <v>#NAME?</v>
      </c>
      <c r="E1379" t="e">
        <f ca="1">_xll.FDSB("JPYUSD","FG_PRICE("&amp;B1379&amp;")")</f>
        <v>#NAME?</v>
      </c>
    </row>
    <row r="1380" spans="2:5">
      <c r="B1380" s="244">
        <f t="shared" si="63"/>
        <v>44843</v>
      </c>
      <c r="C1380" s="245" t="e">
        <f ca="1">_xll.FDS("EURUSD","FG_PRICE("&amp;B1380&amp;")")</f>
        <v>#NAME?</v>
      </c>
      <c r="D1380" t="e">
        <f ca="1">_xll.FDS("GBPUSD","FG_PRICE("&amp;B1380&amp;")")</f>
        <v>#NAME?</v>
      </c>
      <c r="E1380" t="e">
        <f ca="1">_xll.FDSB("JPYUSD","FG_PRICE("&amp;B1380&amp;")")</f>
        <v>#NAME?</v>
      </c>
    </row>
    <row r="1381" spans="2:5">
      <c r="B1381" s="244">
        <f t="shared" si="63"/>
        <v>44844</v>
      </c>
      <c r="C1381" s="245" t="e">
        <f ca="1">_xll.FDS("EURUSD","FG_PRICE("&amp;B1381&amp;")")</f>
        <v>#NAME?</v>
      </c>
      <c r="D1381" t="e">
        <f ca="1">_xll.FDS("GBPUSD","FG_PRICE("&amp;B1381&amp;")")</f>
        <v>#NAME?</v>
      </c>
      <c r="E1381" t="e">
        <f ca="1">_xll.FDSB("JPYUSD","FG_PRICE("&amp;B1381&amp;")")</f>
        <v>#NAME?</v>
      </c>
    </row>
    <row r="1382" spans="2:5">
      <c r="B1382" s="244">
        <f t="shared" si="63"/>
        <v>44845</v>
      </c>
      <c r="C1382" s="245" t="e">
        <f ca="1">_xll.FDS("EURUSD","FG_PRICE("&amp;B1382&amp;")")</f>
        <v>#NAME?</v>
      </c>
      <c r="D1382" t="e">
        <f ca="1">_xll.FDS("GBPUSD","FG_PRICE("&amp;B1382&amp;")")</f>
        <v>#NAME?</v>
      </c>
      <c r="E1382" t="e">
        <f ca="1">_xll.FDSB("JPYUSD","FG_PRICE("&amp;B1382&amp;")")</f>
        <v>#NAME?</v>
      </c>
    </row>
    <row r="1383" spans="2:5">
      <c r="B1383" s="244">
        <f t="shared" si="63"/>
        <v>44846</v>
      </c>
      <c r="C1383" s="245" t="e">
        <f ca="1">_xll.FDS("EURUSD","FG_PRICE("&amp;B1383&amp;")")</f>
        <v>#NAME?</v>
      </c>
      <c r="D1383" t="e">
        <f ca="1">_xll.FDS("GBPUSD","FG_PRICE("&amp;B1383&amp;")")</f>
        <v>#NAME?</v>
      </c>
      <c r="E1383" t="e">
        <f ca="1">_xll.FDSB("JPYUSD","FG_PRICE("&amp;B1383&amp;")")</f>
        <v>#NAME?</v>
      </c>
    </row>
    <row r="1384" spans="2:5">
      <c r="B1384" s="244">
        <f t="shared" si="63"/>
        <v>44847</v>
      </c>
      <c r="C1384" s="245" t="e">
        <f ca="1">_xll.FDS("EURUSD","FG_PRICE("&amp;B1384&amp;")")</f>
        <v>#NAME?</v>
      </c>
      <c r="D1384" t="e">
        <f ca="1">_xll.FDS("GBPUSD","FG_PRICE("&amp;B1384&amp;")")</f>
        <v>#NAME?</v>
      </c>
      <c r="E1384" t="e">
        <f ca="1">_xll.FDSB("JPYUSD","FG_PRICE("&amp;B1384&amp;")")</f>
        <v>#NAME?</v>
      </c>
    </row>
    <row r="1385" spans="2:5">
      <c r="B1385" s="244">
        <f t="shared" si="63"/>
        <v>44848</v>
      </c>
      <c r="C1385" s="245" t="e">
        <f ca="1">_xll.FDS("EURUSD","FG_PRICE("&amp;B1385&amp;")")</f>
        <v>#NAME?</v>
      </c>
      <c r="D1385" t="e">
        <f ca="1">_xll.FDS("GBPUSD","FG_PRICE("&amp;B1385&amp;")")</f>
        <v>#NAME?</v>
      </c>
      <c r="E1385" t="e">
        <f ca="1">_xll.FDSB("JPYUSD","FG_PRICE("&amp;B1385&amp;")")</f>
        <v>#NAME?</v>
      </c>
    </row>
    <row r="1386" spans="2:5">
      <c r="B1386" s="244">
        <f t="shared" si="63"/>
        <v>44849</v>
      </c>
      <c r="C1386" s="245" t="e">
        <f ca="1">_xll.FDS("EURUSD","FG_PRICE("&amp;B1386&amp;")")</f>
        <v>#NAME?</v>
      </c>
      <c r="D1386" t="e">
        <f ca="1">_xll.FDS("GBPUSD","FG_PRICE("&amp;B1386&amp;")")</f>
        <v>#NAME?</v>
      </c>
      <c r="E1386" t="e">
        <f ca="1">_xll.FDSB("JPYUSD","FG_PRICE("&amp;B1386&amp;")")</f>
        <v>#NAME?</v>
      </c>
    </row>
    <row r="1387" spans="2:5">
      <c r="B1387" s="244">
        <f t="shared" si="63"/>
        <v>44850</v>
      </c>
      <c r="C1387" s="245" t="e">
        <f ca="1">_xll.FDS("EURUSD","FG_PRICE("&amp;B1387&amp;")")</f>
        <v>#NAME?</v>
      </c>
      <c r="D1387" t="e">
        <f ca="1">_xll.FDS("GBPUSD","FG_PRICE("&amp;B1387&amp;")")</f>
        <v>#NAME?</v>
      </c>
      <c r="E1387" t="e">
        <f ca="1">_xll.FDSB("JPYUSD","FG_PRICE("&amp;B1387&amp;")")</f>
        <v>#NAME?</v>
      </c>
    </row>
    <row r="1388" spans="2:5">
      <c r="B1388" s="244">
        <f t="shared" si="63"/>
        <v>44851</v>
      </c>
      <c r="C1388" s="245" t="e">
        <f ca="1">_xll.FDS("EURUSD","FG_PRICE("&amp;B1388&amp;")")</f>
        <v>#NAME?</v>
      </c>
      <c r="D1388" t="e">
        <f ca="1">_xll.FDS("GBPUSD","FG_PRICE("&amp;B1388&amp;")")</f>
        <v>#NAME?</v>
      </c>
      <c r="E1388" t="e">
        <f ca="1">_xll.FDSB("JPYUSD","FG_PRICE("&amp;B1388&amp;")")</f>
        <v>#NAME?</v>
      </c>
    </row>
    <row r="1389" spans="2:5">
      <c r="B1389" s="244">
        <f t="shared" si="63"/>
        <v>44852</v>
      </c>
      <c r="C1389" s="245" t="e">
        <f ca="1">_xll.FDS("EURUSD","FG_PRICE("&amp;B1389&amp;")")</f>
        <v>#NAME?</v>
      </c>
      <c r="D1389" t="e">
        <f ca="1">_xll.FDS("GBPUSD","FG_PRICE("&amp;B1389&amp;")")</f>
        <v>#NAME?</v>
      </c>
      <c r="E1389" t="e">
        <f ca="1">_xll.FDSB("JPYUSD","FG_PRICE("&amp;B1389&amp;")")</f>
        <v>#NAME?</v>
      </c>
    </row>
    <row r="1390" spans="2:5">
      <c r="B1390" s="244">
        <f t="shared" si="63"/>
        <v>44853</v>
      </c>
      <c r="C1390" s="245" t="e">
        <f ca="1">_xll.FDS("EURUSD","FG_PRICE("&amp;B1390&amp;")")</f>
        <v>#NAME?</v>
      </c>
      <c r="D1390" t="e">
        <f ca="1">_xll.FDS("GBPUSD","FG_PRICE("&amp;B1390&amp;")")</f>
        <v>#NAME?</v>
      </c>
      <c r="E1390" t="e">
        <f ca="1">_xll.FDSB("JPYUSD","FG_PRICE("&amp;B1390&amp;")")</f>
        <v>#NAME?</v>
      </c>
    </row>
    <row r="1391" spans="2:5">
      <c r="B1391" s="244">
        <f t="shared" si="63"/>
        <v>44854</v>
      </c>
      <c r="C1391" s="245" t="e">
        <f ca="1">_xll.FDS("EURUSD","FG_PRICE("&amp;B1391&amp;")")</f>
        <v>#NAME?</v>
      </c>
      <c r="D1391" t="e">
        <f ca="1">_xll.FDS("GBPUSD","FG_PRICE("&amp;B1391&amp;")")</f>
        <v>#NAME?</v>
      </c>
      <c r="E1391" t="e">
        <f ca="1">_xll.FDSB("JPYUSD","FG_PRICE("&amp;B1391&amp;")")</f>
        <v>#NAME?</v>
      </c>
    </row>
    <row r="1392" spans="2:5">
      <c r="B1392" s="244">
        <f t="shared" si="63"/>
        <v>44855</v>
      </c>
      <c r="C1392" s="245" t="e">
        <f ca="1">_xll.FDS("EURUSD","FG_PRICE("&amp;B1392&amp;")")</f>
        <v>#NAME?</v>
      </c>
      <c r="D1392" t="e">
        <f ca="1">_xll.FDS("GBPUSD","FG_PRICE("&amp;B1392&amp;")")</f>
        <v>#NAME?</v>
      </c>
      <c r="E1392" t="e">
        <f ca="1">_xll.FDSB("JPYUSD","FG_PRICE("&amp;B1392&amp;")")</f>
        <v>#NAME?</v>
      </c>
    </row>
    <row r="1393" spans="2:5">
      <c r="B1393" s="244">
        <f t="shared" si="63"/>
        <v>44856</v>
      </c>
      <c r="C1393" s="245" t="e">
        <f ca="1">_xll.FDS("EURUSD","FG_PRICE("&amp;B1393&amp;")")</f>
        <v>#NAME?</v>
      </c>
      <c r="D1393" t="e">
        <f ca="1">_xll.FDS("GBPUSD","FG_PRICE("&amp;B1393&amp;")")</f>
        <v>#NAME?</v>
      </c>
      <c r="E1393" t="e">
        <f ca="1">_xll.FDSB("JPYUSD","FG_PRICE("&amp;B1393&amp;")")</f>
        <v>#NAME?</v>
      </c>
    </row>
    <row r="1394" spans="2:5">
      <c r="B1394" s="244">
        <f t="shared" si="63"/>
        <v>44857</v>
      </c>
      <c r="C1394" s="245" t="e">
        <f ca="1">_xll.FDS("EURUSD","FG_PRICE("&amp;B1394&amp;")")</f>
        <v>#NAME?</v>
      </c>
      <c r="D1394" t="e">
        <f ca="1">_xll.FDS("GBPUSD","FG_PRICE("&amp;B1394&amp;")")</f>
        <v>#NAME?</v>
      </c>
      <c r="E1394" t="e">
        <f ca="1">_xll.FDSB("JPYUSD","FG_PRICE("&amp;B1394&amp;")")</f>
        <v>#NAME?</v>
      </c>
    </row>
    <row r="1395" spans="2:5">
      <c r="B1395" s="244">
        <f t="shared" si="63"/>
        <v>44858</v>
      </c>
      <c r="C1395" s="245" t="e">
        <f ca="1">_xll.FDS("EURUSD","FG_PRICE("&amp;B1395&amp;")")</f>
        <v>#NAME?</v>
      </c>
      <c r="D1395" t="e">
        <f ca="1">_xll.FDS("GBPUSD","FG_PRICE("&amp;B1395&amp;")")</f>
        <v>#NAME?</v>
      </c>
      <c r="E1395" t="e">
        <f ca="1">_xll.FDSB("JPYUSD","FG_PRICE("&amp;B1395&amp;")")</f>
        <v>#NAME?</v>
      </c>
    </row>
    <row r="1396" spans="2:5">
      <c r="B1396" s="244">
        <f t="shared" si="63"/>
        <v>44859</v>
      </c>
      <c r="C1396" s="245" t="e">
        <f ca="1">_xll.FDS("EURUSD","FG_PRICE("&amp;B1396&amp;")")</f>
        <v>#NAME?</v>
      </c>
      <c r="D1396" t="e">
        <f ca="1">_xll.FDS("GBPUSD","FG_PRICE("&amp;B1396&amp;")")</f>
        <v>#NAME?</v>
      </c>
      <c r="E1396" t="e">
        <f ca="1">_xll.FDSB("JPYUSD","FG_PRICE("&amp;B1396&amp;")")</f>
        <v>#NAME?</v>
      </c>
    </row>
    <row r="1397" spans="2:5">
      <c r="B1397" s="244">
        <f t="shared" si="63"/>
        <v>44860</v>
      </c>
      <c r="C1397" s="245" t="e">
        <f ca="1">_xll.FDS("EURUSD","FG_PRICE("&amp;B1397&amp;")")</f>
        <v>#NAME?</v>
      </c>
      <c r="D1397" t="e">
        <f ca="1">_xll.FDS("GBPUSD","FG_PRICE("&amp;B1397&amp;")")</f>
        <v>#NAME?</v>
      </c>
      <c r="E1397" t="e">
        <f ca="1">_xll.FDSB("JPYUSD","FG_PRICE("&amp;B1397&amp;")")</f>
        <v>#NAME?</v>
      </c>
    </row>
    <row r="1398" spans="2:5">
      <c r="B1398" s="244">
        <f t="shared" si="63"/>
        <v>44861</v>
      </c>
      <c r="C1398" s="245" t="e">
        <f ca="1">_xll.FDS("EURUSD","FG_PRICE("&amp;B1398&amp;")")</f>
        <v>#NAME?</v>
      </c>
      <c r="D1398" t="e">
        <f ca="1">_xll.FDS("GBPUSD","FG_PRICE("&amp;B1398&amp;")")</f>
        <v>#NAME?</v>
      </c>
      <c r="E1398" t="e">
        <f ca="1">_xll.FDSB("JPYUSD","FG_PRICE("&amp;B1398&amp;")")</f>
        <v>#NAME?</v>
      </c>
    </row>
    <row r="1399" spans="2:5">
      <c r="B1399" s="244">
        <f t="shared" si="63"/>
        <v>44862</v>
      </c>
      <c r="C1399" s="245" t="e">
        <f ca="1">_xll.FDS("EURUSD","FG_PRICE("&amp;B1399&amp;")")</f>
        <v>#NAME?</v>
      </c>
      <c r="D1399" t="e">
        <f ca="1">_xll.FDS("GBPUSD","FG_PRICE("&amp;B1399&amp;")")</f>
        <v>#NAME?</v>
      </c>
      <c r="E1399" t="e">
        <f ca="1">_xll.FDSB("JPYUSD","FG_PRICE("&amp;B1399&amp;")")</f>
        <v>#NAME?</v>
      </c>
    </row>
    <row r="1400" spans="2:5">
      <c r="B1400" s="244">
        <f t="shared" si="63"/>
        <v>44863</v>
      </c>
      <c r="C1400" s="245" t="e">
        <f ca="1">_xll.FDS("EURUSD","FG_PRICE("&amp;B1400&amp;")")</f>
        <v>#NAME?</v>
      </c>
      <c r="D1400" t="e">
        <f ca="1">_xll.FDS("GBPUSD","FG_PRICE("&amp;B1400&amp;")")</f>
        <v>#NAME?</v>
      </c>
      <c r="E1400" t="e">
        <f ca="1">_xll.FDSB("JPYUSD","FG_PRICE("&amp;B1400&amp;")")</f>
        <v>#NAME?</v>
      </c>
    </row>
    <row r="1401" spans="2:5">
      <c r="B1401" s="244">
        <f t="shared" si="63"/>
        <v>44864</v>
      </c>
      <c r="C1401" s="245" t="e">
        <f ca="1">_xll.FDS("EURUSD","FG_PRICE("&amp;B1401&amp;")")</f>
        <v>#NAME?</v>
      </c>
      <c r="D1401" t="e">
        <f ca="1">_xll.FDS("GBPUSD","FG_PRICE("&amp;B1401&amp;")")</f>
        <v>#NAME?</v>
      </c>
      <c r="E1401" t="e">
        <f ca="1">_xll.FDSB("JPYUSD","FG_PRICE("&amp;B1401&amp;")")</f>
        <v>#NAME?</v>
      </c>
    </row>
    <row r="1402" spans="2:5">
      <c r="B1402" s="244">
        <f t="shared" si="63"/>
        <v>44865</v>
      </c>
      <c r="C1402" s="245" t="e">
        <f ca="1">_xll.FDS("EURUSD","FG_PRICE("&amp;B1402&amp;")")</f>
        <v>#NAME?</v>
      </c>
      <c r="D1402" t="e">
        <f ca="1">_xll.FDS("GBPUSD","FG_PRICE("&amp;B1402&amp;")")</f>
        <v>#NAME?</v>
      </c>
      <c r="E1402" t="e">
        <f ca="1">_xll.FDSB("JPYUSD","FG_PRICE("&amp;B1402&amp;")")</f>
        <v>#NAME?</v>
      </c>
    </row>
    <row r="1403" spans="2:5">
      <c r="B1403" s="244">
        <f t="shared" si="63"/>
        <v>44866</v>
      </c>
      <c r="C1403" s="245" t="e">
        <f ca="1">_xll.FDS("EURUSD","FG_PRICE("&amp;B1403&amp;")")</f>
        <v>#NAME?</v>
      </c>
      <c r="D1403" t="e">
        <f ca="1">_xll.FDS("GBPUSD","FG_PRICE("&amp;B1403&amp;")")</f>
        <v>#NAME?</v>
      </c>
      <c r="E1403" t="e">
        <f ca="1">_xll.FDSB("JPYUSD","FG_PRICE("&amp;B1403&amp;")")</f>
        <v>#NAME?</v>
      </c>
    </row>
    <row r="1404" spans="2:5">
      <c r="B1404" s="244">
        <f t="shared" si="63"/>
        <v>44867</v>
      </c>
      <c r="C1404" s="245" t="e">
        <f ca="1">_xll.FDS("EURUSD","FG_PRICE("&amp;B1404&amp;")")</f>
        <v>#NAME?</v>
      </c>
      <c r="D1404" t="e">
        <f ca="1">_xll.FDS("GBPUSD","FG_PRICE("&amp;B1404&amp;")")</f>
        <v>#NAME?</v>
      </c>
      <c r="E1404" t="e">
        <f ca="1">_xll.FDSB("JPYUSD","FG_PRICE("&amp;B1404&amp;")")</f>
        <v>#NAME?</v>
      </c>
    </row>
    <row r="1405" spans="2:5">
      <c r="B1405" s="244">
        <f t="shared" si="63"/>
        <v>44868</v>
      </c>
      <c r="C1405" s="245" t="e">
        <f ca="1">_xll.FDS("EURUSD","FG_PRICE("&amp;B1405&amp;")")</f>
        <v>#NAME?</v>
      </c>
      <c r="D1405" t="e">
        <f ca="1">_xll.FDS("GBPUSD","FG_PRICE("&amp;B1405&amp;")")</f>
        <v>#NAME?</v>
      </c>
      <c r="E1405" t="e">
        <f ca="1">_xll.FDSB("JPYUSD","FG_PRICE("&amp;B1405&amp;")")</f>
        <v>#NAME?</v>
      </c>
    </row>
    <row r="1406" spans="2:5">
      <c r="B1406" s="244">
        <f t="shared" si="63"/>
        <v>44869</v>
      </c>
      <c r="C1406" s="245" t="e">
        <f ca="1">_xll.FDS("EURUSD","FG_PRICE("&amp;B1406&amp;")")</f>
        <v>#NAME?</v>
      </c>
      <c r="D1406" t="e">
        <f ca="1">_xll.FDS("GBPUSD","FG_PRICE("&amp;B1406&amp;")")</f>
        <v>#NAME?</v>
      </c>
      <c r="E1406" t="e">
        <f ca="1">_xll.FDSB("JPYUSD","FG_PRICE("&amp;B1406&amp;")")</f>
        <v>#NAME?</v>
      </c>
    </row>
    <row r="1407" spans="2:5">
      <c r="B1407" s="244">
        <f t="shared" si="63"/>
        <v>44870</v>
      </c>
      <c r="C1407" s="245" t="e">
        <f ca="1">_xll.FDS("EURUSD","FG_PRICE("&amp;B1407&amp;")")</f>
        <v>#NAME?</v>
      </c>
      <c r="D1407" t="e">
        <f ca="1">_xll.FDS("GBPUSD","FG_PRICE("&amp;B1407&amp;")")</f>
        <v>#NAME?</v>
      </c>
      <c r="E1407" t="e">
        <f ca="1">_xll.FDSB("JPYUSD","FG_PRICE("&amp;B1407&amp;")")</f>
        <v>#NAME?</v>
      </c>
    </row>
    <row r="1408" spans="2:5">
      <c r="B1408" s="244">
        <f t="shared" si="63"/>
        <v>44871</v>
      </c>
      <c r="C1408" s="245" t="e">
        <f ca="1">_xll.FDS("EURUSD","FG_PRICE("&amp;B1408&amp;")")</f>
        <v>#NAME?</v>
      </c>
      <c r="D1408" t="e">
        <f ca="1">_xll.FDS("GBPUSD","FG_PRICE("&amp;B1408&amp;")")</f>
        <v>#NAME?</v>
      </c>
      <c r="E1408" t="e">
        <f ca="1">_xll.FDSB("JPYUSD","FG_PRICE("&amp;B1408&amp;")")</f>
        <v>#NAME?</v>
      </c>
    </row>
    <row r="1409" spans="2:5">
      <c r="B1409" s="244">
        <f t="shared" si="63"/>
        <v>44872</v>
      </c>
      <c r="C1409" s="245" t="e">
        <f ca="1">_xll.FDS("EURUSD","FG_PRICE("&amp;B1409&amp;")")</f>
        <v>#NAME?</v>
      </c>
      <c r="D1409" t="e">
        <f ca="1">_xll.FDS("GBPUSD","FG_PRICE("&amp;B1409&amp;")")</f>
        <v>#NAME?</v>
      </c>
      <c r="E1409" t="e">
        <f ca="1">_xll.FDSB("JPYUSD","FG_PRICE("&amp;B1409&amp;")")</f>
        <v>#NAME?</v>
      </c>
    </row>
    <row r="1410" spans="2:5">
      <c r="B1410" s="244">
        <f t="shared" si="63"/>
        <v>44873</v>
      </c>
      <c r="C1410" s="245" t="e">
        <f ca="1">_xll.FDS("EURUSD","FG_PRICE("&amp;B1410&amp;")")</f>
        <v>#NAME?</v>
      </c>
      <c r="D1410" t="e">
        <f ca="1">_xll.FDS("GBPUSD","FG_PRICE("&amp;B1410&amp;")")</f>
        <v>#NAME?</v>
      </c>
      <c r="E1410" t="e">
        <f ca="1">_xll.FDSB("JPYUSD","FG_PRICE("&amp;B1410&amp;")")</f>
        <v>#NAME?</v>
      </c>
    </row>
    <row r="1411" spans="2:5">
      <c r="B1411" s="244">
        <f t="shared" si="63"/>
        <v>44874</v>
      </c>
      <c r="C1411" s="245" t="e">
        <f ca="1">_xll.FDS("EURUSD","FG_PRICE("&amp;B1411&amp;")")</f>
        <v>#NAME?</v>
      </c>
      <c r="D1411" t="e">
        <f ca="1">_xll.FDS("GBPUSD","FG_PRICE("&amp;B1411&amp;")")</f>
        <v>#NAME?</v>
      </c>
      <c r="E1411" t="e">
        <f ca="1">_xll.FDSB("JPYUSD","FG_PRICE("&amp;B1411&amp;")")</f>
        <v>#NAME?</v>
      </c>
    </row>
    <row r="1412" spans="2:5">
      <c r="B1412" s="244">
        <f t="shared" si="63"/>
        <v>44875</v>
      </c>
      <c r="C1412" s="245" t="e">
        <f ca="1">_xll.FDS("EURUSD","FG_PRICE("&amp;B1412&amp;")")</f>
        <v>#NAME?</v>
      </c>
      <c r="D1412" t="e">
        <f ca="1">_xll.FDS("GBPUSD","FG_PRICE("&amp;B1412&amp;")")</f>
        <v>#NAME?</v>
      </c>
      <c r="E1412" t="e">
        <f ca="1">_xll.FDSB("JPYUSD","FG_PRICE("&amp;B1412&amp;")")</f>
        <v>#NAME?</v>
      </c>
    </row>
    <row r="1413" spans="2:5">
      <c r="B1413" s="244">
        <f t="shared" ref="B1413:B1476" si="64">B1412+1</f>
        <v>44876</v>
      </c>
      <c r="C1413" s="245" t="e">
        <f ca="1">_xll.FDS("EURUSD","FG_PRICE("&amp;B1413&amp;")")</f>
        <v>#NAME?</v>
      </c>
      <c r="D1413" t="e">
        <f ca="1">_xll.FDS("GBPUSD","FG_PRICE("&amp;B1413&amp;")")</f>
        <v>#NAME?</v>
      </c>
      <c r="E1413" t="e">
        <f ca="1">_xll.FDSB("JPYUSD","FG_PRICE("&amp;B1413&amp;")")</f>
        <v>#NAME?</v>
      </c>
    </row>
    <row r="1414" spans="2:5">
      <c r="B1414" s="244">
        <f t="shared" si="64"/>
        <v>44877</v>
      </c>
      <c r="C1414" s="245" t="e">
        <f ca="1">_xll.FDS("EURUSD","FG_PRICE("&amp;B1414&amp;")")</f>
        <v>#NAME?</v>
      </c>
      <c r="D1414" t="e">
        <f ca="1">_xll.FDS("GBPUSD","FG_PRICE("&amp;B1414&amp;")")</f>
        <v>#NAME?</v>
      </c>
      <c r="E1414" t="e">
        <f ca="1">_xll.FDSB("JPYUSD","FG_PRICE("&amp;B1414&amp;")")</f>
        <v>#NAME?</v>
      </c>
    </row>
    <row r="1415" spans="2:5">
      <c r="B1415" s="244">
        <f t="shared" si="64"/>
        <v>44878</v>
      </c>
      <c r="C1415" s="245" t="e">
        <f ca="1">_xll.FDS("EURUSD","FG_PRICE("&amp;B1415&amp;")")</f>
        <v>#NAME?</v>
      </c>
      <c r="D1415" t="e">
        <f ca="1">_xll.FDS("GBPUSD","FG_PRICE("&amp;B1415&amp;")")</f>
        <v>#NAME?</v>
      </c>
      <c r="E1415" t="e">
        <f ca="1">_xll.FDSB("JPYUSD","FG_PRICE("&amp;B1415&amp;")")</f>
        <v>#NAME?</v>
      </c>
    </row>
    <row r="1416" spans="2:5">
      <c r="B1416" s="244">
        <f t="shared" si="64"/>
        <v>44879</v>
      </c>
      <c r="C1416" s="245" t="e">
        <f ca="1">_xll.FDS("EURUSD","FG_PRICE("&amp;B1416&amp;")")</f>
        <v>#NAME?</v>
      </c>
      <c r="D1416" t="e">
        <f ca="1">_xll.FDS("GBPUSD","FG_PRICE("&amp;B1416&amp;")")</f>
        <v>#NAME?</v>
      </c>
      <c r="E1416" t="e">
        <f ca="1">_xll.FDSB("JPYUSD","FG_PRICE("&amp;B1416&amp;")")</f>
        <v>#NAME?</v>
      </c>
    </row>
    <row r="1417" spans="2:5">
      <c r="B1417" s="244">
        <f t="shared" si="64"/>
        <v>44880</v>
      </c>
      <c r="C1417" s="245" t="e">
        <f ca="1">_xll.FDS("EURUSD","FG_PRICE("&amp;B1417&amp;")")</f>
        <v>#NAME?</v>
      </c>
      <c r="D1417" t="e">
        <f ca="1">_xll.FDS("GBPUSD","FG_PRICE("&amp;B1417&amp;")")</f>
        <v>#NAME?</v>
      </c>
      <c r="E1417" t="e">
        <f ca="1">_xll.FDSB("JPYUSD","FG_PRICE("&amp;B1417&amp;")")</f>
        <v>#NAME?</v>
      </c>
    </row>
    <row r="1418" spans="2:5">
      <c r="B1418" s="244">
        <f t="shared" si="64"/>
        <v>44881</v>
      </c>
      <c r="C1418" s="245" t="e">
        <f ca="1">_xll.FDS("EURUSD","FG_PRICE("&amp;B1418&amp;")")</f>
        <v>#NAME?</v>
      </c>
      <c r="D1418" t="e">
        <f ca="1">_xll.FDS("GBPUSD","FG_PRICE("&amp;B1418&amp;")")</f>
        <v>#NAME?</v>
      </c>
      <c r="E1418" t="e">
        <f ca="1">_xll.FDSB("JPYUSD","FG_PRICE("&amp;B1418&amp;")")</f>
        <v>#NAME?</v>
      </c>
    </row>
    <row r="1419" spans="2:5">
      <c r="B1419" s="244">
        <f t="shared" si="64"/>
        <v>44882</v>
      </c>
      <c r="C1419" s="245" t="e">
        <f ca="1">_xll.FDS("EURUSD","FG_PRICE("&amp;B1419&amp;")")</f>
        <v>#NAME?</v>
      </c>
      <c r="D1419" t="e">
        <f ca="1">_xll.FDS("GBPUSD","FG_PRICE("&amp;B1419&amp;")")</f>
        <v>#NAME?</v>
      </c>
      <c r="E1419" t="e">
        <f ca="1">_xll.FDSB("JPYUSD","FG_PRICE("&amp;B1419&amp;")")</f>
        <v>#NAME?</v>
      </c>
    </row>
    <row r="1420" spans="2:5">
      <c r="B1420" s="244">
        <f t="shared" si="64"/>
        <v>44883</v>
      </c>
      <c r="C1420" s="245" t="e">
        <f ca="1">_xll.FDS("EURUSD","FG_PRICE("&amp;B1420&amp;")")</f>
        <v>#NAME?</v>
      </c>
      <c r="D1420" t="e">
        <f ca="1">_xll.FDS("GBPUSD","FG_PRICE("&amp;B1420&amp;")")</f>
        <v>#NAME?</v>
      </c>
      <c r="E1420" t="e">
        <f ca="1">_xll.FDSB("JPYUSD","FG_PRICE("&amp;B1420&amp;")")</f>
        <v>#NAME?</v>
      </c>
    </row>
    <row r="1421" spans="2:5">
      <c r="B1421" s="244">
        <f t="shared" si="64"/>
        <v>44884</v>
      </c>
      <c r="C1421" s="245" t="e">
        <f ca="1">_xll.FDS("EURUSD","FG_PRICE("&amp;B1421&amp;")")</f>
        <v>#NAME?</v>
      </c>
      <c r="D1421" t="e">
        <f ca="1">_xll.FDS("GBPUSD","FG_PRICE("&amp;B1421&amp;")")</f>
        <v>#NAME?</v>
      </c>
      <c r="E1421" t="e">
        <f ca="1">_xll.FDSB("JPYUSD","FG_PRICE("&amp;B1421&amp;")")</f>
        <v>#NAME?</v>
      </c>
    </row>
    <row r="1422" spans="2:5">
      <c r="B1422" s="244">
        <f t="shared" si="64"/>
        <v>44885</v>
      </c>
      <c r="C1422" s="245" t="e">
        <f ca="1">_xll.FDS("EURUSD","FG_PRICE("&amp;B1422&amp;")")</f>
        <v>#NAME?</v>
      </c>
      <c r="D1422" t="e">
        <f ca="1">_xll.FDS("GBPUSD","FG_PRICE("&amp;B1422&amp;")")</f>
        <v>#NAME?</v>
      </c>
      <c r="E1422" t="e">
        <f ca="1">_xll.FDSB("JPYUSD","FG_PRICE("&amp;B1422&amp;")")</f>
        <v>#NAME?</v>
      </c>
    </row>
    <row r="1423" spans="2:5">
      <c r="B1423" s="244">
        <f t="shared" si="64"/>
        <v>44886</v>
      </c>
      <c r="C1423" s="245" t="e">
        <f ca="1">_xll.FDS("EURUSD","FG_PRICE("&amp;B1423&amp;")")</f>
        <v>#NAME?</v>
      </c>
      <c r="D1423" t="e">
        <f ca="1">_xll.FDS("GBPUSD","FG_PRICE("&amp;B1423&amp;")")</f>
        <v>#NAME?</v>
      </c>
      <c r="E1423" t="e">
        <f ca="1">_xll.FDSB("JPYUSD","FG_PRICE("&amp;B1423&amp;")")</f>
        <v>#NAME?</v>
      </c>
    </row>
    <row r="1424" spans="2:5">
      <c r="B1424" s="244">
        <f t="shared" si="64"/>
        <v>44887</v>
      </c>
      <c r="C1424" s="245" t="e">
        <f ca="1">_xll.FDS("EURUSD","FG_PRICE("&amp;B1424&amp;")")</f>
        <v>#NAME?</v>
      </c>
      <c r="D1424" t="e">
        <f ca="1">_xll.FDS("GBPUSD","FG_PRICE("&amp;B1424&amp;")")</f>
        <v>#NAME?</v>
      </c>
      <c r="E1424" t="e">
        <f ca="1">_xll.FDSB("JPYUSD","FG_PRICE("&amp;B1424&amp;")")</f>
        <v>#NAME?</v>
      </c>
    </row>
    <row r="1425" spans="2:5">
      <c r="B1425" s="244">
        <f t="shared" si="64"/>
        <v>44888</v>
      </c>
      <c r="C1425" s="245" t="e">
        <f ca="1">_xll.FDS("EURUSD","FG_PRICE("&amp;B1425&amp;")")</f>
        <v>#NAME?</v>
      </c>
      <c r="D1425" t="e">
        <f ca="1">_xll.FDS("GBPUSD","FG_PRICE("&amp;B1425&amp;")")</f>
        <v>#NAME?</v>
      </c>
      <c r="E1425" t="e">
        <f ca="1">_xll.FDSB("JPYUSD","FG_PRICE("&amp;B1425&amp;")")</f>
        <v>#NAME?</v>
      </c>
    </row>
    <row r="1426" spans="2:5">
      <c r="B1426" s="244">
        <f t="shared" si="64"/>
        <v>44889</v>
      </c>
      <c r="C1426" s="245" t="e">
        <f ca="1">_xll.FDS("EURUSD","FG_PRICE("&amp;B1426&amp;")")</f>
        <v>#NAME?</v>
      </c>
      <c r="D1426" t="e">
        <f ca="1">_xll.FDS("GBPUSD","FG_PRICE("&amp;B1426&amp;")")</f>
        <v>#NAME?</v>
      </c>
      <c r="E1426" t="e">
        <f ca="1">_xll.FDSB("JPYUSD","FG_PRICE("&amp;B1426&amp;")")</f>
        <v>#NAME?</v>
      </c>
    </row>
    <row r="1427" spans="2:5">
      <c r="B1427" s="244">
        <f t="shared" si="64"/>
        <v>44890</v>
      </c>
      <c r="C1427" s="245" t="e">
        <f ca="1">_xll.FDS("EURUSD","FG_PRICE("&amp;B1427&amp;")")</f>
        <v>#NAME?</v>
      </c>
      <c r="D1427" t="e">
        <f ca="1">_xll.FDS("GBPUSD","FG_PRICE("&amp;B1427&amp;")")</f>
        <v>#NAME?</v>
      </c>
      <c r="E1427" t="e">
        <f ca="1">_xll.FDSB("JPYUSD","FG_PRICE("&amp;B1427&amp;")")</f>
        <v>#NAME?</v>
      </c>
    </row>
    <row r="1428" spans="2:5">
      <c r="B1428" s="244">
        <f t="shared" si="64"/>
        <v>44891</v>
      </c>
      <c r="C1428" s="245" t="e">
        <f ca="1">_xll.FDS("EURUSD","FG_PRICE("&amp;B1428&amp;")")</f>
        <v>#NAME?</v>
      </c>
      <c r="D1428" t="e">
        <f ca="1">_xll.FDS("GBPUSD","FG_PRICE("&amp;B1428&amp;")")</f>
        <v>#NAME?</v>
      </c>
      <c r="E1428" t="e">
        <f ca="1">_xll.FDSB("JPYUSD","FG_PRICE("&amp;B1428&amp;")")</f>
        <v>#NAME?</v>
      </c>
    </row>
    <row r="1429" spans="2:5">
      <c r="B1429" s="244">
        <f t="shared" si="64"/>
        <v>44892</v>
      </c>
      <c r="C1429" s="245" t="e">
        <f ca="1">_xll.FDS("EURUSD","FG_PRICE("&amp;B1429&amp;")")</f>
        <v>#NAME?</v>
      </c>
      <c r="D1429" t="e">
        <f ca="1">_xll.FDS("GBPUSD","FG_PRICE("&amp;B1429&amp;")")</f>
        <v>#NAME?</v>
      </c>
      <c r="E1429" t="e">
        <f ca="1">_xll.FDSB("JPYUSD","FG_PRICE("&amp;B1429&amp;")")</f>
        <v>#NAME?</v>
      </c>
    </row>
    <row r="1430" spans="2:5">
      <c r="B1430" s="244">
        <f t="shared" si="64"/>
        <v>44893</v>
      </c>
      <c r="C1430" s="245" t="e">
        <f ca="1">_xll.FDS("EURUSD","FG_PRICE("&amp;B1430&amp;")")</f>
        <v>#NAME?</v>
      </c>
      <c r="D1430" t="e">
        <f ca="1">_xll.FDS("GBPUSD","FG_PRICE("&amp;B1430&amp;")")</f>
        <v>#NAME?</v>
      </c>
      <c r="E1430" t="e">
        <f ca="1">_xll.FDSB("JPYUSD","FG_PRICE("&amp;B1430&amp;")")</f>
        <v>#NAME?</v>
      </c>
    </row>
    <row r="1431" spans="2:5">
      <c r="B1431" s="244">
        <f t="shared" si="64"/>
        <v>44894</v>
      </c>
      <c r="C1431" s="245" t="e">
        <f ca="1">_xll.FDS("EURUSD","FG_PRICE("&amp;B1431&amp;")")</f>
        <v>#NAME?</v>
      </c>
      <c r="D1431" t="e">
        <f ca="1">_xll.FDS("GBPUSD","FG_PRICE("&amp;B1431&amp;")")</f>
        <v>#NAME?</v>
      </c>
      <c r="E1431" t="e">
        <f ca="1">_xll.FDSB("JPYUSD","FG_PRICE("&amp;B1431&amp;")")</f>
        <v>#NAME?</v>
      </c>
    </row>
    <row r="1432" spans="2:5">
      <c r="B1432" s="244">
        <f t="shared" si="64"/>
        <v>44895</v>
      </c>
      <c r="C1432" s="245" t="e">
        <f ca="1">_xll.FDS("EURUSD","FG_PRICE("&amp;B1432&amp;")")</f>
        <v>#NAME?</v>
      </c>
      <c r="D1432" t="e">
        <f ca="1">_xll.FDS("GBPUSD","FG_PRICE("&amp;B1432&amp;")")</f>
        <v>#NAME?</v>
      </c>
      <c r="E1432" t="e">
        <f ca="1">_xll.FDSB("JPYUSD","FG_PRICE("&amp;B1432&amp;")")</f>
        <v>#NAME?</v>
      </c>
    </row>
    <row r="1433" spans="2:5">
      <c r="B1433" s="244">
        <f t="shared" si="64"/>
        <v>44896</v>
      </c>
      <c r="C1433" s="245" t="e">
        <f ca="1">_xll.FDS("EURUSD","FG_PRICE("&amp;B1433&amp;")")</f>
        <v>#NAME?</v>
      </c>
      <c r="D1433" t="e">
        <f ca="1">_xll.FDS("GBPUSD","FG_PRICE("&amp;B1433&amp;")")</f>
        <v>#NAME?</v>
      </c>
      <c r="E1433" t="e">
        <f ca="1">_xll.FDSB("JPYUSD","FG_PRICE("&amp;B1433&amp;")")</f>
        <v>#NAME?</v>
      </c>
    </row>
    <row r="1434" spans="2:5">
      <c r="B1434" s="244">
        <f t="shared" si="64"/>
        <v>44897</v>
      </c>
      <c r="C1434" s="245" t="e">
        <f ca="1">_xll.FDS("EURUSD","FG_PRICE("&amp;B1434&amp;")")</f>
        <v>#NAME?</v>
      </c>
      <c r="D1434" t="e">
        <f ca="1">_xll.FDS("GBPUSD","FG_PRICE("&amp;B1434&amp;")")</f>
        <v>#NAME?</v>
      </c>
      <c r="E1434" t="e">
        <f ca="1">_xll.FDSB("JPYUSD","FG_PRICE("&amp;B1434&amp;")")</f>
        <v>#NAME?</v>
      </c>
    </row>
    <row r="1435" spans="2:5">
      <c r="B1435" s="244">
        <f t="shared" si="64"/>
        <v>44898</v>
      </c>
      <c r="C1435" s="245" t="e">
        <f ca="1">_xll.FDS("EURUSD","FG_PRICE("&amp;B1435&amp;")")</f>
        <v>#NAME?</v>
      </c>
      <c r="D1435" t="e">
        <f ca="1">_xll.FDS("GBPUSD","FG_PRICE("&amp;B1435&amp;")")</f>
        <v>#NAME?</v>
      </c>
      <c r="E1435" t="e">
        <f ca="1">_xll.FDSB("JPYUSD","FG_PRICE("&amp;B1435&amp;")")</f>
        <v>#NAME?</v>
      </c>
    </row>
    <row r="1436" spans="2:5">
      <c r="B1436" s="244">
        <f t="shared" si="64"/>
        <v>44899</v>
      </c>
      <c r="C1436" s="245" t="e">
        <f ca="1">_xll.FDS("EURUSD","FG_PRICE("&amp;B1436&amp;")")</f>
        <v>#NAME?</v>
      </c>
      <c r="D1436" t="e">
        <f ca="1">_xll.FDS("GBPUSD","FG_PRICE("&amp;B1436&amp;")")</f>
        <v>#NAME?</v>
      </c>
      <c r="E1436" t="e">
        <f ca="1">_xll.FDSB("JPYUSD","FG_PRICE("&amp;B1436&amp;")")</f>
        <v>#NAME?</v>
      </c>
    </row>
    <row r="1437" spans="2:5">
      <c r="B1437" s="244">
        <f t="shared" si="64"/>
        <v>44900</v>
      </c>
      <c r="C1437" s="245" t="e">
        <f ca="1">_xll.FDS("EURUSD","FG_PRICE("&amp;B1437&amp;")")</f>
        <v>#NAME?</v>
      </c>
      <c r="D1437" t="e">
        <f ca="1">_xll.FDS("GBPUSD","FG_PRICE("&amp;B1437&amp;")")</f>
        <v>#NAME?</v>
      </c>
      <c r="E1437" t="e">
        <f ca="1">_xll.FDSB("JPYUSD","FG_PRICE("&amp;B1437&amp;")")</f>
        <v>#NAME?</v>
      </c>
    </row>
    <row r="1438" spans="2:5">
      <c r="B1438" s="244">
        <f t="shared" si="64"/>
        <v>44901</v>
      </c>
      <c r="C1438" s="245" t="e">
        <f ca="1">_xll.FDS("EURUSD","FG_PRICE("&amp;B1438&amp;")")</f>
        <v>#NAME?</v>
      </c>
      <c r="D1438" t="e">
        <f ca="1">_xll.FDS("GBPUSD","FG_PRICE("&amp;B1438&amp;")")</f>
        <v>#NAME?</v>
      </c>
      <c r="E1438" t="e">
        <f ca="1">_xll.FDSB("JPYUSD","FG_PRICE("&amp;B1438&amp;")")</f>
        <v>#NAME?</v>
      </c>
    </row>
    <row r="1439" spans="2:5">
      <c r="B1439" s="244">
        <f t="shared" si="64"/>
        <v>44902</v>
      </c>
      <c r="C1439" s="245" t="e">
        <f ca="1">_xll.FDS("EURUSD","FG_PRICE("&amp;B1439&amp;")")</f>
        <v>#NAME?</v>
      </c>
      <c r="D1439" t="e">
        <f ca="1">_xll.FDS("GBPUSD","FG_PRICE("&amp;B1439&amp;")")</f>
        <v>#NAME?</v>
      </c>
      <c r="E1439" t="e">
        <f ca="1">_xll.FDSB("JPYUSD","FG_PRICE("&amp;B1439&amp;")")</f>
        <v>#NAME?</v>
      </c>
    </row>
    <row r="1440" spans="2:5">
      <c r="B1440" s="244">
        <f t="shared" si="64"/>
        <v>44903</v>
      </c>
      <c r="C1440" s="245" t="e">
        <f ca="1">_xll.FDS("EURUSD","FG_PRICE("&amp;B1440&amp;")")</f>
        <v>#NAME?</v>
      </c>
      <c r="D1440" t="e">
        <f ca="1">_xll.FDS("GBPUSD","FG_PRICE("&amp;B1440&amp;")")</f>
        <v>#NAME?</v>
      </c>
      <c r="E1440" t="e">
        <f ca="1">_xll.FDSB("JPYUSD","FG_PRICE("&amp;B1440&amp;")")</f>
        <v>#NAME?</v>
      </c>
    </row>
    <row r="1441" spans="2:5">
      <c r="B1441" s="244">
        <f t="shared" si="64"/>
        <v>44904</v>
      </c>
      <c r="C1441" s="245" t="e">
        <f ca="1">_xll.FDS("EURUSD","FG_PRICE("&amp;B1441&amp;")")</f>
        <v>#NAME?</v>
      </c>
      <c r="D1441" t="e">
        <f ca="1">_xll.FDS("GBPUSD","FG_PRICE("&amp;B1441&amp;")")</f>
        <v>#NAME?</v>
      </c>
      <c r="E1441" t="e">
        <f ca="1">_xll.FDSB("JPYUSD","FG_PRICE("&amp;B1441&amp;")")</f>
        <v>#NAME?</v>
      </c>
    </row>
    <row r="1442" spans="2:5">
      <c r="B1442" s="244">
        <f t="shared" si="64"/>
        <v>44905</v>
      </c>
      <c r="C1442" s="245" t="e">
        <f ca="1">_xll.FDS("EURUSD","FG_PRICE("&amp;B1442&amp;")")</f>
        <v>#NAME?</v>
      </c>
      <c r="D1442" t="e">
        <f ca="1">_xll.FDS("GBPUSD","FG_PRICE("&amp;B1442&amp;")")</f>
        <v>#NAME?</v>
      </c>
      <c r="E1442" t="e">
        <f ca="1">_xll.FDSB("JPYUSD","FG_PRICE("&amp;B1442&amp;")")</f>
        <v>#NAME?</v>
      </c>
    </row>
    <row r="1443" spans="2:5">
      <c r="B1443" s="244">
        <f t="shared" si="64"/>
        <v>44906</v>
      </c>
      <c r="C1443" s="245" t="e">
        <f ca="1">_xll.FDS("EURUSD","FG_PRICE("&amp;B1443&amp;")")</f>
        <v>#NAME?</v>
      </c>
      <c r="D1443" t="e">
        <f ca="1">_xll.FDS("GBPUSD","FG_PRICE("&amp;B1443&amp;")")</f>
        <v>#NAME?</v>
      </c>
      <c r="E1443" t="e">
        <f ca="1">_xll.FDSB("JPYUSD","FG_PRICE("&amp;B1443&amp;")")</f>
        <v>#NAME?</v>
      </c>
    </row>
    <row r="1444" spans="2:5">
      <c r="B1444" s="244">
        <f t="shared" si="64"/>
        <v>44907</v>
      </c>
      <c r="C1444" s="245" t="e">
        <f ca="1">_xll.FDS("EURUSD","FG_PRICE("&amp;B1444&amp;")")</f>
        <v>#NAME?</v>
      </c>
      <c r="D1444" t="e">
        <f ca="1">_xll.FDS("GBPUSD","FG_PRICE("&amp;B1444&amp;")")</f>
        <v>#NAME?</v>
      </c>
      <c r="E1444" t="e">
        <f ca="1">_xll.FDSB("JPYUSD","FG_PRICE("&amp;B1444&amp;")")</f>
        <v>#NAME?</v>
      </c>
    </row>
    <row r="1445" spans="2:5">
      <c r="B1445" s="244">
        <f t="shared" si="64"/>
        <v>44908</v>
      </c>
      <c r="C1445" s="245" t="e">
        <f ca="1">_xll.FDS("EURUSD","FG_PRICE("&amp;B1445&amp;")")</f>
        <v>#NAME?</v>
      </c>
      <c r="D1445" t="e">
        <f ca="1">_xll.FDS("GBPUSD","FG_PRICE("&amp;B1445&amp;")")</f>
        <v>#NAME?</v>
      </c>
      <c r="E1445" t="e">
        <f ca="1">_xll.FDSB("JPYUSD","FG_PRICE("&amp;B1445&amp;")")</f>
        <v>#NAME?</v>
      </c>
    </row>
    <row r="1446" spans="2:5">
      <c r="B1446" s="244">
        <f t="shared" si="64"/>
        <v>44909</v>
      </c>
      <c r="C1446" s="245" t="e">
        <f ca="1">_xll.FDS("EURUSD","FG_PRICE("&amp;B1446&amp;")")</f>
        <v>#NAME?</v>
      </c>
      <c r="D1446" t="e">
        <f ca="1">_xll.FDS("GBPUSD","FG_PRICE("&amp;B1446&amp;")")</f>
        <v>#NAME?</v>
      </c>
      <c r="E1446" t="e">
        <f ca="1">_xll.FDSB("JPYUSD","FG_PRICE("&amp;B1446&amp;")")</f>
        <v>#NAME?</v>
      </c>
    </row>
    <row r="1447" spans="2:5">
      <c r="B1447" s="244">
        <f t="shared" si="64"/>
        <v>44910</v>
      </c>
      <c r="C1447" s="245" t="e">
        <f ca="1">_xll.FDS("EURUSD","FG_PRICE("&amp;B1447&amp;")")</f>
        <v>#NAME?</v>
      </c>
      <c r="D1447" t="e">
        <f ca="1">_xll.FDS("GBPUSD","FG_PRICE("&amp;B1447&amp;")")</f>
        <v>#NAME?</v>
      </c>
      <c r="E1447" t="e">
        <f ca="1">_xll.FDSB("JPYUSD","FG_PRICE("&amp;B1447&amp;")")</f>
        <v>#NAME?</v>
      </c>
    </row>
    <row r="1448" spans="2:5">
      <c r="B1448" s="244">
        <f t="shared" si="64"/>
        <v>44911</v>
      </c>
      <c r="C1448" s="245" t="e">
        <f ca="1">_xll.FDS("EURUSD","FG_PRICE("&amp;B1448&amp;")")</f>
        <v>#NAME?</v>
      </c>
      <c r="D1448" t="e">
        <f ca="1">_xll.FDS("GBPUSD","FG_PRICE("&amp;B1448&amp;")")</f>
        <v>#NAME?</v>
      </c>
      <c r="E1448" t="e">
        <f ca="1">_xll.FDSB("JPYUSD","FG_PRICE("&amp;B1448&amp;")")</f>
        <v>#NAME?</v>
      </c>
    </row>
    <row r="1449" spans="2:5">
      <c r="B1449" s="244">
        <f t="shared" si="64"/>
        <v>44912</v>
      </c>
      <c r="C1449" s="245" t="e">
        <f ca="1">_xll.FDS("EURUSD","FG_PRICE("&amp;B1449&amp;")")</f>
        <v>#NAME?</v>
      </c>
      <c r="D1449" t="e">
        <f ca="1">_xll.FDS("GBPUSD","FG_PRICE("&amp;B1449&amp;")")</f>
        <v>#NAME?</v>
      </c>
      <c r="E1449" t="e">
        <f ca="1">_xll.FDSB("JPYUSD","FG_PRICE("&amp;B1449&amp;")")</f>
        <v>#NAME?</v>
      </c>
    </row>
    <row r="1450" spans="2:5">
      <c r="B1450" s="244">
        <f t="shared" si="64"/>
        <v>44913</v>
      </c>
      <c r="C1450" s="245" t="e">
        <f ca="1">_xll.FDS("EURUSD","FG_PRICE("&amp;B1450&amp;")")</f>
        <v>#NAME?</v>
      </c>
      <c r="D1450" t="e">
        <f ca="1">_xll.FDS("GBPUSD","FG_PRICE("&amp;B1450&amp;")")</f>
        <v>#NAME?</v>
      </c>
      <c r="E1450" t="e">
        <f ca="1">_xll.FDSB("JPYUSD","FG_PRICE("&amp;B1450&amp;")")</f>
        <v>#NAME?</v>
      </c>
    </row>
    <row r="1451" spans="2:5">
      <c r="B1451" s="244">
        <f t="shared" si="64"/>
        <v>44914</v>
      </c>
      <c r="C1451" s="245" t="e">
        <f ca="1">_xll.FDS("EURUSD","FG_PRICE("&amp;B1451&amp;")")</f>
        <v>#NAME?</v>
      </c>
      <c r="D1451" t="e">
        <f ca="1">_xll.FDS("GBPUSD","FG_PRICE("&amp;B1451&amp;")")</f>
        <v>#NAME?</v>
      </c>
      <c r="E1451" t="e">
        <f ca="1">_xll.FDSB("JPYUSD","FG_PRICE("&amp;B1451&amp;")")</f>
        <v>#NAME?</v>
      </c>
    </row>
    <row r="1452" spans="2:5">
      <c r="B1452" s="244">
        <f t="shared" si="64"/>
        <v>44915</v>
      </c>
      <c r="C1452" s="245" t="e">
        <f ca="1">_xll.FDS("EURUSD","FG_PRICE("&amp;B1452&amp;")")</f>
        <v>#NAME?</v>
      </c>
      <c r="D1452" t="e">
        <f ca="1">_xll.FDS("GBPUSD","FG_PRICE("&amp;B1452&amp;")")</f>
        <v>#NAME?</v>
      </c>
      <c r="E1452" t="e">
        <f ca="1">_xll.FDSB("JPYUSD","FG_PRICE("&amp;B1452&amp;")")</f>
        <v>#NAME?</v>
      </c>
    </row>
    <row r="1453" spans="2:5">
      <c r="B1453" s="244">
        <f t="shared" si="64"/>
        <v>44916</v>
      </c>
      <c r="C1453" s="245" t="e">
        <f ca="1">_xll.FDS("EURUSD","FG_PRICE("&amp;B1453&amp;")")</f>
        <v>#NAME?</v>
      </c>
      <c r="D1453" t="e">
        <f ca="1">_xll.FDS("GBPUSD","FG_PRICE("&amp;B1453&amp;")")</f>
        <v>#NAME?</v>
      </c>
      <c r="E1453" t="e">
        <f ca="1">_xll.FDSB("JPYUSD","FG_PRICE("&amp;B1453&amp;")")</f>
        <v>#NAME?</v>
      </c>
    </row>
    <row r="1454" spans="2:5">
      <c r="B1454" s="244">
        <f t="shared" si="64"/>
        <v>44917</v>
      </c>
      <c r="C1454" s="245" t="e">
        <f ca="1">_xll.FDS("EURUSD","FG_PRICE("&amp;B1454&amp;")")</f>
        <v>#NAME?</v>
      </c>
      <c r="D1454" t="e">
        <f ca="1">_xll.FDS("GBPUSD","FG_PRICE("&amp;B1454&amp;")")</f>
        <v>#NAME?</v>
      </c>
      <c r="E1454" t="e">
        <f ca="1">_xll.FDSB("JPYUSD","FG_PRICE("&amp;B1454&amp;")")</f>
        <v>#NAME?</v>
      </c>
    </row>
    <row r="1455" spans="2:5">
      <c r="B1455" s="244">
        <f t="shared" si="64"/>
        <v>44918</v>
      </c>
      <c r="C1455" s="245" t="e">
        <f ca="1">_xll.FDS("EURUSD","FG_PRICE("&amp;B1455&amp;")")</f>
        <v>#NAME?</v>
      </c>
      <c r="D1455" t="e">
        <f ca="1">_xll.FDS("GBPUSD","FG_PRICE("&amp;B1455&amp;")")</f>
        <v>#NAME?</v>
      </c>
      <c r="E1455" t="e">
        <f ca="1">_xll.FDSB("JPYUSD","FG_PRICE("&amp;B1455&amp;")")</f>
        <v>#NAME?</v>
      </c>
    </row>
    <row r="1456" spans="2:5">
      <c r="B1456" s="244">
        <f t="shared" si="64"/>
        <v>44919</v>
      </c>
      <c r="C1456" s="245" t="e">
        <f ca="1">_xll.FDS("EURUSD","FG_PRICE("&amp;B1456&amp;")")</f>
        <v>#NAME?</v>
      </c>
      <c r="D1456" t="e">
        <f ca="1">_xll.FDS("GBPUSD","FG_PRICE("&amp;B1456&amp;")")</f>
        <v>#NAME?</v>
      </c>
      <c r="E1456" t="e">
        <f ca="1">_xll.FDSB("JPYUSD","FG_PRICE("&amp;B1456&amp;")")</f>
        <v>#NAME?</v>
      </c>
    </row>
    <row r="1457" spans="2:5">
      <c r="B1457" s="244">
        <f t="shared" si="64"/>
        <v>44920</v>
      </c>
      <c r="C1457" s="245" t="e">
        <f ca="1">_xll.FDS("EURUSD","FG_PRICE("&amp;B1457&amp;")")</f>
        <v>#NAME?</v>
      </c>
      <c r="D1457" t="e">
        <f ca="1">_xll.FDS("GBPUSD","FG_PRICE("&amp;B1457&amp;")")</f>
        <v>#NAME?</v>
      </c>
      <c r="E1457" t="e">
        <f ca="1">_xll.FDSB("JPYUSD","FG_PRICE("&amp;B1457&amp;")")</f>
        <v>#NAME?</v>
      </c>
    </row>
    <row r="1458" spans="2:5">
      <c r="B1458" s="244">
        <f t="shared" si="64"/>
        <v>44921</v>
      </c>
      <c r="C1458" s="245" t="e">
        <f ca="1">_xll.FDS("EURUSD","FG_PRICE("&amp;B1458&amp;")")</f>
        <v>#NAME?</v>
      </c>
      <c r="D1458" t="e">
        <f ca="1">_xll.FDS("GBPUSD","FG_PRICE("&amp;B1458&amp;")")</f>
        <v>#NAME?</v>
      </c>
      <c r="E1458" t="e">
        <f ca="1">_xll.FDSB("JPYUSD","FG_PRICE("&amp;B1458&amp;")")</f>
        <v>#NAME?</v>
      </c>
    </row>
    <row r="1459" spans="2:5">
      <c r="B1459" s="244">
        <f t="shared" si="64"/>
        <v>44922</v>
      </c>
      <c r="C1459" s="245" t="e">
        <f ca="1">_xll.FDS("EURUSD","FG_PRICE("&amp;B1459&amp;")")</f>
        <v>#NAME?</v>
      </c>
      <c r="D1459" t="e">
        <f ca="1">_xll.FDS("GBPUSD","FG_PRICE("&amp;B1459&amp;")")</f>
        <v>#NAME?</v>
      </c>
      <c r="E1459" t="e">
        <f ca="1">_xll.FDSB("JPYUSD","FG_PRICE("&amp;B1459&amp;")")</f>
        <v>#NAME?</v>
      </c>
    </row>
    <row r="1460" spans="2:5">
      <c r="B1460" s="244">
        <f t="shared" si="64"/>
        <v>44923</v>
      </c>
      <c r="C1460" s="245" t="e">
        <f ca="1">_xll.FDS("EURUSD","FG_PRICE("&amp;B1460&amp;")")</f>
        <v>#NAME?</v>
      </c>
      <c r="D1460" t="e">
        <f ca="1">_xll.FDS("GBPUSD","FG_PRICE("&amp;B1460&amp;")")</f>
        <v>#NAME?</v>
      </c>
      <c r="E1460" t="e">
        <f ca="1">_xll.FDSB("JPYUSD","FG_PRICE("&amp;B1460&amp;")")</f>
        <v>#NAME?</v>
      </c>
    </row>
    <row r="1461" spans="2:5">
      <c r="B1461" s="244">
        <f t="shared" si="64"/>
        <v>44924</v>
      </c>
      <c r="C1461" s="245" t="e">
        <f ca="1">_xll.FDS("EURUSD","FG_PRICE("&amp;B1461&amp;")")</f>
        <v>#NAME?</v>
      </c>
      <c r="D1461" t="e">
        <f ca="1">_xll.FDS("GBPUSD","FG_PRICE("&amp;B1461&amp;")")</f>
        <v>#NAME?</v>
      </c>
      <c r="E1461" t="e">
        <f ca="1">_xll.FDSB("JPYUSD","FG_PRICE("&amp;B1461&amp;")")</f>
        <v>#NAME?</v>
      </c>
    </row>
    <row r="1462" spans="2:5">
      <c r="B1462" s="244">
        <f t="shared" si="64"/>
        <v>44925</v>
      </c>
      <c r="C1462" s="245" t="e">
        <f ca="1">_xll.FDS("EURUSD","FG_PRICE("&amp;B1462&amp;")")</f>
        <v>#NAME?</v>
      </c>
      <c r="D1462" t="e">
        <f ca="1">_xll.FDS("GBPUSD","FG_PRICE("&amp;B1462&amp;")")</f>
        <v>#NAME?</v>
      </c>
      <c r="E1462" t="e">
        <f ca="1">_xll.FDSB("JPYUSD","FG_PRICE("&amp;B1462&amp;")")</f>
        <v>#NAME?</v>
      </c>
    </row>
    <row r="1463" spans="2:5">
      <c r="B1463" s="244">
        <f t="shared" si="64"/>
        <v>44926</v>
      </c>
      <c r="C1463" s="245" t="e">
        <f ca="1">_xll.FDS("EURUSD","FG_PRICE("&amp;B1463&amp;")")</f>
        <v>#NAME?</v>
      </c>
      <c r="D1463" t="e">
        <f ca="1">_xll.FDS("GBPUSD","FG_PRICE("&amp;B1463&amp;")")</f>
        <v>#NAME?</v>
      </c>
      <c r="E1463" t="e">
        <f ca="1">_xll.FDSB("JPYUSD","FG_PRICE("&amp;B1463&amp;")")</f>
        <v>#NAME?</v>
      </c>
    </row>
    <row r="1464" spans="2:5">
      <c r="B1464" s="244">
        <f t="shared" si="64"/>
        <v>44927</v>
      </c>
      <c r="C1464" s="245" t="e">
        <f ca="1">_xll.FDS("EURUSD","FG_PRICE("&amp;B1464&amp;")")</f>
        <v>#NAME?</v>
      </c>
      <c r="D1464" t="e">
        <f ca="1">_xll.FDS("GBPUSD","FG_PRICE("&amp;B1464&amp;")")</f>
        <v>#NAME?</v>
      </c>
      <c r="E1464" t="e">
        <f ca="1">_xll.FDSB("JPYUSD","FG_PRICE("&amp;B1464&amp;")")</f>
        <v>#NAME?</v>
      </c>
    </row>
    <row r="1465" spans="2:5">
      <c r="B1465" s="244">
        <f t="shared" si="64"/>
        <v>44928</v>
      </c>
      <c r="C1465" s="245" t="e">
        <f ca="1">_xll.FDS("EURUSD","FG_PRICE("&amp;B1465&amp;")")</f>
        <v>#NAME?</v>
      </c>
      <c r="D1465" t="e">
        <f ca="1">_xll.FDS("GBPUSD","FG_PRICE("&amp;B1465&amp;")")</f>
        <v>#NAME?</v>
      </c>
      <c r="E1465" t="e">
        <f ca="1">_xll.FDSB("JPYUSD","FG_PRICE("&amp;B1465&amp;")")</f>
        <v>#NAME?</v>
      </c>
    </row>
    <row r="1466" spans="2:5">
      <c r="B1466" s="244">
        <f t="shared" si="64"/>
        <v>44929</v>
      </c>
      <c r="C1466" s="245" t="e">
        <f ca="1">_xll.FDS("EURUSD","FG_PRICE("&amp;B1466&amp;")")</f>
        <v>#NAME?</v>
      </c>
      <c r="D1466" t="e">
        <f ca="1">_xll.FDS("GBPUSD","FG_PRICE("&amp;B1466&amp;")")</f>
        <v>#NAME?</v>
      </c>
      <c r="E1466" t="e">
        <f ca="1">_xll.FDSB("JPYUSD","FG_PRICE("&amp;B1466&amp;")")</f>
        <v>#NAME?</v>
      </c>
    </row>
    <row r="1467" spans="2:5">
      <c r="B1467" s="244">
        <f t="shared" si="64"/>
        <v>44930</v>
      </c>
      <c r="C1467" s="245" t="e">
        <f ca="1">_xll.FDS("EURUSD","FG_PRICE("&amp;B1467&amp;")")</f>
        <v>#NAME?</v>
      </c>
      <c r="D1467" t="e">
        <f ca="1">_xll.FDS("GBPUSD","FG_PRICE("&amp;B1467&amp;")")</f>
        <v>#NAME?</v>
      </c>
      <c r="E1467" t="e">
        <f ca="1">_xll.FDSB("JPYUSD","FG_PRICE("&amp;B1467&amp;")")</f>
        <v>#NAME?</v>
      </c>
    </row>
    <row r="1468" spans="2:5">
      <c r="B1468" s="244">
        <f t="shared" si="64"/>
        <v>44931</v>
      </c>
      <c r="C1468" s="245" t="e">
        <f ca="1">_xll.FDS("EURUSD","FG_PRICE("&amp;B1468&amp;")")</f>
        <v>#NAME?</v>
      </c>
      <c r="D1468" t="e">
        <f ca="1">_xll.FDS("GBPUSD","FG_PRICE("&amp;B1468&amp;")")</f>
        <v>#NAME?</v>
      </c>
      <c r="E1468" t="e">
        <f ca="1">_xll.FDSB("JPYUSD","FG_PRICE("&amp;B1468&amp;")")</f>
        <v>#NAME?</v>
      </c>
    </row>
    <row r="1469" spans="2:5">
      <c r="B1469" s="244">
        <f t="shared" si="64"/>
        <v>44932</v>
      </c>
      <c r="C1469" s="245" t="e">
        <f ca="1">_xll.FDS("EURUSD","FG_PRICE("&amp;B1469&amp;")")</f>
        <v>#NAME?</v>
      </c>
      <c r="D1469" t="e">
        <f ca="1">_xll.FDS("GBPUSD","FG_PRICE("&amp;B1469&amp;")")</f>
        <v>#NAME?</v>
      </c>
      <c r="E1469" t="e">
        <f ca="1">_xll.FDSB("JPYUSD","FG_PRICE("&amp;B1469&amp;")")</f>
        <v>#NAME?</v>
      </c>
    </row>
    <row r="1470" spans="2:5">
      <c r="B1470" s="244">
        <f t="shared" si="64"/>
        <v>44933</v>
      </c>
      <c r="C1470" s="245" t="e">
        <f ca="1">_xll.FDS("EURUSD","FG_PRICE("&amp;B1470&amp;")")</f>
        <v>#NAME?</v>
      </c>
      <c r="D1470" t="e">
        <f ca="1">_xll.FDS("GBPUSD","FG_PRICE("&amp;B1470&amp;")")</f>
        <v>#NAME?</v>
      </c>
      <c r="E1470" t="e">
        <f ca="1">_xll.FDSB("JPYUSD","FG_PRICE("&amp;B1470&amp;")")</f>
        <v>#NAME?</v>
      </c>
    </row>
    <row r="1471" spans="2:5">
      <c r="B1471" s="244">
        <f t="shared" si="64"/>
        <v>44934</v>
      </c>
      <c r="C1471" s="245" t="e">
        <f ca="1">_xll.FDS("EURUSD","FG_PRICE("&amp;B1471&amp;")")</f>
        <v>#NAME?</v>
      </c>
      <c r="D1471" t="e">
        <f ca="1">_xll.FDS("GBPUSD","FG_PRICE("&amp;B1471&amp;")")</f>
        <v>#NAME?</v>
      </c>
      <c r="E1471" t="e">
        <f ca="1">_xll.FDSB("JPYUSD","FG_PRICE("&amp;B1471&amp;")")</f>
        <v>#NAME?</v>
      </c>
    </row>
    <row r="1472" spans="2:5">
      <c r="B1472" s="244">
        <f t="shared" si="64"/>
        <v>44935</v>
      </c>
      <c r="C1472" s="245" t="e">
        <f ca="1">_xll.FDS("EURUSD","FG_PRICE("&amp;B1472&amp;")")</f>
        <v>#NAME?</v>
      </c>
      <c r="D1472" t="e">
        <f ca="1">_xll.FDS("GBPUSD","FG_PRICE("&amp;B1472&amp;")")</f>
        <v>#NAME?</v>
      </c>
      <c r="E1472" t="e">
        <f ca="1">_xll.FDSB("JPYUSD","FG_PRICE("&amp;B1472&amp;")")</f>
        <v>#NAME?</v>
      </c>
    </row>
    <row r="1473" spans="2:5">
      <c r="B1473" s="244">
        <f t="shared" si="64"/>
        <v>44936</v>
      </c>
      <c r="C1473" s="245" t="e">
        <f ca="1">_xll.FDS("EURUSD","FG_PRICE("&amp;B1473&amp;")")</f>
        <v>#NAME?</v>
      </c>
      <c r="D1473" t="e">
        <f ca="1">_xll.FDS("GBPUSD","FG_PRICE("&amp;B1473&amp;")")</f>
        <v>#NAME?</v>
      </c>
      <c r="E1473" t="e">
        <f ca="1">_xll.FDSB("JPYUSD","FG_PRICE("&amp;B1473&amp;")")</f>
        <v>#NAME?</v>
      </c>
    </row>
    <row r="1474" spans="2:5">
      <c r="B1474" s="244">
        <f t="shared" si="64"/>
        <v>44937</v>
      </c>
      <c r="C1474" s="245" t="e">
        <f ca="1">_xll.FDS("EURUSD","FG_PRICE("&amp;B1474&amp;")")</f>
        <v>#NAME?</v>
      </c>
      <c r="D1474" t="e">
        <f ca="1">_xll.FDS("GBPUSD","FG_PRICE("&amp;B1474&amp;")")</f>
        <v>#NAME?</v>
      </c>
      <c r="E1474" t="e">
        <f ca="1">_xll.FDSB("JPYUSD","FG_PRICE("&amp;B1474&amp;")")</f>
        <v>#NAME?</v>
      </c>
    </row>
    <row r="1475" spans="2:5">
      <c r="B1475" s="244">
        <f t="shared" si="64"/>
        <v>44938</v>
      </c>
      <c r="C1475" s="245" t="e">
        <f ca="1">_xll.FDS("EURUSD","FG_PRICE("&amp;B1475&amp;")")</f>
        <v>#NAME?</v>
      </c>
      <c r="D1475" t="e">
        <f ca="1">_xll.FDS("GBPUSD","FG_PRICE("&amp;B1475&amp;")")</f>
        <v>#NAME?</v>
      </c>
      <c r="E1475" t="e">
        <f ca="1">_xll.FDSB("JPYUSD","FG_PRICE("&amp;B1475&amp;")")</f>
        <v>#NAME?</v>
      </c>
    </row>
    <row r="1476" spans="2:5">
      <c r="B1476" s="244">
        <f t="shared" si="64"/>
        <v>44939</v>
      </c>
      <c r="C1476" s="245" t="e">
        <f ca="1">_xll.FDS("EURUSD","FG_PRICE("&amp;B1476&amp;")")</f>
        <v>#NAME?</v>
      </c>
      <c r="D1476" t="e">
        <f ca="1">_xll.FDS("GBPUSD","FG_PRICE("&amp;B1476&amp;")")</f>
        <v>#NAME?</v>
      </c>
      <c r="E1476" t="e">
        <f ca="1">_xll.FDSB("JPYUSD","FG_PRICE("&amp;B1476&amp;")")</f>
        <v>#NAME?</v>
      </c>
    </row>
    <row r="1477" spans="2:5">
      <c r="B1477" s="244">
        <f t="shared" ref="B1477:B1540" si="65">B1476+1</f>
        <v>44940</v>
      </c>
      <c r="C1477" s="245" t="e">
        <f ca="1">_xll.FDS("EURUSD","FG_PRICE("&amp;B1477&amp;")")</f>
        <v>#NAME?</v>
      </c>
      <c r="D1477" t="e">
        <f ca="1">_xll.FDS("GBPUSD","FG_PRICE("&amp;B1477&amp;")")</f>
        <v>#NAME?</v>
      </c>
      <c r="E1477" t="e">
        <f ca="1">_xll.FDSB("JPYUSD","FG_PRICE("&amp;B1477&amp;")")</f>
        <v>#NAME?</v>
      </c>
    </row>
    <row r="1478" spans="2:5">
      <c r="B1478" s="244">
        <f t="shared" si="65"/>
        <v>44941</v>
      </c>
      <c r="C1478" s="245" t="e">
        <f ca="1">_xll.FDS("EURUSD","FG_PRICE("&amp;B1478&amp;")")</f>
        <v>#NAME?</v>
      </c>
      <c r="D1478" t="e">
        <f ca="1">_xll.FDS("GBPUSD","FG_PRICE("&amp;B1478&amp;")")</f>
        <v>#NAME?</v>
      </c>
      <c r="E1478" t="e">
        <f ca="1">_xll.FDSB("JPYUSD","FG_PRICE("&amp;B1478&amp;")")</f>
        <v>#NAME?</v>
      </c>
    </row>
    <row r="1479" spans="2:5">
      <c r="B1479" s="244">
        <f t="shared" si="65"/>
        <v>44942</v>
      </c>
      <c r="C1479" s="245" t="e">
        <f ca="1">_xll.FDS("EURUSD","FG_PRICE("&amp;B1479&amp;")")</f>
        <v>#NAME?</v>
      </c>
      <c r="D1479" t="e">
        <f ca="1">_xll.FDS("GBPUSD","FG_PRICE("&amp;B1479&amp;")")</f>
        <v>#NAME?</v>
      </c>
      <c r="E1479" t="e">
        <f ca="1">_xll.FDSB("JPYUSD","FG_PRICE("&amp;B1479&amp;")")</f>
        <v>#NAME?</v>
      </c>
    </row>
    <row r="1480" spans="2:5">
      <c r="B1480" s="244">
        <f t="shared" si="65"/>
        <v>44943</v>
      </c>
      <c r="C1480" s="245" t="e">
        <f ca="1">_xll.FDS("EURUSD","FG_PRICE("&amp;B1480&amp;")")</f>
        <v>#NAME?</v>
      </c>
      <c r="D1480" t="e">
        <f ca="1">_xll.FDS("GBPUSD","FG_PRICE("&amp;B1480&amp;")")</f>
        <v>#NAME?</v>
      </c>
      <c r="E1480" t="e">
        <f ca="1">_xll.FDSB("JPYUSD","FG_PRICE("&amp;B1480&amp;")")</f>
        <v>#NAME?</v>
      </c>
    </row>
    <row r="1481" spans="2:5">
      <c r="B1481" s="244">
        <f t="shared" si="65"/>
        <v>44944</v>
      </c>
      <c r="C1481" s="245" t="e">
        <f ca="1">_xll.FDS("EURUSD","FG_PRICE("&amp;B1481&amp;")")</f>
        <v>#NAME?</v>
      </c>
      <c r="D1481" t="e">
        <f ca="1">_xll.FDS("GBPUSD","FG_PRICE("&amp;B1481&amp;")")</f>
        <v>#NAME?</v>
      </c>
      <c r="E1481" t="e">
        <f ca="1">_xll.FDSB("JPYUSD","FG_PRICE("&amp;B1481&amp;")")</f>
        <v>#NAME?</v>
      </c>
    </row>
    <row r="1482" spans="2:5">
      <c r="B1482" s="244">
        <f t="shared" si="65"/>
        <v>44945</v>
      </c>
      <c r="C1482" s="245" t="e">
        <f ca="1">_xll.FDS("EURUSD","FG_PRICE("&amp;B1482&amp;")")</f>
        <v>#NAME?</v>
      </c>
      <c r="D1482" t="e">
        <f ca="1">_xll.FDS("GBPUSD","FG_PRICE("&amp;B1482&amp;")")</f>
        <v>#NAME?</v>
      </c>
      <c r="E1482" t="e">
        <f ca="1">_xll.FDSB("JPYUSD","FG_PRICE("&amp;B1482&amp;")")</f>
        <v>#NAME?</v>
      </c>
    </row>
    <row r="1483" spans="2:5">
      <c r="B1483" s="244">
        <f t="shared" si="65"/>
        <v>44946</v>
      </c>
      <c r="C1483" s="245" t="e">
        <f ca="1">_xll.FDS("EURUSD","FG_PRICE("&amp;B1483&amp;")")</f>
        <v>#NAME?</v>
      </c>
      <c r="D1483" t="e">
        <f ca="1">_xll.FDS("GBPUSD","FG_PRICE("&amp;B1483&amp;")")</f>
        <v>#NAME?</v>
      </c>
      <c r="E1483" t="e">
        <f ca="1">_xll.FDSB("JPYUSD","FG_PRICE("&amp;B1483&amp;")")</f>
        <v>#NAME?</v>
      </c>
    </row>
    <row r="1484" spans="2:5">
      <c r="B1484" s="244">
        <f t="shared" si="65"/>
        <v>44947</v>
      </c>
      <c r="C1484" s="245" t="e">
        <f ca="1">_xll.FDS("EURUSD","FG_PRICE("&amp;B1484&amp;")")</f>
        <v>#NAME?</v>
      </c>
      <c r="D1484" t="e">
        <f ca="1">_xll.FDS("GBPUSD","FG_PRICE("&amp;B1484&amp;")")</f>
        <v>#NAME?</v>
      </c>
      <c r="E1484" t="e">
        <f ca="1">_xll.FDSB("JPYUSD","FG_PRICE("&amp;B1484&amp;")")</f>
        <v>#NAME?</v>
      </c>
    </row>
    <row r="1485" spans="2:5">
      <c r="B1485" s="244">
        <f t="shared" si="65"/>
        <v>44948</v>
      </c>
      <c r="C1485" s="245" t="e">
        <f ca="1">_xll.FDS("EURUSD","FG_PRICE("&amp;B1485&amp;")")</f>
        <v>#NAME?</v>
      </c>
      <c r="D1485" t="e">
        <f ca="1">_xll.FDS("GBPUSD","FG_PRICE("&amp;B1485&amp;")")</f>
        <v>#NAME?</v>
      </c>
      <c r="E1485" t="e">
        <f ca="1">_xll.FDSB("JPYUSD","FG_PRICE("&amp;B1485&amp;")")</f>
        <v>#NAME?</v>
      </c>
    </row>
    <row r="1486" spans="2:5">
      <c r="B1486" s="244">
        <f t="shared" si="65"/>
        <v>44949</v>
      </c>
      <c r="C1486" s="245" t="e">
        <f ca="1">_xll.FDS("EURUSD","FG_PRICE("&amp;B1486&amp;")")</f>
        <v>#NAME?</v>
      </c>
      <c r="D1486" t="e">
        <f ca="1">_xll.FDS("GBPUSD","FG_PRICE("&amp;B1486&amp;")")</f>
        <v>#NAME?</v>
      </c>
      <c r="E1486" t="e">
        <f ca="1">_xll.FDSB("JPYUSD","FG_PRICE("&amp;B1486&amp;")")</f>
        <v>#NAME?</v>
      </c>
    </row>
    <row r="1487" spans="2:5">
      <c r="B1487" s="244">
        <f t="shared" si="65"/>
        <v>44950</v>
      </c>
      <c r="C1487" s="245" t="e">
        <f ca="1">_xll.FDS("EURUSD","FG_PRICE("&amp;B1487&amp;")")</f>
        <v>#NAME?</v>
      </c>
      <c r="D1487" t="e">
        <f ca="1">_xll.FDS("GBPUSD","FG_PRICE("&amp;B1487&amp;")")</f>
        <v>#NAME?</v>
      </c>
      <c r="E1487" t="e">
        <f ca="1">_xll.FDSB("JPYUSD","FG_PRICE("&amp;B1487&amp;")")</f>
        <v>#NAME?</v>
      </c>
    </row>
    <row r="1488" spans="2:5">
      <c r="B1488" s="244">
        <f t="shared" si="65"/>
        <v>44951</v>
      </c>
      <c r="C1488" s="245" t="e">
        <f ca="1">_xll.FDS("EURUSD","FG_PRICE("&amp;B1488&amp;")")</f>
        <v>#NAME?</v>
      </c>
      <c r="D1488" t="e">
        <f ca="1">_xll.FDS("GBPUSD","FG_PRICE("&amp;B1488&amp;")")</f>
        <v>#NAME?</v>
      </c>
      <c r="E1488" t="e">
        <f ca="1">_xll.FDSB("JPYUSD","FG_PRICE("&amp;B1488&amp;")")</f>
        <v>#NAME?</v>
      </c>
    </row>
    <row r="1489" spans="2:5">
      <c r="B1489" s="244">
        <f t="shared" si="65"/>
        <v>44952</v>
      </c>
      <c r="C1489" s="245" t="e">
        <f ca="1">_xll.FDS("EURUSD","FG_PRICE("&amp;B1489&amp;")")</f>
        <v>#NAME?</v>
      </c>
      <c r="D1489" t="e">
        <f ca="1">_xll.FDS("GBPUSD","FG_PRICE("&amp;B1489&amp;")")</f>
        <v>#NAME?</v>
      </c>
      <c r="E1489" t="e">
        <f ca="1">_xll.FDSB("JPYUSD","FG_PRICE("&amp;B1489&amp;")")</f>
        <v>#NAME?</v>
      </c>
    </row>
    <row r="1490" spans="2:5">
      <c r="B1490" s="244">
        <f t="shared" si="65"/>
        <v>44953</v>
      </c>
      <c r="C1490" s="245" t="e">
        <f ca="1">_xll.FDS("EURUSD","FG_PRICE("&amp;B1490&amp;")")</f>
        <v>#NAME?</v>
      </c>
      <c r="D1490" t="e">
        <f ca="1">_xll.FDS("GBPUSD","FG_PRICE("&amp;B1490&amp;")")</f>
        <v>#NAME?</v>
      </c>
      <c r="E1490" t="e">
        <f ca="1">_xll.FDSB("JPYUSD","FG_PRICE("&amp;B1490&amp;")")</f>
        <v>#NAME?</v>
      </c>
    </row>
    <row r="1491" spans="2:5">
      <c r="B1491" s="244">
        <f t="shared" si="65"/>
        <v>44954</v>
      </c>
      <c r="C1491" s="245" t="e">
        <f ca="1">_xll.FDS("EURUSD","FG_PRICE("&amp;B1491&amp;")")</f>
        <v>#NAME?</v>
      </c>
      <c r="D1491" t="e">
        <f ca="1">_xll.FDS("GBPUSD","FG_PRICE("&amp;B1491&amp;")")</f>
        <v>#NAME?</v>
      </c>
      <c r="E1491" t="e">
        <f ca="1">_xll.FDSB("JPYUSD","FG_PRICE("&amp;B1491&amp;")")</f>
        <v>#NAME?</v>
      </c>
    </row>
    <row r="1492" spans="2:5">
      <c r="B1492" s="244">
        <f t="shared" si="65"/>
        <v>44955</v>
      </c>
      <c r="C1492" s="245" t="e">
        <f ca="1">_xll.FDS("EURUSD","FG_PRICE("&amp;B1492&amp;")")</f>
        <v>#NAME?</v>
      </c>
      <c r="D1492" t="e">
        <f ca="1">_xll.FDS("GBPUSD","FG_PRICE("&amp;B1492&amp;")")</f>
        <v>#NAME?</v>
      </c>
      <c r="E1492" t="e">
        <f ca="1">_xll.FDSB("JPYUSD","FG_PRICE("&amp;B1492&amp;")")</f>
        <v>#NAME?</v>
      </c>
    </row>
    <row r="1493" spans="2:5">
      <c r="B1493" s="244">
        <f t="shared" si="65"/>
        <v>44956</v>
      </c>
      <c r="C1493" s="245" t="e">
        <f ca="1">_xll.FDS("EURUSD","FG_PRICE("&amp;B1493&amp;")")</f>
        <v>#NAME?</v>
      </c>
      <c r="D1493" t="e">
        <f ca="1">_xll.FDS("GBPUSD","FG_PRICE("&amp;B1493&amp;")")</f>
        <v>#NAME?</v>
      </c>
      <c r="E1493" t="e">
        <f ca="1">_xll.FDSB("JPYUSD","FG_PRICE("&amp;B1493&amp;")")</f>
        <v>#NAME?</v>
      </c>
    </row>
    <row r="1494" spans="2:5">
      <c r="B1494" s="244">
        <f t="shared" si="65"/>
        <v>44957</v>
      </c>
      <c r="C1494" s="245" t="e">
        <f ca="1">_xll.FDS("EURUSD","FG_PRICE("&amp;B1494&amp;")")</f>
        <v>#NAME?</v>
      </c>
      <c r="D1494" t="e">
        <f ca="1">_xll.FDS("GBPUSD","FG_PRICE("&amp;B1494&amp;")")</f>
        <v>#NAME?</v>
      </c>
      <c r="E1494" t="e">
        <f ca="1">_xll.FDSB("JPYUSD","FG_PRICE("&amp;B1494&amp;")")</f>
        <v>#NAME?</v>
      </c>
    </row>
    <row r="1495" spans="2:5">
      <c r="B1495" s="244">
        <f t="shared" si="65"/>
        <v>44958</v>
      </c>
      <c r="C1495" s="245" t="e">
        <f ca="1">_xll.FDS("EURUSD","FG_PRICE("&amp;B1495&amp;")")</f>
        <v>#NAME?</v>
      </c>
      <c r="D1495" t="e">
        <f ca="1">_xll.FDS("GBPUSD","FG_PRICE("&amp;B1495&amp;")")</f>
        <v>#NAME?</v>
      </c>
      <c r="E1495" t="e">
        <f ca="1">_xll.FDSB("JPYUSD","FG_PRICE("&amp;B1495&amp;")")</f>
        <v>#NAME?</v>
      </c>
    </row>
    <row r="1496" spans="2:5">
      <c r="B1496" s="244">
        <f t="shared" si="65"/>
        <v>44959</v>
      </c>
      <c r="C1496" s="245" t="e">
        <f ca="1">_xll.FDS("EURUSD","FG_PRICE("&amp;B1496&amp;")")</f>
        <v>#NAME?</v>
      </c>
      <c r="D1496" t="e">
        <f ca="1">_xll.FDS("GBPUSD","FG_PRICE("&amp;B1496&amp;")")</f>
        <v>#NAME?</v>
      </c>
      <c r="E1496" t="e">
        <f ca="1">_xll.FDSB("JPYUSD","FG_PRICE("&amp;B1496&amp;")")</f>
        <v>#NAME?</v>
      </c>
    </row>
    <row r="1497" spans="2:5">
      <c r="B1497" s="244">
        <f t="shared" si="65"/>
        <v>44960</v>
      </c>
      <c r="C1497" s="245" t="e">
        <f ca="1">_xll.FDS("EURUSD","FG_PRICE("&amp;B1497&amp;")")</f>
        <v>#NAME?</v>
      </c>
      <c r="D1497" t="e">
        <f ca="1">_xll.FDS("GBPUSD","FG_PRICE("&amp;B1497&amp;")")</f>
        <v>#NAME?</v>
      </c>
      <c r="E1497" t="e">
        <f ca="1">_xll.FDSB("JPYUSD","FG_PRICE("&amp;B1497&amp;")")</f>
        <v>#NAME?</v>
      </c>
    </row>
    <row r="1498" spans="2:5">
      <c r="B1498" s="244">
        <f t="shared" si="65"/>
        <v>44961</v>
      </c>
      <c r="C1498" s="245" t="e">
        <f ca="1">_xll.FDS("EURUSD","FG_PRICE("&amp;B1498&amp;")")</f>
        <v>#NAME?</v>
      </c>
      <c r="D1498" t="e">
        <f ca="1">_xll.FDS("GBPUSD","FG_PRICE("&amp;B1498&amp;")")</f>
        <v>#NAME?</v>
      </c>
      <c r="E1498" t="e">
        <f ca="1">_xll.FDSB("JPYUSD","FG_PRICE("&amp;B1498&amp;")")</f>
        <v>#NAME?</v>
      </c>
    </row>
    <row r="1499" spans="2:5">
      <c r="B1499" s="244">
        <f t="shared" si="65"/>
        <v>44962</v>
      </c>
      <c r="C1499" s="245" t="e">
        <f ca="1">_xll.FDS("EURUSD","FG_PRICE("&amp;B1499&amp;")")</f>
        <v>#NAME?</v>
      </c>
      <c r="D1499" t="e">
        <f ca="1">_xll.FDS("GBPUSD","FG_PRICE("&amp;B1499&amp;")")</f>
        <v>#NAME?</v>
      </c>
      <c r="E1499" t="e">
        <f ca="1">_xll.FDSB("JPYUSD","FG_PRICE("&amp;B1499&amp;")")</f>
        <v>#NAME?</v>
      </c>
    </row>
    <row r="1500" spans="2:5">
      <c r="B1500" s="244">
        <f t="shared" si="65"/>
        <v>44963</v>
      </c>
      <c r="C1500" s="245" t="e">
        <f ca="1">_xll.FDS("EURUSD","FG_PRICE("&amp;B1500&amp;")")</f>
        <v>#NAME?</v>
      </c>
      <c r="D1500" t="e">
        <f ca="1">_xll.FDS("GBPUSD","FG_PRICE("&amp;B1500&amp;")")</f>
        <v>#NAME?</v>
      </c>
      <c r="E1500" t="e">
        <f ca="1">_xll.FDSB("JPYUSD","FG_PRICE("&amp;B1500&amp;")")</f>
        <v>#NAME?</v>
      </c>
    </row>
    <row r="1501" spans="2:5">
      <c r="B1501" s="244">
        <f t="shared" si="65"/>
        <v>44964</v>
      </c>
      <c r="C1501" s="245" t="e">
        <f ca="1">_xll.FDS("EURUSD","FG_PRICE("&amp;B1501&amp;")")</f>
        <v>#NAME?</v>
      </c>
      <c r="D1501" t="e">
        <f ca="1">_xll.FDS("GBPUSD","FG_PRICE("&amp;B1501&amp;")")</f>
        <v>#NAME?</v>
      </c>
      <c r="E1501" t="e">
        <f ca="1">_xll.FDSB("JPYUSD","FG_PRICE("&amp;B1501&amp;")")</f>
        <v>#NAME?</v>
      </c>
    </row>
    <row r="1502" spans="2:5">
      <c r="B1502" s="244">
        <f t="shared" si="65"/>
        <v>44965</v>
      </c>
      <c r="C1502" s="245" t="e">
        <f ca="1">_xll.FDS("EURUSD","FG_PRICE("&amp;B1502&amp;")")</f>
        <v>#NAME?</v>
      </c>
      <c r="D1502" t="e">
        <f ca="1">_xll.FDS("GBPUSD","FG_PRICE("&amp;B1502&amp;")")</f>
        <v>#NAME?</v>
      </c>
      <c r="E1502" t="e">
        <f ca="1">_xll.FDSB("JPYUSD","FG_PRICE("&amp;B1502&amp;")")</f>
        <v>#NAME?</v>
      </c>
    </row>
    <row r="1503" spans="2:5">
      <c r="B1503" s="244">
        <f t="shared" si="65"/>
        <v>44966</v>
      </c>
      <c r="C1503" s="245" t="e">
        <f ca="1">_xll.FDS("EURUSD","FG_PRICE("&amp;B1503&amp;")")</f>
        <v>#NAME?</v>
      </c>
      <c r="D1503" t="e">
        <f ca="1">_xll.FDS("GBPUSD","FG_PRICE("&amp;B1503&amp;")")</f>
        <v>#NAME?</v>
      </c>
      <c r="E1503" t="e">
        <f ca="1">_xll.FDSB("JPYUSD","FG_PRICE("&amp;B1503&amp;")")</f>
        <v>#NAME?</v>
      </c>
    </row>
    <row r="1504" spans="2:5">
      <c r="B1504" s="244">
        <f t="shared" si="65"/>
        <v>44967</v>
      </c>
      <c r="C1504" s="245" t="e">
        <f ca="1">_xll.FDS("EURUSD","FG_PRICE("&amp;B1504&amp;")")</f>
        <v>#NAME?</v>
      </c>
      <c r="D1504" t="e">
        <f ca="1">_xll.FDS("GBPUSD","FG_PRICE("&amp;B1504&amp;")")</f>
        <v>#NAME?</v>
      </c>
      <c r="E1504" t="e">
        <f ca="1">_xll.FDSB("JPYUSD","FG_PRICE("&amp;B1504&amp;")")</f>
        <v>#NAME?</v>
      </c>
    </row>
    <row r="1505" spans="2:5">
      <c r="B1505" s="244">
        <f t="shared" si="65"/>
        <v>44968</v>
      </c>
      <c r="C1505" s="245" t="e">
        <f ca="1">_xll.FDS("EURUSD","FG_PRICE("&amp;B1505&amp;")")</f>
        <v>#NAME?</v>
      </c>
      <c r="D1505" t="e">
        <f ca="1">_xll.FDS("GBPUSD","FG_PRICE("&amp;B1505&amp;")")</f>
        <v>#NAME?</v>
      </c>
      <c r="E1505" t="e">
        <f ca="1">_xll.FDSB("JPYUSD","FG_PRICE("&amp;B1505&amp;")")</f>
        <v>#NAME?</v>
      </c>
    </row>
    <row r="1506" spans="2:5">
      <c r="B1506" s="244">
        <f t="shared" si="65"/>
        <v>44969</v>
      </c>
      <c r="C1506" s="245" t="e">
        <f ca="1">_xll.FDS("EURUSD","FG_PRICE("&amp;B1506&amp;")")</f>
        <v>#NAME?</v>
      </c>
      <c r="D1506" t="e">
        <f ca="1">_xll.FDS("GBPUSD","FG_PRICE("&amp;B1506&amp;")")</f>
        <v>#NAME?</v>
      </c>
      <c r="E1506" t="e">
        <f ca="1">_xll.FDSB("JPYUSD","FG_PRICE("&amp;B1506&amp;")")</f>
        <v>#NAME?</v>
      </c>
    </row>
    <row r="1507" spans="2:5">
      <c r="B1507" s="244">
        <f t="shared" si="65"/>
        <v>44970</v>
      </c>
      <c r="C1507" s="245" t="e">
        <f ca="1">_xll.FDS("EURUSD","FG_PRICE("&amp;B1507&amp;")")</f>
        <v>#NAME?</v>
      </c>
      <c r="D1507" t="e">
        <f ca="1">_xll.FDS("GBPUSD","FG_PRICE("&amp;B1507&amp;")")</f>
        <v>#NAME?</v>
      </c>
      <c r="E1507" t="e">
        <f ca="1">_xll.FDSB("JPYUSD","FG_PRICE("&amp;B1507&amp;")")</f>
        <v>#NAME?</v>
      </c>
    </row>
    <row r="1508" spans="2:5">
      <c r="B1508" s="244">
        <f t="shared" si="65"/>
        <v>44971</v>
      </c>
      <c r="C1508" s="245" t="e">
        <f ca="1">_xll.FDS("EURUSD","FG_PRICE("&amp;B1508&amp;")")</f>
        <v>#NAME?</v>
      </c>
      <c r="D1508" t="e">
        <f ca="1">_xll.FDS("GBPUSD","FG_PRICE("&amp;B1508&amp;")")</f>
        <v>#NAME?</v>
      </c>
      <c r="E1508" t="e">
        <f ca="1">_xll.FDSB("JPYUSD","FG_PRICE("&amp;B1508&amp;")")</f>
        <v>#NAME?</v>
      </c>
    </row>
    <row r="1509" spans="2:5">
      <c r="B1509" s="244">
        <f t="shared" si="65"/>
        <v>44972</v>
      </c>
      <c r="C1509" s="245" t="e">
        <f ca="1">_xll.FDS("EURUSD","FG_PRICE("&amp;B1509&amp;")")</f>
        <v>#NAME?</v>
      </c>
      <c r="D1509" t="e">
        <f ca="1">_xll.FDS("GBPUSD","FG_PRICE("&amp;B1509&amp;")")</f>
        <v>#NAME?</v>
      </c>
      <c r="E1509" t="e">
        <f ca="1">_xll.FDSB("JPYUSD","FG_PRICE("&amp;B1509&amp;")")</f>
        <v>#NAME?</v>
      </c>
    </row>
    <row r="1510" spans="2:5">
      <c r="B1510" s="244">
        <f t="shared" si="65"/>
        <v>44973</v>
      </c>
      <c r="C1510" s="245" t="e">
        <f ca="1">_xll.FDS("EURUSD","FG_PRICE("&amp;B1510&amp;")")</f>
        <v>#NAME?</v>
      </c>
      <c r="D1510" t="e">
        <f ca="1">_xll.FDS("GBPUSD","FG_PRICE("&amp;B1510&amp;")")</f>
        <v>#NAME?</v>
      </c>
      <c r="E1510" t="e">
        <f ca="1">_xll.FDSB("JPYUSD","FG_PRICE("&amp;B1510&amp;")")</f>
        <v>#NAME?</v>
      </c>
    </row>
    <row r="1511" spans="2:5">
      <c r="B1511" s="244">
        <f t="shared" si="65"/>
        <v>44974</v>
      </c>
      <c r="C1511" s="245" t="e">
        <f ca="1">_xll.FDS("EURUSD","FG_PRICE("&amp;B1511&amp;")")</f>
        <v>#NAME?</v>
      </c>
      <c r="D1511" t="e">
        <f ca="1">_xll.FDS("GBPUSD","FG_PRICE("&amp;B1511&amp;")")</f>
        <v>#NAME?</v>
      </c>
      <c r="E1511" t="e">
        <f ca="1">_xll.FDSB("JPYUSD","FG_PRICE("&amp;B1511&amp;")")</f>
        <v>#NAME?</v>
      </c>
    </row>
    <row r="1512" spans="2:5">
      <c r="B1512" s="244">
        <f t="shared" si="65"/>
        <v>44975</v>
      </c>
      <c r="C1512" s="245" t="e">
        <f ca="1">_xll.FDS("EURUSD","FG_PRICE("&amp;B1512&amp;")")</f>
        <v>#NAME?</v>
      </c>
      <c r="D1512" t="e">
        <f ca="1">_xll.FDS("GBPUSD","FG_PRICE("&amp;B1512&amp;")")</f>
        <v>#NAME?</v>
      </c>
      <c r="E1512" t="e">
        <f ca="1">_xll.FDSB("JPYUSD","FG_PRICE("&amp;B1512&amp;")")</f>
        <v>#NAME?</v>
      </c>
    </row>
    <row r="1513" spans="2:5">
      <c r="B1513" s="244">
        <f t="shared" si="65"/>
        <v>44976</v>
      </c>
      <c r="C1513" s="245" t="e">
        <f ca="1">_xll.FDS("EURUSD","FG_PRICE("&amp;B1513&amp;")")</f>
        <v>#NAME?</v>
      </c>
      <c r="D1513" t="e">
        <f ca="1">_xll.FDS("GBPUSD","FG_PRICE("&amp;B1513&amp;")")</f>
        <v>#NAME?</v>
      </c>
      <c r="E1513" t="e">
        <f ca="1">_xll.FDSB("JPYUSD","FG_PRICE("&amp;B1513&amp;")")</f>
        <v>#NAME?</v>
      </c>
    </row>
    <row r="1514" spans="2:5">
      <c r="B1514" s="244">
        <f t="shared" si="65"/>
        <v>44977</v>
      </c>
      <c r="C1514" s="245" t="e">
        <f ca="1">_xll.FDS("EURUSD","FG_PRICE("&amp;B1514&amp;")")</f>
        <v>#NAME?</v>
      </c>
      <c r="D1514" t="e">
        <f ca="1">_xll.FDS("GBPUSD","FG_PRICE("&amp;B1514&amp;")")</f>
        <v>#NAME?</v>
      </c>
      <c r="E1514" t="e">
        <f ca="1">_xll.FDSB("JPYUSD","FG_PRICE("&amp;B1514&amp;")")</f>
        <v>#NAME?</v>
      </c>
    </row>
    <row r="1515" spans="2:5">
      <c r="B1515" s="244">
        <f t="shared" si="65"/>
        <v>44978</v>
      </c>
      <c r="C1515" s="245" t="e">
        <f ca="1">_xll.FDS("EURUSD","FG_PRICE("&amp;B1515&amp;")")</f>
        <v>#NAME?</v>
      </c>
      <c r="D1515" t="e">
        <f ca="1">_xll.FDS("GBPUSD","FG_PRICE("&amp;B1515&amp;")")</f>
        <v>#NAME?</v>
      </c>
      <c r="E1515" t="e">
        <f ca="1">_xll.FDSB("JPYUSD","FG_PRICE("&amp;B1515&amp;")")</f>
        <v>#NAME?</v>
      </c>
    </row>
    <row r="1516" spans="2:5">
      <c r="B1516" s="244">
        <f t="shared" si="65"/>
        <v>44979</v>
      </c>
      <c r="C1516" s="245" t="e">
        <f ca="1">_xll.FDS("EURUSD","FG_PRICE("&amp;B1516&amp;")")</f>
        <v>#NAME?</v>
      </c>
      <c r="D1516" t="e">
        <f ca="1">_xll.FDS("GBPUSD","FG_PRICE("&amp;B1516&amp;")")</f>
        <v>#NAME?</v>
      </c>
      <c r="E1516" t="e">
        <f ca="1">_xll.FDSB("JPYUSD","FG_PRICE("&amp;B1516&amp;")")</f>
        <v>#NAME?</v>
      </c>
    </row>
    <row r="1517" spans="2:5">
      <c r="B1517" s="244">
        <f t="shared" si="65"/>
        <v>44980</v>
      </c>
      <c r="C1517" s="245" t="e">
        <f ca="1">_xll.FDS("EURUSD","FG_PRICE("&amp;B1517&amp;")")</f>
        <v>#NAME?</v>
      </c>
      <c r="D1517" t="e">
        <f ca="1">_xll.FDS("GBPUSD","FG_PRICE("&amp;B1517&amp;")")</f>
        <v>#NAME?</v>
      </c>
      <c r="E1517" t="e">
        <f ca="1">_xll.FDSB("JPYUSD","FG_PRICE("&amp;B1517&amp;")")</f>
        <v>#NAME?</v>
      </c>
    </row>
    <row r="1518" spans="2:5">
      <c r="B1518" s="244">
        <f t="shared" si="65"/>
        <v>44981</v>
      </c>
      <c r="C1518" s="245" t="e">
        <f ca="1">_xll.FDS("EURUSD","FG_PRICE("&amp;B1518&amp;")")</f>
        <v>#NAME?</v>
      </c>
      <c r="D1518" t="e">
        <f ca="1">_xll.FDS("GBPUSD","FG_PRICE("&amp;B1518&amp;")")</f>
        <v>#NAME?</v>
      </c>
      <c r="E1518" t="e">
        <f ca="1">_xll.FDSB("JPYUSD","FG_PRICE("&amp;B1518&amp;")")</f>
        <v>#NAME?</v>
      </c>
    </row>
    <row r="1519" spans="2:5">
      <c r="B1519" s="244">
        <f t="shared" si="65"/>
        <v>44982</v>
      </c>
      <c r="C1519" s="245" t="e">
        <f ca="1">_xll.FDS("EURUSD","FG_PRICE("&amp;B1519&amp;")")</f>
        <v>#NAME?</v>
      </c>
      <c r="D1519" t="e">
        <f ca="1">_xll.FDS("GBPUSD","FG_PRICE("&amp;B1519&amp;")")</f>
        <v>#NAME?</v>
      </c>
      <c r="E1519" t="e">
        <f ca="1">_xll.FDSB("JPYUSD","FG_PRICE("&amp;B1519&amp;")")</f>
        <v>#NAME?</v>
      </c>
    </row>
    <row r="1520" spans="2:5">
      <c r="B1520" s="244">
        <f t="shared" si="65"/>
        <v>44983</v>
      </c>
      <c r="C1520" s="245" t="e">
        <f ca="1">_xll.FDS("EURUSD","FG_PRICE("&amp;B1520&amp;")")</f>
        <v>#NAME?</v>
      </c>
      <c r="D1520" t="e">
        <f ca="1">_xll.FDS("GBPUSD","FG_PRICE("&amp;B1520&amp;")")</f>
        <v>#NAME?</v>
      </c>
      <c r="E1520" t="e">
        <f ca="1">_xll.FDSB("JPYUSD","FG_PRICE("&amp;B1520&amp;")")</f>
        <v>#NAME?</v>
      </c>
    </row>
    <row r="1521" spans="2:5">
      <c r="B1521" s="244">
        <f t="shared" si="65"/>
        <v>44984</v>
      </c>
      <c r="C1521" s="245" t="e">
        <f ca="1">_xll.FDS("EURUSD","FG_PRICE("&amp;B1521&amp;")")</f>
        <v>#NAME?</v>
      </c>
      <c r="D1521" t="e">
        <f ca="1">_xll.FDS("GBPUSD","FG_PRICE("&amp;B1521&amp;")")</f>
        <v>#NAME?</v>
      </c>
      <c r="E1521" t="e">
        <f ca="1">_xll.FDSB("JPYUSD","FG_PRICE("&amp;B1521&amp;")")</f>
        <v>#NAME?</v>
      </c>
    </row>
    <row r="1522" spans="2:5">
      <c r="B1522" s="244">
        <f t="shared" si="65"/>
        <v>44985</v>
      </c>
      <c r="C1522" s="245" t="e">
        <f ca="1">_xll.FDS("EURUSD","FG_PRICE("&amp;B1522&amp;")")</f>
        <v>#NAME?</v>
      </c>
      <c r="D1522" t="e">
        <f ca="1">_xll.FDS("GBPUSD","FG_PRICE("&amp;B1522&amp;")")</f>
        <v>#NAME?</v>
      </c>
      <c r="E1522" t="e">
        <f ca="1">_xll.FDSB("JPYUSD","FG_PRICE("&amp;B1522&amp;")")</f>
        <v>#NAME?</v>
      </c>
    </row>
    <row r="1523" spans="2:5">
      <c r="B1523" s="244">
        <f t="shared" si="65"/>
        <v>44986</v>
      </c>
      <c r="C1523" s="245" t="e">
        <f ca="1">_xll.FDS("EURUSD","FG_PRICE("&amp;B1523&amp;")")</f>
        <v>#NAME?</v>
      </c>
      <c r="D1523" t="e">
        <f ca="1">_xll.FDS("GBPUSD","FG_PRICE("&amp;B1523&amp;")")</f>
        <v>#NAME?</v>
      </c>
      <c r="E1523" t="e">
        <f ca="1">_xll.FDSB("JPYUSD","FG_PRICE("&amp;B1523&amp;")")</f>
        <v>#NAME?</v>
      </c>
    </row>
    <row r="1524" spans="2:5">
      <c r="B1524" s="244">
        <f t="shared" si="65"/>
        <v>44987</v>
      </c>
      <c r="C1524" s="245" t="e">
        <f ca="1">_xll.FDS("EURUSD","FG_PRICE("&amp;B1524&amp;")")</f>
        <v>#NAME?</v>
      </c>
      <c r="D1524" t="e">
        <f ca="1">_xll.FDS("GBPUSD","FG_PRICE("&amp;B1524&amp;")")</f>
        <v>#NAME?</v>
      </c>
      <c r="E1524" t="e">
        <f ca="1">_xll.FDSB("JPYUSD","FG_PRICE("&amp;B1524&amp;")")</f>
        <v>#NAME?</v>
      </c>
    </row>
    <row r="1525" spans="2:5">
      <c r="B1525" s="244">
        <f t="shared" si="65"/>
        <v>44988</v>
      </c>
      <c r="C1525" s="245" t="e">
        <f ca="1">_xll.FDS("EURUSD","FG_PRICE("&amp;B1525&amp;")")</f>
        <v>#NAME?</v>
      </c>
      <c r="D1525" t="e">
        <f ca="1">_xll.FDS("GBPUSD","FG_PRICE("&amp;B1525&amp;")")</f>
        <v>#NAME?</v>
      </c>
      <c r="E1525" t="e">
        <f ca="1">_xll.FDSB("JPYUSD","FG_PRICE("&amp;B1525&amp;")")</f>
        <v>#NAME?</v>
      </c>
    </row>
    <row r="1526" spans="2:5">
      <c r="B1526" s="244">
        <f t="shared" si="65"/>
        <v>44989</v>
      </c>
      <c r="C1526" s="245" t="e">
        <f ca="1">_xll.FDS("EURUSD","FG_PRICE("&amp;B1526&amp;")")</f>
        <v>#NAME?</v>
      </c>
      <c r="D1526" t="e">
        <f ca="1">_xll.FDS("GBPUSD","FG_PRICE("&amp;B1526&amp;")")</f>
        <v>#NAME?</v>
      </c>
      <c r="E1526" t="e">
        <f ca="1">_xll.FDSB("JPYUSD","FG_PRICE("&amp;B1526&amp;")")</f>
        <v>#NAME?</v>
      </c>
    </row>
    <row r="1527" spans="2:5">
      <c r="B1527" s="244">
        <f t="shared" si="65"/>
        <v>44990</v>
      </c>
      <c r="C1527" s="245" t="e">
        <f ca="1">_xll.FDS("EURUSD","FG_PRICE("&amp;B1527&amp;")")</f>
        <v>#NAME?</v>
      </c>
      <c r="D1527" t="e">
        <f ca="1">_xll.FDS("GBPUSD","FG_PRICE("&amp;B1527&amp;")")</f>
        <v>#NAME?</v>
      </c>
      <c r="E1527" t="e">
        <f ca="1">_xll.FDSB("JPYUSD","FG_PRICE("&amp;B1527&amp;")")</f>
        <v>#NAME?</v>
      </c>
    </row>
    <row r="1528" spans="2:5">
      <c r="B1528" s="244">
        <f t="shared" si="65"/>
        <v>44991</v>
      </c>
      <c r="C1528" s="245" t="e">
        <f ca="1">_xll.FDS("EURUSD","FG_PRICE("&amp;B1528&amp;")")</f>
        <v>#NAME?</v>
      </c>
      <c r="D1528" t="e">
        <f ca="1">_xll.FDS("GBPUSD","FG_PRICE("&amp;B1528&amp;")")</f>
        <v>#NAME?</v>
      </c>
      <c r="E1528" t="e">
        <f ca="1">_xll.FDSB("JPYUSD","FG_PRICE("&amp;B1528&amp;")")</f>
        <v>#NAME?</v>
      </c>
    </row>
    <row r="1529" spans="2:5">
      <c r="B1529" s="244">
        <f t="shared" si="65"/>
        <v>44992</v>
      </c>
      <c r="C1529" s="245" t="e">
        <f ca="1">_xll.FDS("EURUSD","FG_PRICE("&amp;B1529&amp;")")</f>
        <v>#NAME?</v>
      </c>
      <c r="D1529" t="e">
        <f ca="1">_xll.FDS("GBPUSD","FG_PRICE("&amp;B1529&amp;")")</f>
        <v>#NAME?</v>
      </c>
      <c r="E1529" t="e">
        <f ca="1">_xll.FDSB("JPYUSD","FG_PRICE("&amp;B1529&amp;")")</f>
        <v>#NAME?</v>
      </c>
    </row>
    <row r="1530" spans="2:5">
      <c r="B1530" s="244">
        <f t="shared" si="65"/>
        <v>44993</v>
      </c>
      <c r="C1530" s="245" t="e">
        <f ca="1">_xll.FDS("EURUSD","FG_PRICE("&amp;B1530&amp;")")</f>
        <v>#NAME?</v>
      </c>
      <c r="D1530" t="e">
        <f ca="1">_xll.FDS("GBPUSD","FG_PRICE("&amp;B1530&amp;")")</f>
        <v>#NAME?</v>
      </c>
      <c r="E1530" t="e">
        <f ca="1">_xll.FDSB("JPYUSD","FG_PRICE("&amp;B1530&amp;")")</f>
        <v>#NAME?</v>
      </c>
    </row>
    <row r="1531" spans="2:5">
      <c r="B1531" s="244">
        <f t="shared" si="65"/>
        <v>44994</v>
      </c>
      <c r="C1531" s="245" t="e">
        <f ca="1">_xll.FDS("EURUSD","FG_PRICE("&amp;B1531&amp;")")</f>
        <v>#NAME?</v>
      </c>
      <c r="D1531" t="e">
        <f ca="1">_xll.FDS("GBPUSD","FG_PRICE("&amp;B1531&amp;")")</f>
        <v>#NAME?</v>
      </c>
      <c r="E1531" t="e">
        <f ca="1">_xll.FDSB("JPYUSD","FG_PRICE("&amp;B1531&amp;")")</f>
        <v>#NAME?</v>
      </c>
    </row>
    <row r="1532" spans="2:5">
      <c r="B1532" s="244">
        <f t="shared" si="65"/>
        <v>44995</v>
      </c>
      <c r="C1532" s="245" t="e">
        <f ca="1">_xll.FDS("EURUSD","FG_PRICE("&amp;B1532&amp;")")</f>
        <v>#NAME?</v>
      </c>
      <c r="D1532" t="e">
        <f ca="1">_xll.FDS("GBPUSD","FG_PRICE("&amp;B1532&amp;")")</f>
        <v>#NAME?</v>
      </c>
      <c r="E1532" t="e">
        <f ca="1">_xll.FDSB("JPYUSD","FG_PRICE("&amp;B1532&amp;")")</f>
        <v>#NAME?</v>
      </c>
    </row>
    <row r="1533" spans="2:5">
      <c r="B1533" s="244">
        <f t="shared" si="65"/>
        <v>44996</v>
      </c>
      <c r="C1533" s="245" t="e">
        <f ca="1">_xll.FDS("EURUSD","FG_PRICE("&amp;B1533&amp;")")</f>
        <v>#NAME?</v>
      </c>
      <c r="D1533" t="e">
        <f ca="1">_xll.FDS("GBPUSD","FG_PRICE("&amp;B1533&amp;")")</f>
        <v>#NAME?</v>
      </c>
      <c r="E1533" t="e">
        <f ca="1">_xll.FDSB("JPYUSD","FG_PRICE("&amp;B1533&amp;")")</f>
        <v>#NAME?</v>
      </c>
    </row>
    <row r="1534" spans="2:5">
      <c r="B1534" s="244">
        <f t="shared" si="65"/>
        <v>44997</v>
      </c>
      <c r="C1534" s="245" t="e">
        <f ca="1">_xll.FDS("EURUSD","FG_PRICE("&amp;B1534&amp;")")</f>
        <v>#NAME?</v>
      </c>
      <c r="D1534" t="e">
        <f ca="1">_xll.FDS("GBPUSD","FG_PRICE("&amp;B1534&amp;")")</f>
        <v>#NAME?</v>
      </c>
      <c r="E1534" t="e">
        <f ca="1">_xll.FDSB("JPYUSD","FG_PRICE("&amp;B1534&amp;")")</f>
        <v>#NAME?</v>
      </c>
    </row>
    <row r="1535" spans="2:5">
      <c r="B1535" s="244">
        <f t="shared" si="65"/>
        <v>44998</v>
      </c>
      <c r="C1535" s="245" t="e">
        <f ca="1">_xll.FDS("EURUSD","FG_PRICE("&amp;B1535&amp;")")</f>
        <v>#NAME?</v>
      </c>
      <c r="D1535" t="e">
        <f ca="1">_xll.FDS("GBPUSD","FG_PRICE("&amp;B1535&amp;")")</f>
        <v>#NAME?</v>
      </c>
      <c r="E1535" t="e">
        <f ca="1">_xll.FDSB("JPYUSD","FG_PRICE("&amp;B1535&amp;")")</f>
        <v>#NAME?</v>
      </c>
    </row>
    <row r="1536" spans="2:5">
      <c r="B1536" s="244">
        <f t="shared" si="65"/>
        <v>44999</v>
      </c>
      <c r="C1536" s="245" t="e">
        <f ca="1">_xll.FDS("EURUSD","FG_PRICE("&amp;B1536&amp;")")</f>
        <v>#NAME?</v>
      </c>
      <c r="D1536" t="e">
        <f ca="1">_xll.FDS("GBPUSD","FG_PRICE("&amp;B1536&amp;")")</f>
        <v>#NAME?</v>
      </c>
      <c r="E1536" t="e">
        <f ca="1">_xll.FDSB("JPYUSD","FG_PRICE("&amp;B1536&amp;")")</f>
        <v>#NAME?</v>
      </c>
    </row>
    <row r="1537" spans="2:5">
      <c r="B1537" s="244">
        <f t="shared" si="65"/>
        <v>45000</v>
      </c>
      <c r="C1537" s="245" t="e">
        <f ca="1">_xll.FDS("EURUSD","FG_PRICE("&amp;B1537&amp;")")</f>
        <v>#NAME?</v>
      </c>
      <c r="D1537" t="e">
        <f ca="1">_xll.FDS("GBPUSD","FG_PRICE("&amp;B1537&amp;")")</f>
        <v>#NAME?</v>
      </c>
      <c r="E1537" t="e">
        <f ca="1">_xll.FDSB("JPYUSD","FG_PRICE("&amp;B1537&amp;")")</f>
        <v>#NAME?</v>
      </c>
    </row>
    <row r="1538" spans="2:5">
      <c r="B1538" s="244">
        <f t="shared" si="65"/>
        <v>45001</v>
      </c>
      <c r="C1538" s="245" t="e">
        <f ca="1">_xll.FDS("EURUSD","FG_PRICE("&amp;B1538&amp;")")</f>
        <v>#NAME?</v>
      </c>
      <c r="D1538" t="e">
        <f ca="1">_xll.FDS("GBPUSD","FG_PRICE("&amp;B1538&amp;")")</f>
        <v>#NAME?</v>
      </c>
      <c r="E1538" t="e">
        <f ca="1">_xll.FDSB("JPYUSD","FG_PRICE("&amp;B1538&amp;")")</f>
        <v>#NAME?</v>
      </c>
    </row>
    <row r="1539" spans="2:5">
      <c r="B1539" s="244">
        <f t="shared" si="65"/>
        <v>45002</v>
      </c>
      <c r="C1539" s="245" t="e">
        <f ca="1">_xll.FDS("EURUSD","FG_PRICE("&amp;B1539&amp;")")</f>
        <v>#NAME?</v>
      </c>
      <c r="D1539" t="e">
        <f ca="1">_xll.FDS("GBPUSD","FG_PRICE("&amp;B1539&amp;")")</f>
        <v>#NAME?</v>
      </c>
      <c r="E1539" t="e">
        <f ca="1">_xll.FDSB("JPYUSD","FG_PRICE("&amp;B1539&amp;")")</f>
        <v>#NAME?</v>
      </c>
    </row>
    <row r="1540" spans="2:5">
      <c r="B1540" s="244">
        <f t="shared" si="65"/>
        <v>45003</v>
      </c>
      <c r="C1540" s="245" t="e">
        <f ca="1">_xll.FDS("EURUSD","FG_PRICE("&amp;B1540&amp;")")</f>
        <v>#NAME?</v>
      </c>
      <c r="D1540" t="e">
        <f ca="1">_xll.FDS("GBPUSD","FG_PRICE("&amp;B1540&amp;")")</f>
        <v>#NAME?</v>
      </c>
      <c r="E1540" t="e">
        <f ca="1">_xll.FDSB("JPYUSD","FG_PRICE("&amp;B1540&amp;")")</f>
        <v>#NAME?</v>
      </c>
    </row>
    <row r="1541" spans="2:5">
      <c r="B1541" s="244">
        <f t="shared" ref="B1541:B1604" si="66">B1540+1</f>
        <v>45004</v>
      </c>
      <c r="C1541" s="245" t="e">
        <f ca="1">_xll.FDS("EURUSD","FG_PRICE("&amp;B1541&amp;")")</f>
        <v>#NAME?</v>
      </c>
      <c r="D1541" t="e">
        <f ca="1">_xll.FDS("GBPUSD","FG_PRICE("&amp;B1541&amp;")")</f>
        <v>#NAME?</v>
      </c>
      <c r="E1541" t="e">
        <f ca="1">_xll.FDSB("JPYUSD","FG_PRICE("&amp;B1541&amp;")")</f>
        <v>#NAME?</v>
      </c>
    </row>
    <row r="1542" spans="2:5">
      <c r="B1542" s="244">
        <f t="shared" si="66"/>
        <v>45005</v>
      </c>
      <c r="C1542" s="245" t="e">
        <f ca="1">_xll.FDS("EURUSD","FG_PRICE("&amp;B1542&amp;")")</f>
        <v>#NAME?</v>
      </c>
      <c r="D1542" t="e">
        <f ca="1">_xll.FDS("GBPUSD","FG_PRICE("&amp;B1542&amp;")")</f>
        <v>#NAME?</v>
      </c>
      <c r="E1542" t="e">
        <f ca="1">_xll.FDSB("JPYUSD","FG_PRICE("&amp;B1542&amp;")")</f>
        <v>#NAME?</v>
      </c>
    </row>
    <row r="1543" spans="2:5">
      <c r="B1543" s="244">
        <f t="shared" si="66"/>
        <v>45006</v>
      </c>
      <c r="C1543" s="245" t="e">
        <f ca="1">_xll.FDS("EURUSD","FG_PRICE("&amp;B1543&amp;")")</f>
        <v>#NAME?</v>
      </c>
      <c r="D1543" t="e">
        <f ca="1">_xll.FDS("GBPUSD","FG_PRICE("&amp;B1543&amp;")")</f>
        <v>#NAME?</v>
      </c>
      <c r="E1543" t="e">
        <f ca="1">_xll.FDSB("JPYUSD","FG_PRICE("&amp;B1543&amp;")")</f>
        <v>#NAME?</v>
      </c>
    </row>
    <row r="1544" spans="2:5">
      <c r="B1544" s="244">
        <f t="shared" si="66"/>
        <v>45007</v>
      </c>
      <c r="C1544" s="245" t="e">
        <f ca="1">_xll.FDS("EURUSD","FG_PRICE("&amp;B1544&amp;")")</f>
        <v>#NAME?</v>
      </c>
      <c r="D1544" t="e">
        <f ca="1">_xll.FDS("GBPUSD","FG_PRICE("&amp;B1544&amp;")")</f>
        <v>#NAME?</v>
      </c>
      <c r="E1544" t="e">
        <f ca="1">_xll.FDSB("JPYUSD","FG_PRICE("&amp;B1544&amp;")")</f>
        <v>#NAME?</v>
      </c>
    </row>
    <row r="1545" spans="2:5">
      <c r="B1545" s="244">
        <f t="shared" si="66"/>
        <v>45008</v>
      </c>
      <c r="C1545" s="245" t="e">
        <f ca="1">_xll.FDS("EURUSD","FG_PRICE("&amp;B1545&amp;")")</f>
        <v>#NAME?</v>
      </c>
      <c r="D1545" t="e">
        <f ca="1">_xll.FDS("GBPUSD","FG_PRICE("&amp;B1545&amp;")")</f>
        <v>#NAME?</v>
      </c>
      <c r="E1545" t="e">
        <f ca="1">_xll.FDSB("JPYUSD","FG_PRICE("&amp;B1545&amp;")")</f>
        <v>#NAME?</v>
      </c>
    </row>
    <row r="1546" spans="2:5">
      <c r="B1546" s="244">
        <f t="shared" si="66"/>
        <v>45009</v>
      </c>
      <c r="C1546" s="245" t="e">
        <f ca="1">_xll.FDS("EURUSD","FG_PRICE("&amp;B1546&amp;")")</f>
        <v>#NAME?</v>
      </c>
      <c r="D1546" t="e">
        <f ca="1">_xll.FDS("GBPUSD","FG_PRICE("&amp;B1546&amp;")")</f>
        <v>#NAME?</v>
      </c>
      <c r="E1546" t="e">
        <f ca="1">_xll.FDSB("JPYUSD","FG_PRICE("&amp;B1546&amp;")")</f>
        <v>#NAME?</v>
      </c>
    </row>
    <row r="1547" spans="2:5">
      <c r="B1547" s="244">
        <f t="shared" si="66"/>
        <v>45010</v>
      </c>
      <c r="C1547" s="245" t="e">
        <f ca="1">_xll.FDS("EURUSD","FG_PRICE("&amp;B1547&amp;")")</f>
        <v>#NAME?</v>
      </c>
      <c r="D1547" t="e">
        <f ca="1">_xll.FDS("GBPUSD","FG_PRICE("&amp;B1547&amp;")")</f>
        <v>#NAME?</v>
      </c>
      <c r="E1547" t="e">
        <f ca="1">_xll.FDSB("JPYUSD","FG_PRICE("&amp;B1547&amp;")")</f>
        <v>#NAME?</v>
      </c>
    </row>
    <row r="1548" spans="2:5">
      <c r="B1548" s="244">
        <f t="shared" si="66"/>
        <v>45011</v>
      </c>
      <c r="C1548" s="245" t="e">
        <f ca="1">_xll.FDS("EURUSD","FG_PRICE("&amp;B1548&amp;")")</f>
        <v>#NAME?</v>
      </c>
      <c r="D1548" t="e">
        <f ca="1">_xll.FDS("GBPUSD","FG_PRICE("&amp;B1548&amp;")")</f>
        <v>#NAME?</v>
      </c>
      <c r="E1548" t="e">
        <f ca="1">_xll.FDSB("JPYUSD","FG_PRICE("&amp;B1548&amp;")")</f>
        <v>#NAME?</v>
      </c>
    </row>
    <row r="1549" spans="2:5">
      <c r="B1549" s="244">
        <f t="shared" si="66"/>
        <v>45012</v>
      </c>
      <c r="C1549" s="245" t="e">
        <f ca="1">_xll.FDS("EURUSD","FG_PRICE("&amp;B1549&amp;")")</f>
        <v>#NAME?</v>
      </c>
      <c r="D1549" t="e">
        <f ca="1">_xll.FDS("GBPUSD","FG_PRICE("&amp;B1549&amp;")")</f>
        <v>#NAME?</v>
      </c>
      <c r="E1549" t="e">
        <f ca="1">_xll.FDSB("JPYUSD","FG_PRICE("&amp;B1549&amp;")")</f>
        <v>#NAME?</v>
      </c>
    </row>
    <row r="1550" spans="2:5">
      <c r="B1550" s="244">
        <f t="shared" si="66"/>
        <v>45013</v>
      </c>
      <c r="C1550" s="245" t="e">
        <f ca="1">_xll.FDS("EURUSD","FG_PRICE("&amp;B1550&amp;")")</f>
        <v>#NAME?</v>
      </c>
      <c r="D1550" t="e">
        <f ca="1">_xll.FDS("GBPUSD","FG_PRICE("&amp;B1550&amp;")")</f>
        <v>#NAME?</v>
      </c>
      <c r="E1550" t="e">
        <f ca="1">_xll.FDSB("JPYUSD","FG_PRICE("&amp;B1550&amp;")")</f>
        <v>#NAME?</v>
      </c>
    </row>
    <row r="1551" spans="2:5">
      <c r="B1551" s="244">
        <f t="shared" si="66"/>
        <v>45014</v>
      </c>
      <c r="C1551" s="245" t="e">
        <f ca="1">_xll.FDS("EURUSD","FG_PRICE("&amp;B1551&amp;")")</f>
        <v>#NAME?</v>
      </c>
      <c r="D1551" t="e">
        <f ca="1">_xll.FDS("GBPUSD","FG_PRICE("&amp;B1551&amp;")")</f>
        <v>#NAME?</v>
      </c>
      <c r="E1551" t="e">
        <f ca="1">_xll.FDSB("JPYUSD","FG_PRICE("&amp;B1551&amp;")")</f>
        <v>#NAME?</v>
      </c>
    </row>
    <row r="1552" spans="2:5">
      <c r="B1552" s="244">
        <f t="shared" si="66"/>
        <v>45015</v>
      </c>
      <c r="C1552" s="245" t="e">
        <f ca="1">_xll.FDS("EURUSD","FG_PRICE("&amp;B1552&amp;")")</f>
        <v>#NAME?</v>
      </c>
      <c r="D1552" t="e">
        <f ca="1">_xll.FDS("GBPUSD","FG_PRICE("&amp;B1552&amp;")")</f>
        <v>#NAME?</v>
      </c>
      <c r="E1552" t="e">
        <f ca="1">_xll.FDSB("JPYUSD","FG_PRICE("&amp;B1552&amp;")")</f>
        <v>#NAME?</v>
      </c>
    </row>
    <row r="1553" spans="2:5">
      <c r="B1553" s="244">
        <f t="shared" si="66"/>
        <v>45016</v>
      </c>
      <c r="C1553" s="245" t="e">
        <f ca="1">_xll.FDS("EURUSD","FG_PRICE("&amp;B1553&amp;")")</f>
        <v>#NAME?</v>
      </c>
      <c r="D1553" t="e">
        <f ca="1">_xll.FDS("GBPUSD","FG_PRICE("&amp;B1553&amp;")")</f>
        <v>#NAME?</v>
      </c>
      <c r="E1553" t="e">
        <f ca="1">_xll.FDSB("JPYUSD","FG_PRICE("&amp;B1553&amp;")")</f>
        <v>#NAME?</v>
      </c>
    </row>
    <row r="1554" spans="2:5">
      <c r="B1554" s="244">
        <f t="shared" si="66"/>
        <v>45017</v>
      </c>
      <c r="C1554" s="245" t="e">
        <f ca="1">_xll.FDS("EURUSD","FG_PRICE("&amp;B1554&amp;")")</f>
        <v>#NAME?</v>
      </c>
      <c r="D1554" t="e">
        <f ca="1">_xll.FDS("GBPUSD","FG_PRICE("&amp;B1554&amp;")")</f>
        <v>#NAME?</v>
      </c>
      <c r="E1554" t="e">
        <f ca="1">_xll.FDSB("JPYUSD","FG_PRICE("&amp;B1554&amp;")")</f>
        <v>#NAME?</v>
      </c>
    </row>
    <row r="1555" spans="2:5">
      <c r="B1555" s="244">
        <f t="shared" si="66"/>
        <v>45018</v>
      </c>
      <c r="C1555" s="245" t="e">
        <f ca="1">_xll.FDS("EURUSD","FG_PRICE("&amp;B1555&amp;")")</f>
        <v>#NAME?</v>
      </c>
      <c r="D1555" t="e">
        <f ca="1">_xll.FDS("GBPUSD","FG_PRICE("&amp;B1555&amp;")")</f>
        <v>#NAME?</v>
      </c>
      <c r="E1555" t="e">
        <f ca="1">_xll.FDSB("JPYUSD","FG_PRICE("&amp;B1555&amp;")")</f>
        <v>#NAME?</v>
      </c>
    </row>
    <row r="1556" spans="2:5">
      <c r="B1556" s="244">
        <f t="shared" si="66"/>
        <v>45019</v>
      </c>
      <c r="C1556" s="245" t="e">
        <f ca="1">_xll.FDS("EURUSD","FG_PRICE("&amp;B1556&amp;")")</f>
        <v>#NAME?</v>
      </c>
      <c r="D1556" t="e">
        <f ca="1">_xll.FDS("GBPUSD","FG_PRICE("&amp;B1556&amp;")")</f>
        <v>#NAME?</v>
      </c>
      <c r="E1556" t="e">
        <f ca="1">_xll.FDSB("JPYUSD","FG_PRICE("&amp;B1556&amp;")")</f>
        <v>#NAME?</v>
      </c>
    </row>
    <row r="1557" spans="2:5">
      <c r="B1557" s="244">
        <f t="shared" si="66"/>
        <v>45020</v>
      </c>
      <c r="C1557" s="245" t="e">
        <f ca="1">_xll.FDS("EURUSD","FG_PRICE("&amp;B1557&amp;")")</f>
        <v>#NAME?</v>
      </c>
      <c r="D1557" t="e">
        <f ca="1">_xll.FDS("GBPUSD","FG_PRICE("&amp;B1557&amp;")")</f>
        <v>#NAME?</v>
      </c>
      <c r="E1557" t="e">
        <f ca="1">_xll.FDSB("JPYUSD","FG_PRICE("&amp;B1557&amp;")")</f>
        <v>#NAME?</v>
      </c>
    </row>
    <row r="1558" spans="2:5">
      <c r="B1558" s="244">
        <f t="shared" si="66"/>
        <v>45021</v>
      </c>
      <c r="C1558" s="245" t="e">
        <f ca="1">_xll.FDS("EURUSD","FG_PRICE("&amp;B1558&amp;")")</f>
        <v>#NAME?</v>
      </c>
      <c r="D1558" t="e">
        <f ca="1">_xll.FDS("GBPUSD","FG_PRICE("&amp;B1558&amp;")")</f>
        <v>#NAME?</v>
      </c>
      <c r="E1558" t="e">
        <f ca="1">_xll.FDSB("JPYUSD","FG_PRICE("&amp;B1558&amp;")")</f>
        <v>#NAME?</v>
      </c>
    </row>
    <row r="1559" spans="2:5">
      <c r="B1559" s="244">
        <f t="shared" si="66"/>
        <v>45022</v>
      </c>
      <c r="C1559" s="245" t="e">
        <f ca="1">_xll.FDS("EURUSD","FG_PRICE("&amp;B1559&amp;")")</f>
        <v>#NAME?</v>
      </c>
      <c r="D1559" t="e">
        <f ca="1">_xll.FDS("GBPUSD","FG_PRICE("&amp;B1559&amp;")")</f>
        <v>#NAME?</v>
      </c>
      <c r="E1559" t="e">
        <f ca="1">_xll.FDSB("JPYUSD","FG_PRICE("&amp;B1559&amp;")")</f>
        <v>#NAME?</v>
      </c>
    </row>
    <row r="1560" spans="2:5">
      <c r="B1560" s="244">
        <f t="shared" si="66"/>
        <v>45023</v>
      </c>
      <c r="C1560" s="245" t="e">
        <f ca="1">_xll.FDS("EURUSD","FG_PRICE("&amp;B1560&amp;")")</f>
        <v>#NAME?</v>
      </c>
      <c r="D1560" t="e">
        <f ca="1">_xll.FDS("GBPUSD","FG_PRICE("&amp;B1560&amp;")")</f>
        <v>#NAME?</v>
      </c>
      <c r="E1560" t="e">
        <f ca="1">_xll.FDSB("JPYUSD","FG_PRICE("&amp;B1560&amp;")")</f>
        <v>#NAME?</v>
      </c>
    </row>
    <row r="1561" spans="2:5">
      <c r="B1561" s="244">
        <f t="shared" si="66"/>
        <v>45024</v>
      </c>
      <c r="C1561" s="245" t="e">
        <f ca="1">_xll.FDS("EURUSD","FG_PRICE("&amp;B1561&amp;")")</f>
        <v>#NAME?</v>
      </c>
      <c r="D1561" t="e">
        <f ca="1">_xll.FDS("GBPUSD","FG_PRICE("&amp;B1561&amp;")")</f>
        <v>#NAME?</v>
      </c>
      <c r="E1561" t="e">
        <f ca="1">_xll.FDSB("JPYUSD","FG_PRICE("&amp;B1561&amp;")")</f>
        <v>#NAME?</v>
      </c>
    </row>
    <row r="1562" spans="2:5">
      <c r="B1562" s="244">
        <f t="shared" si="66"/>
        <v>45025</v>
      </c>
      <c r="C1562" s="245" t="e">
        <f ca="1">_xll.FDS("EURUSD","FG_PRICE("&amp;B1562&amp;")")</f>
        <v>#NAME?</v>
      </c>
      <c r="D1562" t="e">
        <f ca="1">_xll.FDS("GBPUSD","FG_PRICE("&amp;B1562&amp;")")</f>
        <v>#NAME?</v>
      </c>
      <c r="E1562" t="e">
        <f ca="1">_xll.FDSB("JPYUSD","FG_PRICE("&amp;B1562&amp;")")</f>
        <v>#NAME?</v>
      </c>
    </row>
    <row r="1563" spans="2:5">
      <c r="B1563" s="244">
        <f t="shared" si="66"/>
        <v>45026</v>
      </c>
      <c r="C1563" s="245" t="e">
        <f ca="1">_xll.FDS("EURUSD","FG_PRICE("&amp;B1563&amp;")")</f>
        <v>#NAME?</v>
      </c>
      <c r="D1563" t="e">
        <f ca="1">_xll.FDS("GBPUSD","FG_PRICE("&amp;B1563&amp;")")</f>
        <v>#NAME?</v>
      </c>
      <c r="E1563" t="e">
        <f ca="1">_xll.FDSB("JPYUSD","FG_PRICE("&amp;B1563&amp;")")</f>
        <v>#NAME?</v>
      </c>
    </row>
    <row r="1564" spans="2:5">
      <c r="B1564" s="244">
        <f t="shared" si="66"/>
        <v>45027</v>
      </c>
      <c r="C1564" s="245" t="e">
        <f ca="1">_xll.FDS("EURUSD","FG_PRICE("&amp;B1564&amp;")")</f>
        <v>#NAME?</v>
      </c>
      <c r="D1564" t="e">
        <f ca="1">_xll.FDS("GBPUSD","FG_PRICE("&amp;B1564&amp;")")</f>
        <v>#NAME?</v>
      </c>
      <c r="E1564" t="e">
        <f ca="1">_xll.FDSB("JPYUSD","FG_PRICE("&amp;B1564&amp;")")</f>
        <v>#NAME?</v>
      </c>
    </row>
    <row r="1565" spans="2:5">
      <c r="B1565" s="244">
        <f t="shared" si="66"/>
        <v>45028</v>
      </c>
      <c r="C1565" s="245" t="e">
        <f ca="1">_xll.FDS("EURUSD","FG_PRICE("&amp;B1565&amp;")")</f>
        <v>#NAME?</v>
      </c>
      <c r="D1565" t="e">
        <f ca="1">_xll.FDS("GBPUSD","FG_PRICE("&amp;B1565&amp;")")</f>
        <v>#NAME?</v>
      </c>
      <c r="E1565" t="e">
        <f ca="1">_xll.FDSB("JPYUSD","FG_PRICE("&amp;B1565&amp;")")</f>
        <v>#NAME?</v>
      </c>
    </row>
    <row r="1566" spans="2:5">
      <c r="B1566" s="244">
        <f t="shared" si="66"/>
        <v>45029</v>
      </c>
      <c r="C1566" s="245" t="e">
        <f ca="1">_xll.FDS("EURUSD","FG_PRICE("&amp;B1566&amp;")")</f>
        <v>#NAME?</v>
      </c>
      <c r="D1566" t="e">
        <f ca="1">_xll.FDS("GBPUSD","FG_PRICE("&amp;B1566&amp;")")</f>
        <v>#NAME?</v>
      </c>
      <c r="E1566" t="e">
        <f ca="1">_xll.FDSB("JPYUSD","FG_PRICE("&amp;B1566&amp;")")</f>
        <v>#NAME?</v>
      </c>
    </row>
    <row r="1567" spans="2:5">
      <c r="B1567" s="244">
        <f t="shared" si="66"/>
        <v>45030</v>
      </c>
      <c r="C1567" s="245" t="e">
        <f ca="1">_xll.FDS("EURUSD","FG_PRICE("&amp;B1567&amp;")")</f>
        <v>#NAME?</v>
      </c>
      <c r="D1567" t="e">
        <f ca="1">_xll.FDS("GBPUSD","FG_PRICE("&amp;B1567&amp;")")</f>
        <v>#NAME?</v>
      </c>
      <c r="E1567" t="e">
        <f ca="1">_xll.FDSB("JPYUSD","FG_PRICE("&amp;B1567&amp;")")</f>
        <v>#NAME?</v>
      </c>
    </row>
    <row r="1568" spans="2:5">
      <c r="B1568" s="244">
        <f t="shared" si="66"/>
        <v>45031</v>
      </c>
      <c r="C1568" s="245" t="e">
        <f ca="1">_xll.FDS("EURUSD","FG_PRICE("&amp;B1568&amp;")")</f>
        <v>#NAME?</v>
      </c>
      <c r="D1568" t="e">
        <f ca="1">_xll.FDS("GBPUSD","FG_PRICE("&amp;B1568&amp;")")</f>
        <v>#NAME?</v>
      </c>
      <c r="E1568" t="e">
        <f ca="1">_xll.FDSB("JPYUSD","FG_PRICE("&amp;B1568&amp;")")</f>
        <v>#NAME?</v>
      </c>
    </row>
    <row r="1569" spans="2:5">
      <c r="B1569" s="244">
        <f t="shared" si="66"/>
        <v>45032</v>
      </c>
      <c r="C1569" s="245" t="e">
        <f ca="1">_xll.FDS("EURUSD","FG_PRICE("&amp;B1569&amp;")")</f>
        <v>#NAME?</v>
      </c>
      <c r="D1569" t="e">
        <f ca="1">_xll.FDS("GBPUSD","FG_PRICE("&amp;B1569&amp;")")</f>
        <v>#NAME?</v>
      </c>
      <c r="E1569" t="e">
        <f ca="1">_xll.FDSB("JPYUSD","FG_PRICE("&amp;B1569&amp;")")</f>
        <v>#NAME?</v>
      </c>
    </row>
    <row r="1570" spans="2:5">
      <c r="B1570" s="244">
        <f t="shared" si="66"/>
        <v>45033</v>
      </c>
      <c r="C1570" s="245" t="e">
        <f ca="1">_xll.FDS("EURUSD","FG_PRICE("&amp;B1570&amp;")")</f>
        <v>#NAME?</v>
      </c>
      <c r="D1570" t="e">
        <f ca="1">_xll.FDS("GBPUSD","FG_PRICE("&amp;B1570&amp;")")</f>
        <v>#NAME?</v>
      </c>
      <c r="E1570" t="e">
        <f ca="1">_xll.FDSB("JPYUSD","FG_PRICE("&amp;B1570&amp;")")</f>
        <v>#NAME?</v>
      </c>
    </row>
    <row r="1571" spans="2:5">
      <c r="B1571" s="244">
        <f t="shared" si="66"/>
        <v>45034</v>
      </c>
      <c r="C1571" s="245" t="e">
        <f ca="1">_xll.FDS("EURUSD","FG_PRICE("&amp;B1571&amp;")")</f>
        <v>#NAME?</v>
      </c>
      <c r="D1571" t="e">
        <f ca="1">_xll.FDS("GBPUSD","FG_PRICE("&amp;B1571&amp;")")</f>
        <v>#NAME?</v>
      </c>
      <c r="E1571" t="e">
        <f ca="1">_xll.FDSB("JPYUSD","FG_PRICE("&amp;B1571&amp;")")</f>
        <v>#NAME?</v>
      </c>
    </row>
    <row r="1572" spans="2:5">
      <c r="B1572" s="244">
        <f t="shared" si="66"/>
        <v>45035</v>
      </c>
      <c r="C1572" s="245" t="e">
        <f ca="1">_xll.FDS("EURUSD","FG_PRICE("&amp;B1572&amp;")")</f>
        <v>#NAME?</v>
      </c>
      <c r="D1572" t="e">
        <f ca="1">_xll.FDS("GBPUSD","FG_PRICE("&amp;B1572&amp;")")</f>
        <v>#NAME?</v>
      </c>
      <c r="E1572" t="e">
        <f ca="1">_xll.FDSB("JPYUSD","FG_PRICE("&amp;B1572&amp;")")</f>
        <v>#NAME?</v>
      </c>
    </row>
    <row r="1573" spans="2:5">
      <c r="B1573" s="244">
        <f t="shared" si="66"/>
        <v>45036</v>
      </c>
      <c r="C1573" s="245" t="e">
        <f ca="1">_xll.FDS("EURUSD","FG_PRICE("&amp;B1573&amp;")")</f>
        <v>#NAME?</v>
      </c>
      <c r="D1573" t="e">
        <f ca="1">_xll.FDS("GBPUSD","FG_PRICE("&amp;B1573&amp;")")</f>
        <v>#NAME?</v>
      </c>
      <c r="E1573" t="e">
        <f ca="1">_xll.FDSB("JPYUSD","FG_PRICE("&amp;B1573&amp;")")</f>
        <v>#NAME?</v>
      </c>
    </row>
    <row r="1574" spans="2:5">
      <c r="B1574" s="244">
        <f t="shared" si="66"/>
        <v>45037</v>
      </c>
      <c r="C1574" s="245" t="e">
        <f ca="1">_xll.FDS("EURUSD","FG_PRICE("&amp;B1574&amp;")")</f>
        <v>#NAME?</v>
      </c>
      <c r="D1574" t="e">
        <f ca="1">_xll.FDS("GBPUSD","FG_PRICE("&amp;B1574&amp;")")</f>
        <v>#NAME?</v>
      </c>
      <c r="E1574" t="e">
        <f ca="1">_xll.FDSB("JPYUSD","FG_PRICE("&amp;B1574&amp;")")</f>
        <v>#NAME?</v>
      </c>
    </row>
    <row r="1575" spans="2:5">
      <c r="B1575" s="244">
        <f t="shared" si="66"/>
        <v>45038</v>
      </c>
      <c r="C1575" s="245" t="e">
        <f ca="1">_xll.FDS("EURUSD","FG_PRICE("&amp;B1575&amp;")")</f>
        <v>#NAME?</v>
      </c>
      <c r="D1575" t="e">
        <f ca="1">_xll.FDS("GBPUSD","FG_PRICE("&amp;B1575&amp;")")</f>
        <v>#NAME?</v>
      </c>
      <c r="E1575" t="e">
        <f ca="1">_xll.FDSB("JPYUSD","FG_PRICE("&amp;B1575&amp;")")</f>
        <v>#NAME?</v>
      </c>
    </row>
    <row r="1576" spans="2:5">
      <c r="B1576" s="244">
        <f t="shared" si="66"/>
        <v>45039</v>
      </c>
      <c r="C1576" s="245" t="e">
        <f ca="1">_xll.FDS("EURUSD","FG_PRICE("&amp;B1576&amp;")")</f>
        <v>#NAME?</v>
      </c>
      <c r="D1576" t="e">
        <f ca="1">_xll.FDS("GBPUSD","FG_PRICE("&amp;B1576&amp;")")</f>
        <v>#NAME?</v>
      </c>
      <c r="E1576" t="e">
        <f ca="1">_xll.FDSB("JPYUSD","FG_PRICE("&amp;B1576&amp;")")</f>
        <v>#NAME?</v>
      </c>
    </row>
    <row r="1577" spans="2:5">
      <c r="B1577" s="244">
        <f t="shared" si="66"/>
        <v>45040</v>
      </c>
      <c r="C1577" s="245" t="e">
        <f ca="1">_xll.FDS("EURUSD","FG_PRICE("&amp;B1577&amp;")")</f>
        <v>#NAME?</v>
      </c>
      <c r="D1577" t="e">
        <f ca="1">_xll.FDS("GBPUSD","FG_PRICE("&amp;B1577&amp;")")</f>
        <v>#NAME?</v>
      </c>
      <c r="E1577" t="e">
        <f ca="1">_xll.FDSB("JPYUSD","FG_PRICE("&amp;B1577&amp;")")</f>
        <v>#NAME?</v>
      </c>
    </row>
    <row r="1578" spans="2:5">
      <c r="B1578" s="244">
        <f t="shared" si="66"/>
        <v>45041</v>
      </c>
      <c r="C1578" s="245" t="e">
        <f ca="1">_xll.FDS("EURUSD","FG_PRICE("&amp;B1578&amp;")")</f>
        <v>#NAME?</v>
      </c>
      <c r="D1578" t="e">
        <f ca="1">_xll.FDS("GBPUSD","FG_PRICE("&amp;B1578&amp;")")</f>
        <v>#NAME?</v>
      </c>
      <c r="E1578" t="e">
        <f ca="1">_xll.FDSB("JPYUSD","FG_PRICE("&amp;B1578&amp;")")</f>
        <v>#NAME?</v>
      </c>
    </row>
    <row r="1579" spans="2:5">
      <c r="B1579" s="244">
        <f t="shared" si="66"/>
        <v>45042</v>
      </c>
      <c r="C1579" s="245" t="e">
        <f ca="1">_xll.FDS("EURUSD","FG_PRICE("&amp;B1579&amp;")")</f>
        <v>#NAME?</v>
      </c>
      <c r="D1579" t="e">
        <f ca="1">_xll.FDS("GBPUSD","FG_PRICE("&amp;B1579&amp;")")</f>
        <v>#NAME?</v>
      </c>
      <c r="E1579" t="e">
        <f ca="1">_xll.FDSB("JPYUSD","FG_PRICE("&amp;B1579&amp;")")</f>
        <v>#NAME?</v>
      </c>
    </row>
    <row r="1580" spans="2:5">
      <c r="B1580" s="244">
        <f t="shared" si="66"/>
        <v>45043</v>
      </c>
      <c r="C1580" s="245" t="e">
        <f ca="1">_xll.FDS("EURUSD","FG_PRICE("&amp;B1580&amp;")")</f>
        <v>#NAME?</v>
      </c>
      <c r="D1580" t="e">
        <f ca="1">_xll.FDS("GBPUSD","FG_PRICE("&amp;B1580&amp;")")</f>
        <v>#NAME?</v>
      </c>
      <c r="E1580" t="e">
        <f ca="1">_xll.FDSB("JPYUSD","FG_PRICE("&amp;B1580&amp;")")</f>
        <v>#NAME?</v>
      </c>
    </row>
    <row r="1581" spans="2:5">
      <c r="B1581" s="244">
        <f t="shared" si="66"/>
        <v>45044</v>
      </c>
      <c r="C1581" s="245" t="e">
        <f ca="1">_xll.FDS("EURUSD","FG_PRICE("&amp;B1581&amp;")")</f>
        <v>#NAME?</v>
      </c>
      <c r="D1581" t="e">
        <f ca="1">_xll.FDS("GBPUSD","FG_PRICE("&amp;B1581&amp;")")</f>
        <v>#NAME?</v>
      </c>
      <c r="E1581" t="e">
        <f ca="1">_xll.FDSB("JPYUSD","FG_PRICE("&amp;B1581&amp;")")</f>
        <v>#NAME?</v>
      </c>
    </row>
    <row r="1582" spans="2:5">
      <c r="B1582" s="244">
        <f t="shared" si="66"/>
        <v>45045</v>
      </c>
      <c r="C1582" s="245" t="e">
        <f ca="1">_xll.FDS("EURUSD","FG_PRICE("&amp;B1582&amp;")")</f>
        <v>#NAME?</v>
      </c>
      <c r="D1582" t="e">
        <f ca="1">_xll.FDS("GBPUSD","FG_PRICE("&amp;B1582&amp;")")</f>
        <v>#NAME?</v>
      </c>
      <c r="E1582" t="e">
        <f ca="1">_xll.FDSB("JPYUSD","FG_PRICE("&amp;B1582&amp;")")</f>
        <v>#NAME?</v>
      </c>
    </row>
    <row r="1583" spans="2:5">
      <c r="B1583" s="244">
        <f t="shared" si="66"/>
        <v>45046</v>
      </c>
      <c r="C1583" s="245" t="e">
        <f ca="1">_xll.FDS("EURUSD","FG_PRICE("&amp;B1583&amp;")")</f>
        <v>#NAME?</v>
      </c>
      <c r="D1583" t="e">
        <f ca="1">_xll.FDS("GBPUSD","FG_PRICE("&amp;B1583&amp;")")</f>
        <v>#NAME?</v>
      </c>
      <c r="E1583" t="e">
        <f ca="1">_xll.FDSB("JPYUSD","FG_PRICE("&amp;B1583&amp;")")</f>
        <v>#NAME?</v>
      </c>
    </row>
    <row r="1584" spans="2:5">
      <c r="B1584" s="244">
        <f t="shared" si="66"/>
        <v>45047</v>
      </c>
      <c r="C1584" s="245" t="e">
        <f ca="1">_xll.FDS("EURUSD","FG_PRICE("&amp;B1584&amp;")")</f>
        <v>#NAME?</v>
      </c>
      <c r="D1584" t="e">
        <f ca="1">_xll.FDS("GBPUSD","FG_PRICE("&amp;B1584&amp;")")</f>
        <v>#NAME?</v>
      </c>
      <c r="E1584" t="e">
        <f ca="1">_xll.FDSB("JPYUSD","FG_PRICE("&amp;B1584&amp;")")</f>
        <v>#NAME?</v>
      </c>
    </row>
    <row r="1585" spans="2:5">
      <c r="B1585" s="244">
        <f t="shared" si="66"/>
        <v>45048</v>
      </c>
      <c r="C1585" s="245" t="e">
        <f ca="1">_xll.FDS("EURUSD","FG_PRICE("&amp;B1585&amp;")")</f>
        <v>#NAME?</v>
      </c>
      <c r="D1585" t="e">
        <f ca="1">_xll.FDS("GBPUSD","FG_PRICE("&amp;B1585&amp;")")</f>
        <v>#NAME?</v>
      </c>
      <c r="E1585" t="e">
        <f ca="1">_xll.FDSB("JPYUSD","FG_PRICE("&amp;B1585&amp;")")</f>
        <v>#NAME?</v>
      </c>
    </row>
    <row r="1586" spans="2:5">
      <c r="B1586" s="244">
        <f t="shared" si="66"/>
        <v>45049</v>
      </c>
      <c r="C1586" s="245" t="e">
        <f ca="1">_xll.FDS("EURUSD","FG_PRICE("&amp;B1586&amp;")")</f>
        <v>#NAME?</v>
      </c>
      <c r="D1586" t="e">
        <f ca="1">_xll.FDS("GBPUSD","FG_PRICE("&amp;B1586&amp;")")</f>
        <v>#NAME?</v>
      </c>
      <c r="E1586" t="e">
        <f ca="1">_xll.FDSB("JPYUSD","FG_PRICE("&amp;B1586&amp;")")</f>
        <v>#NAME?</v>
      </c>
    </row>
    <row r="1587" spans="2:5">
      <c r="B1587" s="244">
        <f t="shared" si="66"/>
        <v>45050</v>
      </c>
      <c r="C1587" s="245" t="e">
        <f ca="1">_xll.FDS("EURUSD","FG_PRICE("&amp;B1587&amp;")")</f>
        <v>#NAME?</v>
      </c>
      <c r="D1587" t="e">
        <f ca="1">_xll.FDS("GBPUSD","FG_PRICE("&amp;B1587&amp;")")</f>
        <v>#NAME?</v>
      </c>
      <c r="E1587" t="e">
        <f ca="1">_xll.FDSB("JPYUSD","FG_PRICE("&amp;B1587&amp;")")</f>
        <v>#NAME?</v>
      </c>
    </row>
    <row r="1588" spans="2:5">
      <c r="B1588" s="244">
        <f t="shared" si="66"/>
        <v>45051</v>
      </c>
      <c r="C1588" s="245" t="e">
        <f ca="1">_xll.FDS("EURUSD","FG_PRICE("&amp;B1588&amp;")")</f>
        <v>#NAME?</v>
      </c>
      <c r="D1588" t="e">
        <f ca="1">_xll.FDS("GBPUSD","FG_PRICE("&amp;B1588&amp;")")</f>
        <v>#NAME?</v>
      </c>
      <c r="E1588" t="e">
        <f ca="1">_xll.FDSB("JPYUSD","FG_PRICE("&amp;B1588&amp;")")</f>
        <v>#NAME?</v>
      </c>
    </row>
    <row r="1589" spans="2:5">
      <c r="B1589" s="244">
        <f t="shared" si="66"/>
        <v>45052</v>
      </c>
      <c r="C1589" s="245" t="e">
        <f ca="1">_xll.FDS("EURUSD","FG_PRICE("&amp;B1589&amp;")")</f>
        <v>#NAME?</v>
      </c>
      <c r="D1589" t="e">
        <f ca="1">_xll.FDS("GBPUSD","FG_PRICE("&amp;B1589&amp;")")</f>
        <v>#NAME?</v>
      </c>
      <c r="E1589" t="e">
        <f ca="1">_xll.FDSB("JPYUSD","FG_PRICE("&amp;B1589&amp;")")</f>
        <v>#NAME?</v>
      </c>
    </row>
    <row r="1590" spans="2:5">
      <c r="B1590" s="244">
        <f t="shared" si="66"/>
        <v>45053</v>
      </c>
      <c r="C1590" s="245" t="e">
        <f ca="1">_xll.FDS("EURUSD","FG_PRICE("&amp;B1590&amp;")")</f>
        <v>#NAME?</v>
      </c>
      <c r="D1590" t="e">
        <f ca="1">_xll.FDS("GBPUSD","FG_PRICE("&amp;B1590&amp;")")</f>
        <v>#NAME?</v>
      </c>
      <c r="E1590" t="e">
        <f ca="1">_xll.FDSB("JPYUSD","FG_PRICE("&amp;B1590&amp;")")</f>
        <v>#NAME?</v>
      </c>
    </row>
    <row r="1591" spans="2:5">
      <c r="B1591" s="244">
        <f t="shared" si="66"/>
        <v>45054</v>
      </c>
      <c r="C1591" s="245" t="e">
        <f ca="1">_xll.FDS("EURUSD","FG_PRICE("&amp;B1591&amp;")")</f>
        <v>#NAME?</v>
      </c>
      <c r="D1591" t="e">
        <f ca="1">_xll.FDS("GBPUSD","FG_PRICE("&amp;B1591&amp;")")</f>
        <v>#NAME?</v>
      </c>
      <c r="E1591" t="e">
        <f ca="1">_xll.FDSB("JPYUSD","FG_PRICE("&amp;B1591&amp;")")</f>
        <v>#NAME?</v>
      </c>
    </row>
    <row r="1592" spans="2:5">
      <c r="B1592" s="244">
        <f t="shared" si="66"/>
        <v>45055</v>
      </c>
      <c r="C1592" s="245" t="e">
        <f ca="1">_xll.FDS("EURUSD","FG_PRICE("&amp;B1592&amp;")")</f>
        <v>#NAME?</v>
      </c>
      <c r="D1592" t="e">
        <f ca="1">_xll.FDS("GBPUSD","FG_PRICE("&amp;B1592&amp;")")</f>
        <v>#NAME?</v>
      </c>
      <c r="E1592" t="e">
        <f ca="1">_xll.FDSB("JPYUSD","FG_PRICE("&amp;B1592&amp;")")</f>
        <v>#NAME?</v>
      </c>
    </row>
    <row r="1593" spans="2:5">
      <c r="B1593" s="244">
        <f t="shared" si="66"/>
        <v>45056</v>
      </c>
      <c r="C1593" s="245" t="e">
        <f ca="1">_xll.FDS("EURUSD","FG_PRICE("&amp;B1593&amp;")")</f>
        <v>#NAME?</v>
      </c>
      <c r="D1593" t="e">
        <f ca="1">_xll.FDS("GBPUSD","FG_PRICE("&amp;B1593&amp;")")</f>
        <v>#NAME?</v>
      </c>
      <c r="E1593" t="e">
        <f ca="1">_xll.FDSB("JPYUSD","FG_PRICE("&amp;B1593&amp;")")</f>
        <v>#NAME?</v>
      </c>
    </row>
    <row r="1594" spans="2:5">
      <c r="B1594" s="244">
        <f t="shared" si="66"/>
        <v>45057</v>
      </c>
      <c r="C1594" s="245" t="e">
        <f ca="1">_xll.FDS("EURUSD","FG_PRICE("&amp;B1594&amp;")")</f>
        <v>#NAME?</v>
      </c>
      <c r="D1594" t="e">
        <f ca="1">_xll.FDS("GBPUSD","FG_PRICE("&amp;B1594&amp;")")</f>
        <v>#NAME?</v>
      </c>
      <c r="E1594" t="e">
        <f ca="1">_xll.FDSB("JPYUSD","FG_PRICE("&amp;B1594&amp;")")</f>
        <v>#NAME?</v>
      </c>
    </row>
    <row r="1595" spans="2:5">
      <c r="B1595" s="244">
        <f t="shared" si="66"/>
        <v>45058</v>
      </c>
      <c r="C1595" s="245" t="e">
        <f ca="1">_xll.FDS("EURUSD","FG_PRICE("&amp;B1595&amp;")")</f>
        <v>#NAME?</v>
      </c>
      <c r="D1595" t="e">
        <f ca="1">_xll.FDS("GBPUSD","FG_PRICE("&amp;B1595&amp;")")</f>
        <v>#NAME?</v>
      </c>
      <c r="E1595" t="e">
        <f ca="1">_xll.FDSB("JPYUSD","FG_PRICE("&amp;B1595&amp;")")</f>
        <v>#NAME?</v>
      </c>
    </row>
    <row r="1596" spans="2:5">
      <c r="B1596" s="244">
        <f t="shared" si="66"/>
        <v>45059</v>
      </c>
      <c r="C1596" s="245" t="e">
        <f ca="1">_xll.FDS("EURUSD","FG_PRICE("&amp;B1596&amp;")")</f>
        <v>#NAME?</v>
      </c>
      <c r="D1596" t="e">
        <f ca="1">_xll.FDS("GBPUSD","FG_PRICE("&amp;B1596&amp;")")</f>
        <v>#NAME?</v>
      </c>
      <c r="E1596" t="e">
        <f ca="1">_xll.FDSB("JPYUSD","FG_PRICE("&amp;B1596&amp;")")</f>
        <v>#NAME?</v>
      </c>
    </row>
    <row r="1597" spans="2:5">
      <c r="B1597" s="244">
        <f t="shared" si="66"/>
        <v>45060</v>
      </c>
      <c r="C1597" s="245" t="e">
        <f ca="1">_xll.FDS("EURUSD","FG_PRICE("&amp;B1597&amp;")")</f>
        <v>#NAME?</v>
      </c>
      <c r="D1597" t="e">
        <f ca="1">_xll.FDS("GBPUSD","FG_PRICE("&amp;B1597&amp;")")</f>
        <v>#NAME?</v>
      </c>
      <c r="E1597" t="e">
        <f ca="1">_xll.FDSB("JPYUSD","FG_PRICE("&amp;B1597&amp;")")</f>
        <v>#NAME?</v>
      </c>
    </row>
    <row r="1598" spans="2:5">
      <c r="B1598" s="244">
        <f t="shared" si="66"/>
        <v>45061</v>
      </c>
      <c r="C1598" s="245" t="e">
        <f ca="1">_xll.FDS("EURUSD","FG_PRICE("&amp;B1598&amp;")")</f>
        <v>#NAME?</v>
      </c>
      <c r="D1598" t="e">
        <f ca="1">_xll.FDS("GBPUSD","FG_PRICE("&amp;B1598&amp;")")</f>
        <v>#NAME?</v>
      </c>
      <c r="E1598" t="e">
        <f ca="1">_xll.FDSB("JPYUSD","FG_PRICE("&amp;B1598&amp;")")</f>
        <v>#NAME?</v>
      </c>
    </row>
    <row r="1599" spans="2:5">
      <c r="B1599" s="244">
        <f t="shared" si="66"/>
        <v>45062</v>
      </c>
      <c r="C1599" s="245" t="e">
        <f ca="1">_xll.FDS("EURUSD","FG_PRICE("&amp;B1599&amp;")")</f>
        <v>#NAME?</v>
      </c>
      <c r="D1599" t="e">
        <f ca="1">_xll.FDS("GBPUSD","FG_PRICE("&amp;B1599&amp;")")</f>
        <v>#NAME?</v>
      </c>
      <c r="E1599" t="e">
        <f ca="1">_xll.FDSB("JPYUSD","FG_PRICE("&amp;B1599&amp;")")</f>
        <v>#NAME?</v>
      </c>
    </row>
    <row r="1600" spans="2:5">
      <c r="B1600" s="244">
        <f t="shared" si="66"/>
        <v>45063</v>
      </c>
      <c r="C1600" s="245" t="e">
        <f ca="1">_xll.FDS("EURUSD","FG_PRICE("&amp;B1600&amp;")")</f>
        <v>#NAME?</v>
      </c>
      <c r="D1600" t="e">
        <f ca="1">_xll.FDS("GBPUSD","FG_PRICE("&amp;B1600&amp;")")</f>
        <v>#NAME?</v>
      </c>
      <c r="E1600" t="e">
        <f ca="1">_xll.FDSB("JPYUSD","FG_PRICE("&amp;B1600&amp;")")</f>
        <v>#NAME?</v>
      </c>
    </row>
    <row r="1601" spans="2:5">
      <c r="B1601" s="244">
        <f t="shared" si="66"/>
        <v>45064</v>
      </c>
      <c r="C1601" s="245" t="e">
        <f ca="1">_xll.FDS("EURUSD","FG_PRICE("&amp;B1601&amp;")")</f>
        <v>#NAME?</v>
      </c>
      <c r="D1601" t="e">
        <f ca="1">_xll.FDS("GBPUSD","FG_PRICE("&amp;B1601&amp;")")</f>
        <v>#NAME?</v>
      </c>
      <c r="E1601" t="e">
        <f ca="1">_xll.FDSB("JPYUSD","FG_PRICE("&amp;B1601&amp;")")</f>
        <v>#NAME?</v>
      </c>
    </row>
    <row r="1602" spans="2:5">
      <c r="B1602" s="244">
        <f t="shared" si="66"/>
        <v>45065</v>
      </c>
      <c r="C1602" s="245" t="e">
        <f ca="1">_xll.FDS("EURUSD","FG_PRICE("&amp;B1602&amp;")")</f>
        <v>#NAME?</v>
      </c>
      <c r="D1602" t="e">
        <f ca="1">_xll.FDS("GBPUSD","FG_PRICE("&amp;B1602&amp;")")</f>
        <v>#NAME?</v>
      </c>
      <c r="E1602" t="e">
        <f ca="1">_xll.FDSB("JPYUSD","FG_PRICE("&amp;B1602&amp;")")</f>
        <v>#NAME?</v>
      </c>
    </row>
    <row r="1603" spans="2:5">
      <c r="B1603" s="244">
        <f t="shared" si="66"/>
        <v>45066</v>
      </c>
      <c r="C1603" s="245" t="e">
        <f ca="1">_xll.FDS("EURUSD","FG_PRICE("&amp;B1603&amp;")")</f>
        <v>#NAME?</v>
      </c>
      <c r="D1603" t="e">
        <f ca="1">_xll.FDS("GBPUSD","FG_PRICE("&amp;B1603&amp;")")</f>
        <v>#NAME?</v>
      </c>
      <c r="E1603" t="e">
        <f ca="1">_xll.FDSB("JPYUSD","FG_PRICE("&amp;B1603&amp;")")</f>
        <v>#NAME?</v>
      </c>
    </row>
    <row r="1604" spans="2:5">
      <c r="B1604" s="244">
        <f t="shared" si="66"/>
        <v>45067</v>
      </c>
      <c r="C1604" s="245" t="e">
        <f ca="1">_xll.FDS("EURUSD","FG_PRICE("&amp;B1604&amp;")")</f>
        <v>#NAME?</v>
      </c>
      <c r="D1604" t="e">
        <f ca="1">_xll.FDS("GBPUSD","FG_PRICE("&amp;B1604&amp;")")</f>
        <v>#NAME?</v>
      </c>
      <c r="E1604" t="e">
        <f ca="1">_xll.FDSB("JPYUSD","FG_PRICE("&amp;B1604&amp;")")</f>
        <v>#NAME?</v>
      </c>
    </row>
    <row r="1605" spans="2:5">
      <c r="B1605" s="244">
        <f t="shared" ref="B1605:B1668" si="67">B1604+1</f>
        <v>45068</v>
      </c>
      <c r="C1605" s="245" t="e">
        <f ca="1">_xll.FDS("EURUSD","FG_PRICE("&amp;B1605&amp;")")</f>
        <v>#NAME?</v>
      </c>
      <c r="D1605" t="e">
        <f ca="1">_xll.FDS("GBPUSD","FG_PRICE("&amp;B1605&amp;")")</f>
        <v>#NAME?</v>
      </c>
      <c r="E1605" t="e">
        <f ca="1">_xll.FDSB("JPYUSD","FG_PRICE("&amp;B1605&amp;")")</f>
        <v>#NAME?</v>
      </c>
    </row>
    <row r="1606" spans="2:5">
      <c r="B1606" s="244">
        <f t="shared" si="67"/>
        <v>45069</v>
      </c>
      <c r="C1606" s="245" t="e">
        <f ca="1">_xll.FDS("EURUSD","FG_PRICE("&amp;B1606&amp;")")</f>
        <v>#NAME?</v>
      </c>
      <c r="D1606" t="e">
        <f ca="1">_xll.FDS("GBPUSD","FG_PRICE("&amp;B1606&amp;")")</f>
        <v>#NAME?</v>
      </c>
      <c r="E1606" t="e">
        <f ca="1">_xll.FDSB("JPYUSD","FG_PRICE("&amp;B1606&amp;")")</f>
        <v>#NAME?</v>
      </c>
    </row>
    <row r="1607" spans="2:5">
      <c r="B1607" s="244">
        <f t="shared" si="67"/>
        <v>45070</v>
      </c>
      <c r="C1607" s="245" t="e">
        <f ca="1">_xll.FDS("EURUSD","FG_PRICE("&amp;B1607&amp;")")</f>
        <v>#NAME?</v>
      </c>
      <c r="D1607" t="e">
        <f ca="1">_xll.FDS("GBPUSD","FG_PRICE("&amp;B1607&amp;")")</f>
        <v>#NAME?</v>
      </c>
      <c r="E1607" t="e">
        <f ca="1">_xll.FDSB("JPYUSD","FG_PRICE("&amp;B1607&amp;")")</f>
        <v>#NAME?</v>
      </c>
    </row>
    <row r="1608" spans="2:5">
      <c r="B1608" s="244">
        <f t="shared" si="67"/>
        <v>45071</v>
      </c>
      <c r="C1608" s="245" t="e">
        <f ca="1">_xll.FDS("EURUSD","FG_PRICE("&amp;B1608&amp;")")</f>
        <v>#NAME?</v>
      </c>
      <c r="D1608" t="e">
        <f ca="1">_xll.FDS("GBPUSD","FG_PRICE("&amp;B1608&amp;")")</f>
        <v>#NAME?</v>
      </c>
      <c r="E1608" t="e">
        <f ca="1">_xll.FDSB("JPYUSD","FG_PRICE("&amp;B1608&amp;")")</f>
        <v>#NAME?</v>
      </c>
    </row>
    <row r="1609" spans="2:5">
      <c r="B1609" s="244">
        <f t="shared" si="67"/>
        <v>45072</v>
      </c>
      <c r="C1609" s="245" t="e">
        <f ca="1">_xll.FDS("EURUSD","FG_PRICE("&amp;B1609&amp;")")</f>
        <v>#NAME?</v>
      </c>
      <c r="D1609" t="e">
        <f ca="1">_xll.FDS("GBPUSD","FG_PRICE("&amp;B1609&amp;")")</f>
        <v>#NAME?</v>
      </c>
      <c r="E1609" t="e">
        <f ca="1">_xll.FDSB("JPYUSD","FG_PRICE("&amp;B1609&amp;")")</f>
        <v>#NAME?</v>
      </c>
    </row>
    <row r="1610" spans="2:5">
      <c r="B1610" s="244">
        <f t="shared" si="67"/>
        <v>45073</v>
      </c>
      <c r="C1610" s="245" t="e">
        <f ca="1">_xll.FDS("EURUSD","FG_PRICE("&amp;B1610&amp;")")</f>
        <v>#NAME?</v>
      </c>
      <c r="D1610" t="e">
        <f ca="1">_xll.FDS("GBPUSD","FG_PRICE("&amp;B1610&amp;")")</f>
        <v>#NAME?</v>
      </c>
      <c r="E1610" t="e">
        <f ca="1">_xll.FDSB("JPYUSD","FG_PRICE("&amp;B1610&amp;")")</f>
        <v>#NAME?</v>
      </c>
    </row>
    <row r="1611" spans="2:5">
      <c r="B1611" s="244">
        <f t="shared" si="67"/>
        <v>45074</v>
      </c>
      <c r="C1611" s="245" t="e">
        <f ca="1">_xll.FDS("EURUSD","FG_PRICE("&amp;B1611&amp;")")</f>
        <v>#NAME?</v>
      </c>
      <c r="D1611" t="e">
        <f ca="1">_xll.FDS("GBPUSD","FG_PRICE("&amp;B1611&amp;")")</f>
        <v>#NAME?</v>
      </c>
      <c r="E1611" t="e">
        <f ca="1">_xll.FDSB("JPYUSD","FG_PRICE("&amp;B1611&amp;")")</f>
        <v>#NAME?</v>
      </c>
    </row>
    <row r="1612" spans="2:5">
      <c r="B1612" s="244">
        <f t="shared" si="67"/>
        <v>45075</v>
      </c>
      <c r="C1612" s="245" t="e">
        <f ca="1">_xll.FDS("EURUSD","FG_PRICE("&amp;B1612&amp;")")</f>
        <v>#NAME?</v>
      </c>
      <c r="D1612" t="e">
        <f ca="1">_xll.FDS("GBPUSD","FG_PRICE("&amp;B1612&amp;")")</f>
        <v>#NAME?</v>
      </c>
      <c r="E1612" t="e">
        <f ca="1">_xll.FDSB("JPYUSD","FG_PRICE("&amp;B1612&amp;")")</f>
        <v>#NAME?</v>
      </c>
    </row>
    <row r="1613" spans="2:5">
      <c r="B1613" s="244">
        <f t="shared" si="67"/>
        <v>45076</v>
      </c>
      <c r="C1613" s="245" t="e">
        <f ca="1">_xll.FDS("EURUSD","FG_PRICE("&amp;B1613&amp;")")</f>
        <v>#NAME?</v>
      </c>
      <c r="D1613" t="e">
        <f ca="1">_xll.FDS("GBPUSD","FG_PRICE("&amp;B1613&amp;")")</f>
        <v>#NAME?</v>
      </c>
      <c r="E1613" t="e">
        <f ca="1">_xll.FDSB("JPYUSD","FG_PRICE("&amp;B1613&amp;")")</f>
        <v>#NAME?</v>
      </c>
    </row>
    <row r="1614" spans="2:5">
      <c r="B1614" s="244">
        <f t="shared" si="67"/>
        <v>45077</v>
      </c>
      <c r="C1614" s="245" t="e">
        <f ca="1">_xll.FDS("EURUSD","FG_PRICE("&amp;B1614&amp;")")</f>
        <v>#NAME?</v>
      </c>
      <c r="D1614" t="e">
        <f ca="1">_xll.FDS("GBPUSD","FG_PRICE("&amp;B1614&amp;")")</f>
        <v>#NAME?</v>
      </c>
      <c r="E1614" t="e">
        <f ca="1">_xll.FDSB("JPYUSD","FG_PRICE("&amp;B1614&amp;")")</f>
        <v>#NAME?</v>
      </c>
    </row>
    <row r="1615" spans="2:5">
      <c r="B1615" s="244">
        <f t="shared" si="67"/>
        <v>45078</v>
      </c>
      <c r="C1615" s="245" t="e">
        <f ca="1">_xll.FDS("EURUSD","FG_PRICE("&amp;B1615&amp;")")</f>
        <v>#NAME?</v>
      </c>
      <c r="D1615" t="e">
        <f ca="1">_xll.FDS("GBPUSD","FG_PRICE("&amp;B1615&amp;")")</f>
        <v>#NAME?</v>
      </c>
      <c r="E1615" t="e">
        <f ca="1">_xll.FDSB("JPYUSD","FG_PRICE("&amp;B1615&amp;")")</f>
        <v>#NAME?</v>
      </c>
    </row>
    <row r="1616" spans="2:5">
      <c r="B1616" s="244">
        <f t="shared" si="67"/>
        <v>45079</v>
      </c>
      <c r="C1616" s="245" t="e">
        <f ca="1">_xll.FDS("EURUSD","FG_PRICE("&amp;B1616&amp;")")</f>
        <v>#NAME?</v>
      </c>
      <c r="D1616" t="e">
        <f ca="1">_xll.FDS("GBPUSD","FG_PRICE("&amp;B1616&amp;")")</f>
        <v>#NAME?</v>
      </c>
      <c r="E1616" t="e">
        <f ca="1">_xll.FDSB("JPYUSD","FG_PRICE("&amp;B1616&amp;")")</f>
        <v>#NAME?</v>
      </c>
    </row>
    <row r="1617" spans="2:5">
      <c r="B1617" s="244">
        <f t="shared" si="67"/>
        <v>45080</v>
      </c>
      <c r="C1617" s="245" t="e">
        <f ca="1">_xll.FDS("EURUSD","FG_PRICE("&amp;B1617&amp;")")</f>
        <v>#NAME?</v>
      </c>
      <c r="D1617" t="e">
        <f ca="1">_xll.FDS("GBPUSD","FG_PRICE("&amp;B1617&amp;")")</f>
        <v>#NAME?</v>
      </c>
      <c r="E1617" t="e">
        <f ca="1">_xll.FDSB("JPYUSD","FG_PRICE("&amp;B1617&amp;")")</f>
        <v>#NAME?</v>
      </c>
    </row>
    <row r="1618" spans="2:5">
      <c r="B1618" s="244">
        <f t="shared" si="67"/>
        <v>45081</v>
      </c>
      <c r="C1618" s="245" t="e">
        <f ca="1">_xll.FDS("EURUSD","FG_PRICE("&amp;B1618&amp;")")</f>
        <v>#NAME?</v>
      </c>
      <c r="D1618" t="e">
        <f ca="1">_xll.FDS("GBPUSD","FG_PRICE("&amp;B1618&amp;")")</f>
        <v>#NAME?</v>
      </c>
      <c r="E1618" t="e">
        <f ca="1">_xll.FDSB("JPYUSD","FG_PRICE("&amp;B1618&amp;")")</f>
        <v>#NAME?</v>
      </c>
    </row>
    <row r="1619" spans="2:5">
      <c r="B1619" s="244">
        <f t="shared" si="67"/>
        <v>45082</v>
      </c>
      <c r="C1619" s="245" t="e">
        <f ca="1">_xll.FDS("EURUSD","FG_PRICE("&amp;B1619&amp;")")</f>
        <v>#NAME?</v>
      </c>
      <c r="D1619" t="e">
        <f ca="1">_xll.FDS("GBPUSD","FG_PRICE("&amp;B1619&amp;")")</f>
        <v>#NAME?</v>
      </c>
      <c r="E1619" t="e">
        <f ca="1">_xll.FDSB("JPYUSD","FG_PRICE("&amp;B1619&amp;")")</f>
        <v>#NAME?</v>
      </c>
    </row>
    <row r="1620" spans="2:5">
      <c r="B1620" s="244">
        <f t="shared" si="67"/>
        <v>45083</v>
      </c>
      <c r="C1620" s="245" t="e">
        <f ca="1">_xll.FDS("EURUSD","FG_PRICE("&amp;B1620&amp;")")</f>
        <v>#NAME?</v>
      </c>
      <c r="D1620" t="e">
        <f ca="1">_xll.FDS("GBPUSD","FG_PRICE("&amp;B1620&amp;")")</f>
        <v>#NAME?</v>
      </c>
      <c r="E1620" t="e">
        <f ca="1">_xll.FDSB("JPYUSD","FG_PRICE("&amp;B1620&amp;")")</f>
        <v>#NAME?</v>
      </c>
    </row>
    <row r="1621" spans="2:5">
      <c r="B1621" s="244">
        <f t="shared" si="67"/>
        <v>45084</v>
      </c>
      <c r="C1621" s="245" t="e">
        <f ca="1">_xll.FDS("EURUSD","FG_PRICE("&amp;B1621&amp;")")</f>
        <v>#NAME?</v>
      </c>
      <c r="D1621" t="e">
        <f ca="1">_xll.FDS("GBPUSD","FG_PRICE("&amp;B1621&amp;")")</f>
        <v>#NAME?</v>
      </c>
      <c r="E1621" t="e">
        <f ca="1">_xll.FDSB("JPYUSD","FG_PRICE("&amp;B1621&amp;")")</f>
        <v>#NAME?</v>
      </c>
    </row>
    <row r="1622" spans="2:5">
      <c r="B1622" s="244">
        <f t="shared" si="67"/>
        <v>45085</v>
      </c>
      <c r="C1622" s="245" t="e">
        <f ca="1">_xll.FDS("EURUSD","FG_PRICE("&amp;B1622&amp;")")</f>
        <v>#NAME?</v>
      </c>
      <c r="D1622" t="e">
        <f ca="1">_xll.FDS("GBPUSD","FG_PRICE("&amp;B1622&amp;")")</f>
        <v>#NAME?</v>
      </c>
      <c r="E1622" t="e">
        <f ca="1">_xll.FDSB("JPYUSD","FG_PRICE("&amp;B1622&amp;")")</f>
        <v>#NAME?</v>
      </c>
    </row>
    <row r="1623" spans="2:5">
      <c r="B1623" s="244">
        <f t="shared" si="67"/>
        <v>45086</v>
      </c>
      <c r="C1623" s="245" t="e">
        <f ca="1">_xll.FDS("EURUSD","FG_PRICE("&amp;B1623&amp;")")</f>
        <v>#NAME?</v>
      </c>
      <c r="D1623" t="e">
        <f ca="1">_xll.FDS("GBPUSD","FG_PRICE("&amp;B1623&amp;")")</f>
        <v>#NAME?</v>
      </c>
      <c r="E1623" t="e">
        <f ca="1">_xll.FDSB("JPYUSD","FG_PRICE("&amp;B1623&amp;")")</f>
        <v>#NAME?</v>
      </c>
    </row>
    <row r="1624" spans="2:5">
      <c r="B1624" s="244">
        <f t="shared" si="67"/>
        <v>45087</v>
      </c>
      <c r="C1624" s="245" t="e">
        <f ca="1">_xll.FDS("EURUSD","FG_PRICE("&amp;B1624&amp;")")</f>
        <v>#NAME?</v>
      </c>
      <c r="D1624" t="e">
        <f ca="1">_xll.FDS("GBPUSD","FG_PRICE("&amp;B1624&amp;")")</f>
        <v>#NAME?</v>
      </c>
      <c r="E1624" t="e">
        <f ca="1">_xll.FDSB("JPYUSD","FG_PRICE("&amp;B1624&amp;")")</f>
        <v>#NAME?</v>
      </c>
    </row>
    <row r="1625" spans="2:5">
      <c r="B1625" s="244">
        <f t="shared" si="67"/>
        <v>45088</v>
      </c>
      <c r="C1625" s="245" t="e">
        <f ca="1">_xll.FDS("EURUSD","FG_PRICE("&amp;B1625&amp;")")</f>
        <v>#NAME?</v>
      </c>
      <c r="D1625" t="e">
        <f ca="1">_xll.FDS("GBPUSD","FG_PRICE("&amp;B1625&amp;")")</f>
        <v>#NAME?</v>
      </c>
      <c r="E1625" t="e">
        <f ca="1">_xll.FDSB("JPYUSD","FG_PRICE("&amp;B1625&amp;")")</f>
        <v>#NAME?</v>
      </c>
    </row>
    <row r="1626" spans="2:5">
      <c r="B1626" s="244">
        <f t="shared" si="67"/>
        <v>45089</v>
      </c>
      <c r="C1626" s="245" t="e">
        <f ca="1">_xll.FDS("EURUSD","FG_PRICE("&amp;B1626&amp;")")</f>
        <v>#NAME?</v>
      </c>
      <c r="D1626" t="e">
        <f ca="1">_xll.FDS("GBPUSD","FG_PRICE("&amp;B1626&amp;")")</f>
        <v>#NAME?</v>
      </c>
      <c r="E1626" t="e">
        <f ca="1">_xll.FDSB("JPYUSD","FG_PRICE("&amp;B1626&amp;")")</f>
        <v>#NAME?</v>
      </c>
    </row>
    <row r="1627" spans="2:5">
      <c r="B1627" s="244">
        <f t="shared" si="67"/>
        <v>45090</v>
      </c>
      <c r="C1627" s="245" t="e">
        <f ca="1">_xll.FDS("EURUSD","FG_PRICE("&amp;B1627&amp;")")</f>
        <v>#NAME?</v>
      </c>
      <c r="D1627" t="e">
        <f ca="1">_xll.FDS("GBPUSD","FG_PRICE("&amp;B1627&amp;")")</f>
        <v>#NAME?</v>
      </c>
      <c r="E1627" t="e">
        <f ca="1">_xll.FDSB("JPYUSD","FG_PRICE("&amp;B1627&amp;")")</f>
        <v>#NAME?</v>
      </c>
    </row>
    <row r="1628" spans="2:5">
      <c r="B1628" s="244">
        <f t="shared" si="67"/>
        <v>45091</v>
      </c>
      <c r="C1628" s="245" t="e">
        <f ca="1">_xll.FDS("EURUSD","FG_PRICE("&amp;B1628&amp;")")</f>
        <v>#NAME?</v>
      </c>
      <c r="D1628" t="e">
        <f ca="1">_xll.FDS("GBPUSD","FG_PRICE("&amp;B1628&amp;")")</f>
        <v>#NAME?</v>
      </c>
      <c r="E1628" t="e">
        <f ca="1">_xll.FDSB("JPYUSD","FG_PRICE("&amp;B1628&amp;")")</f>
        <v>#NAME?</v>
      </c>
    </row>
    <row r="1629" spans="2:5">
      <c r="B1629" s="244">
        <f t="shared" si="67"/>
        <v>45092</v>
      </c>
      <c r="C1629" s="245" t="e">
        <f ca="1">_xll.FDS("EURUSD","FG_PRICE("&amp;B1629&amp;")")</f>
        <v>#NAME?</v>
      </c>
      <c r="D1629" t="e">
        <f ca="1">_xll.FDS("GBPUSD","FG_PRICE("&amp;B1629&amp;")")</f>
        <v>#NAME?</v>
      </c>
      <c r="E1629" t="e">
        <f ca="1">_xll.FDSB("JPYUSD","FG_PRICE("&amp;B1629&amp;")")</f>
        <v>#NAME?</v>
      </c>
    </row>
    <row r="1630" spans="2:5">
      <c r="B1630" s="244">
        <f t="shared" si="67"/>
        <v>45093</v>
      </c>
      <c r="C1630" s="245" t="e">
        <f ca="1">_xll.FDS("EURUSD","FG_PRICE("&amp;B1630&amp;")")</f>
        <v>#NAME?</v>
      </c>
      <c r="D1630" t="e">
        <f ca="1">_xll.FDS("GBPUSD","FG_PRICE("&amp;B1630&amp;")")</f>
        <v>#NAME?</v>
      </c>
      <c r="E1630" t="e">
        <f ca="1">_xll.FDSB("JPYUSD","FG_PRICE("&amp;B1630&amp;")")</f>
        <v>#NAME?</v>
      </c>
    </row>
    <row r="1631" spans="2:5">
      <c r="B1631" s="244">
        <f t="shared" si="67"/>
        <v>45094</v>
      </c>
      <c r="C1631" s="245" t="e">
        <f ca="1">_xll.FDS("EURUSD","FG_PRICE("&amp;B1631&amp;")")</f>
        <v>#NAME?</v>
      </c>
      <c r="D1631" t="e">
        <f ca="1">_xll.FDS("GBPUSD","FG_PRICE("&amp;B1631&amp;")")</f>
        <v>#NAME?</v>
      </c>
      <c r="E1631" t="e">
        <f ca="1">_xll.FDSB("JPYUSD","FG_PRICE("&amp;B1631&amp;")")</f>
        <v>#NAME?</v>
      </c>
    </row>
    <row r="1632" spans="2:5">
      <c r="B1632" s="244">
        <f t="shared" si="67"/>
        <v>45095</v>
      </c>
      <c r="C1632" s="245" t="e">
        <f ca="1">_xll.FDS("EURUSD","FG_PRICE("&amp;B1632&amp;")")</f>
        <v>#NAME?</v>
      </c>
      <c r="D1632" t="e">
        <f ca="1">_xll.FDS("GBPUSD","FG_PRICE("&amp;B1632&amp;")")</f>
        <v>#NAME?</v>
      </c>
      <c r="E1632" t="e">
        <f ca="1">_xll.FDSB("JPYUSD","FG_PRICE("&amp;B1632&amp;")")</f>
        <v>#NAME?</v>
      </c>
    </row>
    <row r="1633" spans="2:5">
      <c r="B1633" s="244">
        <f t="shared" si="67"/>
        <v>45096</v>
      </c>
      <c r="C1633" s="245" t="e">
        <f ca="1">_xll.FDS("EURUSD","FG_PRICE("&amp;B1633&amp;")")</f>
        <v>#NAME?</v>
      </c>
      <c r="D1633" t="e">
        <f ca="1">_xll.FDS("GBPUSD","FG_PRICE("&amp;B1633&amp;")")</f>
        <v>#NAME?</v>
      </c>
      <c r="E1633" t="e">
        <f ca="1">_xll.FDSB("JPYUSD","FG_PRICE("&amp;B1633&amp;")")</f>
        <v>#NAME?</v>
      </c>
    </row>
    <row r="1634" spans="2:5">
      <c r="B1634" s="244">
        <f t="shared" si="67"/>
        <v>45097</v>
      </c>
      <c r="C1634" s="245" t="e">
        <f ca="1">_xll.FDS("EURUSD","FG_PRICE("&amp;B1634&amp;")")</f>
        <v>#NAME?</v>
      </c>
      <c r="D1634" t="e">
        <f ca="1">_xll.FDS("GBPUSD","FG_PRICE("&amp;B1634&amp;")")</f>
        <v>#NAME?</v>
      </c>
      <c r="E1634" t="e">
        <f ca="1">_xll.FDSB("JPYUSD","FG_PRICE("&amp;B1634&amp;")")</f>
        <v>#NAME?</v>
      </c>
    </row>
    <row r="1635" spans="2:5">
      <c r="B1635" s="244">
        <f t="shared" si="67"/>
        <v>45098</v>
      </c>
      <c r="C1635" s="245" t="e">
        <f ca="1">_xll.FDS("EURUSD","FG_PRICE("&amp;B1635&amp;")")</f>
        <v>#NAME?</v>
      </c>
      <c r="D1635" t="e">
        <f ca="1">_xll.FDS("GBPUSD","FG_PRICE("&amp;B1635&amp;")")</f>
        <v>#NAME?</v>
      </c>
      <c r="E1635" t="e">
        <f ca="1">_xll.FDSB("JPYUSD","FG_PRICE("&amp;B1635&amp;")")</f>
        <v>#NAME?</v>
      </c>
    </row>
    <row r="1636" spans="2:5">
      <c r="B1636" s="244">
        <f t="shared" si="67"/>
        <v>45099</v>
      </c>
      <c r="C1636" s="245" t="e">
        <f ca="1">_xll.FDS("EURUSD","FG_PRICE("&amp;B1636&amp;")")</f>
        <v>#NAME?</v>
      </c>
      <c r="D1636" t="e">
        <f ca="1">_xll.FDS("GBPUSD","FG_PRICE("&amp;B1636&amp;")")</f>
        <v>#NAME?</v>
      </c>
      <c r="E1636" t="e">
        <f ca="1">_xll.FDSB("JPYUSD","FG_PRICE("&amp;B1636&amp;")")</f>
        <v>#NAME?</v>
      </c>
    </row>
    <row r="1637" spans="2:5">
      <c r="B1637" s="244">
        <f t="shared" si="67"/>
        <v>45100</v>
      </c>
      <c r="C1637" s="245" t="e">
        <f ca="1">_xll.FDS("EURUSD","FG_PRICE("&amp;B1637&amp;")")</f>
        <v>#NAME?</v>
      </c>
      <c r="D1637" t="e">
        <f ca="1">_xll.FDS("GBPUSD","FG_PRICE("&amp;B1637&amp;")")</f>
        <v>#NAME?</v>
      </c>
      <c r="E1637" t="e">
        <f ca="1">_xll.FDSB("JPYUSD","FG_PRICE("&amp;B1637&amp;")")</f>
        <v>#NAME?</v>
      </c>
    </row>
    <row r="1638" spans="2:5">
      <c r="B1638" s="244">
        <f t="shared" si="67"/>
        <v>45101</v>
      </c>
      <c r="C1638" s="245" t="e">
        <f ca="1">_xll.FDS("EURUSD","FG_PRICE("&amp;B1638&amp;")")</f>
        <v>#NAME?</v>
      </c>
      <c r="D1638" t="e">
        <f ca="1">_xll.FDS("GBPUSD","FG_PRICE("&amp;B1638&amp;")")</f>
        <v>#NAME?</v>
      </c>
      <c r="E1638" t="e">
        <f ca="1">_xll.FDSB("JPYUSD","FG_PRICE("&amp;B1638&amp;")")</f>
        <v>#NAME?</v>
      </c>
    </row>
    <row r="1639" spans="2:5">
      <c r="B1639" s="244">
        <f t="shared" si="67"/>
        <v>45102</v>
      </c>
      <c r="C1639" s="245" t="e">
        <f ca="1">_xll.FDS("EURUSD","FG_PRICE("&amp;B1639&amp;")")</f>
        <v>#NAME?</v>
      </c>
      <c r="D1639" t="e">
        <f ca="1">_xll.FDS("GBPUSD","FG_PRICE("&amp;B1639&amp;")")</f>
        <v>#NAME?</v>
      </c>
      <c r="E1639" t="e">
        <f ca="1">_xll.FDSB("JPYUSD","FG_PRICE("&amp;B1639&amp;")")</f>
        <v>#NAME?</v>
      </c>
    </row>
    <row r="1640" spans="2:5">
      <c r="B1640" s="244">
        <f t="shared" si="67"/>
        <v>45103</v>
      </c>
      <c r="C1640" s="245" t="e">
        <f ca="1">_xll.FDS("EURUSD","FG_PRICE("&amp;B1640&amp;")")</f>
        <v>#NAME?</v>
      </c>
      <c r="D1640" t="e">
        <f ca="1">_xll.FDS("GBPUSD","FG_PRICE("&amp;B1640&amp;")")</f>
        <v>#NAME?</v>
      </c>
      <c r="E1640" t="e">
        <f ca="1">_xll.FDSB("JPYUSD","FG_PRICE("&amp;B1640&amp;")")</f>
        <v>#NAME?</v>
      </c>
    </row>
    <row r="1641" spans="2:5">
      <c r="B1641" s="244">
        <f t="shared" si="67"/>
        <v>45104</v>
      </c>
      <c r="C1641" s="245" t="e">
        <f ca="1">_xll.FDS("EURUSD","FG_PRICE("&amp;B1641&amp;")")</f>
        <v>#NAME?</v>
      </c>
      <c r="D1641" t="e">
        <f ca="1">_xll.FDS("GBPUSD","FG_PRICE("&amp;B1641&amp;")")</f>
        <v>#NAME?</v>
      </c>
      <c r="E1641" t="e">
        <f ca="1">_xll.FDSB("JPYUSD","FG_PRICE("&amp;B1641&amp;")")</f>
        <v>#NAME?</v>
      </c>
    </row>
    <row r="1642" spans="2:5">
      <c r="B1642" s="244">
        <f t="shared" si="67"/>
        <v>45105</v>
      </c>
      <c r="C1642" s="245" t="e">
        <f ca="1">_xll.FDS("EURUSD","FG_PRICE("&amp;B1642&amp;")")</f>
        <v>#NAME?</v>
      </c>
      <c r="D1642" t="e">
        <f ca="1">_xll.FDS("GBPUSD","FG_PRICE("&amp;B1642&amp;")")</f>
        <v>#NAME?</v>
      </c>
      <c r="E1642" t="e">
        <f ca="1">_xll.FDSB("JPYUSD","FG_PRICE("&amp;B1642&amp;")")</f>
        <v>#NAME?</v>
      </c>
    </row>
    <row r="1643" spans="2:5">
      <c r="B1643" s="244">
        <f t="shared" si="67"/>
        <v>45106</v>
      </c>
      <c r="C1643" s="245" t="e">
        <f ca="1">_xll.FDS("EURUSD","FG_PRICE("&amp;B1643&amp;")")</f>
        <v>#NAME?</v>
      </c>
      <c r="D1643" t="e">
        <f ca="1">_xll.FDS("GBPUSD","FG_PRICE("&amp;B1643&amp;")")</f>
        <v>#NAME?</v>
      </c>
      <c r="E1643" t="e">
        <f ca="1">_xll.FDSB("JPYUSD","FG_PRICE("&amp;B1643&amp;")")</f>
        <v>#NAME?</v>
      </c>
    </row>
    <row r="1644" spans="2:5">
      <c r="B1644" s="244">
        <f t="shared" si="67"/>
        <v>45107</v>
      </c>
      <c r="C1644" s="245" t="e">
        <f ca="1">_xll.FDS("EURUSD","FG_PRICE("&amp;B1644&amp;")")</f>
        <v>#NAME?</v>
      </c>
      <c r="D1644" t="e">
        <f ca="1">_xll.FDS("GBPUSD","FG_PRICE("&amp;B1644&amp;")")</f>
        <v>#NAME?</v>
      </c>
      <c r="E1644" t="e">
        <f ca="1">_xll.FDSB("JPYUSD","FG_PRICE("&amp;B1644&amp;")")</f>
        <v>#NAME?</v>
      </c>
    </row>
    <row r="1645" spans="2:5">
      <c r="B1645" s="244">
        <f t="shared" si="67"/>
        <v>45108</v>
      </c>
      <c r="C1645" s="245" t="e">
        <f ca="1">_xll.FDS("EURUSD","FG_PRICE("&amp;B1645&amp;")")</f>
        <v>#NAME?</v>
      </c>
      <c r="D1645" t="e">
        <f ca="1">_xll.FDS("GBPUSD","FG_PRICE("&amp;B1645&amp;")")</f>
        <v>#NAME?</v>
      </c>
      <c r="E1645" t="e">
        <f ca="1">_xll.FDSB("JPYUSD","FG_PRICE("&amp;B1645&amp;")")</f>
        <v>#NAME?</v>
      </c>
    </row>
    <row r="1646" spans="2:5">
      <c r="B1646" s="244">
        <f t="shared" si="67"/>
        <v>45109</v>
      </c>
      <c r="C1646" s="245" t="e">
        <f ca="1">_xll.FDS("EURUSD","FG_PRICE("&amp;B1646&amp;")")</f>
        <v>#NAME?</v>
      </c>
      <c r="D1646" t="e">
        <f ca="1">_xll.FDS("GBPUSD","FG_PRICE("&amp;B1646&amp;")")</f>
        <v>#NAME?</v>
      </c>
      <c r="E1646" t="e">
        <f ca="1">_xll.FDSB("JPYUSD","FG_PRICE("&amp;B1646&amp;")")</f>
        <v>#NAME?</v>
      </c>
    </row>
    <row r="1647" spans="2:5">
      <c r="B1647" s="244">
        <f t="shared" si="67"/>
        <v>45110</v>
      </c>
      <c r="C1647" s="245" t="e">
        <f ca="1">_xll.FDS("EURUSD","FG_PRICE("&amp;B1647&amp;")")</f>
        <v>#NAME?</v>
      </c>
      <c r="D1647" t="e">
        <f ca="1">_xll.FDS("GBPUSD","FG_PRICE("&amp;B1647&amp;")")</f>
        <v>#NAME?</v>
      </c>
      <c r="E1647" t="e">
        <f ca="1">_xll.FDSB("JPYUSD","FG_PRICE("&amp;B1647&amp;")")</f>
        <v>#NAME?</v>
      </c>
    </row>
    <row r="1648" spans="2:5">
      <c r="B1648" s="244">
        <f t="shared" si="67"/>
        <v>45111</v>
      </c>
      <c r="C1648" s="245" t="e">
        <f ca="1">_xll.FDS("EURUSD","FG_PRICE("&amp;B1648&amp;")")</f>
        <v>#NAME?</v>
      </c>
      <c r="D1648" t="e">
        <f ca="1">_xll.FDS("GBPUSD","FG_PRICE("&amp;B1648&amp;")")</f>
        <v>#NAME?</v>
      </c>
      <c r="E1648" t="e">
        <f ca="1">_xll.FDSB("JPYUSD","FG_PRICE("&amp;B1648&amp;")")</f>
        <v>#NAME?</v>
      </c>
    </row>
    <row r="1649" spans="2:5">
      <c r="B1649" s="244">
        <f t="shared" si="67"/>
        <v>45112</v>
      </c>
      <c r="C1649" s="245" t="e">
        <f ca="1">_xll.FDS("EURUSD","FG_PRICE("&amp;B1649&amp;")")</f>
        <v>#NAME?</v>
      </c>
      <c r="D1649" t="e">
        <f ca="1">_xll.FDS("GBPUSD","FG_PRICE("&amp;B1649&amp;")")</f>
        <v>#NAME?</v>
      </c>
      <c r="E1649" t="e">
        <f ca="1">_xll.FDSB("JPYUSD","FG_PRICE("&amp;B1649&amp;")")</f>
        <v>#NAME?</v>
      </c>
    </row>
    <row r="1650" spans="2:5">
      <c r="B1650" s="244">
        <f t="shared" si="67"/>
        <v>45113</v>
      </c>
      <c r="C1650" s="245" t="e">
        <f ca="1">_xll.FDS("EURUSD","FG_PRICE("&amp;B1650&amp;")")</f>
        <v>#NAME?</v>
      </c>
      <c r="D1650" t="e">
        <f ca="1">_xll.FDS("GBPUSD","FG_PRICE("&amp;B1650&amp;")")</f>
        <v>#NAME?</v>
      </c>
      <c r="E1650" t="e">
        <f ca="1">_xll.FDSB("JPYUSD","FG_PRICE("&amp;B1650&amp;")")</f>
        <v>#NAME?</v>
      </c>
    </row>
    <row r="1651" spans="2:5">
      <c r="B1651" s="244">
        <f t="shared" si="67"/>
        <v>45114</v>
      </c>
      <c r="C1651" s="245" t="e">
        <f ca="1">_xll.FDS("EURUSD","FG_PRICE("&amp;B1651&amp;")")</f>
        <v>#NAME?</v>
      </c>
      <c r="D1651" t="e">
        <f ca="1">_xll.FDS("GBPUSD","FG_PRICE("&amp;B1651&amp;")")</f>
        <v>#NAME?</v>
      </c>
      <c r="E1651" t="e">
        <f ca="1">_xll.FDSB("JPYUSD","FG_PRICE("&amp;B1651&amp;")")</f>
        <v>#NAME?</v>
      </c>
    </row>
    <row r="1652" spans="2:5">
      <c r="B1652" s="244">
        <f t="shared" si="67"/>
        <v>45115</v>
      </c>
      <c r="C1652" s="245" t="e">
        <f ca="1">_xll.FDS("EURUSD","FG_PRICE("&amp;B1652&amp;")")</f>
        <v>#NAME?</v>
      </c>
      <c r="D1652" t="e">
        <f ca="1">_xll.FDS("GBPUSD","FG_PRICE("&amp;B1652&amp;")")</f>
        <v>#NAME?</v>
      </c>
      <c r="E1652" t="e">
        <f ca="1">_xll.FDSB("JPYUSD","FG_PRICE("&amp;B1652&amp;")")</f>
        <v>#NAME?</v>
      </c>
    </row>
    <row r="1653" spans="2:5">
      <c r="B1653" s="244">
        <f t="shared" si="67"/>
        <v>45116</v>
      </c>
      <c r="C1653" s="245" t="e">
        <f ca="1">_xll.FDS("EURUSD","FG_PRICE("&amp;B1653&amp;")")</f>
        <v>#NAME?</v>
      </c>
      <c r="D1653" t="e">
        <f ca="1">_xll.FDS("GBPUSD","FG_PRICE("&amp;B1653&amp;")")</f>
        <v>#NAME?</v>
      </c>
      <c r="E1653" t="e">
        <f ca="1">_xll.FDSB("JPYUSD","FG_PRICE("&amp;B1653&amp;")")</f>
        <v>#NAME?</v>
      </c>
    </row>
    <row r="1654" spans="2:5">
      <c r="B1654" s="244">
        <f t="shared" si="67"/>
        <v>45117</v>
      </c>
      <c r="C1654" s="245" t="e">
        <f ca="1">_xll.FDS("EURUSD","FG_PRICE("&amp;B1654&amp;")")</f>
        <v>#NAME?</v>
      </c>
      <c r="D1654" t="e">
        <f ca="1">_xll.FDS("GBPUSD","FG_PRICE("&amp;B1654&amp;")")</f>
        <v>#NAME?</v>
      </c>
      <c r="E1654" t="e">
        <f ca="1">_xll.FDSB("JPYUSD","FG_PRICE("&amp;B1654&amp;")")</f>
        <v>#NAME?</v>
      </c>
    </row>
    <row r="1655" spans="2:5">
      <c r="B1655" s="244">
        <f t="shared" si="67"/>
        <v>45118</v>
      </c>
      <c r="C1655" s="245" t="e">
        <f ca="1">_xll.FDS("EURUSD","FG_PRICE("&amp;B1655&amp;")")</f>
        <v>#NAME?</v>
      </c>
      <c r="D1655" t="e">
        <f ca="1">_xll.FDS("GBPUSD","FG_PRICE("&amp;B1655&amp;")")</f>
        <v>#NAME?</v>
      </c>
      <c r="E1655" t="e">
        <f ca="1">_xll.FDSB("JPYUSD","FG_PRICE("&amp;B1655&amp;")")</f>
        <v>#NAME?</v>
      </c>
    </row>
    <row r="1656" spans="2:5">
      <c r="B1656" s="244">
        <f t="shared" si="67"/>
        <v>45119</v>
      </c>
      <c r="C1656" s="245" t="e">
        <f ca="1">_xll.FDS("EURUSD","FG_PRICE("&amp;B1656&amp;")")</f>
        <v>#NAME?</v>
      </c>
      <c r="D1656" t="e">
        <f ca="1">_xll.FDS("GBPUSD","FG_PRICE("&amp;B1656&amp;")")</f>
        <v>#NAME?</v>
      </c>
      <c r="E1656" t="e">
        <f ca="1">_xll.FDSB("JPYUSD","FG_PRICE("&amp;B1656&amp;")")</f>
        <v>#NAME?</v>
      </c>
    </row>
    <row r="1657" spans="2:5">
      <c r="B1657" s="244">
        <f t="shared" si="67"/>
        <v>45120</v>
      </c>
      <c r="C1657" s="245" t="e">
        <f ca="1">_xll.FDS("EURUSD","FG_PRICE("&amp;B1657&amp;")")</f>
        <v>#NAME?</v>
      </c>
      <c r="D1657" t="e">
        <f ca="1">_xll.FDS("GBPUSD","FG_PRICE("&amp;B1657&amp;")")</f>
        <v>#NAME?</v>
      </c>
      <c r="E1657" t="e">
        <f ca="1">_xll.FDSB("JPYUSD","FG_PRICE("&amp;B1657&amp;")")</f>
        <v>#NAME?</v>
      </c>
    </row>
    <row r="1658" spans="2:5">
      <c r="B1658" s="244">
        <f t="shared" si="67"/>
        <v>45121</v>
      </c>
      <c r="C1658" s="245" t="e">
        <f ca="1">_xll.FDS("EURUSD","FG_PRICE("&amp;B1658&amp;")")</f>
        <v>#NAME?</v>
      </c>
      <c r="D1658" t="e">
        <f ca="1">_xll.FDS("GBPUSD","FG_PRICE("&amp;B1658&amp;")")</f>
        <v>#NAME?</v>
      </c>
      <c r="E1658" t="e">
        <f ca="1">_xll.FDSB("JPYUSD","FG_PRICE("&amp;B1658&amp;")")</f>
        <v>#NAME?</v>
      </c>
    </row>
    <row r="1659" spans="2:5">
      <c r="B1659" s="244">
        <f t="shared" si="67"/>
        <v>45122</v>
      </c>
      <c r="C1659" s="245" t="e">
        <f ca="1">_xll.FDS("EURUSD","FG_PRICE("&amp;B1659&amp;")")</f>
        <v>#NAME?</v>
      </c>
      <c r="D1659" t="e">
        <f ca="1">_xll.FDS("GBPUSD","FG_PRICE("&amp;B1659&amp;")")</f>
        <v>#NAME?</v>
      </c>
      <c r="E1659" t="e">
        <f ca="1">_xll.FDSB("JPYUSD","FG_PRICE("&amp;B1659&amp;")")</f>
        <v>#NAME?</v>
      </c>
    </row>
    <row r="1660" spans="2:5">
      <c r="B1660" s="244">
        <f t="shared" si="67"/>
        <v>45123</v>
      </c>
      <c r="C1660" s="245" t="e">
        <f ca="1">_xll.FDS("EURUSD","FG_PRICE("&amp;B1660&amp;")")</f>
        <v>#NAME?</v>
      </c>
      <c r="D1660" t="e">
        <f ca="1">_xll.FDS("GBPUSD","FG_PRICE("&amp;B1660&amp;")")</f>
        <v>#NAME?</v>
      </c>
      <c r="E1660" t="e">
        <f ca="1">_xll.FDSB("JPYUSD","FG_PRICE("&amp;B1660&amp;")")</f>
        <v>#NAME?</v>
      </c>
    </row>
    <row r="1661" spans="2:5">
      <c r="B1661" s="244">
        <f t="shared" si="67"/>
        <v>45124</v>
      </c>
      <c r="C1661" s="245" t="e">
        <f ca="1">_xll.FDS("EURUSD","FG_PRICE("&amp;B1661&amp;")")</f>
        <v>#NAME?</v>
      </c>
      <c r="D1661" t="e">
        <f ca="1">_xll.FDS("GBPUSD","FG_PRICE("&amp;B1661&amp;")")</f>
        <v>#NAME?</v>
      </c>
      <c r="E1661" t="e">
        <f ca="1">_xll.FDSB("JPYUSD","FG_PRICE("&amp;B1661&amp;")")</f>
        <v>#NAME?</v>
      </c>
    </row>
    <row r="1662" spans="2:5">
      <c r="B1662" s="244">
        <f t="shared" si="67"/>
        <v>45125</v>
      </c>
      <c r="C1662" s="245" t="e">
        <f ca="1">_xll.FDS("EURUSD","FG_PRICE("&amp;B1662&amp;")")</f>
        <v>#NAME?</v>
      </c>
      <c r="D1662" t="e">
        <f ca="1">_xll.FDS("GBPUSD","FG_PRICE("&amp;B1662&amp;")")</f>
        <v>#NAME?</v>
      </c>
      <c r="E1662" t="e">
        <f ca="1">_xll.FDSB("JPYUSD","FG_PRICE("&amp;B1662&amp;")")</f>
        <v>#NAME?</v>
      </c>
    </row>
    <row r="1663" spans="2:5">
      <c r="B1663" s="244">
        <f t="shared" si="67"/>
        <v>45126</v>
      </c>
      <c r="C1663" s="245" t="e">
        <f ca="1">_xll.FDS("EURUSD","FG_PRICE("&amp;B1663&amp;")")</f>
        <v>#NAME?</v>
      </c>
      <c r="D1663" t="e">
        <f ca="1">_xll.FDS("GBPUSD","FG_PRICE("&amp;B1663&amp;")")</f>
        <v>#NAME?</v>
      </c>
      <c r="E1663" t="e">
        <f ca="1">_xll.FDSB("JPYUSD","FG_PRICE("&amp;B1663&amp;")")</f>
        <v>#NAME?</v>
      </c>
    </row>
    <row r="1664" spans="2:5">
      <c r="B1664" s="244">
        <f t="shared" si="67"/>
        <v>45127</v>
      </c>
      <c r="C1664" s="245" t="e">
        <f ca="1">_xll.FDS("EURUSD","FG_PRICE("&amp;B1664&amp;")")</f>
        <v>#NAME?</v>
      </c>
      <c r="D1664" t="e">
        <f ca="1">_xll.FDS("GBPUSD","FG_PRICE("&amp;B1664&amp;")")</f>
        <v>#NAME?</v>
      </c>
      <c r="E1664" t="e">
        <f ca="1">_xll.FDSB("JPYUSD","FG_PRICE("&amp;B1664&amp;")")</f>
        <v>#NAME?</v>
      </c>
    </row>
    <row r="1665" spans="2:5">
      <c r="B1665" s="244">
        <f t="shared" si="67"/>
        <v>45128</v>
      </c>
      <c r="C1665" s="245" t="e">
        <f ca="1">_xll.FDS("EURUSD","FG_PRICE("&amp;B1665&amp;")")</f>
        <v>#NAME?</v>
      </c>
      <c r="D1665" t="e">
        <f ca="1">_xll.FDS("GBPUSD","FG_PRICE("&amp;B1665&amp;")")</f>
        <v>#NAME?</v>
      </c>
      <c r="E1665" t="e">
        <f ca="1">_xll.FDSB("JPYUSD","FG_PRICE("&amp;B1665&amp;")")</f>
        <v>#NAME?</v>
      </c>
    </row>
    <row r="1666" spans="2:5">
      <c r="B1666" s="244">
        <f t="shared" si="67"/>
        <v>45129</v>
      </c>
      <c r="C1666" s="245" t="e">
        <f ca="1">_xll.FDS("EURUSD","FG_PRICE("&amp;B1666&amp;")")</f>
        <v>#NAME?</v>
      </c>
      <c r="D1666" t="e">
        <f ca="1">_xll.FDS("GBPUSD","FG_PRICE("&amp;B1666&amp;")")</f>
        <v>#NAME?</v>
      </c>
      <c r="E1666" t="e">
        <f ca="1">_xll.FDSB("JPYUSD","FG_PRICE("&amp;B1666&amp;")")</f>
        <v>#NAME?</v>
      </c>
    </row>
    <row r="1667" spans="2:5">
      <c r="B1667" s="244">
        <f t="shared" si="67"/>
        <v>45130</v>
      </c>
      <c r="C1667" s="245" t="e">
        <f ca="1">_xll.FDS("EURUSD","FG_PRICE("&amp;B1667&amp;")")</f>
        <v>#NAME?</v>
      </c>
      <c r="D1667" t="e">
        <f ca="1">_xll.FDS("GBPUSD","FG_PRICE("&amp;B1667&amp;")")</f>
        <v>#NAME?</v>
      </c>
      <c r="E1667" t="e">
        <f ca="1">_xll.FDSB("JPYUSD","FG_PRICE("&amp;B1667&amp;")")</f>
        <v>#NAME?</v>
      </c>
    </row>
    <row r="1668" spans="2:5">
      <c r="B1668" s="244">
        <f t="shared" si="67"/>
        <v>45131</v>
      </c>
      <c r="C1668" s="245" t="e">
        <f ca="1">_xll.FDS("EURUSD","FG_PRICE("&amp;B1668&amp;")")</f>
        <v>#NAME?</v>
      </c>
      <c r="D1668" t="e">
        <f ca="1">_xll.FDS("GBPUSD","FG_PRICE("&amp;B1668&amp;")")</f>
        <v>#NAME?</v>
      </c>
      <c r="E1668" t="e">
        <f ca="1">_xll.FDSB("JPYUSD","FG_PRICE("&amp;B1668&amp;")")</f>
        <v>#NAME?</v>
      </c>
    </row>
    <row r="1669" spans="2:5">
      <c r="B1669" s="244">
        <f t="shared" ref="B1669:B1732" si="68">B1668+1</f>
        <v>45132</v>
      </c>
      <c r="C1669" s="245" t="e">
        <f ca="1">_xll.FDS("EURUSD","FG_PRICE("&amp;B1669&amp;")")</f>
        <v>#NAME?</v>
      </c>
      <c r="D1669" t="e">
        <f ca="1">_xll.FDS("GBPUSD","FG_PRICE("&amp;B1669&amp;")")</f>
        <v>#NAME?</v>
      </c>
      <c r="E1669" t="e">
        <f ca="1">_xll.FDSB("JPYUSD","FG_PRICE("&amp;B1669&amp;")")</f>
        <v>#NAME?</v>
      </c>
    </row>
    <row r="1670" spans="2:5">
      <c r="B1670" s="244">
        <f t="shared" si="68"/>
        <v>45133</v>
      </c>
      <c r="C1670" s="245" t="e">
        <f ca="1">_xll.FDS("EURUSD","FG_PRICE("&amp;B1670&amp;")")</f>
        <v>#NAME?</v>
      </c>
      <c r="D1670" t="e">
        <f ca="1">_xll.FDS("GBPUSD","FG_PRICE("&amp;B1670&amp;")")</f>
        <v>#NAME?</v>
      </c>
      <c r="E1670" t="e">
        <f ca="1">_xll.FDSB("JPYUSD","FG_PRICE("&amp;B1670&amp;")")</f>
        <v>#NAME?</v>
      </c>
    </row>
    <row r="1671" spans="2:5">
      <c r="B1671" s="244">
        <f t="shared" si="68"/>
        <v>45134</v>
      </c>
      <c r="C1671" s="245" t="e">
        <f ca="1">_xll.FDS("EURUSD","FG_PRICE("&amp;B1671&amp;")")</f>
        <v>#NAME?</v>
      </c>
      <c r="D1671" t="e">
        <f ca="1">_xll.FDS("GBPUSD","FG_PRICE("&amp;B1671&amp;")")</f>
        <v>#NAME?</v>
      </c>
      <c r="E1671" t="e">
        <f ca="1">_xll.FDSB("JPYUSD","FG_PRICE("&amp;B1671&amp;")")</f>
        <v>#NAME?</v>
      </c>
    </row>
    <row r="1672" spans="2:5">
      <c r="B1672" s="244">
        <f t="shared" si="68"/>
        <v>45135</v>
      </c>
      <c r="C1672" s="245" t="e">
        <f ca="1">_xll.FDS("EURUSD","FG_PRICE("&amp;B1672&amp;")")</f>
        <v>#NAME?</v>
      </c>
      <c r="D1672" t="e">
        <f ca="1">_xll.FDS("GBPUSD","FG_PRICE("&amp;B1672&amp;")")</f>
        <v>#NAME?</v>
      </c>
      <c r="E1672" t="e">
        <f ca="1">_xll.FDSB("JPYUSD","FG_PRICE("&amp;B1672&amp;")")</f>
        <v>#NAME?</v>
      </c>
    </row>
    <row r="1673" spans="2:5">
      <c r="B1673" s="244">
        <f t="shared" si="68"/>
        <v>45136</v>
      </c>
      <c r="C1673" s="245" t="e">
        <f ca="1">_xll.FDS("EURUSD","FG_PRICE("&amp;B1673&amp;")")</f>
        <v>#NAME?</v>
      </c>
      <c r="D1673" t="e">
        <f ca="1">_xll.FDS("GBPUSD","FG_PRICE("&amp;B1673&amp;")")</f>
        <v>#NAME?</v>
      </c>
      <c r="E1673" t="e">
        <f ca="1">_xll.FDSB("JPYUSD","FG_PRICE("&amp;B1673&amp;")")</f>
        <v>#NAME?</v>
      </c>
    </row>
    <row r="1674" spans="2:5">
      <c r="B1674" s="244">
        <f t="shared" si="68"/>
        <v>45137</v>
      </c>
      <c r="C1674" s="245" t="e">
        <f ca="1">_xll.FDS("EURUSD","FG_PRICE("&amp;B1674&amp;")")</f>
        <v>#NAME?</v>
      </c>
      <c r="D1674" t="e">
        <f ca="1">_xll.FDS("GBPUSD","FG_PRICE("&amp;B1674&amp;")")</f>
        <v>#NAME?</v>
      </c>
      <c r="E1674" t="e">
        <f ca="1">_xll.FDSB("JPYUSD","FG_PRICE("&amp;B1674&amp;")")</f>
        <v>#NAME?</v>
      </c>
    </row>
    <row r="1675" spans="2:5">
      <c r="B1675" s="244">
        <f t="shared" si="68"/>
        <v>45138</v>
      </c>
      <c r="C1675" s="245" t="e">
        <f ca="1">_xll.FDS("EURUSD","FG_PRICE("&amp;B1675&amp;")")</f>
        <v>#NAME?</v>
      </c>
      <c r="D1675" t="e">
        <f ca="1">_xll.FDS("GBPUSD","FG_PRICE("&amp;B1675&amp;")")</f>
        <v>#NAME?</v>
      </c>
      <c r="E1675" t="e">
        <f ca="1">_xll.FDSB("JPYUSD","FG_PRICE("&amp;B1675&amp;")")</f>
        <v>#NAME?</v>
      </c>
    </row>
    <row r="1676" spans="2:5">
      <c r="B1676" s="244">
        <f t="shared" si="68"/>
        <v>45139</v>
      </c>
      <c r="C1676" s="245" t="e">
        <f ca="1">_xll.FDS("EURUSD","FG_PRICE("&amp;B1676&amp;")")</f>
        <v>#NAME?</v>
      </c>
      <c r="D1676" t="e">
        <f ca="1">_xll.FDS("GBPUSD","FG_PRICE("&amp;B1676&amp;")")</f>
        <v>#NAME?</v>
      </c>
      <c r="E1676" t="e">
        <f ca="1">_xll.FDSB("JPYUSD","FG_PRICE("&amp;B1676&amp;")")</f>
        <v>#NAME?</v>
      </c>
    </row>
    <row r="1677" spans="2:5">
      <c r="B1677" s="244">
        <f t="shared" si="68"/>
        <v>45140</v>
      </c>
      <c r="C1677" s="245" t="e">
        <f ca="1">_xll.FDS("EURUSD","FG_PRICE("&amp;B1677&amp;")")</f>
        <v>#NAME?</v>
      </c>
      <c r="D1677" t="e">
        <f ca="1">_xll.FDS("GBPUSD","FG_PRICE("&amp;B1677&amp;")")</f>
        <v>#NAME?</v>
      </c>
      <c r="E1677" t="e">
        <f ca="1">_xll.FDSB("JPYUSD","FG_PRICE("&amp;B1677&amp;")")</f>
        <v>#NAME?</v>
      </c>
    </row>
    <row r="1678" spans="2:5">
      <c r="B1678" s="244">
        <f t="shared" si="68"/>
        <v>45141</v>
      </c>
      <c r="C1678" s="245" t="e">
        <f ca="1">_xll.FDS("EURUSD","FG_PRICE("&amp;B1678&amp;")")</f>
        <v>#NAME?</v>
      </c>
      <c r="D1678" t="e">
        <f ca="1">_xll.FDS("GBPUSD","FG_PRICE("&amp;B1678&amp;")")</f>
        <v>#NAME?</v>
      </c>
      <c r="E1678" t="e">
        <f ca="1">_xll.FDSB("JPYUSD","FG_PRICE("&amp;B1678&amp;")")</f>
        <v>#NAME?</v>
      </c>
    </row>
    <row r="1679" spans="2:5">
      <c r="B1679" s="244">
        <f t="shared" si="68"/>
        <v>45142</v>
      </c>
      <c r="C1679" s="245" t="e">
        <f ca="1">_xll.FDS("EURUSD","FG_PRICE("&amp;B1679&amp;")")</f>
        <v>#NAME?</v>
      </c>
      <c r="D1679" t="e">
        <f ca="1">_xll.FDS("GBPUSD","FG_PRICE("&amp;B1679&amp;")")</f>
        <v>#NAME?</v>
      </c>
      <c r="E1679" t="e">
        <f ca="1">_xll.FDSB("JPYUSD","FG_PRICE("&amp;B1679&amp;")")</f>
        <v>#NAME?</v>
      </c>
    </row>
    <row r="1680" spans="2:5">
      <c r="B1680" s="244">
        <f t="shared" si="68"/>
        <v>45143</v>
      </c>
      <c r="C1680" s="245" t="e">
        <f ca="1">_xll.FDS("EURUSD","FG_PRICE("&amp;B1680&amp;")")</f>
        <v>#NAME?</v>
      </c>
      <c r="D1680" t="e">
        <f ca="1">_xll.FDS("GBPUSD","FG_PRICE("&amp;B1680&amp;")")</f>
        <v>#NAME?</v>
      </c>
      <c r="E1680" t="e">
        <f ca="1">_xll.FDSB("JPYUSD","FG_PRICE("&amp;B1680&amp;")")</f>
        <v>#NAME?</v>
      </c>
    </row>
    <row r="1681" spans="2:5">
      <c r="B1681" s="244">
        <f t="shared" si="68"/>
        <v>45144</v>
      </c>
      <c r="C1681" s="245" t="e">
        <f ca="1">_xll.FDS("EURUSD","FG_PRICE("&amp;B1681&amp;")")</f>
        <v>#NAME?</v>
      </c>
      <c r="D1681" t="e">
        <f ca="1">_xll.FDS("GBPUSD","FG_PRICE("&amp;B1681&amp;")")</f>
        <v>#NAME?</v>
      </c>
      <c r="E1681" t="e">
        <f ca="1">_xll.FDSB("JPYUSD","FG_PRICE("&amp;B1681&amp;")")</f>
        <v>#NAME?</v>
      </c>
    </row>
    <row r="1682" spans="2:5">
      <c r="B1682" s="244">
        <f t="shared" si="68"/>
        <v>45145</v>
      </c>
      <c r="C1682" s="245" t="e">
        <f ca="1">_xll.FDS("EURUSD","FG_PRICE("&amp;B1682&amp;")")</f>
        <v>#NAME?</v>
      </c>
      <c r="D1682" t="e">
        <f ca="1">_xll.FDS("GBPUSD","FG_PRICE("&amp;B1682&amp;")")</f>
        <v>#NAME?</v>
      </c>
      <c r="E1682" t="e">
        <f ca="1">_xll.FDSB("JPYUSD","FG_PRICE("&amp;B1682&amp;")")</f>
        <v>#NAME?</v>
      </c>
    </row>
    <row r="1683" spans="2:5">
      <c r="B1683" s="244">
        <f t="shared" si="68"/>
        <v>45146</v>
      </c>
      <c r="C1683" s="245" t="e">
        <f ca="1">_xll.FDS("EURUSD","FG_PRICE("&amp;B1683&amp;")")</f>
        <v>#NAME?</v>
      </c>
      <c r="D1683" t="e">
        <f ca="1">_xll.FDS("GBPUSD","FG_PRICE("&amp;B1683&amp;")")</f>
        <v>#NAME?</v>
      </c>
      <c r="E1683" t="e">
        <f ca="1">_xll.FDSB("JPYUSD","FG_PRICE("&amp;B1683&amp;")")</f>
        <v>#NAME?</v>
      </c>
    </row>
    <row r="1684" spans="2:5">
      <c r="B1684" s="244">
        <f t="shared" si="68"/>
        <v>45147</v>
      </c>
      <c r="C1684" s="245" t="e">
        <f ca="1">_xll.FDS("EURUSD","FG_PRICE("&amp;B1684&amp;")")</f>
        <v>#NAME?</v>
      </c>
      <c r="D1684" t="e">
        <f ca="1">_xll.FDS("GBPUSD","FG_PRICE("&amp;B1684&amp;")")</f>
        <v>#NAME?</v>
      </c>
      <c r="E1684" t="e">
        <f ca="1">_xll.FDSB("JPYUSD","FG_PRICE("&amp;B1684&amp;")")</f>
        <v>#NAME?</v>
      </c>
    </row>
    <row r="1685" spans="2:5">
      <c r="B1685" s="244">
        <f t="shared" si="68"/>
        <v>45148</v>
      </c>
      <c r="C1685" s="245" t="e">
        <f ca="1">_xll.FDS("EURUSD","FG_PRICE("&amp;B1685&amp;")")</f>
        <v>#NAME?</v>
      </c>
      <c r="D1685" t="e">
        <f ca="1">_xll.FDS("GBPUSD","FG_PRICE("&amp;B1685&amp;")")</f>
        <v>#NAME?</v>
      </c>
      <c r="E1685" t="e">
        <f ca="1">_xll.FDSB("JPYUSD","FG_PRICE("&amp;B1685&amp;")")</f>
        <v>#NAME?</v>
      </c>
    </row>
    <row r="1686" spans="2:5">
      <c r="B1686" s="244">
        <f t="shared" si="68"/>
        <v>45149</v>
      </c>
      <c r="C1686" s="245" t="e">
        <f ca="1">_xll.FDS("EURUSD","FG_PRICE("&amp;B1686&amp;")")</f>
        <v>#NAME?</v>
      </c>
      <c r="D1686" t="e">
        <f ca="1">_xll.FDS("GBPUSD","FG_PRICE("&amp;B1686&amp;")")</f>
        <v>#NAME?</v>
      </c>
      <c r="E1686" t="e">
        <f ca="1">_xll.FDSB("JPYUSD","FG_PRICE("&amp;B1686&amp;")")</f>
        <v>#NAME?</v>
      </c>
    </row>
    <row r="1687" spans="2:5">
      <c r="B1687" s="244">
        <f t="shared" si="68"/>
        <v>45150</v>
      </c>
      <c r="C1687" s="245" t="e">
        <f ca="1">_xll.FDS("EURUSD","FG_PRICE("&amp;B1687&amp;")")</f>
        <v>#NAME?</v>
      </c>
      <c r="D1687" t="e">
        <f ca="1">_xll.FDS("GBPUSD","FG_PRICE("&amp;B1687&amp;")")</f>
        <v>#NAME?</v>
      </c>
      <c r="E1687" t="e">
        <f ca="1">_xll.FDSB("JPYUSD","FG_PRICE("&amp;B1687&amp;")")</f>
        <v>#NAME?</v>
      </c>
    </row>
    <row r="1688" spans="2:5">
      <c r="B1688" s="244">
        <f t="shared" si="68"/>
        <v>45151</v>
      </c>
      <c r="C1688" s="245" t="e">
        <f ca="1">_xll.FDS("EURUSD","FG_PRICE("&amp;B1688&amp;")")</f>
        <v>#NAME?</v>
      </c>
      <c r="D1688" t="e">
        <f ca="1">_xll.FDS("GBPUSD","FG_PRICE("&amp;B1688&amp;")")</f>
        <v>#NAME?</v>
      </c>
      <c r="E1688" t="e">
        <f ca="1">_xll.FDSB("JPYUSD","FG_PRICE("&amp;B1688&amp;")")</f>
        <v>#NAME?</v>
      </c>
    </row>
    <row r="1689" spans="2:5">
      <c r="B1689" s="244">
        <f t="shared" si="68"/>
        <v>45152</v>
      </c>
      <c r="C1689" s="245" t="e">
        <f ca="1">_xll.FDS("EURUSD","FG_PRICE("&amp;B1689&amp;")")</f>
        <v>#NAME?</v>
      </c>
      <c r="D1689" t="e">
        <f ca="1">_xll.FDS("GBPUSD","FG_PRICE("&amp;B1689&amp;")")</f>
        <v>#NAME?</v>
      </c>
      <c r="E1689" t="e">
        <f ca="1">_xll.FDSB("JPYUSD","FG_PRICE("&amp;B1689&amp;")")</f>
        <v>#NAME?</v>
      </c>
    </row>
    <row r="1690" spans="2:5">
      <c r="B1690" s="244">
        <f t="shared" si="68"/>
        <v>45153</v>
      </c>
      <c r="C1690" s="245" t="e">
        <f ca="1">_xll.FDS("EURUSD","FG_PRICE("&amp;B1690&amp;")")</f>
        <v>#NAME?</v>
      </c>
      <c r="D1690" t="e">
        <f ca="1">_xll.FDS("GBPUSD","FG_PRICE("&amp;B1690&amp;")")</f>
        <v>#NAME?</v>
      </c>
      <c r="E1690" t="e">
        <f ca="1">_xll.FDSB("JPYUSD","FG_PRICE("&amp;B1690&amp;")")</f>
        <v>#NAME?</v>
      </c>
    </row>
    <row r="1691" spans="2:5">
      <c r="B1691" s="244">
        <f t="shared" si="68"/>
        <v>45154</v>
      </c>
      <c r="C1691" s="245" t="e">
        <f ca="1">_xll.FDS("EURUSD","FG_PRICE("&amp;B1691&amp;")")</f>
        <v>#NAME?</v>
      </c>
      <c r="D1691" t="e">
        <f ca="1">_xll.FDS("GBPUSD","FG_PRICE("&amp;B1691&amp;")")</f>
        <v>#NAME?</v>
      </c>
      <c r="E1691" t="e">
        <f ca="1">_xll.FDSB("JPYUSD","FG_PRICE("&amp;B1691&amp;")")</f>
        <v>#NAME?</v>
      </c>
    </row>
    <row r="1692" spans="2:5">
      <c r="B1692" s="244">
        <f t="shared" si="68"/>
        <v>45155</v>
      </c>
      <c r="C1692" s="245" t="e">
        <f ca="1">_xll.FDS("EURUSD","FG_PRICE("&amp;B1692&amp;")")</f>
        <v>#NAME?</v>
      </c>
      <c r="D1692" t="e">
        <f ca="1">_xll.FDS("GBPUSD","FG_PRICE("&amp;B1692&amp;")")</f>
        <v>#NAME?</v>
      </c>
      <c r="E1692" t="e">
        <f ca="1">_xll.FDSB("JPYUSD","FG_PRICE("&amp;B1692&amp;")")</f>
        <v>#NAME?</v>
      </c>
    </row>
    <row r="1693" spans="2:5">
      <c r="B1693" s="244">
        <f t="shared" si="68"/>
        <v>45156</v>
      </c>
      <c r="C1693" s="245" t="e">
        <f ca="1">_xll.FDS("EURUSD","FG_PRICE("&amp;B1693&amp;")")</f>
        <v>#NAME?</v>
      </c>
      <c r="D1693" t="e">
        <f ca="1">_xll.FDS("GBPUSD","FG_PRICE("&amp;B1693&amp;")")</f>
        <v>#NAME?</v>
      </c>
      <c r="E1693" t="e">
        <f ca="1">_xll.FDSB("JPYUSD","FG_PRICE("&amp;B1693&amp;")")</f>
        <v>#NAME?</v>
      </c>
    </row>
    <row r="1694" spans="2:5">
      <c r="B1694" s="244">
        <f t="shared" si="68"/>
        <v>45157</v>
      </c>
      <c r="C1694" s="245" t="e">
        <f ca="1">_xll.FDS("EURUSD","FG_PRICE("&amp;B1694&amp;")")</f>
        <v>#NAME?</v>
      </c>
      <c r="D1694" t="e">
        <f ca="1">_xll.FDS("GBPUSD","FG_PRICE("&amp;B1694&amp;")")</f>
        <v>#NAME?</v>
      </c>
      <c r="E1694" t="e">
        <f ca="1">_xll.FDSB("JPYUSD","FG_PRICE("&amp;B1694&amp;")")</f>
        <v>#NAME?</v>
      </c>
    </row>
    <row r="1695" spans="2:5">
      <c r="B1695" s="244">
        <f t="shared" si="68"/>
        <v>45158</v>
      </c>
      <c r="C1695" s="245" t="e">
        <f ca="1">_xll.FDS("EURUSD","FG_PRICE("&amp;B1695&amp;")")</f>
        <v>#NAME?</v>
      </c>
      <c r="D1695" t="e">
        <f ca="1">_xll.FDS("GBPUSD","FG_PRICE("&amp;B1695&amp;")")</f>
        <v>#NAME?</v>
      </c>
      <c r="E1695" t="e">
        <f ca="1">_xll.FDSB("JPYUSD","FG_PRICE("&amp;B1695&amp;")")</f>
        <v>#NAME?</v>
      </c>
    </row>
    <row r="1696" spans="2:5">
      <c r="B1696" s="244">
        <f t="shared" si="68"/>
        <v>45159</v>
      </c>
      <c r="C1696" s="245" t="e">
        <f ca="1">_xll.FDS("EURUSD","FG_PRICE("&amp;B1696&amp;")")</f>
        <v>#NAME?</v>
      </c>
      <c r="D1696" t="e">
        <f ca="1">_xll.FDS("GBPUSD","FG_PRICE("&amp;B1696&amp;")")</f>
        <v>#NAME?</v>
      </c>
      <c r="E1696" t="e">
        <f ca="1">_xll.FDSB("JPYUSD","FG_PRICE("&amp;B1696&amp;")")</f>
        <v>#NAME?</v>
      </c>
    </row>
    <row r="1697" spans="2:5">
      <c r="B1697" s="244">
        <f t="shared" si="68"/>
        <v>45160</v>
      </c>
      <c r="C1697" s="245" t="e">
        <f ca="1">_xll.FDS("EURUSD","FG_PRICE("&amp;B1697&amp;")")</f>
        <v>#NAME?</v>
      </c>
      <c r="D1697" t="e">
        <f ca="1">_xll.FDS("GBPUSD","FG_PRICE("&amp;B1697&amp;")")</f>
        <v>#NAME?</v>
      </c>
      <c r="E1697" t="e">
        <f ca="1">_xll.FDSB("JPYUSD","FG_PRICE("&amp;B1697&amp;")")</f>
        <v>#NAME?</v>
      </c>
    </row>
    <row r="1698" spans="2:5">
      <c r="B1698" s="244">
        <f t="shared" si="68"/>
        <v>45161</v>
      </c>
      <c r="C1698" s="245" t="e">
        <f ca="1">_xll.FDS("EURUSD","FG_PRICE("&amp;B1698&amp;")")</f>
        <v>#NAME?</v>
      </c>
      <c r="D1698" t="e">
        <f ca="1">_xll.FDS("GBPUSD","FG_PRICE("&amp;B1698&amp;")")</f>
        <v>#NAME?</v>
      </c>
      <c r="E1698" t="e">
        <f ca="1">_xll.FDSB("JPYUSD","FG_PRICE("&amp;B1698&amp;")")</f>
        <v>#NAME?</v>
      </c>
    </row>
    <row r="1699" spans="2:5">
      <c r="B1699" s="244">
        <f t="shared" si="68"/>
        <v>45162</v>
      </c>
      <c r="C1699" s="245" t="e">
        <f ca="1">_xll.FDS("EURUSD","FG_PRICE("&amp;B1699&amp;")")</f>
        <v>#NAME?</v>
      </c>
      <c r="D1699" t="e">
        <f ca="1">_xll.FDS("GBPUSD","FG_PRICE("&amp;B1699&amp;")")</f>
        <v>#NAME?</v>
      </c>
      <c r="E1699" t="e">
        <f ca="1">_xll.FDSB("JPYUSD","FG_PRICE("&amp;B1699&amp;")")</f>
        <v>#NAME?</v>
      </c>
    </row>
    <row r="1700" spans="2:5">
      <c r="B1700" s="244">
        <f t="shared" si="68"/>
        <v>45163</v>
      </c>
      <c r="C1700" s="245" t="e">
        <f ca="1">_xll.FDS("EURUSD","FG_PRICE("&amp;B1700&amp;")")</f>
        <v>#NAME?</v>
      </c>
      <c r="D1700" t="e">
        <f ca="1">_xll.FDS("GBPUSD","FG_PRICE("&amp;B1700&amp;")")</f>
        <v>#NAME?</v>
      </c>
      <c r="E1700" t="e">
        <f ca="1">_xll.FDSB("JPYUSD","FG_PRICE("&amp;B1700&amp;")")</f>
        <v>#NAME?</v>
      </c>
    </row>
    <row r="1701" spans="2:5">
      <c r="B1701" s="244">
        <f t="shared" si="68"/>
        <v>45164</v>
      </c>
      <c r="C1701" s="245" t="e">
        <f ca="1">_xll.FDS("EURUSD","FG_PRICE("&amp;B1701&amp;")")</f>
        <v>#NAME?</v>
      </c>
      <c r="D1701" t="e">
        <f ca="1">_xll.FDS("GBPUSD","FG_PRICE("&amp;B1701&amp;")")</f>
        <v>#NAME?</v>
      </c>
      <c r="E1701" t="e">
        <f ca="1">_xll.FDSB("JPYUSD","FG_PRICE("&amp;B1701&amp;")")</f>
        <v>#NAME?</v>
      </c>
    </row>
    <row r="1702" spans="2:5">
      <c r="B1702" s="244">
        <f t="shared" si="68"/>
        <v>45165</v>
      </c>
      <c r="C1702" s="245" t="e">
        <f ca="1">_xll.FDS("EURUSD","FG_PRICE("&amp;B1702&amp;")")</f>
        <v>#NAME?</v>
      </c>
      <c r="D1702" t="e">
        <f ca="1">_xll.FDS("GBPUSD","FG_PRICE("&amp;B1702&amp;")")</f>
        <v>#NAME?</v>
      </c>
      <c r="E1702" t="e">
        <f ca="1">_xll.FDSB("JPYUSD","FG_PRICE("&amp;B1702&amp;")")</f>
        <v>#NAME?</v>
      </c>
    </row>
    <row r="1703" spans="2:5">
      <c r="B1703" s="244">
        <f t="shared" si="68"/>
        <v>45166</v>
      </c>
      <c r="C1703" s="245" t="e">
        <f ca="1">_xll.FDS("EURUSD","FG_PRICE("&amp;B1703&amp;")")</f>
        <v>#NAME?</v>
      </c>
      <c r="D1703" t="e">
        <f ca="1">_xll.FDS("GBPUSD","FG_PRICE("&amp;B1703&amp;")")</f>
        <v>#NAME?</v>
      </c>
      <c r="E1703" t="e">
        <f ca="1">_xll.FDSB("JPYUSD","FG_PRICE("&amp;B1703&amp;")")</f>
        <v>#NAME?</v>
      </c>
    </row>
    <row r="1704" spans="2:5">
      <c r="B1704" s="244">
        <f t="shared" si="68"/>
        <v>45167</v>
      </c>
      <c r="C1704" s="245" t="e">
        <f ca="1">_xll.FDS("EURUSD","FG_PRICE("&amp;B1704&amp;")")</f>
        <v>#NAME?</v>
      </c>
      <c r="D1704" t="e">
        <f ca="1">_xll.FDS("GBPUSD","FG_PRICE("&amp;B1704&amp;")")</f>
        <v>#NAME?</v>
      </c>
      <c r="E1704" t="e">
        <f ca="1">_xll.FDSB("JPYUSD","FG_PRICE("&amp;B1704&amp;")")</f>
        <v>#NAME?</v>
      </c>
    </row>
    <row r="1705" spans="2:5">
      <c r="B1705" s="244">
        <f t="shared" si="68"/>
        <v>45168</v>
      </c>
      <c r="C1705" s="245" t="e">
        <f ca="1">_xll.FDS("EURUSD","FG_PRICE("&amp;B1705&amp;")")</f>
        <v>#NAME?</v>
      </c>
      <c r="D1705" t="e">
        <f ca="1">_xll.FDS("GBPUSD","FG_PRICE("&amp;B1705&amp;")")</f>
        <v>#NAME?</v>
      </c>
      <c r="E1705" t="e">
        <f ca="1">_xll.FDSB("JPYUSD","FG_PRICE("&amp;B1705&amp;")")</f>
        <v>#NAME?</v>
      </c>
    </row>
    <row r="1706" spans="2:5">
      <c r="B1706" s="244">
        <f t="shared" si="68"/>
        <v>45169</v>
      </c>
      <c r="C1706" s="245" t="e">
        <f ca="1">_xll.FDS("EURUSD","FG_PRICE("&amp;B1706&amp;")")</f>
        <v>#NAME?</v>
      </c>
      <c r="D1706" t="e">
        <f ca="1">_xll.FDS("GBPUSD","FG_PRICE("&amp;B1706&amp;")")</f>
        <v>#NAME?</v>
      </c>
      <c r="E1706" t="e">
        <f ca="1">_xll.FDSB("JPYUSD","FG_PRICE("&amp;B1706&amp;")")</f>
        <v>#NAME?</v>
      </c>
    </row>
    <row r="1707" spans="2:5">
      <c r="B1707" s="244">
        <f t="shared" si="68"/>
        <v>45170</v>
      </c>
      <c r="C1707" s="245" t="e">
        <f ca="1">_xll.FDS("EURUSD","FG_PRICE("&amp;B1707&amp;")")</f>
        <v>#NAME?</v>
      </c>
      <c r="D1707" t="e">
        <f ca="1">_xll.FDS("GBPUSD","FG_PRICE("&amp;B1707&amp;")")</f>
        <v>#NAME?</v>
      </c>
      <c r="E1707" t="e">
        <f ca="1">_xll.FDSB("JPYUSD","FG_PRICE("&amp;B1707&amp;")")</f>
        <v>#NAME?</v>
      </c>
    </row>
    <row r="1708" spans="2:5">
      <c r="B1708" s="244">
        <f t="shared" si="68"/>
        <v>45171</v>
      </c>
      <c r="C1708" s="245" t="e">
        <f ca="1">_xll.FDS("EURUSD","FG_PRICE("&amp;B1708&amp;")")</f>
        <v>#NAME?</v>
      </c>
      <c r="D1708" t="e">
        <f ca="1">_xll.FDS("GBPUSD","FG_PRICE("&amp;B1708&amp;")")</f>
        <v>#NAME?</v>
      </c>
      <c r="E1708" t="e">
        <f ca="1">_xll.FDSB("JPYUSD","FG_PRICE("&amp;B1708&amp;")")</f>
        <v>#NAME?</v>
      </c>
    </row>
    <row r="1709" spans="2:5">
      <c r="B1709" s="244">
        <f t="shared" si="68"/>
        <v>45172</v>
      </c>
      <c r="C1709" s="245" t="e">
        <f ca="1">_xll.FDS("EURUSD","FG_PRICE("&amp;B1709&amp;")")</f>
        <v>#NAME?</v>
      </c>
      <c r="D1709" t="e">
        <f ca="1">_xll.FDS("GBPUSD","FG_PRICE("&amp;B1709&amp;")")</f>
        <v>#NAME?</v>
      </c>
      <c r="E1709" t="e">
        <f ca="1">_xll.FDSB("JPYUSD","FG_PRICE("&amp;B1709&amp;")")</f>
        <v>#NAME?</v>
      </c>
    </row>
    <row r="1710" spans="2:5">
      <c r="B1710" s="244">
        <f t="shared" si="68"/>
        <v>45173</v>
      </c>
      <c r="C1710" s="245" t="e">
        <f ca="1">_xll.FDS("EURUSD","FG_PRICE("&amp;B1710&amp;")")</f>
        <v>#NAME?</v>
      </c>
      <c r="D1710" t="e">
        <f ca="1">_xll.FDS("GBPUSD","FG_PRICE("&amp;B1710&amp;")")</f>
        <v>#NAME?</v>
      </c>
      <c r="E1710" t="e">
        <f ca="1">_xll.FDSB("JPYUSD","FG_PRICE("&amp;B1710&amp;")")</f>
        <v>#NAME?</v>
      </c>
    </row>
    <row r="1711" spans="2:5">
      <c r="B1711" s="244">
        <f t="shared" si="68"/>
        <v>45174</v>
      </c>
      <c r="C1711" s="245" t="e">
        <f ca="1">_xll.FDS("EURUSD","FG_PRICE("&amp;B1711&amp;")")</f>
        <v>#NAME?</v>
      </c>
      <c r="D1711" t="e">
        <f ca="1">_xll.FDS("GBPUSD","FG_PRICE("&amp;B1711&amp;")")</f>
        <v>#NAME?</v>
      </c>
      <c r="E1711" t="e">
        <f ca="1">_xll.FDSB("JPYUSD","FG_PRICE("&amp;B1711&amp;")")</f>
        <v>#NAME?</v>
      </c>
    </row>
    <row r="1712" spans="2:5">
      <c r="B1712" s="244">
        <f t="shared" si="68"/>
        <v>45175</v>
      </c>
      <c r="C1712" s="245" t="e">
        <f ca="1">_xll.FDS("EURUSD","FG_PRICE("&amp;B1712&amp;")")</f>
        <v>#NAME?</v>
      </c>
      <c r="D1712" t="e">
        <f ca="1">_xll.FDS("GBPUSD","FG_PRICE("&amp;B1712&amp;")")</f>
        <v>#NAME?</v>
      </c>
      <c r="E1712" t="e">
        <f ca="1">_xll.FDSB("JPYUSD","FG_PRICE("&amp;B1712&amp;")")</f>
        <v>#NAME?</v>
      </c>
    </row>
    <row r="1713" spans="2:5">
      <c r="B1713" s="244">
        <f t="shared" si="68"/>
        <v>45176</v>
      </c>
      <c r="C1713" s="245" t="e">
        <f ca="1">_xll.FDS("EURUSD","FG_PRICE("&amp;B1713&amp;")")</f>
        <v>#NAME?</v>
      </c>
      <c r="D1713" t="e">
        <f ca="1">_xll.FDS("GBPUSD","FG_PRICE("&amp;B1713&amp;")")</f>
        <v>#NAME?</v>
      </c>
      <c r="E1713" t="e">
        <f ca="1">_xll.FDSB("JPYUSD","FG_PRICE("&amp;B1713&amp;")")</f>
        <v>#NAME?</v>
      </c>
    </row>
    <row r="1714" spans="2:5">
      <c r="B1714" s="244">
        <f t="shared" si="68"/>
        <v>45177</v>
      </c>
      <c r="C1714" s="245" t="e">
        <f ca="1">_xll.FDS("EURUSD","FG_PRICE("&amp;B1714&amp;")")</f>
        <v>#NAME?</v>
      </c>
      <c r="D1714" t="e">
        <f ca="1">_xll.FDS("GBPUSD","FG_PRICE("&amp;B1714&amp;")")</f>
        <v>#NAME?</v>
      </c>
      <c r="E1714" t="e">
        <f ca="1">_xll.FDSB("JPYUSD","FG_PRICE("&amp;B1714&amp;")")</f>
        <v>#NAME?</v>
      </c>
    </row>
    <row r="1715" spans="2:5">
      <c r="B1715" s="244">
        <f t="shared" si="68"/>
        <v>45178</v>
      </c>
      <c r="C1715" s="245" t="e">
        <f ca="1">_xll.FDS("EURUSD","FG_PRICE("&amp;B1715&amp;")")</f>
        <v>#NAME?</v>
      </c>
      <c r="D1715" t="e">
        <f ca="1">_xll.FDS("GBPUSD","FG_PRICE("&amp;B1715&amp;")")</f>
        <v>#NAME?</v>
      </c>
      <c r="E1715" t="e">
        <f ca="1">_xll.FDSB("JPYUSD","FG_PRICE("&amp;B1715&amp;")")</f>
        <v>#NAME?</v>
      </c>
    </row>
    <row r="1716" spans="2:5">
      <c r="B1716" s="244">
        <f t="shared" si="68"/>
        <v>45179</v>
      </c>
      <c r="C1716" s="245" t="e">
        <f ca="1">_xll.FDS("EURUSD","FG_PRICE("&amp;B1716&amp;")")</f>
        <v>#NAME?</v>
      </c>
      <c r="D1716" t="e">
        <f ca="1">_xll.FDS("GBPUSD","FG_PRICE("&amp;B1716&amp;")")</f>
        <v>#NAME?</v>
      </c>
      <c r="E1716" t="e">
        <f ca="1">_xll.FDSB("JPYUSD","FG_PRICE("&amp;B1716&amp;")")</f>
        <v>#NAME?</v>
      </c>
    </row>
    <row r="1717" spans="2:5">
      <c r="B1717" s="244">
        <f t="shared" si="68"/>
        <v>45180</v>
      </c>
      <c r="C1717" s="245" t="e">
        <f ca="1">_xll.FDS("EURUSD","FG_PRICE("&amp;B1717&amp;")")</f>
        <v>#NAME?</v>
      </c>
      <c r="D1717" t="e">
        <f ca="1">_xll.FDS("GBPUSD","FG_PRICE("&amp;B1717&amp;")")</f>
        <v>#NAME?</v>
      </c>
      <c r="E1717" t="e">
        <f ca="1">_xll.FDSB("JPYUSD","FG_PRICE("&amp;B1717&amp;")")</f>
        <v>#NAME?</v>
      </c>
    </row>
    <row r="1718" spans="2:5">
      <c r="B1718" s="244">
        <f t="shared" si="68"/>
        <v>45181</v>
      </c>
      <c r="C1718" s="245" t="e">
        <f ca="1">_xll.FDS("EURUSD","FG_PRICE("&amp;B1718&amp;")")</f>
        <v>#NAME?</v>
      </c>
      <c r="D1718" t="e">
        <f ca="1">_xll.FDS("GBPUSD","FG_PRICE("&amp;B1718&amp;")")</f>
        <v>#NAME?</v>
      </c>
      <c r="E1718" t="e">
        <f ca="1">_xll.FDSB("JPYUSD","FG_PRICE("&amp;B1718&amp;")")</f>
        <v>#NAME?</v>
      </c>
    </row>
    <row r="1719" spans="2:5">
      <c r="B1719" s="244">
        <f t="shared" si="68"/>
        <v>45182</v>
      </c>
      <c r="C1719" s="245" t="e">
        <f ca="1">_xll.FDS("EURUSD","FG_PRICE("&amp;B1719&amp;")")</f>
        <v>#NAME?</v>
      </c>
      <c r="D1719" t="e">
        <f ca="1">_xll.FDS("GBPUSD","FG_PRICE("&amp;B1719&amp;")")</f>
        <v>#NAME?</v>
      </c>
      <c r="E1719" t="e">
        <f ca="1">_xll.FDSB("JPYUSD","FG_PRICE("&amp;B1719&amp;")")</f>
        <v>#NAME?</v>
      </c>
    </row>
    <row r="1720" spans="2:5">
      <c r="B1720" s="244">
        <f t="shared" si="68"/>
        <v>45183</v>
      </c>
      <c r="C1720" s="245" t="e">
        <f ca="1">_xll.FDS("EURUSD","FG_PRICE("&amp;B1720&amp;")")</f>
        <v>#NAME?</v>
      </c>
      <c r="D1720" t="e">
        <f ca="1">_xll.FDS("GBPUSD","FG_PRICE("&amp;B1720&amp;")")</f>
        <v>#NAME?</v>
      </c>
      <c r="E1720" t="e">
        <f ca="1">_xll.FDSB("JPYUSD","FG_PRICE("&amp;B1720&amp;")")</f>
        <v>#NAME?</v>
      </c>
    </row>
    <row r="1721" spans="2:5">
      <c r="B1721" s="244">
        <f t="shared" si="68"/>
        <v>45184</v>
      </c>
      <c r="C1721" s="245" t="e">
        <f ca="1">_xll.FDS("EURUSD","FG_PRICE("&amp;B1721&amp;")")</f>
        <v>#NAME?</v>
      </c>
      <c r="D1721" t="e">
        <f ca="1">_xll.FDS("GBPUSD","FG_PRICE("&amp;B1721&amp;")")</f>
        <v>#NAME?</v>
      </c>
      <c r="E1721" t="e">
        <f ca="1">_xll.FDSB("JPYUSD","FG_PRICE("&amp;B1721&amp;")")</f>
        <v>#NAME?</v>
      </c>
    </row>
    <row r="1722" spans="2:5">
      <c r="B1722" s="244">
        <f t="shared" si="68"/>
        <v>45185</v>
      </c>
      <c r="C1722" s="245" t="e">
        <f ca="1">_xll.FDS("EURUSD","FG_PRICE("&amp;B1722&amp;")")</f>
        <v>#NAME?</v>
      </c>
      <c r="D1722" t="e">
        <f ca="1">_xll.FDS("GBPUSD","FG_PRICE("&amp;B1722&amp;")")</f>
        <v>#NAME?</v>
      </c>
      <c r="E1722" t="e">
        <f ca="1">_xll.FDSB("JPYUSD","FG_PRICE("&amp;B1722&amp;")")</f>
        <v>#NAME?</v>
      </c>
    </row>
    <row r="1723" spans="2:5">
      <c r="B1723" s="244">
        <f t="shared" si="68"/>
        <v>45186</v>
      </c>
      <c r="C1723" s="245" t="e">
        <f ca="1">_xll.FDS("EURUSD","FG_PRICE("&amp;B1723&amp;")")</f>
        <v>#NAME?</v>
      </c>
      <c r="D1723" t="e">
        <f ca="1">_xll.FDS("GBPUSD","FG_PRICE("&amp;B1723&amp;")")</f>
        <v>#NAME?</v>
      </c>
      <c r="E1723" t="e">
        <f ca="1">_xll.FDSB("JPYUSD","FG_PRICE("&amp;B1723&amp;")")</f>
        <v>#NAME?</v>
      </c>
    </row>
    <row r="1724" spans="2:5">
      <c r="B1724" s="244">
        <f t="shared" si="68"/>
        <v>45187</v>
      </c>
      <c r="C1724" s="245" t="e">
        <f ca="1">_xll.FDS("EURUSD","FG_PRICE("&amp;B1724&amp;")")</f>
        <v>#NAME?</v>
      </c>
      <c r="D1724" t="e">
        <f ca="1">_xll.FDS("GBPUSD","FG_PRICE("&amp;B1724&amp;")")</f>
        <v>#NAME?</v>
      </c>
      <c r="E1724" t="e">
        <f ca="1">_xll.FDSB("JPYUSD","FG_PRICE("&amp;B1724&amp;")")</f>
        <v>#NAME?</v>
      </c>
    </row>
    <row r="1725" spans="2:5">
      <c r="B1725" s="244">
        <f t="shared" si="68"/>
        <v>45188</v>
      </c>
      <c r="C1725" s="245" t="e">
        <f ca="1">_xll.FDS("EURUSD","FG_PRICE("&amp;B1725&amp;")")</f>
        <v>#NAME?</v>
      </c>
      <c r="D1725" t="e">
        <f ca="1">_xll.FDS("GBPUSD","FG_PRICE("&amp;B1725&amp;")")</f>
        <v>#NAME?</v>
      </c>
      <c r="E1725" t="e">
        <f ca="1">_xll.FDSB("JPYUSD","FG_PRICE("&amp;B1725&amp;")")</f>
        <v>#NAME?</v>
      </c>
    </row>
    <row r="1726" spans="2:5">
      <c r="B1726" s="244">
        <f t="shared" si="68"/>
        <v>45189</v>
      </c>
      <c r="C1726" s="245" t="e">
        <f ca="1">_xll.FDS("EURUSD","FG_PRICE("&amp;B1726&amp;")")</f>
        <v>#NAME?</v>
      </c>
      <c r="D1726" t="e">
        <f ca="1">_xll.FDS("GBPUSD","FG_PRICE("&amp;B1726&amp;")")</f>
        <v>#NAME?</v>
      </c>
      <c r="E1726" t="e">
        <f ca="1">_xll.FDSB("JPYUSD","FG_PRICE("&amp;B1726&amp;")")</f>
        <v>#NAME?</v>
      </c>
    </row>
    <row r="1727" spans="2:5">
      <c r="B1727" s="244">
        <f t="shared" si="68"/>
        <v>45190</v>
      </c>
      <c r="C1727" s="245" t="e">
        <f ca="1">_xll.FDS("EURUSD","FG_PRICE("&amp;B1727&amp;")")</f>
        <v>#NAME?</v>
      </c>
      <c r="D1727" t="e">
        <f ca="1">_xll.FDS("GBPUSD","FG_PRICE("&amp;B1727&amp;")")</f>
        <v>#NAME?</v>
      </c>
      <c r="E1727" t="e">
        <f ca="1">_xll.FDSB("JPYUSD","FG_PRICE("&amp;B1727&amp;")")</f>
        <v>#NAME?</v>
      </c>
    </row>
    <row r="1728" spans="2:5">
      <c r="B1728" s="244">
        <f t="shared" si="68"/>
        <v>45191</v>
      </c>
      <c r="C1728" s="245" t="e">
        <f ca="1">_xll.FDS("EURUSD","FG_PRICE("&amp;B1728&amp;")")</f>
        <v>#NAME?</v>
      </c>
      <c r="D1728" t="e">
        <f ca="1">_xll.FDS("GBPUSD","FG_PRICE("&amp;B1728&amp;")")</f>
        <v>#NAME?</v>
      </c>
      <c r="E1728" t="e">
        <f ca="1">_xll.FDSB("JPYUSD","FG_PRICE("&amp;B1728&amp;")")</f>
        <v>#NAME?</v>
      </c>
    </row>
    <row r="1729" spans="2:5">
      <c r="B1729" s="244">
        <f t="shared" si="68"/>
        <v>45192</v>
      </c>
      <c r="C1729" s="245" t="e">
        <f ca="1">_xll.FDS("EURUSD","FG_PRICE("&amp;B1729&amp;")")</f>
        <v>#NAME?</v>
      </c>
      <c r="D1729" t="e">
        <f ca="1">_xll.FDS("GBPUSD","FG_PRICE("&amp;B1729&amp;")")</f>
        <v>#NAME?</v>
      </c>
      <c r="E1729" t="e">
        <f ca="1">_xll.FDSB("JPYUSD","FG_PRICE("&amp;B1729&amp;")")</f>
        <v>#NAME?</v>
      </c>
    </row>
    <row r="1730" spans="2:5">
      <c r="B1730" s="244">
        <f t="shared" si="68"/>
        <v>45193</v>
      </c>
      <c r="C1730" s="245" t="e">
        <f ca="1">_xll.FDS("EURUSD","FG_PRICE("&amp;B1730&amp;")")</f>
        <v>#NAME?</v>
      </c>
      <c r="D1730" t="e">
        <f ca="1">_xll.FDS("GBPUSD","FG_PRICE("&amp;B1730&amp;")")</f>
        <v>#NAME?</v>
      </c>
      <c r="E1730" t="e">
        <f ca="1">_xll.FDSB("JPYUSD","FG_PRICE("&amp;B1730&amp;")")</f>
        <v>#NAME?</v>
      </c>
    </row>
    <row r="1731" spans="2:5">
      <c r="B1731" s="244">
        <f t="shared" si="68"/>
        <v>45194</v>
      </c>
      <c r="C1731" s="245" t="e">
        <f ca="1">_xll.FDS("EURUSD","FG_PRICE("&amp;B1731&amp;")")</f>
        <v>#NAME?</v>
      </c>
      <c r="D1731" t="e">
        <f ca="1">_xll.FDS("GBPUSD","FG_PRICE("&amp;B1731&amp;")")</f>
        <v>#NAME?</v>
      </c>
      <c r="E1731" t="e">
        <f ca="1">_xll.FDSB("JPYUSD","FG_PRICE("&amp;B1731&amp;")")</f>
        <v>#NAME?</v>
      </c>
    </row>
    <row r="1732" spans="2:5">
      <c r="B1732" s="244">
        <f t="shared" si="68"/>
        <v>45195</v>
      </c>
      <c r="C1732" s="245" t="e">
        <f ca="1">_xll.FDS("EURUSD","FG_PRICE("&amp;B1732&amp;")")</f>
        <v>#NAME?</v>
      </c>
      <c r="D1732" t="e">
        <f ca="1">_xll.FDS("GBPUSD","FG_PRICE("&amp;B1732&amp;")")</f>
        <v>#NAME?</v>
      </c>
      <c r="E1732" t="e">
        <f ca="1">_xll.FDSB("JPYUSD","FG_PRICE("&amp;B1732&amp;")")</f>
        <v>#NAME?</v>
      </c>
    </row>
    <row r="1733" spans="2:5">
      <c r="B1733" s="244">
        <f t="shared" ref="B1733:B1796" si="69">B1732+1</f>
        <v>45196</v>
      </c>
      <c r="C1733" s="245" t="e">
        <f ca="1">_xll.FDS("EURUSD","FG_PRICE("&amp;B1733&amp;")")</f>
        <v>#NAME?</v>
      </c>
      <c r="D1733" t="e">
        <f ca="1">_xll.FDS("GBPUSD","FG_PRICE("&amp;B1733&amp;")")</f>
        <v>#NAME?</v>
      </c>
      <c r="E1733" t="e">
        <f ca="1">_xll.FDSB("JPYUSD","FG_PRICE("&amp;B1733&amp;")")</f>
        <v>#NAME?</v>
      </c>
    </row>
    <row r="1734" spans="2:5">
      <c r="B1734" s="244">
        <f t="shared" si="69"/>
        <v>45197</v>
      </c>
      <c r="C1734" s="245" t="e">
        <f ca="1">_xll.FDS("EURUSD","FG_PRICE("&amp;B1734&amp;")")</f>
        <v>#NAME?</v>
      </c>
      <c r="D1734" t="e">
        <f ca="1">_xll.FDS("GBPUSD","FG_PRICE("&amp;B1734&amp;")")</f>
        <v>#NAME?</v>
      </c>
      <c r="E1734" t="e">
        <f ca="1">_xll.FDSB("JPYUSD","FG_PRICE("&amp;B1734&amp;")")</f>
        <v>#NAME?</v>
      </c>
    </row>
    <row r="1735" spans="2:5">
      <c r="B1735" s="244">
        <f t="shared" si="69"/>
        <v>45198</v>
      </c>
      <c r="C1735" s="245" t="e">
        <f ca="1">_xll.FDS("EURUSD","FG_PRICE("&amp;B1735&amp;")")</f>
        <v>#NAME?</v>
      </c>
      <c r="D1735" t="e">
        <f ca="1">_xll.FDS("GBPUSD","FG_PRICE("&amp;B1735&amp;")")</f>
        <v>#NAME?</v>
      </c>
      <c r="E1735" t="e">
        <f ca="1">_xll.FDSB("JPYUSD","FG_PRICE("&amp;B1735&amp;")")</f>
        <v>#NAME?</v>
      </c>
    </row>
    <row r="1736" spans="2:5">
      <c r="B1736" s="244">
        <f t="shared" si="69"/>
        <v>45199</v>
      </c>
      <c r="C1736" s="245" t="e">
        <f ca="1">_xll.FDS("EURUSD","FG_PRICE("&amp;B1736&amp;")")</f>
        <v>#NAME?</v>
      </c>
      <c r="D1736" t="e">
        <f ca="1">_xll.FDS("GBPUSD","FG_PRICE("&amp;B1736&amp;")")</f>
        <v>#NAME?</v>
      </c>
      <c r="E1736" t="e">
        <f ca="1">_xll.FDSB("JPYUSD","FG_PRICE("&amp;B1736&amp;")")</f>
        <v>#NAME?</v>
      </c>
    </row>
    <row r="1737" spans="2:5">
      <c r="B1737" s="244">
        <f t="shared" si="69"/>
        <v>45200</v>
      </c>
      <c r="C1737" s="245" t="e">
        <f ca="1">_xll.FDS("EURUSD","FG_PRICE("&amp;B1737&amp;")")</f>
        <v>#NAME?</v>
      </c>
      <c r="D1737" t="e">
        <f ca="1">_xll.FDS("GBPUSD","FG_PRICE("&amp;B1737&amp;")")</f>
        <v>#NAME?</v>
      </c>
      <c r="E1737" t="e">
        <f ca="1">_xll.FDSB("JPYUSD","FG_PRICE("&amp;B1737&amp;")")</f>
        <v>#NAME?</v>
      </c>
    </row>
    <row r="1738" spans="2:5">
      <c r="B1738" s="244">
        <f t="shared" si="69"/>
        <v>45201</v>
      </c>
      <c r="C1738" s="245" t="e">
        <f ca="1">_xll.FDS("EURUSD","FG_PRICE("&amp;B1738&amp;")")</f>
        <v>#NAME?</v>
      </c>
      <c r="D1738" t="e">
        <f ca="1">_xll.FDS("GBPUSD","FG_PRICE("&amp;B1738&amp;")")</f>
        <v>#NAME?</v>
      </c>
      <c r="E1738" t="e">
        <f ca="1">_xll.FDSB("JPYUSD","FG_PRICE("&amp;B1738&amp;")")</f>
        <v>#NAME?</v>
      </c>
    </row>
    <row r="1739" spans="2:5">
      <c r="B1739" s="244">
        <f t="shared" si="69"/>
        <v>45202</v>
      </c>
      <c r="C1739" s="245" t="e">
        <f ca="1">_xll.FDS("EURUSD","FG_PRICE("&amp;B1739&amp;")")</f>
        <v>#NAME?</v>
      </c>
      <c r="D1739" t="e">
        <f ca="1">_xll.FDS("GBPUSD","FG_PRICE("&amp;B1739&amp;")")</f>
        <v>#NAME?</v>
      </c>
      <c r="E1739" t="e">
        <f ca="1">_xll.FDSB("JPYUSD","FG_PRICE("&amp;B1739&amp;")")</f>
        <v>#NAME?</v>
      </c>
    </row>
    <row r="1740" spans="2:5">
      <c r="B1740" s="244">
        <f t="shared" si="69"/>
        <v>45203</v>
      </c>
      <c r="C1740" s="245" t="e">
        <f ca="1">_xll.FDS("EURUSD","FG_PRICE("&amp;B1740&amp;")")</f>
        <v>#NAME?</v>
      </c>
      <c r="D1740" t="e">
        <f ca="1">_xll.FDS("GBPUSD","FG_PRICE("&amp;B1740&amp;")")</f>
        <v>#NAME?</v>
      </c>
      <c r="E1740" t="e">
        <f ca="1">_xll.FDSB("JPYUSD","FG_PRICE("&amp;B1740&amp;")")</f>
        <v>#NAME?</v>
      </c>
    </row>
    <row r="1741" spans="2:5">
      <c r="B1741" s="244">
        <f t="shared" si="69"/>
        <v>45204</v>
      </c>
      <c r="C1741" s="245" t="e">
        <f ca="1">_xll.FDS("EURUSD","FG_PRICE("&amp;B1741&amp;")")</f>
        <v>#NAME?</v>
      </c>
      <c r="D1741" t="e">
        <f ca="1">_xll.FDS("GBPUSD","FG_PRICE("&amp;B1741&amp;")")</f>
        <v>#NAME?</v>
      </c>
      <c r="E1741" t="e">
        <f ca="1">_xll.FDSB("JPYUSD","FG_PRICE("&amp;B1741&amp;")")</f>
        <v>#NAME?</v>
      </c>
    </row>
    <row r="1742" spans="2:5">
      <c r="B1742" s="244">
        <f t="shared" si="69"/>
        <v>45205</v>
      </c>
      <c r="C1742" s="245" t="e">
        <f ca="1">_xll.FDS("EURUSD","FG_PRICE("&amp;B1742&amp;")")</f>
        <v>#NAME?</v>
      </c>
      <c r="D1742" t="e">
        <f ca="1">_xll.FDS("GBPUSD","FG_PRICE("&amp;B1742&amp;")")</f>
        <v>#NAME?</v>
      </c>
      <c r="E1742" t="e">
        <f ca="1">_xll.FDSB("JPYUSD","FG_PRICE("&amp;B1742&amp;")")</f>
        <v>#NAME?</v>
      </c>
    </row>
    <row r="1743" spans="2:5">
      <c r="B1743" s="244">
        <f t="shared" si="69"/>
        <v>45206</v>
      </c>
      <c r="C1743" s="245" t="e">
        <f ca="1">_xll.FDS("EURUSD","FG_PRICE("&amp;B1743&amp;")")</f>
        <v>#NAME?</v>
      </c>
      <c r="D1743" t="e">
        <f ca="1">_xll.FDS("GBPUSD","FG_PRICE("&amp;B1743&amp;")")</f>
        <v>#NAME?</v>
      </c>
      <c r="E1743" t="e">
        <f ca="1">_xll.FDSB("JPYUSD","FG_PRICE("&amp;B1743&amp;")")</f>
        <v>#NAME?</v>
      </c>
    </row>
    <row r="1744" spans="2:5">
      <c r="B1744" s="244">
        <f t="shared" si="69"/>
        <v>45207</v>
      </c>
      <c r="C1744" s="245" t="e">
        <f ca="1">_xll.FDS("EURUSD","FG_PRICE("&amp;B1744&amp;")")</f>
        <v>#NAME?</v>
      </c>
      <c r="D1744" t="e">
        <f ca="1">_xll.FDS("GBPUSD","FG_PRICE("&amp;B1744&amp;")")</f>
        <v>#NAME?</v>
      </c>
      <c r="E1744" t="e">
        <f ca="1">_xll.FDSB("JPYUSD","FG_PRICE("&amp;B1744&amp;")")</f>
        <v>#NAME?</v>
      </c>
    </row>
    <row r="1745" spans="2:5">
      <c r="B1745" s="244">
        <f t="shared" si="69"/>
        <v>45208</v>
      </c>
      <c r="C1745" s="245" t="e">
        <f ca="1">_xll.FDS("EURUSD","FG_PRICE("&amp;B1745&amp;")")</f>
        <v>#NAME?</v>
      </c>
      <c r="D1745" t="e">
        <f ca="1">_xll.FDS("GBPUSD","FG_PRICE("&amp;B1745&amp;")")</f>
        <v>#NAME?</v>
      </c>
      <c r="E1745" t="e">
        <f ca="1">_xll.FDSB("JPYUSD","FG_PRICE("&amp;B1745&amp;")")</f>
        <v>#NAME?</v>
      </c>
    </row>
    <row r="1746" spans="2:5">
      <c r="B1746" s="244">
        <f t="shared" si="69"/>
        <v>45209</v>
      </c>
      <c r="C1746" s="245" t="e">
        <f ca="1">_xll.FDS("EURUSD","FG_PRICE("&amp;B1746&amp;")")</f>
        <v>#NAME?</v>
      </c>
      <c r="D1746" t="e">
        <f ca="1">_xll.FDS("GBPUSD","FG_PRICE("&amp;B1746&amp;")")</f>
        <v>#NAME?</v>
      </c>
      <c r="E1746" t="e">
        <f ca="1">_xll.FDSB("JPYUSD","FG_PRICE("&amp;B1746&amp;")")</f>
        <v>#NAME?</v>
      </c>
    </row>
    <row r="1747" spans="2:5">
      <c r="B1747" s="244">
        <f t="shared" si="69"/>
        <v>45210</v>
      </c>
      <c r="C1747" s="245" t="e">
        <f ca="1">_xll.FDS("EURUSD","FG_PRICE("&amp;B1747&amp;")")</f>
        <v>#NAME?</v>
      </c>
      <c r="D1747" t="e">
        <f ca="1">_xll.FDS("GBPUSD","FG_PRICE("&amp;B1747&amp;")")</f>
        <v>#NAME?</v>
      </c>
      <c r="E1747" t="e">
        <f ca="1">_xll.FDSB("JPYUSD","FG_PRICE("&amp;B1747&amp;")")</f>
        <v>#NAME?</v>
      </c>
    </row>
    <row r="1748" spans="2:5">
      <c r="B1748" s="244">
        <f t="shared" si="69"/>
        <v>45211</v>
      </c>
      <c r="C1748" s="245" t="e">
        <f ca="1">_xll.FDS("EURUSD","FG_PRICE("&amp;B1748&amp;")")</f>
        <v>#NAME?</v>
      </c>
      <c r="D1748" t="e">
        <f ca="1">_xll.FDS("GBPUSD","FG_PRICE("&amp;B1748&amp;")")</f>
        <v>#NAME?</v>
      </c>
      <c r="E1748" t="e">
        <f ca="1">_xll.FDSB("JPYUSD","FG_PRICE("&amp;B1748&amp;")")</f>
        <v>#NAME?</v>
      </c>
    </row>
    <row r="1749" spans="2:5">
      <c r="B1749" s="244">
        <f t="shared" si="69"/>
        <v>45212</v>
      </c>
      <c r="C1749" s="245" t="e">
        <f ca="1">_xll.FDS("EURUSD","FG_PRICE("&amp;B1749&amp;")")</f>
        <v>#NAME?</v>
      </c>
      <c r="D1749" t="e">
        <f ca="1">_xll.FDS("GBPUSD","FG_PRICE("&amp;B1749&amp;")")</f>
        <v>#NAME?</v>
      </c>
      <c r="E1749" t="e">
        <f ca="1">_xll.FDSB("JPYUSD","FG_PRICE("&amp;B1749&amp;")")</f>
        <v>#NAME?</v>
      </c>
    </row>
    <row r="1750" spans="2:5">
      <c r="B1750" s="244">
        <f t="shared" si="69"/>
        <v>45213</v>
      </c>
      <c r="C1750" s="245" t="e">
        <f ca="1">_xll.FDS("EURUSD","FG_PRICE("&amp;B1750&amp;")")</f>
        <v>#NAME?</v>
      </c>
      <c r="D1750" t="e">
        <f ca="1">_xll.FDS("GBPUSD","FG_PRICE("&amp;B1750&amp;")")</f>
        <v>#NAME?</v>
      </c>
      <c r="E1750" t="e">
        <f ca="1">_xll.FDSB("JPYUSD","FG_PRICE("&amp;B1750&amp;")")</f>
        <v>#NAME?</v>
      </c>
    </row>
    <row r="1751" spans="2:5">
      <c r="B1751" s="244">
        <f t="shared" si="69"/>
        <v>45214</v>
      </c>
      <c r="C1751" s="245" t="e">
        <f ca="1">_xll.FDS("EURUSD","FG_PRICE("&amp;B1751&amp;")")</f>
        <v>#NAME?</v>
      </c>
      <c r="D1751" t="e">
        <f ca="1">_xll.FDS("GBPUSD","FG_PRICE("&amp;B1751&amp;")")</f>
        <v>#NAME?</v>
      </c>
      <c r="E1751" t="e">
        <f ca="1">_xll.FDSB("JPYUSD","FG_PRICE("&amp;B1751&amp;")")</f>
        <v>#NAME?</v>
      </c>
    </row>
    <row r="1752" spans="2:5">
      <c r="B1752" s="244">
        <f t="shared" si="69"/>
        <v>45215</v>
      </c>
      <c r="C1752" s="245" t="e">
        <f ca="1">_xll.FDS("EURUSD","FG_PRICE("&amp;B1752&amp;")")</f>
        <v>#NAME?</v>
      </c>
      <c r="D1752" t="e">
        <f ca="1">_xll.FDS("GBPUSD","FG_PRICE("&amp;B1752&amp;")")</f>
        <v>#NAME?</v>
      </c>
      <c r="E1752" t="e">
        <f ca="1">_xll.FDSB("JPYUSD","FG_PRICE("&amp;B1752&amp;")")</f>
        <v>#NAME?</v>
      </c>
    </row>
    <row r="1753" spans="2:5">
      <c r="B1753" s="244">
        <f t="shared" si="69"/>
        <v>45216</v>
      </c>
      <c r="C1753" s="245" t="e">
        <f ca="1">_xll.FDS("EURUSD","FG_PRICE("&amp;B1753&amp;")")</f>
        <v>#NAME?</v>
      </c>
      <c r="D1753" t="e">
        <f ca="1">_xll.FDS("GBPUSD","FG_PRICE("&amp;B1753&amp;")")</f>
        <v>#NAME?</v>
      </c>
      <c r="E1753" t="e">
        <f ca="1">_xll.FDSB("JPYUSD","FG_PRICE("&amp;B1753&amp;")")</f>
        <v>#NAME?</v>
      </c>
    </row>
    <row r="1754" spans="2:5">
      <c r="B1754" s="244">
        <f t="shared" si="69"/>
        <v>45217</v>
      </c>
      <c r="C1754" s="245" t="e">
        <f ca="1">_xll.FDS("EURUSD","FG_PRICE("&amp;B1754&amp;")")</f>
        <v>#NAME?</v>
      </c>
      <c r="D1754" t="e">
        <f ca="1">_xll.FDS("GBPUSD","FG_PRICE("&amp;B1754&amp;")")</f>
        <v>#NAME?</v>
      </c>
      <c r="E1754" t="e">
        <f ca="1">_xll.FDSB("JPYUSD","FG_PRICE("&amp;B1754&amp;")")</f>
        <v>#NAME?</v>
      </c>
    </row>
    <row r="1755" spans="2:5">
      <c r="B1755" s="244">
        <f t="shared" si="69"/>
        <v>45218</v>
      </c>
      <c r="C1755" s="245" t="e">
        <f ca="1">_xll.FDS("EURUSD","FG_PRICE("&amp;B1755&amp;")")</f>
        <v>#NAME?</v>
      </c>
      <c r="D1755" t="e">
        <f ca="1">_xll.FDS("GBPUSD","FG_PRICE("&amp;B1755&amp;")")</f>
        <v>#NAME?</v>
      </c>
      <c r="E1755" t="e">
        <f ca="1">_xll.FDSB("JPYUSD","FG_PRICE("&amp;B1755&amp;")")</f>
        <v>#NAME?</v>
      </c>
    </row>
    <row r="1756" spans="2:5">
      <c r="B1756" s="244">
        <f t="shared" si="69"/>
        <v>45219</v>
      </c>
      <c r="C1756" s="245" t="e">
        <f ca="1">_xll.FDS("EURUSD","FG_PRICE("&amp;B1756&amp;")")</f>
        <v>#NAME?</v>
      </c>
      <c r="D1756" t="e">
        <f ca="1">_xll.FDS("GBPUSD","FG_PRICE("&amp;B1756&amp;")")</f>
        <v>#NAME?</v>
      </c>
      <c r="E1756" t="e">
        <f ca="1">_xll.FDSB("JPYUSD","FG_PRICE("&amp;B1756&amp;")")</f>
        <v>#NAME?</v>
      </c>
    </row>
    <row r="1757" spans="2:5">
      <c r="B1757" s="244">
        <f t="shared" si="69"/>
        <v>45220</v>
      </c>
      <c r="C1757" s="245" t="e">
        <f ca="1">_xll.FDS("EURUSD","FG_PRICE("&amp;B1757&amp;")")</f>
        <v>#NAME?</v>
      </c>
      <c r="D1757" t="e">
        <f ca="1">_xll.FDS("GBPUSD","FG_PRICE("&amp;B1757&amp;")")</f>
        <v>#NAME?</v>
      </c>
      <c r="E1757" t="e">
        <f ca="1">_xll.FDSB("JPYUSD","FG_PRICE("&amp;B1757&amp;")")</f>
        <v>#NAME?</v>
      </c>
    </row>
    <row r="1758" spans="2:5">
      <c r="B1758" s="244">
        <f t="shared" si="69"/>
        <v>45221</v>
      </c>
      <c r="C1758" s="245" t="e">
        <f ca="1">_xll.FDS("EURUSD","FG_PRICE("&amp;B1758&amp;")")</f>
        <v>#NAME?</v>
      </c>
      <c r="D1758" t="e">
        <f ca="1">_xll.FDS("GBPUSD","FG_PRICE("&amp;B1758&amp;")")</f>
        <v>#NAME?</v>
      </c>
      <c r="E1758" t="e">
        <f ca="1">_xll.FDSB("JPYUSD","FG_PRICE("&amp;B1758&amp;")")</f>
        <v>#NAME?</v>
      </c>
    </row>
    <row r="1759" spans="2:5">
      <c r="B1759" s="244">
        <f t="shared" si="69"/>
        <v>45222</v>
      </c>
      <c r="C1759" s="245" t="e">
        <f ca="1">_xll.FDS("EURUSD","FG_PRICE("&amp;B1759&amp;")")</f>
        <v>#NAME?</v>
      </c>
      <c r="D1759" t="e">
        <f ca="1">_xll.FDS("GBPUSD","FG_PRICE("&amp;B1759&amp;")")</f>
        <v>#NAME?</v>
      </c>
      <c r="E1759" t="e">
        <f ca="1">_xll.FDSB("JPYUSD","FG_PRICE("&amp;B1759&amp;")")</f>
        <v>#NAME?</v>
      </c>
    </row>
    <row r="1760" spans="2:5">
      <c r="B1760" s="244">
        <f t="shared" si="69"/>
        <v>45223</v>
      </c>
      <c r="C1760" s="245" t="e">
        <f ca="1">_xll.FDS("EURUSD","FG_PRICE("&amp;B1760&amp;")")</f>
        <v>#NAME?</v>
      </c>
      <c r="D1760" t="e">
        <f ca="1">_xll.FDS("GBPUSD","FG_PRICE("&amp;B1760&amp;")")</f>
        <v>#NAME?</v>
      </c>
      <c r="E1760" t="e">
        <f ca="1">_xll.FDSB("JPYUSD","FG_PRICE("&amp;B1760&amp;")")</f>
        <v>#NAME?</v>
      </c>
    </row>
    <row r="1761" spans="2:5">
      <c r="B1761" s="244">
        <f t="shared" si="69"/>
        <v>45224</v>
      </c>
      <c r="C1761" s="245" t="e">
        <f ca="1">_xll.FDS("EURUSD","FG_PRICE("&amp;B1761&amp;")")</f>
        <v>#NAME?</v>
      </c>
      <c r="D1761" t="e">
        <f ca="1">_xll.FDS("GBPUSD","FG_PRICE("&amp;B1761&amp;")")</f>
        <v>#NAME?</v>
      </c>
      <c r="E1761" t="e">
        <f ca="1">_xll.FDSB("JPYUSD","FG_PRICE("&amp;B1761&amp;")")</f>
        <v>#NAME?</v>
      </c>
    </row>
    <row r="1762" spans="2:5">
      <c r="B1762" s="244">
        <f t="shared" si="69"/>
        <v>45225</v>
      </c>
      <c r="C1762" s="245" t="e">
        <f ca="1">_xll.FDS("EURUSD","FG_PRICE("&amp;B1762&amp;")")</f>
        <v>#NAME?</v>
      </c>
      <c r="D1762" t="e">
        <f ca="1">_xll.FDS("GBPUSD","FG_PRICE("&amp;B1762&amp;")")</f>
        <v>#NAME?</v>
      </c>
      <c r="E1762" t="e">
        <f ca="1">_xll.FDSB("JPYUSD","FG_PRICE("&amp;B1762&amp;")")</f>
        <v>#NAME?</v>
      </c>
    </row>
    <row r="1763" spans="2:5">
      <c r="B1763" s="244">
        <f t="shared" si="69"/>
        <v>45226</v>
      </c>
      <c r="C1763" s="245" t="e">
        <f ca="1">_xll.FDS("EURUSD","FG_PRICE("&amp;B1763&amp;")")</f>
        <v>#NAME?</v>
      </c>
      <c r="D1763" t="e">
        <f ca="1">_xll.FDS("GBPUSD","FG_PRICE("&amp;B1763&amp;")")</f>
        <v>#NAME?</v>
      </c>
      <c r="E1763" t="e">
        <f ca="1">_xll.FDSB("JPYUSD","FG_PRICE("&amp;B1763&amp;")")</f>
        <v>#NAME?</v>
      </c>
    </row>
    <row r="1764" spans="2:5">
      <c r="B1764" s="244">
        <f t="shared" si="69"/>
        <v>45227</v>
      </c>
      <c r="C1764" s="245" t="e">
        <f ca="1">_xll.FDS("EURUSD","FG_PRICE("&amp;B1764&amp;")")</f>
        <v>#NAME?</v>
      </c>
      <c r="D1764" t="e">
        <f ca="1">_xll.FDS("GBPUSD","FG_PRICE("&amp;B1764&amp;")")</f>
        <v>#NAME?</v>
      </c>
      <c r="E1764" t="e">
        <f ca="1">_xll.FDSB("JPYUSD","FG_PRICE("&amp;B1764&amp;")")</f>
        <v>#NAME?</v>
      </c>
    </row>
    <row r="1765" spans="2:5">
      <c r="B1765" s="244">
        <f t="shared" si="69"/>
        <v>45228</v>
      </c>
      <c r="C1765" s="245" t="e">
        <f ca="1">_xll.FDS("EURUSD","FG_PRICE("&amp;B1765&amp;")")</f>
        <v>#NAME?</v>
      </c>
      <c r="D1765" t="e">
        <f ca="1">_xll.FDS("GBPUSD","FG_PRICE("&amp;B1765&amp;")")</f>
        <v>#NAME?</v>
      </c>
      <c r="E1765" t="e">
        <f ca="1">_xll.FDSB("JPYUSD","FG_PRICE("&amp;B1765&amp;")")</f>
        <v>#NAME?</v>
      </c>
    </row>
    <row r="1766" spans="2:5">
      <c r="B1766" s="244">
        <f t="shared" si="69"/>
        <v>45229</v>
      </c>
      <c r="C1766" s="245" t="e">
        <f ca="1">_xll.FDS("EURUSD","FG_PRICE("&amp;B1766&amp;")")</f>
        <v>#NAME?</v>
      </c>
      <c r="D1766" t="e">
        <f ca="1">_xll.FDS("GBPUSD","FG_PRICE("&amp;B1766&amp;")")</f>
        <v>#NAME?</v>
      </c>
      <c r="E1766" t="e">
        <f ca="1">_xll.FDSB("JPYUSD","FG_PRICE("&amp;B1766&amp;")")</f>
        <v>#NAME?</v>
      </c>
    </row>
    <row r="1767" spans="2:5">
      <c r="B1767" s="244">
        <f t="shared" si="69"/>
        <v>45230</v>
      </c>
      <c r="C1767" s="245" t="e">
        <f ca="1">_xll.FDS("EURUSD","FG_PRICE("&amp;B1767&amp;")")</f>
        <v>#NAME?</v>
      </c>
      <c r="D1767" t="e">
        <f ca="1">_xll.FDS("GBPUSD","FG_PRICE("&amp;B1767&amp;")")</f>
        <v>#NAME?</v>
      </c>
      <c r="E1767" t="e">
        <f ca="1">_xll.FDSB("JPYUSD","FG_PRICE("&amp;B1767&amp;")")</f>
        <v>#NAME?</v>
      </c>
    </row>
    <row r="1768" spans="2:5">
      <c r="B1768" s="244">
        <f t="shared" si="69"/>
        <v>45231</v>
      </c>
      <c r="C1768" s="245" t="e">
        <f ca="1">_xll.FDS("EURUSD","FG_PRICE("&amp;B1768&amp;")")</f>
        <v>#NAME?</v>
      </c>
      <c r="D1768" t="e">
        <f ca="1">_xll.FDS("GBPUSD","FG_PRICE("&amp;B1768&amp;")")</f>
        <v>#NAME?</v>
      </c>
      <c r="E1768" t="e">
        <f ca="1">_xll.FDSB("JPYUSD","FG_PRICE("&amp;B1768&amp;")")</f>
        <v>#NAME?</v>
      </c>
    </row>
    <row r="1769" spans="2:5">
      <c r="B1769" s="244">
        <f t="shared" si="69"/>
        <v>45232</v>
      </c>
      <c r="C1769" s="245" t="e">
        <f ca="1">_xll.FDS("EURUSD","FG_PRICE("&amp;B1769&amp;")")</f>
        <v>#NAME?</v>
      </c>
      <c r="D1769" t="e">
        <f ca="1">_xll.FDS("GBPUSD","FG_PRICE("&amp;B1769&amp;")")</f>
        <v>#NAME?</v>
      </c>
      <c r="E1769" t="e">
        <f ca="1">_xll.FDSB("JPYUSD","FG_PRICE("&amp;B1769&amp;")")</f>
        <v>#NAME?</v>
      </c>
    </row>
    <row r="1770" spans="2:5">
      <c r="B1770" s="244">
        <f t="shared" si="69"/>
        <v>45233</v>
      </c>
      <c r="C1770" s="245" t="e">
        <f ca="1">_xll.FDS("EURUSD","FG_PRICE("&amp;B1770&amp;")")</f>
        <v>#NAME?</v>
      </c>
      <c r="D1770" t="e">
        <f ca="1">_xll.FDS("GBPUSD","FG_PRICE("&amp;B1770&amp;")")</f>
        <v>#NAME?</v>
      </c>
      <c r="E1770" t="e">
        <f ca="1">_xll.FDSB("JPYUSD","FG_PRICE("&amp;B1770&amp;")")</f>
        <v>#NAME?</v>
      </c>
    </row>
    <row r="1771" spans="2:5">
      <c r="B1771" s="244">
        <f t="shared" si="69"/>
        <v>45234</v>
      </c>
      <c r="C1771" s="245" t="e">
        <f ca="1">_xll.FDS("EURUSD","FG_PRICE("&amp;B1771&amp;")")</f>
        <v>#NAME?</v>
      </c>
      <c r="D1771" t="e">
        <f ca="1">_xll.FDS("GBPUSD","FG_PRICE("&amp;B1771&amp;")")</f>
        <v>#NAME?</v>
      </c>
      <c r="E1771" t="e">
        <f ca="1">_xll.FDSB("JPYUSD","FG_PRICE("&amp;B1771&amp;")")</f>
        <v>#NAME?</v>
      </c>
    </row>
    <row r="1772" spans="2:5">
      <c r="B1772" s="244">
        <f t="shared" si="69"/>
        <v>45235</v>
      </c>
      <c r="C1772" s="245" t="e">
        <f ca="1">_xll.FDS("EURUSD","FG_PRICE("&amp;B1772&amp;")")</f>
        <v>#NAME?</v>
      </c>
      <c r="D1772" t="e">
        <f ca="1">_xll.FDS("GBPUSD","FG_PRICE("&amp;B1772&amp;")")</f>
        <v>#NAME?</v>
      </c>
      <c r="E1772" t="e">
        <f ca="1">_xll.FDSB("JPYUSD","FG_PRICE("&amp;B1772&amp;")")</f>
        <v>#NAME?</v>
      </c>
    </row>
    <row r="1773" spans="2:5">
      <c r="B1773" s="244">
        <f t="shared" si="69"/>
        <v>45236</v>
      </c>
      <c r="C1773" s="245" t="e">
        <f ca="1">_xll.FDS("EURUSD","FG_PRICE("&amp;B1773&amp;")")</f>
        <v>#NAME?</v>
      </c>
      <c r="D1773" t="e">
        <f ca="1">_xll.FDS("GBPUSD","FG_PRICE("&amp;B1773&amp;")")</f>
        <v>#NAME?</v>
      </c>
      <c r="E1773" t="e">
        <f ca="1">_xll.FDSB("JPYUSD","FG_PRICE("&amp;B1773&amp;")")</f>
        <v>#NAME?</v>
      </c>
    </row>
    <row r="1774" spans="2:5">
      <c r="B1774" s="244">
        <f t="shared" si="69"/>
        <v>45237</v>
      </c>
      <c r="C1774" s="245" t="e">
        <f ca="1">_xll.FDS("EURUSD","FG_PRICE("&amp;B1774&amp;")")</f>
        <v>#NAME?</v>
      </c>
      <c r="D1774" t="e">
        <f ca="1">_xll.FDS("GBPUSD","FG_PRICE("&amp;B1774&amp;")")</f>
        <v>#NAME?</v>
      </c>
      <c r="E1774" t="e">
        <f ca="1">_xll.FDSB("JPYUSD","FG_PRICE("&amp;B1774&amp;")")</f>
        <v>#NAME?</v>
      </c>
    </row>
    <row r="1775" spans="2:5">
      <c r="B1775" s="244">
        <f t="shared" si="69"/>
        <v>45238</v>
      </c>
      <c r="C1775" s="245" t="e">
        <f ca="1">_xll.FDS("EURUSD","FG_PRICE("&amp;B1775&amp;")")</f>
        <v>#NAME?</v>
      </c>
      <c r="D1775" t="e">
        <f ca="1">_xll.FDS("GBPUSD","FG_PRICE("&amp;B1775&amp;")")</f>
        <v>#NAME?</v>
      </c>
      <c r="E1775" t="e">
        <f ca="1">_xll.FDSB("JPYUSD","FG_PRICE("&amp;B1775&amp;")")</f>
        <v>#NAME?</v>
      </c>
    </row>
    <row r="1776" spans="2:5">
      <c r="B1776" s="244">
        <f t="shared" si="69"/>
        <v>45239</v>
      </c>
      <c r="C1776" s="245" t="e">
        <f ca="1">_xll.FDS("EURUSD","FG_PRICE("&amp;B1776&amp;")")</f>
        <v>#NAME?</v>
      </c>
      <c r="D1776" t="e">
        <f ca="1">_xll.FDS("GBPUSD","FG_PRICE("&amp;B1776&amp;")")</f>
        <v>#NAME?</v>
      </c>
      <c r="E1776" t="e">
        <f ca="1">_xll.FDSB("JPYUSD","FG_PRICE("&amp;B1776&amp;")")</f>
        <v>#NAME?</v>
      </c>
    </row>
    <row r="1777" spans="2:5">
      <c r="B1777" s="244">
        <f t="shared" si="69"/>
        <v>45240</v>
      </c>
      <c r="C1777" s="245" t="e">
        <f ca="1">_xll.FDS("EURUSD","FG_PRICE("&amp;B1777&amp;")")</f>
        <v>#NAME?</v>
      </c>
      <c r="D1777" t="e">
        <f ca="1">_xll.FDS("GBPUSD","FG_PRICE("&amp;B1777&amp;")")</f>
        <v>#NAME?</v>
      </c>
      <c r="E1777" t="e">
        <f ca="1">_xll.FDSB("JPYUSD","FG_PRICE("&amp;B1777&amp;")")</f>
        <v>#NAME?</v>
      </c>
    </row>
    <row r="1778" spans="2:5">
      <c r="B1778" s="244">
        <f t="shared" si="69"/>
        <v>45241</v>
      </c>
      <c r="C1778" s="245" t="e">
        <f ca="1">_xll.FDS("EURUSD","FG_PRICE("&amp;B1778&amp;")")</f>
        <v>#NAME?</v>
      </c>
      <c r="D1778" t="e">
        <f ca="1">_xll.FDS("GBPUSD","FG_PRICE("&amp;B1778&amp;")")</f>
        <v>#NAME?</v>
      </c>
      <c r="E1778" t="e">
        <f ca="1">_xll.FDSB("JPYUSD","FG_PRICE("&amp;B1778&amp;")")</f>
        <v>#NAME?</v>
      </c>
    </row>
    <row r="1779" spans="2:5">
      <c r="B1779" s="244">
        <f t="shared" si="69"/>
        <v>45242</v>
      </c>
      <c r="C1779" s="245" t="e">
        <f ca="1">_xll.FDS("EURUSD","FG_PRICE("&amp;B1779&amp;")")</f>
        <v>#NAME?</v>
      </c>
      <c r="D1779" t="e">
        <f ca="1">_xll.FDS("GBPUSD","FG_PRICE("&amp;B1779&amp;")")</f>
        <v>#NAME?</v>
      </c>
      <c r="E1779" t="e">
        <f ca="1">_xll.FDSB("JPYUSD","FG_PRICE("&amp;B1779&amp;")")</f>
        <v>#NAME?</v>
      </c>
    </row>
    <row r="1780" spans="2:5">
      <c r="B1780" s="244">
        <f t="shared" si="69"/>
        <v>45243</v>
      </c>
      <c r="C1780" s="245" t="e">
        <f ca="1">_xll.FDS("EURUSD","FG_PRICE("&amp;B1780&amp;")")</f>
        <v>#NAME?</v>
      </c>
      <c r="D1780" t="e">
        <f ca="1">_xll.FDS("GBPUSD","FG_PRICE("&amp;B1780&amp;")")</f>
        <v>#NAME?</v>
      </c>
      <c r="E1780" t="e">
        <f ca="1">_xll.FDSB("JPYUSD","FG_PRICE("&amp;B1780&amp;")")</f>
        <v>#NAME?</v>
      </c>
    </row>
    <row r="1781" spans="2:5">
      <c r="B1781" s="244">
        <f t="shared" si="69"/>
        <v>45244</v>
      </c>
      <c r="C1781" s="245" t="e">
        <f ca="1">_xll.FDS("EURUSD","FG_PRICE("&amp;B1781&amp;")")</f>
        <v>#NAME?</v>
      </c>
      <c r="D1781" t="e">
        <f ca="1">_xll.FDS("GBPUSD","FG_PRICE("&amp;B1781&amp;")")</f>
        <v>#NAME?</v>
      </c>
      <c r="E1781" t="e">
        <f ca="1">_xll.FDSB("JPYUSD","FG_PRICE("&amp;B1781&amp;")")</f>
        <v>#NAME?</v>
      </c>
    </row>
    <row r="1782" spans="2:5">
      <c r="B1782" s="244">
        <f t="shared" si="69"/>
        <v>45245</v>
      </c>
      <c r="C1782" s="245" t="e">
        <f ca="1">_xll.FDS("EURUSD","FG_PRICE("&amp;B1782&amp;")")</f>
        <v>#NAME?</v>
      </c>
      <c r="D1782" t="e">
        <f ca="1">_xll.FDS("GBPUSD","FG_PRICE("&amp;B1782&amp;")")</f>
        <v>#NAME?</v>
      </c>
      <c r="E1782" t="e">
        <f ca="1">_xll.FDSB("JPYUSD","FG_PRICE("&amp;B1782&amp;")")</f>
        <v>#NAME?</v>
      </c>
    </row>
    <row r="1783" spans="2:5">
      <c r="B1783" s="244">
        <f t="shared" si="69"/>
        <v>45246</v>
      </c>
      <c r="C1783" s="245" t="e">
        <f ca="1">_xll.FDS("EURUSD","FG_PRICE("&amp;B1783&amp;")")</f>
        <v>#NAME?</v>
      </c>
      <c r="D1783" t="e">
        <f ca="1">_xll.FDS("GBPUSD","FG_PRICE("&amp;B1783&amp;")")</f>
        <v>#NAME?</v>
      </c>
      <c r="E1783" t="e">
        <f ca="1">_xll.FDSB("JPYUSD","FG_PRICE("&amp;B1783&amp;")")</f>
        <v>#NAME?</v>
      </c>
    </row>
    <row r="1784" spans="2:5">
      <c r="B1784" s="244">
        <f t="shared" si="69"/>
        <v>45247</v>
      </c>
      <c r="C1784" s="245" t="e">
        <f ca="1">_xll.FDS("EURUSD","FG_PRICE("&amp;B1784&amp;")")</f>
        <v>#NAME?</v>
      </c>
      <c r="D1784" t="e">
        <f ca="1">_xll.FDS("GBPUSD","FG_PRICE("&amp;B1784&amp;")")</f>
        <v>#NAME?</v>
      </c>
      <c r="E1784" t="e">
        <f ca="1">_xll.FDSB("JPYUSD","FG_PRICE("&amp;B1784&amp;")")</f>
        <v>#NAME?</v>
      </c>
    </row>
    <row r="1785" spans="2:5">
      <c r="B1785" s="244">
        <f t="shared" si="69"/>
        <v>45248</v>
      </c>
      <c r="C1785" s="245" t="e">
        <f ca="1">_xll.FDS("EURUSD","FG_PRICE("&amp;B1785&amp;")")</f>
        <v>#NAME?</v>
      </c>
      <c r="D1785" t="e">
        <f ca="1">_xll.FDS("GBPUSD","FG_PRICE("&amp;B1785&amp;")")</f>
        <v>#NAME?</v>
      </c>
      <c r="E1785" t="e">
        <f ca="1">_xll.FDSB("JPYUSD","FG_PRICE("&amp;B1785&amp;")")</f>
        <v>#NAME?</v>
      </c>
    </row>
    <row r="1786" spans="2:5">
      <c r="B1786" s="244">
        <f t="shared" si="69"/>
        <v>45249</v>
      </c>
      <c r="C1786" s="245" t="e">
        <f ca="1">_xll.FDS("EURUSD","FG_PRICE("&amp;B1786&amp;")")</f>
        <v>#NAME?</v>
      </c>
      <c r="D1786" t="e">
        <f ca="1">_xll.FDS("GBPUSD","FG_PRICE("&amp;B1786&amp;")")</f>
        <v>#NAME?</v>
      </c>
      <c r="E1786" t="e">
        <f ca="1">_xll.FDSB("JPYUSD","FG_PRICE("&amp;B1786&amp;")")</f>
        <v>#NAME?</v>
      </c>
    </row>
    <row r="1787" spans="2:5">
      <c r="B1787" s="244">
        <f t="shared" si="69"/>
        <v>45250</v>
      </c>
      <c r="C1787" s="245" t="e">
        <f ca="1">_xll.FDS("EURUSD","FG_PRICE("&amp;B1787&amp;")")</f>
        <v>#NAME?</v>
      </c>
      <c r="D1787" t="e">
        <f ca="1">_xll.FDS("GBPUSD","FG_PRICE("&amp;B1787&amp;")")</f>
        <v>#NAME?</v>
      </c>
      <c r="E1787" t="e">
        <f ca="1">_xll.FDSB("JPYUSD","FG_PRICE("&amp;B1787&amp;")")</f>
        <v>#NAME?</v>
      </c>
    </row>
    <row r="1788" spans="2:5">
      <c r="B1788" s="244">
        <f t="shared" si="69"/>
        <v>45251</v>
      </c>
      <c r="C1788" s="245" t="e">
        <f ca="1">_xll.FDS("EURUSD","FG_PRICE("&amp;B1788&amp;")")</f>
        <v>#NAME?</v>
      </c>
      <c r="D1788" t="e">
        <f ca="1">_xll.FDS("GBPUSD","FG_PRICE("&amp;B1788&amp;")")</f>
        <v>#NAME?</v>
      </c>
      <c r="E1788" t="e">
        <f ca="1">_xll.FDSB("JPYUSD","FG_PRICE("&amp;B1788&amp;")")</f>
        <v>#NAME?</v>
      </c>
    </row>
    <row r="1789" spans="2:5">
      <c r="B1789" s="244">
        <f t="shared" si="69"/>
        <v>45252</v>
      </c>
      <c r="C1789" s="245" t="e">
        <f ca="1">_xll.FDS("EURUSD","FG_PRICE("&amp;B1789&amp;")")</f>
        <v>#NAME?</v>
      </c>
      <c r="D1789" t="e">
        <f ca="1">_xll.FDS("GBPUSD","FG_PRICE("&amp;B1789&amp;")")</f>
        <v>#NAME?</v>
      </c>
      <c r="E1789" t="e">
        <f ca="1">_xll.FDSB("JPYUSD","FG_PRICE("&amp;B1789&amp;")")</f>
        <v>#NAME?</v>
      </c>
    </row>
    <row r="1790" spans="2:5">
      <c r="B1790" s="244">
        <f t="shared" si="69"/>
        <v>45253</v>
      </c>
      <c r="C1790" s="245" t="e">
        <f ca="1">_xll.FDS("EURUSD","FG_PRICE("&amp;B1790&amp;")")</f>
        <v>#NAME?</v>
      </c>
      <c r="D1790" t="e">
        <f ca="1">_xll.FDS("GBPUSD","FG_PRICE("&amp;B1790&amp;")")</f>
        <v>#NAME?</v>
      </c>
      <c r="E1790" t="e">
        <f ca="1">_xll.FDSB("JPYUSD","FG_PRICE("&amp;B1790&amp;")")</f>
        <v>#NAME?</v>
      </c>
    </row>
    <row r="1791" spans="2:5">
      <c r="B1791" s="244">
        <f t="shared" si="69"/>
        <v>45254</v>
      </c>
      <c r="C1791" s="245" t="e">
        <f ca="1">_xll.FDS("EURUSD","FG_PRICE("&amp;B1791&amp;")")</f>
        <v>#NAME?</v>
      </c>
      <c r="D1791" t="e">
        <f ca="1">_xll.FDS("GBPUSD","FG_PRICE("&amp;B1791&amp;")")</f>
        <v>#NAME?</v>
      </c>
      <c r="E1791" t="e">
        <f ca="1">_xll.FDSB("JPYUSD","FG_PRICE("&amp;B1791&amp;")")</f>
        <v>#NAME?</v>
      </c>
    </row>
    <row r="1792" spans="2:5">
      <c r="B1792" s="244">
        <f t="shared" si="69"/>
        <v>45255</v>
      </c>
      <c r="C1792" s="245" t="e">
        <f ca="1">_xll.FDS("EURUSD","FG_PRICE("&amp;B1792&amp;")")</f>
        <v>#NAME?</v>
      </c>
      <c r="D1792" t="e">
        <f ca="1">_xll.FDS("GBPUSD","FG_PRICE("&amp;B1792&amp;")")</f>
        <v>#NAME?</v>
      </c>
      <c r="E1792" t="e">
        <f ca="1">_xll.FDSB("JPYUSD","FG_PRICE("&amp;B1792&amp;")")</f>
        <v>#NAME?</v>
      </c>
    </row>
    <row r="1793" spans="2:5">
      <c r="B1793" s="244">
        <f t="shared" si="69"/>
        <v>45256</v>
      </c>
      <c r="C1793" s="245" t="e">
        <f ca="1">_xll.FDS("EURUSD","FG_PRICE("&amp;B1793&amp;")")</f>
        <v>#NAME?</v>
      </c>
      <c r="D1793" t="e">
        <f ca="1">_xll.FDS("GBPUSD","FG_PRICE("&amp;B1793&amp;")")</f>
        <v>#NAME?</v>
      </c>
      <c r="E1793" t="e">
        <f ca="1">_xll.FDSB("JPYUSD","FG_PRICE("&amp;B1793&amp;")")</f>
        <v>#NAME?</v>
      </c>
    </row>
    <row r="1794" spans="2:5">
      <c r="B1794" s="244">
        <f t="shared" si="69"/>
        <v>45257</v>
      </c>
      <c r="C1794" s="245" t="e">
        <f ca="1">_xll.FDS("EURUSD","FG_PRICE("&amp;B1794&amp;")")</f>
        <v>#NAME?</v>
      </c>
      <c r="D1794" t="e">
        <f ca="1">_xll.FDS("GBPUSD","FG_PRICE("&amp;B1794&amp;")")</f>
        <v>#NAME?</v>
      </c>
      <c r="E1794" t="e">
        <f ca="1">_xll.FDSB("JPYUSD","FG_PRICE("&amp;B1794&amp;")")</f>
        <v>#NAME?</v>
      </c>
    </row>
    <row r="1795" spans="2:5">
      <c r="B1795" s="244">
        <f t="shared" si="69"/>
        <v>45258</v>
      </c>
      <c r="C1795" s="245" t="e">
        <f ca="1">_xll.FDS("EURUSD","FG_PRICE("&amp;B1795&amp;")")</f>
        <v>#NAME?</v>
      </c>
      <c r="D1795" t="e">
        <f ca="1">_xll.FDS("GBPUSD","FG_PRICE("&amp;B1795&amp;")")</f>
        <v>#NAME?</v>
      </c>
      <c r="E1795" t="e">
        <f ca="1">_xll.FDSB("JPYUSD","FG_PRICE("&amp;B1795&amp;")")</f>
        <v>#NAME?</v>
      </c>
    </row>
    <row r="1796" spans="2:5">
      <c r="B1796" s="244">
        <f t="shared" si="69"/>
        <v>45259</v>
      </c>
      <c r="C1796" s="245" t="e">
        <f ca="1">_xll.FDS("EURUSD","FG_PRICE("&amp;B1796&amp;")")</f>
        <v>#NAME?</v>
      </c>
      <c r="D1796" t="e">
        <f ca="1">_xll.FDS("GBPUSD","FG_PRICE("&amp;B1796&amp;")")</f>
        <v>#NAME?</v>
      </c>
      <c r="E1796" t="e">
        <f ca="1">_xll.FDSB("JPYUSD","FG_PRICE("&amp;B1796&amp;")")</f>
        <v>#NAME?</v>
      </c>
    </row>
    <row r="1797" spans="2:5">
      <c r="B1797" s="244">
        <f t="shared" ref="B1797:B1860" si="70">B1796+1</f>
        <v>45260</v>
      </c>
      <c r="C1797" s="245" t="e">
        <f ca="1">_xll.FDS("EURUSD","FG_PRICE("&amp;B1797&amp;")")</f>
        <v>#NAME?</v>
      </c>
      <c r="D1797" t="e">
        <f ca="1">_xll.FDS("GBPUSD","FG_PRICE("&amp;B1797&amp;")")</f>
        <v>#NAME?</v>
      </c>
      <c r="E1797" t="e">
        <f ca="1">_xll.FDSB("JPYUSD","FG_PRICE("&amp;B1797&amp;")")</f>
        <v>#NAME?</v>
      </c>
    </row>
    <row r="1798" spans="2:5">
      <c r="B1798" s="244">
        <f t="shared" si="70"/>
        <v>45261</v>
      </c>
      <c r="C1798" s="245" t="e">
        <f ca="1">_xll.FDS("EURUSD","FG_PRICE("&amp;B1798&amp;")")</f>
        <v>#NAME?</v>
      </c>
      <c r="D1798" t="e">
        <f ca="1">_xll.FDS("GBPUSD","FG_PRICE("&amp;B1798&amp;")")</f>
        <v>#NAME?</v>
      </c>
      <c r="E1798" t="e">
        <f ca="1">_xll.FDSB("JPYUSD","FG_PRICE("&amp;B1798&amp;")")</f>
        <v>#NAME?</v>
      </c>
    </row>
    <row r="1799" spans="2:5">
      <c r="B1799" s="244">
        <f t="shared" si="70"/>
        <v>45262</v>
      </c>
      <c r="C1799" s="245" t="e">
        <f ca="1">_xll.FDS("EURUSD","FG_PRICE("&amp;B1799&amp;")")</f>
        <v>#NAME?</v>
      </c>
      <c r="D1799" t="e">
        <f ca="1">_xll.FDS("GBPUSD","FG_PRICE("&amp;B1799&amp;")")</f>
        <v>#NAME?</v>
      </c>
      <c r="E1799" t="e">
        <f ca="1">_xll.FDSB("JPYUSD","FG_PRICE("&amp;B1799&amp;")")</f>
        <v>#NAME?</v>
      </c>
    </row>
    <row r="1800" spans="2:5">
      <c r="B1800" s="244">
        <f t="shared" si="70"/>
        <v>45263</v>
      </c>
      <c r="C1800" s="245" t="e">
        <f ca="1">_xll.FDS("EURUSD","FG_PRICE("&amp;B1800&amp;")")</f>
        <v>#NAME?</v>
      </c>
      <c r="D1800" t="e">
        <f ca="1">_xll.FDS("GBPUSD","FG_PRICE("&amp;B1800&amp;")")</f>
        <v>#NAME?</v>
      </c>
      <c r="E1800" t="e">
        <f ca="1">_xll.FDSB("JPYUSD","FG_PRICE("&amp;B1800&amp;")")</f>
        <v>#NAME?</v>
      </c>
    </row>
    <row r="1801" spans="2:5">
      <c r="B1801" s="244">
        <f t="shared" si="70"/>
        <v>45264</v>
      </c>
      <c r="C1801" s="245" t="e">
        <f ca="1">_xll.FDS("EURUSD","FG_PRICE("&amp;B1801&amp;")")</f>
        <v>#NAME?</v>
      </c>
      <c r="D1801" t="e">
        <f ca="1">_xll.FDS("GBPUSD","FG_PRICE("&amp;B1801&amp;")")</f>
        <v>#NAME?</v>
      </c>
      <c r="E1801" t="e">
        <f ca="1">_xll.FDSB("JPYUSD","FG_PRICE("&amp;B1801&amp;")")</f>
        <v>#NAME?</v>
      </c>
    </row>
    <row r="1802" spans="2:5">
      <c r="B1802" s="244">
        <f t="shared" si="70"/>
        <v>45265</v>
      </c>
      <c r="C1802" s="245" t="e">
        <f ca="1">_xll.FDS("EURUSD","FG_PRICE("&amp;B1802&amp;")")</f>
        <v>#NAME?</v>
      </c>
      <c r="D1802" t="e">
        <f ca="1">_xll.FDS("GBPUSD","FG_PRICE("&amp;B1802&amp;")")</f>
        <v>#NAME?</v>
      </c>
      <c r="E1802" t="e">
        <f ca="1">_xll.FDSB("JPYUSD","FG_PRICE("&amp;B1802&amp;")")</f>
        <v>#NAME?</v>
      </c>
    </row>
    <row r="1803" spans="2:5">
      <c r="B1803" s="244">
        <f t="shared" si="70"/>
        <v>45266</v>
      </c>
      <c r="C1803" s="245" t="e">
        <f ca="1">_xll.FDS("EURUSD","FG_PRICE("&amp;B1803&amp;")")</f>
        <v>#NAME?</v>
      </c>
      <c r="D1803" t="e">
        <f ca="1">_xll.FDS("GBPUSD","FG_PRICE("&amp;B1803&amp;")")</f>
        <v>#NAME?</v>
      </c>
      <c r="E1803" t="e">
        <f ca="1">_xll.FDSB("JPYUSD","FG_PRICE("&amp;B1803&amp;")")</f>
        <v>#NAME?</v>
      </c>
    </row>
    <row r="1804" spans="2:5">
      <c r="B1804" s="244">
        <f t="shared" si="70"/>
        <v>45267</v>
      </c>
      <c r="C1804" s="245" t="e">
        <f ca="1">_xll.FDS("EURUSD","FG_PRICE("&amp;B1804&amp;")")</f>
        <v>#NAME?</v>
      </c>
      <c r="D1804" t="e">
        <f ca="1">_xll.FDS("GBPUSD","FG_PRICE("&amp;B1804&amp;")")</f>
        <v>#NAME?</v>
      </c>
      <c r="E1804" t="e">
        <f ca="1">_xll.FDSB("JPYUSD","FG_PRICE("&amp;B1804&amp;")")</f>
        <v>#NAME?</v>
      </c>
    </row>
    <row r="1805" spans="2:5">
      <c r="B1805" s="244">
        <f t="shared" si="70"/>
        <v>45268</v>
      </c>
      <c r="C1805" s="245" t="e">
        <f ca="1">_xll.FDS("EURUSD","FG_PRICE("&amp;B1805&amp;")")</f>
        <v>#NAME?</v>
      </c>
      <c r="D1805" t="e">
        <f ca="1">_xll.FDS("GBPUSD","FG_PRICE("&amp;B1805&amp;")")</f>
        <v>#NAME?</v>
      </c>
      <c r="E1805" t="e">
        <f ca="1">_xll.FDSB("JPYUSD","FG_PRICE("&amp;B1805&amp;")")</f>
        <v>#NAME?</v>
      </c>
    </row>
    <row r="1806" spans="2:5">
      <c r="B1806" s="244">
        <f t="shared" si="70"/>
        <v>45269</v>
      </c>
      <c r="C1806" s="245" t="e">
        <f ca="1">_xll.FDS("EURUSD","FG_PRICE("&amp;B1806&amp;")")</f>
        <v>#NAME?</v>
      </c>
      <c r="D1806" t="e">
        <f ca="1">_xll.FDS("GBPUSD","FG_PRICE("&amp;B1806&amp;")")</f>
        <v>#NAME?</v>
      </c>
      <c r="E1806" t="e">
        <f ca="1">_xll.FDSB("JPYUSD","FG_PRICE("&amp;B1806&amp;")")</f>
        <v>#NAME?</v>
      </c>
    </row>
    <row r="1807" spans="2:5">
      <c r="B1807" s="244">
        <f t="shared" si="70"/>
        <v>45270</v>
      </c>
      <c r="C1807" s="245" t="e">
        <f ca="1">_xll.FDS("EURUSD","FG_PRICE("&amp;B1807&amp;")")</f>
        <v>#NAME?</v>
      </c>
      <c r="D1807" t="e">
        <f ca="1">_xll.FDS("GBPUSD","FG_PRICE("&amp;B1807&amp;")")</f>
        <v>#NAME?</v>
      </c>
      <c r="E1807" t="e">
        <f ca="1">_xll.FDSB("JPYUSD","FG_PRICE("&amp;B1807&amp;")")</f>
        <v>#NAME?</v>
      </c>
    </row>
    <row r="1808" spans="2:5">
      <c r="B1808" s="244">
        <f t="shared" si="70"/>
        <v>45271</v>
      </c>
      <c r="C1808" s="245" t="e">
        <f ca="1">_xll.FDS("EURUSD","FG_PRICE("&amp;B1808&amp;")")</f>
        <v>#NAME?</v>
      </c>
      <c r="D1808" t="e">
        <f ca="1">_xll.FDS("GBPUSD","FG_PRICE("&amp;B1808&amp;")")</f>
        <v>#NAME?</v>
      </c>
      <c r="E1808" t="e">
        <f ca="1">_xll.FDSB("JPYUSD","FG_PRICE("&amp;B1808&amp;")")</f>
        <v>#NAME?</v>
      </c>
    </row>
    <row r="1809" spans="2:5">
      <c r="B1809" s="244">
        <f t="shared" si="70"/>
        <v>45272</v>
      </c>
      <c r="C1809" s="245" t="e">
        <f ca="1">_xll.FDS("EURUSD","FG_PRICE("&amp;B1809&amp;")")</f>
        <v>#NAME?</v>
      </c>
      <c r="D1809" t="e">
        <f ca="1">_xll.FDS("GBPUSD","FG_PRICE("&amp;B1809&amp;")")</f>
        <v>#NAME?</v>
      </c>
      <c r="E1809" t="e">
        <f ca="1">_xll.FDSB("JPYUSD","FG_PRICE("&amp;B1809&amp;")")</f>
        <v>#NAME?</v>
      </c>
    </row>
    <row r="1810" spans="2:5">
      <c r="B1810" s="244">
        <f t="shared" si="70"/>
        <v>45273</v>
      </c>
      <c r="C1810" s="245" t="e">
        <f ca="1">_xll.FDS("EURUSD","FG_PRICE("&amp;B1810&amp;")")</f>
        <v>#NAME?</v>
      </c>
      <c r="D1810" t="e">
        <f ca="1">_xll.FDS("GBPUSD","FG_PRICE("&amp;B1810&amp;")")</f>
        <v>#NAME?</v>
      </c>
      <c r="E1810" t="e">
        <f ca="1">_xll.FDSB("JPYUSD","FG_PRICE("&amp;B1810&amp;")")</f>
        <v>#NAME?</v>
      </c>
    </row>
    <row r="1811" spans="2:5">
      <c r="B1811" s="244">
        <f t="shared" si="70"/>
        <v>45274</v>
      </c>
      <c r="C1811" s="245" t="e">
        <f ca="1">_xll.FDS("EURUSD","FG_PRICE("&amp;B1811&amp;")")</f>
        <v>#NAME?</v>
      </c>
      <c r="D1811" t="e">
        <f ca="1">_xll.FDS("GBPUSD","FG_PRICE("&amp;B1811&amp;")")</f>
        <v>#NAME?</v>
      </c>
      <c r="E1811" t="e">
        <f ca="1">_xll.FDSB("JPYUSD","FG_PRICE("&amp;B1811&amp;")")</f>
        <v>#NAME?</v>
      </c>
    </row>
    <row r="1812" spans="2:5">
      <c r="B1812" s="244">
        <f t="shared" si="70"/>
        <v>45275</v>
      </c>
      <c r="C1812" s="245" t="e">
        <f ca="1">_xll.FDS("EURUSD","FG_PRICE("&amp;B1812&amp;")")</f>
        <v>#NAME?</v>
      </c>
      <c r="D1812" t="e">
        <f ca="1">_xll.FDS("GBPUSD","FG_PRICE("&amp;B1812&amp;")")</f>
        <v>#NAME?</v>
      </c>
      <c r="E1812" t="e">
        <f ca="1">_xll.FDSB("JPYUSD","FG_PRICE("&amp;B1812&amp;")")</f>
        <v>#NAME?</v>
      </c>
    </row>
    <row r="1813" spans="2:5">
      <c r="B1813" s="244">
        <f t="shared" si="70"/>
        <v>45276</v>
      </c>
      <c r="C1813" s="245" t="e">
        <f ca="1">_xll.FDS("EURUSD","FG_PRICE("&amp;B1813&amp;")")</f>
        <v>#NAME?</v>
      </c>
      <c r="D1813" t="e">
        <f ca="1">_xll.FDS("GBPUSD","FG_PRICE("&amp;B1813&amp;")")</f>
        <v>#NAME?</v>
      </c>
      <c r="E1813" t="e">
        <f ca="1">_xll.FDSB("JPYUSD","FG_PRICE("&amp;B1813&amp;")")</f>
        <v>#NAME?</v>
      </c>
    </row>
    <row r="1814" spans="2:5">
      <c r="B1814" s="244">
        <f t="shared" si="70"/>
        <v>45277</v>
      </c>
      <c r="C1814" s="245" t="e">
        <f ca="1">_xll.FDS("EURUSD","FG_PRICE("&amp;B1814&amp;")")</f>
        <v>#NAME?</v>
      </c>
      <c r="D1814" t="e">
        <f ca="1">_xll.FDS("GBPUSD","FG_PRICE("&amp;B1814&amp;")")</f>
        <v>#NAME?</v>
      </c>
      <c r="E1814" t="e">
        <f ca="1">_xll.FDSB("JPYUSD","FG_PRICE("&amp;B1814&amp;")")</f>
        <v>#NAME?</v>
      </c>
    </row>
    <row r="1815" spans="2:5">
      <c r="B1815" s="244">
        <f t="shared" si="70"/>
        <v>45278</v>
      </c>
      <c r="C1815" s="245" t="e">
        <f ca="1">_xll.FDS("EURUSD","FG_PRICE("&amp;B1815&amp;")")</f>
        <v>#NAME?</v>
      </c>
      <c r="D1815" t="e">
        <f ca="1">_xll.FDS("GBPUSD","FG_PRICE("&amp;B1815&amp;")")</f>
        <v>#NAME?</v>
      </c>
      <c r="E1815" t="e">
        <f ca="1">_xll.FDSB("JPYUSD","FG_PRICE("&amp;B1815&amp;")")</f>
        <v>#NAME?</v>
      </c>
    </row>
    <row r="1816" spans="2:5">
      <c r="B1816" s="244">
        <f t="shared" si="70"/>
        <v>45279</v>
      </c>
      <c r="C1816" s="245" t="e">
        <f ca="1">_xll.FDS("EURUSD","FG_PRICE("&amp;B1816&amp;")")</f>
        <v>#NAME?</v>
      </c>
      <c r="D1816" t="e">
        <f ca="1">_xll.FDS("GBPUSD","FG_PRICE("&amp;B1816&amp;")")</f>
        <v>#NAME?</v>
      </c>
      <c r="E1816" t="e">
        <f ca="1">_xll.FDSB("JPYUSD","FG_PRICE("&amp;B1816&amp;")")</f>
        <v>#NAME?</v>
      </c>
    </row>
    <row r="1817" spans="2:5">
      <c r="B1817" s="244">
        <f t="shared" si="70"/>
        <v>45280</v>
      </c>
      <c r="C1817" s="245" t="e">
        <f ca="1">_xll.FDS("EURUSD","FG_PRICE("&amp;B1817&amp;")")</f>
        <v>#NAME?</v>
      </c>
      <c r="D1817" t="e">
        <f ca="1">_xll.FDS("GBPUSD","FG_PRICE("&amp;B1817&amp;")")</f>
        <v>#NAME?</v>
      </c>
      <c r="E1817" t="e">
        <f ca="1">_xll.FDSB("JPYUSD","FG_PRICE("&amp;B1817&amp;")")</f>
        <v>#NAME?</v>
      </c>
    </row>
    <row r="1818" spans="2:5">
      <c r="B1818" s="244">
        <f t="shared" si="70"/>
        <v>45281</v>
      </c>
      <c r="C1818" s="245" t="e">
        <f ca="1">_xll.FDS("EURUSD","FG_PRICE("&amp;B1818&amp;")")</f>
        <v>#NAME?</v>
      </c>
      <c r="D1818" t="e">
        <f ca="1">_xll.FDS("GBPUSD","FG_PRICE("&amp;B1818&amp;")")</f>
        <v>#NAME?</v>
      </c>
      <c r="E1818" t="e">
        <f ca="1">_xll.FDSB("JPYUSD","FG_PRICE("&amp;B1818&amp;")")</f>
        <v>#NAME?</v>
      </c>
    </row>
    <row r="1819" spans="2:5">
      <c r="B1819" s="244">
        <f t="shared" si="70"/>
        <v>45282</v>
      </c>
      <c r="C1819" s="245" t="e">
        <f ca="1">_xll.FDS("EURUSD","FG_PRICE("&amp;B1819&amp;")")</f>
        <v>#NAME?</v>
      </c>
      <c r="D1819" t="e">
        <f ca="1">_xll.FDS("GBPUSD","FG_PRICE("&amp;B1819&amp;")")</f>
        <v>#NAME?</v>
      </c>
      <c r="E1819" t="e">
        <f ca="1">_xll.FDSB("JPYUSD","FG_PRICE("&amp;B1819&amp;")")</f>
        <v>#NAME?</v>
      </c>
    </row>
    <row r="1820" spans="2:5">
      <c r="B1820" s="244">
        <f t="shared" si="70"/>
        <v>45283</v>
      </c>
      <c r="C1820" s="245" t="e">
        <f ca="1">_xll.FDS("EURUSD","FG_PRICE("&amp;B1820&amp;")")</f>
        <v>#NAME?</v>
      </c>
      <c r="D1820" t="e">
        <f ca="1">_xll.FDS("GBPUSD","FG_PRICE("&amp;B1820&amp;")")</f>
        <v>#NAME?</v>
      </c>
      <c r="E1820" t="e">
        <f ca="1">_xll.FDSB("JPYUSD","FG_PRICE("&amp;B1820&amp;")")</f>
        <v>#NAME?</v>
      </c>
    </row>
    <row r="1821" spans="2:5">
      <c r="B1821" s="244">
        <f t="shared" si="70"/>
        <v>45284</v>
      </c>
      <c r="C1821" s="245" t="e">
        <f ca="1">_xll.FDS("EURUSD","FG_PRICE("&amp;B1821&amp;")")</f>
        <v>#NAME?</v>
      </c>
      <c r="D1821" t="e">
        <f ca="1">_xll.FDS("GBPUSD","FG_PRICE("&amp;B1821&amp;")")</f>
        <v>#NAME?</v>
      </c>
      <c r="E1821" t="e">
        <f ca="1">_xll.FDSB("JPYUSD","FG_PRICE("&amp;B1821&amp;")")</f>
        <v>#NAME?</v>
      </c>
    </row>
    <row r="1822" spans="2:5">
      <c r="B1822" s="244">
        <f t="shared" si="70"/>
        <v>45285</v>
      </c>
      <c r="C1822" s="245" t="e">
        <f ca="1">_xll.FDS("EURUSD","FG_PRICE("&amp;B1822&amp;")")</f>
        <v>#NAME?</v>
      </c>
      <c r="D1822" t="e">
        <f ca="1">_xll.FDS("GBPUSD","FG_PRICE("&amp;B1822&amp;")")</f>
        <v>#NAME?</v>
      </c>
      <c r="E1822" t="e">
        <f ca="1">_xll.FDSB("JPYUSD","FG_PRICE("&amp;B1822&amp;")")</f>
        <v>#NAME?</v>
      </c>
    </row>
    <row r="1823" spans="2:5">
      <c r="B1823" s="244">
        <f t="shared" si="70"/>
        <v>45286</v>
      </c>
      <c r="C1823" s="245" t="e">
        <f ca="1">_xll.FDS("EURUSD","FG_PRICE("&amp;B1823&amp;")")</f>
        <v>#NAME?</v>
      </c>
      <c r="D1823" t="e">
        <f ca="1">_xll.FDS("GBPUSD","FG_PRICE("&amp;B1823&amp;")")</f>
        <v>#NAME?</v>
      </c>
      <c r="E1823" t="e">
        <f ca="1">_xll.FDSB("JPYUSD","FG_PRICE("&amp;B1823&amp;")")</f>
        <v>#NAME?</v>
      </c>
    </row>
    <row r="1824" spans="2:5">
      <c r="B1824" s="244">
        <f t="shared" si="70"/>
        <v>45287</v>
      </c>
      <c r="C1824" s="245" t="e">
        <f ca="1">_xll.FDS("EURUSD","FG_PRICE("&amp;B1824&amp;")")</f>
        <v>#NAME?</v>
      </c>
      <c r="D1824" t="e">
        <f ca="1">_xll.FDS("GBPUSD","FG_PRICE("&amp;B1824&amp;")")</f>
        <v>#NAME?</v>
      </c>
      <c r="E1824" t="e">
        <f ca="1">_xll.FDSB("JPYUSD","FG_PRICE("&amp;B1824&amp;")")</f>
        <v>#NAME?</v>
      </c>
    </row>
    <row r="1825" spans="2:5">
      <c r="B1825" s="244">
        <f t="shared" si="70"/>
        <v>45288</v>
      </c>
      <c r="C1825" s="245" t="e">
        <f ca="1">_xll.FDS("EURUSD","FG_PRICE("&amp;B1825&amp;")")</f>
        <v>#NAME?</v>
      </c>
      <c r="D1825" t="e">
        <f ca="1">_xll.FDS("GBPUSD","FG_PRICE("&amp;B1825&amp;")")</f>
        <v>#NAME?</v>
      </c>
      <c r="E1825" t="e">
        <f ca="1">_xll.FDSB("JPYUSD","FG_PRICE("&amp;B1825&amp;")")</f>
        <v>#NAME?</v>
      </c>
    </row>
    <row r="1826" spans="2:5">
      <c r="B1826" s="244">
        <f t="shared" si="70"/>
        <v>45289</v>
      </c>
      <c r="C1826" s="245" t="e">
        <f ca="1">_xll.FDS("EURUSD","FG_PRICE("&amp;B1826&amp;")")</f>
        <v>#NAME?</v>
      </c>
      <c r="D1826" t="e">
        <f ca="1">_xll.FDS("GBPUSD","FG_PRICE("&amp;B1826&amp;")")</f>
        <v>#NAME?</v>
      </c>
      <c r="E1826" t="e">
        <f ca="1">_xll.FDSB("JPYUSD","FG_PRICE("&amp;B1826&amp;")")</f>
        <v>#NAME?</v>
      </c>
    </row>
    <row r="1827" spans="2:5">
      <c r="B1827" s="244">
        <f t="shared" si="70"/>
        <v>45290</v>
      </c>
      <c r="C1827" s="245" t="e">
        <f ca="1">_xll.FDS("EURUSD","FG_PRICE("&amp;B1827&amp;")")</f>
        <v>#NAME?</v>
      </c>
      <c r="D1827" t="e">
        <f ca="1">_xll.FDS("GBPUSD","FG_PRICE("&amp;B1827&amp;")")</f>
        <v>#NAME?</v>
      </c>
      <c r="E1827" t="e">
        <f ca="1">_xll.FDSB("JPYUSD","FG_PRICE("&amp;B1827&amp;")")</f>
        <v>#NAME?</v>
      </c>
    </row>
    <row r="1828" spans="2:5">
      <c r="B1828" s="244">
        <f t="shared" si="70"/>
        <v>45291</v>
      </c>
      <c r="C1828" s="245" t="e">
        <f ca="1">_xll.FDS("EURUSD","FG_PRICE("&amp;B1828&amp;")")</f>
        <v>#NAME?</v>
      </c>
      <c r="D1828" t="e">
        <f ca="1">_xll.FDS("GBPUSD","FG_PRICE("&amp;B1828&amp;")")</f>
        <v>#NAME?</v>
      </c>
      <c r="E1828" t="e">
        <f ca="1">_xll.FDSB("JPYUSD","FG_PRICE("&amp;B1828&amp;")")</f>
        <v>#NAME?</v>
      </c>
    </row>
    <row r="1829" spans="2:5">
      <c r="B1829" s="244">
        <f t="shared" si="70"/>
        <v>45292</v>
      </c>
      <c r="C1829" s="245" t="e">
        <f ca="1">_xll.FDS("EURUSD","FG_PRICE("&amp;B1829&amp;")")</f>
        <v>#NAME?</v>
      </c>
      <c r="D1829" t="e">
        <f ca="1">_xll.FDS("GBPUSD","FG_PRICE("&amp;B1829&amp;")")</f>
        <v>#NAME?</v>
      </c>
      <c r="E1829" t="e">
        <f ca="1">_xll.FDSB("JPYUSD","FG_PRICE("&amp;B1829&amp;")")</f>
        <v>#NAME?</v>
      </c>
    </row>
    <row r="1830" spans="2:5">
      <c r="B1830" s="244">
        <f t="shared" si="70"/>
        <v>45293</v>
      </c>
      <c r="C1830" s="245" t="e">
        <f ca="1">_xll.FDS("EURUSD","FG_PRICE("&amp;B1830&amp;")")</f>
        <v>#NAME?</v>
      </c>
      <c r="D1830" t="e">
        <f ca="1">_xll.FDS("GBPUSD","FG_PRICE("&amp;B1830&amp;")")</f>
        <v>#NAME?</v>
      </c>
      <c r="E1830" t="e">
        <f ca="1">_xll.FDSB("JPYUSD","FG_PRICE("&amp;B1830&amp;")")</f>
        <v>#NAME?</v>
      </c>
    </row>
    <row r="1831" spans="2:5">
      <c r="B1831" s="244">
        <f t="shared" si="70"/>
        <v>45294</v>
      </c>
      <c r="C1831" s="245" t="e">
        <f ca="1">_xll.FDS("EURUSD","FG_PRICE("&amp;B1831&amp;")")</f>
        <v>#NAME?</v>
      </c>
      <c r="D1831" t="e">
        <f ca="1">_xll.FDS("GBPUSD","FG_PRICE("&amp;B1831&amp;")")</f>
        <v>#NAME?</v>
      </c>
      <c r="E1831" t="e">
        <f ca="1">_xll.FDSB("JPYUSD","FG_PRICE("&amp;B1831&amp;")")</f>
        <v>#NAME?</v>
      </c>
    </row>
    <row r="1832" spans="2:5">
      <c r="B1832" s="244">
        <f t="shared" si="70"/>
        <v>45295</v>
      </c>
      <c r="C1832" s="245" t="e">
        <f ca="1">_xll.FDS("EURUSD","FG_PRICE("&amp;B1832&amp;")")</f>
        <v>#NAME?</v>
      </c>
      <c r="D1832" t="e">
        <f ca="1">_xll.FDS("GBPUSD","FG_PRICE("&amp;B1832&amp;")")</f>
        <v>#NAME?</v>
      </c>
      <c r="E1832" t="e">
        <f ca="1">_xll.FDSB("JPYUSD","FG_PRICE("&amp;B1832&amp;")")</f>
        <v>#NAME?</v>
      </c>
    </row>
    <row r="1833" spans="2:5">
      <c r="B1833" s="244">
        <f t="shared" si="70"/>
        <v>45296</v>
      </c>
      <c r="C1833" s="245" t="e">
        <f ca="1">_xll.FDS("EURUSD","FG_PRICE("&amp;B1833&amp;")")</f>
        <v>#NAME?</v>
      </c>
      <c r="D1833" t="e">
        <f ca="1">_xll.FDS("GBPUSD","FG_PRICE("&amp;B1833&amp;")")</f>
        <v>#NAME?</v>
      </c>
      <c r="E1833" t="e">
        <f ca="1">_xll.FDSB("JPYUSD","FG_PRICE("&amp;B1833&amp;")")</f>
        <v>#NAME?</v>
      </c>
    </row>
    <row r="1834" spans="2:5">
      <c r="B1834" s="244">
        <f t="shared" si="70"/>
        <v>45297</v>
      </c>
      <c r="C1834" s="245" t="e">
        <f ca="1">_xll.FDS("EURUSD","FG_PRICE("&amp;B1834&amp;")")</f>
        <v>#NAME?</v>
      </c>
      <c r="D1834" t="e">
        <f ca="1">_xll.FDS("GBPUSD","FG_PRICE("&amp;B1834&amp;")")</f>
        <v>#NAME?</v>
      </c>
      <c r="E1834" t="e">
        <f ca="1">_xll.FDSB("JPYUSD","FG_PRICE("&amp;B1834&amp;")")</f>
        <v>#NAME?</v>
      </c>
    </row>
    <row r="1835" spans="2:5">
      <c r="B1835" s="244">
        <f t="shared" si="70"/>
        <v>45298</v>
      </c>
      <c r="C1835" s="245" t="e">
        <f ca="1">_xll.FDS("EURUSD","FG_PRICE("&amp;B1835&amp;")")</f>
        <v>#NAME?</v>
      </c>
      <c r="D1835" t="e">
        <f ca="1">_xll.FDS("GBPUSD","FG_PRICE("&amp;B1835&amp;")")</f>
        <v>#NAME?</v>
      </c>
      <c r="E1835" t="e">
        <f ca="1">_xll.FDSB("JPYUSD","FG_PRICE("&amp;B1835&amp;")")</f>
        <v>#NAME?</v>
      </c>
    </row>
    <row r="1836" spans="2:5">
      <c r="B1836" s="244">
        <f t="shared" si="70"/>
        <v>45299</v>
      </c>
      <c r="C1836" s="245" t="e">
        <f ca="1">_xll.FDS("EURUSD","FG_PRICE("&amp;B1836&amp;")")</f>
        <v>#NAME?</v>
      </c>
      <c r="D1836" t="e">
        <f ca="1">_xll.FDS("GBPUSD","FG_PRICE("&amp;B1836&amp;")")</f>
        <v>#NAME?</v>
      </c>
      <c r="E1836" t="e">
        <f ca="1">_xll.FDSB("JPYUSD","FG_PRICE("&amp;B1836&amp;")")</f>
        <v>#NAME?</v>
      </c>
    </row>
    <row r="1837" spans="2:5">
      <c r="B1837" s="244">
        <f t="shared" si="70"/>
        <v>45300</v>
      </c>
      <c r="C1837" s="245" t="e">
        <f ca="1">_xll.FDS("EURUSD","FG_PRICE("&amp;B1837&amp;")")</f>
        <v>#NAME?</v>
      </c>
      <c r="D1837" t="e">
        <f ca="1">_xll.FDS("GBPUSD","FG_PRICE("&amp;B1837&amp;")")</f>
        <v>#NAME?</v>
      </c>
      <c r="E1837" t="e">
        <f ca="1">_xll.FDSB("JPYUSD","FG_PRICE("&amp;B1837&amp;")")</f>
        <v>#NAME?</v>
      </c>
    </row>
    <row r="1838" spans="2:5">
      <c r="B1838" s="244">
        <f t="shared" si="70"/>
        <v>45301</v>
      </c>
      <c r="C1838" s="245" t="e">
        <f ca="1">_xll.FDS("EURUSD","FG_PRICE("&amp;B1838&amp;")")</f>
        <v>#NAME?</v>
      </c>
      <c r="D1838" t="e">
        <f ca="1">_xll.FDS("GBPUSD","FG_PRICE("&amp;B1838&amp;")")</f>
        <v>#NAME?</v>
      </c>
      <c r="E1838" t="e">
        <f ca="1">_xll.FDSB("JPYUSD","FG_PRICE("&amp;B1838&amp;")")</f>
        <v>#NAME?</v>
      </c>
    </row>
    <row r="1839" spans="2:5">
      <c r="B1839" s="244">
        <f t="shared" si="70"/>
        <v>45302</v>
      </c>
      <c r="C1839" s="245" t="e">
        <f ca="1">_xll.FDS("EURUSD","FG_PRICE("&amp;B1839&amp;")")</f>
        <v>#NAME?</v>
      </c>
      <c r="D1839" t="e">
        <f ca="1">_xll.FDS("GBPUSD","FG_PRICE("&amp;B1839&amp;")")</f>
        <v>#NAME?</v>
      </c>
      <c r="E1839" t="e">
        <f ca="1">_xll.FDSB("JPYUSD","FG_PRICE("&amp;B1839&amp;")")</f>
        <v>#NAME?</v>
      </c>
    </row>
    <row r="1840" spans="2:5">
      <c r="B1840" s="244">
        <f t="shared" si="70"/>
        <v>45303</v>
      </c>
      <c r="C1840" s="245" t="e">
        <f ca="1">_xll.FDS("EURUSD","FG_PRICE("&amp;B1840&amp;")")</f>
        <v>#NAME?</v>
      </c>
      <c r="D1840" t="e">
        <f ca="1">_xll.FDS("GBPUSD","FG_PRICE("&amp;B1840&amp;")")</f>
        <v>#NAME?</v>
      </c>
      <c r="E1840" t="e">
        <f ca="1">_xll.FDSB("JPYUSD","FG_PRICE("&amp;B1840&amp;")")</f>
        <v>#NAME?</v>
      </c>
    </row>
    <row r="1841" spans="2:5">
      <c r="B1841" s="244">
        <f t="shared" si="70"/>
        <v>45304</v>
      </c>
      <c r="C1841" s="245" t="e">
        <f ca="1">_xll.FDS("EURUSD","FG_PRICE("&amp;B1841&amp;")")</f>
        <v>#NAME?</v>
      </c>
      <c r="D1841" t="e">
        <f ca="1">_xll.FDS("GBPUSD","FG_PRICE("&amp;B1841&amp;")")</f>
        <v>#NAME?</v>
      </c>
      <c r="E1841" t="e">
        <f ca="1">_xll.FDSB("JPYUSD","FG_PRICE("&amp;B1841&amp;")")</f>
        <v>#NAME?</v>
      </c>
    </row>
    <row r="1842" spans="2:5">
      <c r="B1842" s="244">
        <f t="shared" si="70"/>
        <v>45305</v>
      </c>
      <c r="C1842" s="245" t="e">
        <f ca="1">_xll.FDS("EURUSD","FG_PRICE("&amp;B1842&amp;")")</f>
        <v>#NAME?</v>
      </c>
      <c r="D1842" t="e">
        <f ca="1">_xll.FDS("GBPUSD","FG_PRICE("&amp;B1842&amp;")")</f>
        <v>#NAME?</v>
      </c>
      <c r="E1842" t="e">
        <f ca="1">_xll.FDSB("JPYUSD","FG_PRICE("&amp;B1842&amp;")")</f>
        <v>#NAME?</v>
      </c>
    </row>
    <row r="1843" spans="2:5">
      <c r="B1843" s="244">
        <f t="shared" si="70"/>
        <v>45306</v>
      </c>
      <c r="C1843" s="245" t="e">
        <f ca="1">_xll.FDS("EURUSD","FG_PRICE("&amp;B1843&amp;")")</f>
        <v>#NAME?</v>
      </c>
      <c r="D1843" t="e">
        <f ca="1">_xll.FDS("GBPUSD","FG_PRICE("&amp;B1843&amp;")")</f>
        <v>#NAME?</v>
      </c>
      <c r="E1843" t="e">
        <f ca="1">_xll.FDSB("JPYUSD","FG_PRICE("&amp;B1843&amp;")")</f>
        <v>#NAME?</v>
      </c>
    </row>
    <row r="1844" spans="2:5">
      <c r="B1844" s="244">
        <f t="shared" si="70"/>
        <v>45307</v>
      </c>
      <c r="C1844" s="245" t="e">
        <f ca="1">_xll.FDS("EURUSD","FG_PRICE("&amp;B1844&amp;")")</f>
        <v>#NAME?</v>
      </c>
      <c r="D1844" t="e">
        <f ca="1">_xll.FDS("GBPUSD","FG_PRICE("&amp;B1844&amp;")")</f>
        <v>#NAME?</v>
      </c>
      <c r="E1844" t="e">
        <f ca="1">_xll.FDSB("JPYUSD","FG_PRICE("&amp;B1844&amp;")")</f>
        <v>#NAME?</v>
      </c>
    </row>
    <row r="1845" spans="2:5">
      <c r="B1845" s="244">
        <f t="shared" si="70"/>
        <v>45308</v>
      </c>
      <c r="C1845" s="245" t="e">
        <f ca="1">_xll.FDS("EURUSD","FG_PRICE("&amp;B1845&amp;")")</f>
        <v>#NAME?</v>
      </c>
      <c r="D1845" t="e">
        <f ca="1">_xll.FDS("GBPUSD","FG_PRICE("&amp;B1845&amp;")")</f>
        <v>#NAME?</v>
      </c>
      <c r="E1845" t="e">
        <f ca="1">_xll.FDSB("JPYUSD","FG_PRICE("&amp;B1845&amp;")")</f>
        <v>#NAME?</v>
      </c>
    </row>
    <row r="1846" spans="2:5">
      <c r="B1846" s="244">
        <f t="shared" si="70"/>
        <v>45309</v>
      </c>
      <c r="C1846" s="245" t="e">
        <f ca="1">_xll.FDS("EURUSD","FG_PRICE("&amp;B1846&amp;")")</f>
        <v>#NAME?</v>
      </c>
      <c r="D1846" t="e">
        <f ca="1">_xll.FDS("GBPUSD","FG_PRICE("&amp;B1846&amp;")")</f>
        <v>#NAME?</v>
      </c>
      <c r="E1846" t="e">
        <f ca="1">_xll.FDSB("JPYUSD","FG_PRICE("&amp;B1846&amp;")")</f>
        <v>#NAME?</v>
      </c>
    </row>
    <row r="1847" spans="2:5">
      <c r="B1847" s="244">
        <f t="shared" si="70"/>
        <v>45310</v>
      </c>
      <c r="C1847" s="245" t="e">
        <f ca="1">_xll.FDS("EURUSD","FG_PRICE("&amp;B1847&amp;")")</f>
        <v>#NAME?</v>
      </c>
      <c r="D1847" t="e">
        <f ca="1">_xll.FDS("GBPUSD","FG_PRICE("&amp;B1847&amp;")")</f>
        <v>#NAME?</v>
      </c>
      <c r="E1847" t="e">
        <f ca="1">_xll.FDSB("JPYUSD","FG_PRICE("&amp;B1847&amp;")")</f>
        <v>#NAME?</v>
      </c>
    </row>
    <row r="1848" spans="2:5">
      <c r="B1848" s="244">
        <f t="shared" si="70"/>
        <v>45311</v>
      </c>
      <c r="C1848" s="245" t="e">
        <f ca="1">_xll.FDS("EURUSD","FG_PRICE("&amp;B1848&amp;")")</f>
        <v>#NAME?</v>
      </c>
      <c r="D1848" t="e">
        <f ca="1">_xll.FDS("GBPUSD","FG_PRICE("&amp;B1848&amp;")")</f>
        <v>#NAME?</v>
      </c>
      <c r="E1848" t="e">
        <f ca="1">_xll.FDSB("JPYUSD","FG_PRICE("&amp;B1848&amp;")")</f>
        <v>#NAME?</v>
      </c>
    </row>
    <row r="1849" spans="2:5">
      <c r="B1849" s="244">
        <f t="shared" si="70"/>
        <v>45312</v>
      </c>
      <c r="C1849" s="245" t="e">
        <f ca="1">_xll.FDS("EURUSD","FG_PRICE("&amp;B1849&amp;")")</f>
        <v>#NAME?</v>
      </c>
      <c r="D1849" t="e">
        <f ca="1">_xll.FDS("GBPUSD","FG_PRICE("&amp;B1849&amp;")")</f>
        <v>#NAME?</v>
      </c>
      <c r="E1849" t="e">
        <f ca="1">_xll.FDSB("JPYUSD","FG_PRICE("&amp;B1849&amp;")")</f>
        <v>#NAME?</v>
      </c>
    </row>
    <row r="1850" spans="2:5">
      <c r="B1850" s="244">
        <f t="shared" si="70"/>
        <v>45313</v>
      </c>
      <c r="C1850" s="245" t="e">
        <f ca="1">_xll.FDS("EURUSD","FG_PRICE("&amp;B1850&amp;")")</f>
        <v>#NAME?</v>
      </c>
      <c r="D1850" t="e">
        <f ca="1">_xll.FDS("GBPUSD","FG_PRICE("&amp;B1850&amp;")")</f>
        <v>#NAME?</v>
      </c>
      <c r="E1850" t="e">
        <f ca="1">_xll.FDSB("JPYUSD","FG_PRICE("&amp;B1850&amp;")")</f>
        <v>#NAME?</v>
      </c>
    </row>
    <row r="1851" spans="2:5">
      <c r="B1851" s="244">
        <f t="shared" si="70"/>
        <v>45314</v>
      </c>
      <c r="C1851" s="245" t="e">
        <f ca="1">_xll.FDS("EURUSD","FG_PRICE("&amp;B1851&amp;")")</f>
        <v>#NAME?</v>
      </c>
      <c r="D1851" t="e">
        <f ca="1">_xll.FDS("GBPUSD","FG_PRICE("&amp;B1851&amp;")")</f>
        <v>#NAME?</v>
      </c>
      <c r="E1851" t="e">
        <f ca="1">_xll.FDSB("JPYUSD","FG_PRICE("&amp;B1851&amp;")")</f>
        <v>#NAME?</v>
      </c>
    </row>
    <row r="1852" spans="2:5">
      <c r="B1852" s="244">
        <f t="shared" si="70"/>
        <v>45315</v>
      </c>
      <c r="C1852" s="245" t="e">
        <f ca="1">_xll.FDS("EURUSD","FG_PRICE("&amp;B1852&amp;")")</f>
        <v>#NAME?</v>
      </c>
      <c r="D1852" t="e">
        <f ca="1">_xll.FDS("GBPUSD","FG_PRICE("&amp;B1852&amp;")")</f>
        <v>#NAME?</v>
      </c>
      <c r="E1852" t="e">
        <f ca="1">_xll.FDSB("JPYUSD","FG_PRICE("&amp;B1852&amp;")")</f>
        <v>#NAME?</v>
      </c>
    </row>
    <row r="1853" spans="2:5">
      <c r="B1853" s="244">
        <f t="shared" si="70"/>
        <v>45316</v>
      </c>
      <c r="C1853" s="245" t="e">
        <f ca="1">_xll.FDS("EURUSD","FG_PRICE("&amp;B1853&amp;")")</f>
        <v>#NAME?</v>
      </c>
      <c r="D1853" t="e">
        <f ca="1">_xll.FDS("GBPUSD","FG_PRICE("&amp;B1853&amp;")")</f>
        <v>#NAME?</v>
      </c>
      <c r="E1853" t="e">
        <f ca="1">_xll.FDSB("JPYUSD","FG_PRICE("&amp;B1853&amp;")")</f>
        <v>#NAME?</v>
      </c>
    </row>
    <row r="1854" spans="2:5">
      <c r="B1854" s="244">
        <f t="shared" si="70"/>
        <v>45317</v>
      </c>
      <c r="C1854" s="245" t="e">
        <f ca="1">_xll.FDS("EURUSD","FG_PRICE("&amp;B1854&amp;")")</f>
        <v>#NAME?</v>
      </c>
      <c r="D1854" t="e">
        <f ca="1">_xll.FDS("GBPUSD","FG_PRICE("&amp;B1854&amp;")")</f>
        <v>#NAME?</v>
      </c>
      <c r="E1854" t="e">
        <f ca="1">_xll.FDSB("JPYUSD","FG_PRICE("&amp;B1854&amp;")")</f>
        <v>#NAME?</v>
      </c>
    </row>
    <row r="1855" spans="2:5">
      <c r="B1855" s="244">
        <f t="shared" si="70"/>
        <v>45318</v>
      </c>
      <c r="C1855" s="245" t="e">
        <f ca="1">_xll.FDS("EURUSD","FG_PRICE("&amp;B1855&amp;")")</f>
        <v>#NAME?</v>
      </c>
      <c r="D1855" t="e">
        <f ca="1">_xll.FDS("GBPUSD","FG_PRICE("&amp;B1855&amp;")")</f>
        <v>#NAME?</v>
      </c>
      <c r="E1855" t="e">
        <f ca="1">_xll.FDSB("JPYUSD","FG_PRICE("&amp;B1855&amp;")")</f>
        <v>#NAME?</v>
      </c>
    </row>
    <row r="1856" spans="2:5">
      <c r="B1856" s="244">
        <f t="shared" si="70"/>
        <v>45319</v>
      </c>
      <c r="C1856" s="245" t="e">
        <f ca="1">_xll.FDS("EURUSD","FG_PRICE("&amp;B1856&amp;")")</f>
        <v>#NAME?</v>
      </c>
      <c r="D1856" t="e">
        <f ca="1">_xll.FDS("GBPUSD","FG_PRICE("&amp;B1856&amp;")")</f>
        <v>#NAME?</v>
      </c>
      <c r="E1856" t="e">
        <f ca="1">_xll.FDSB("JPYUSD","FG_PRICE("&amp;B1856&amp;")")</f>
        <v>#NAME?</v>
      </c>
    </row>
    <row r="1857" spans="2:5">
      <c r="B1857" s="244">
        <f t="shared" si="70"/>
        <v>45320</v>
      </c>
      <c r="C1857" s="245" t="e">
        <f ca="1">_xll.FDS("EURUSD","FG_PRICE("&amp;B1857&amp;")")</f>
        <v>#NAME?</v>
      </c>
      <c r="D1857" t="e">
        <f ca="1">_xll.FDS("GBPUSD","FG_PRICE("&amp;B1857&amp;")")</f>
        <v>#NAME?</v>
      </c>
      <c r="E1857" t="e">
        <f ca="1">_xll.FDSB("JPYUSD","FG_PRICE("&amp;B1857&amp;")")</f>
        <v>#NAME?</v>
      </c>
    </row>
    <row r="1858" spans="2:5">
      <c r="B1858" s="244">
        <f t="shared" si="70"/>
        <v>45321</v>
      </c>
      <c r="C1858" s="245" t="e">
        <f ca="1">_xll.FDS("EURUSD","FG_PRICE("&amp;B1858&amp;")")</f>
        <v>#NAME?</v>
      </c>
      <c r="D1858" t="e">
        <f ca="1">_xll.FDS("GBPUSD","FG_PRICE("&amp;B1858&amp;")")</f>
        <v>#NAME?</v>
      </c>
      <c r="E1858" t="e">
        <f ca="1">_xll.FDSB("JPYUSD","FG_PRICE("&amp;B1858&amp;")")</f>
        <v>#NAME?</v>
      </c>
    </row>
    <row r="1859" spans="2:5">
      <c r="B1859" s="244">
        <f t="shared" si="70"/>
        <v>45322</v>
      </c>
      <c r="C1859" s="245" t="e">
        <f ca="1">_xll.FDS("EURUSD","FG_PRICE("&amp;B1859&amp;")")</f>
        <v>#NAME?</v>
      </c>
      <c r="D1859" t="e">
        <f ca="1">_xll.FDS("GBPUSD","FG_PRICE("&amp;B1859&amp;")")</f>
        <v>#NAME?</v>
      </c>
      <c r="E1859" t="e">
        <f ca="1">_xll.FDSB("JPYUSD","FG_PRICE("&amp;B1859&amp;")")</f>
        <v>#NAME?</v>
      </c>
    </row>
    <row r="1860" spans="2:5">
      <c r="B1860" s="244">
        <f t="shared" si="70"/>
        <v>45323</v>
      </c>
      <c r="C1860" s="245" t="e">
        <f ca="1">_xll.FDS("EURUSD","FG_PRICE("&amp;B1860&amp;")")</f>
        <v>#NAME?</v>
      </c>
      <c r="D1860" t="e">
        <f ca="1">_xll.FDS("GBPUSD","FG_PRICE("&amp;B1860&amp;")")</f>
        <v>#NAME?</v>
      </c>
      <c r="E1860" t="e">
        <f ca="1">_xll.FDSB("JPYUSD","FG_PRICE("&amp;B1860&amp;")")</f>
        <v>#NAME?</v>
      </c>
    </row>
    <row r="1861" spans="2:5">
      <c r="B1861" s="244">
        <f t="shared" ref="B1861:B1924" si="71">B1860+1</f>
        <v>45324</v>
      </c>
      <c r="C1861" s="245" t="e">
        <f ca="1">_xll.FDS("EURUSD","FG_PRICE("&amp;B1861&amp;")")</f>
        <v>#NAME?</v>
      </c>
      <c r="D1861" t="e">
        <f ca="1">_xll.FDS("GBPUSD","FG_PRICE("&amp;B1861&amp;")")</f>
        <v>#NAME?</v>
      </c>
      <c r="E1861" t="e">
        <f ca="1">_xll.FDSB("JPYUSD","FG_PRICE("&amp;B1861&amp;")")</f>
        <v>#NAME?</v>
      </c>
    </row>
    <row r="1862" spans="2:5">
      <c r="B1862" s="244">
        <f t="shared" si="71"/>
        <v>45325</v>
      </c>
      <c r="C1862" s="245" t="e">
        <f ca="1">_xll.FDS("EURUSD","FG_PRICE("&amp;B1862&amp;")")</f>
        <v>#NAME?</v>
      </c>
      <c r="D1862" t="e">
        <f ca="1">_xll.FDS("GBPUSD","FG_PRICE("&amp;B1862&amp;")")</f>
        <v>#NAME?</v>
      </c>
      <c r="E1862" t="e">
        <f ca="1">_xll.FDSB("JPYUSD","FG_PRICE("&amp;B1862&amp;")")</f>
        <v>#NAME?</v>
      </c>
    </row>
    <row r="1863" spans="2:5">
      <c r="B1863" s="244">
        <f t="shared" si="71"/>
        <v>45326</v>
      </c>
      <c r="C1863" s="245" t="e">
        <f ca="1">_xll.FDS("EURUSD","FG_PRICE("&amp;B1863&amp;")")</f>
        <v>#NAME?</v>
      </c>
      <c r="D1863" t="e">
        <f ca="1">_xll.FDS("GBPUSD","FG_PRICE("&amp;B1863&amp;")")</f>
        <v>#NAME?</v>
      </c>
      <c r="E1863" t="e">
        <f ca="1">_xll.FDSB("JPYUSD","FG_PRICE("&amp;B1863&amp;")")</f>
        <v>#NAME?</v>
      </c>
    </row>
    <row r="1864" spans="2:5">
      <c r="B1864" s="244">
        <f t="shared" si="71"/>
        <v>45327</v>
      </c>
      <c r="C1864" s="245" t="e">
        <f ca="1">_xll.FDS("EURUSD","FG_PRICE("&amp;B1864&amp;")")</f>
        <v>#NAME?</v>
      </c>
      <c r="D1864" t="e">
        <f ca="1">_xll.FDS("GBPUSD","FG_PRICE("&amp;B1864&amp;")")</f>
        <v>#NAME?</v>
      </c>
      <c r="E1864" t="e">
        <f ca="1">_xll.FDSB("JPYUSD","FG_PRICE("&amp;B1864&amp;")")</f>
        <v>#NAME?</v>
      </c>
    </row>
    <row r="1865" spans="2:5">
      <c r="B1865" s="244">
        <f t="shared" si="71"/>
        <v>45328</v>
      </c>
      <c r="C1865" s="245" t="e">
        <f ca="1">_xll.FDS("EURUSD","FG_PRICE("&amp;B1865&amp;")")</f>
        <v>#NAME?</v>
      </c>
      <c r="D1865" t="e">
        <f ca="1">_xll.FDS("GBPUSD","FG_PRICE("&amp;B1865&amp;")")</f>
        <v>#NAME?</v>
      </c>
      <c r="E1865" t="e">
        <f ca="1">_xll.FDSB("JPYUSD","FG_PRICE("&amp;B1865&amp;")")</f>
        <v>#NAME?</v>
      </c>
    </row>
    <row r="1866" spans="2:5">
      <c r="B1866" s="244">
        <f t="shared" si="71"/>
        <v>45329</v>
      </c>
      <c r="C1866" s="245" t="e">
        <f ca="1">_xll.FDS("EURUSD","FG_PRICE("&amp;B1866&amp;")")</f>
        <v>#NAME?</v>
      </c>
      <c r="D1866" t="e">
        <f ca="1">_xll.FDS("GBPUSD","FG_PRICE("&amp;B1866&amp;")")</f>
        <v>#NAME?</v>
      </c>
      <c r="E1866" t="e">
        <f ca="1">_xll.FDSB("JPYUSD","FG_PRICE("&amp;B1866&amp;")")</f>
        <v>#NAME?</v>
      </c>
    </row>
    <row r="1867" spans="2:5">
      <c r="B1867" s="244">
        <f t="shared" si="71"/>
        <v>45330</v>
      </c>
      <c r="C1867" s="245" t="e">
        <f ca="1">_xll.FDS("EURUSD","FG_PRICE("&amp;B1867&amp;")")</f>
        <v>#NAME?</v>
      </c>
      <c r="D1867" t="e">
        <f ca="1">_xll.FDS("GBPUSD","FG_PRICE("&amp;B1867&amp;")")</f>
        <v>#NAME?</v>
      </c>
      <c r="E1867" t="e">
        <f ca="1">_xll.FDSB("JPYUSD","FG_PRICE("&amp;B1867&amp;")")</f>
        <v>#NAME?</v>
      </c>
    </row>
    <row r="1868" spans="2:5">
      <c r="B1868" s="244">
        <f t="shared" si="71"/>
        <v>45331</v>
      </c>
      <c r="C1868" s="245" t="e">
        <f ca="1">_xll.FDS("EURUSD","FG_PRICE("&amp;B1868&amp;")")</f>
        <v>#NAME?</v>
      </c>
      <c r="D1868" t="e">
        <f ca="1">_xll.FDS("GBPUSD","FG_PRICE("&amp;B1868&amp;")")</f>
        <v>#NAME?</v>
      </c>
      <c r="E1868" t="e">
        <f ca="1">_xll.FDSB("JPYUSD","FG_PRICE("&amp;B1868&amp;")")</f>
        <v>#NAME?</v>
      </c>
    </row>
    <row r="1869" spans="2:5">
      <c r="B1869" s="244">
        <f t="shared" si="71"/>
        <v>45332</v>
      </c>
      <c r="C1869" s="245" t="e">
        <f ca="1">_xll.FDS("EURUSD","FG_PRICE("&amp;B1869&amp;")")</f>
        <v>#NAME?</v>
      </c>
      <c r="D1869" t="e">
        <f ca="1">_xll.FDS("GBPUSD","FG_PRICE("&amp;B1869&amp;")")</f>
        <v>#NAME?</v>
      </c>
      <c r="E1869" t="e">
        <f ca="1">_xll.FDSB("JPYUSD","FG_PRICE("&amp;B1869&amp;")")</f>
        <v>#NAME?</v>
      </c>
    </row>
    <row r="1870" spans="2:5">
      <c r="B1870" s="244">
        <f t="shared" si="71"/>
        <v>45333</v>
      </c>
      <c r="C1870" s="245" t="e">
        <f ca="1">_xll.FDS("EURUSD","FG_PRICE("&amp;B1870&amp;")")</f>
        <v>#NAME?</v>
      </c>
      <c r="D1870" t="e">
        <f ca="1">_xll.FDS("GBPUSD","FG_PRICE("&amp;B1870&amp;")")</f>
        <v>#NAME?</v>
      </c>
      <c r="E1870" t="e">
        <f ca="1">_xll.FDSB("JPYUSD","FG_PRICE("&amp;B1870&amp;")")</f>
        <v>#NAME?</v>
      </c>
    </row>
    <row r="1871" spans="2:5">
      <c r="B1871" s="244">
        <f t="shared" si="71"/>
        <v>45334</v>
      </c>
      <c r="C1871" s="245" t="e">
        <f ca="1">_xll.FDS("EURUSD","FG_PRICE("&amp;B1871&amp;")")</f>
        <v>#NAME?</v>
      </c>
      <c r="D1871" t="e">
        <f ca="1">_xll.FDS("GBPUSD","FG_PRICE("&amp;B1871&amp;")")</f>
        <v>#NAME?</v>
      </c>
      <c r="E1871" t="e">
        <f ca="1">_xll.FDSB("JPYUSD","FG_PRICE("&amp;B1871&amp;")")</f>
        <v>#NAME?</v>
      </c>
    </row>
    <row r="1872" spans="2:5">
      <c r="B1872" s="244">
        <f t="shared" si="71"/>
        <v>45335</v>
      </c>
      <c r="C1872" s="245" t="e">
        <f ca="1">_xll.FDS("EURUSD","FG_PRICE("&amp;B1872&amp;")")</f>
        <v>#NAME?</v>
      </c>
      <c r="D1872" t="e">
        <f ca="1">_xll.FDS("GBPUSD","FG_PRICE("&amp;B1872&amp;")")</f>
        <v>#NAME?</v>
      </c>
      <c r="E1872" t="e">
        <f ca="1">_xll.FDSB("JPYUSD","FG_PRICE("&amp;B1872&amp;")")</f>
        <v>#NAME?</v>
      </c>
    </row>
    <row r="1873" spans="2:5">
      <c r="B1873" s="244">
        <f t="shared" si="71"/>
        <v>45336</v>
      </c>
      <c r="C1873" s="245" t="e">
        <f ca="1">_xll.FDS("EURUSD","FG_PRICE("&amp;B1873&amp;")")</f>
        <v>#NAME?</v>
      </c>
      <c r="D1873" t="e">
        <f ca="1">_xll.FDS("GBPUSD","FG_PRICE("&amp;B1873&amp;")")</f>
        <v>#NAME?</v>
      </c>
      <c r="E1873" t="e">
        <f ca="1">_xll.FDSB("JPYUSD","FG_PRICE("&amp;B1873&amp;")")</f>
        <v>#NAME?</v>
      </c>
    </row>
    <row r="1874" spans="2:5">
      <c r="B1874" s="244">
        <f t="shared" si="71"/>
        <v>45337</v>
      </c>
      <c r="C1874" s="245" t="e">
        <f ca="1">_xll.FDS("EURUSD","FG_PRICE("&amp;B1874&amp;")")</f>
        <v>#NAME?</v>
      </c>
      <c r="D1874" t="e">
        <f ca="1">_xll.FDS("GBPUSD","FG_PRICE("&amp;B1874&amp;")")</f>
        <v>#NAME?</v>
      </c>
      <c r="E1874" t="e">
        <f ca="1">_xll.FDSB("JPYUSD","FG_PRICE("&amp;B1874&amp;")")</f>
        <v>#NAME?</v>
      </c>
    </row>
    <row r="1875" spans="2:5">
      <c r="B1875" s="244">
        <f t="shared" si="71"/>
        <v>45338</v>
      </c>
      <c r="C1875" s="245" t="e">
        <f ca="1">_xll.FDS("EURUSD","FG_PRICE("&amp;B1875&amp;")")</f>
        <v>#NAME?</v>
      </c>
      <c r="D1875" t="e">
        <f ca="1">_xll.FDS("GBPUSD","FG_PRICE("&amp;B1875&amp;")")</f>
        <v>#NAME?</v>
      </c>
      <c r="E1875" t="e">
        <f ca="1">_xll.FDSB("JPYUSD","FG_PRICE("&amp;B1875&amp;")")</f>
        <v>#NAME?</v>
      </c>
    </row>
    <row r="1876" spans="2:5">
      <c r="B1876" s="244">
        <f t="shared" si="71"/>
        <v>45339</v>
      </c>
      <c r="C1876" s="245" t="e">
        <f ca="1">_xll.FDS("EURUSD","FG_PRICE("&amp;B1876&amp;")")</f>
        <v>#NAME?</v>
      </c>
      <c r="D1876" t="e">
        <f ca="1">_xll.FDS("GBPUSD","FG_PRICE("&amp;B1876&amp;")")</f>
        <v>#NAME?</v>
      </c>
      <c r="E1876" t="e">
        <f ca="1">_xll.FDSB("JPYUSD","FG_PRICE("&amp;B1876&amp;")")</f>
        <v>#NAME?</v>
      </c>
    </row>
    <row r="1877" spans="2:5">
      <c r="B1877" s="244">
        <f t="shared" si="71"/>
        <v>45340</v>
      </c>
      <c r="C1877" s="245" t="e">
        <f ca="1">_xll.FDS("EURUSD","FG_PRICE("&amp;B1877&amp;")")</f>
        <v>#NAME?</v>
      </c>
      <c r="D1877" t="e">
        <f ca="1">_xll.FDS("GBPUSD","FG_PRICE("&amp;B1877&amp;")")</f>
        <v>#NAME?</v>
      </c>
      <c r="E1877" t="e">
        <f ca="1">_xll.FDSB("JPYUSD","FG_PRICE("&amp;B1877&amp;")")</f>
        <v>#NAME?</v>
      </c>
    </row>
    <row r="1878" spans="2:5">
      <c r="B1878" s="244">
        <f t="shared" si="71"/>
        <v>45341</v>
      </c>
      <c r="C1878" s="245" t="e">
        <f ca="1">_xll.FDS("EURUSD","FG_PRICE("&amp;B1878&amp;")")</f>
        <v>#NAME?</v>
      </c>
      <c r="D1878" t="e">
        <f ca="1">_xll.FDS("GBPUSD","FG_PRICE("&amp;B1878&amp;")")</f>
        <v>#NAME?</v>
      </c>
      <c r="E1878" t="e">
        <f ca="1">_xll.FDSB("JPYUSD","FG_PRICE("&amp;B1878&amp;")")</f>
        <v>#NAME?</v>
      </c>
    </row>
    <row r="1879" spans="2:5">
      <c r="B1879" s="244">
        <f t="shared" si="71"/>
        <v>45342</v>
      </c>
      <c r="C1879" s="245" t="e">
        <f ca="1">_xll.FDS("EURUSD","FG_PRICE("&amp;B1879&amp;")")</f>
        <v>#NAME?</v>
      </c>
      <c r="D1879" t="e">
        <f ca="1">_xll.FDS("GBPUSD","FG_PRICE("&amp;B1879&amp;")")</f>
        <v>#NAME?</v>
      </c>
      <c r="E1879" t="e">
        <f ca="1">_xll.FDSB("JPYUSD","FG_PRICE("&amp;B1879&amp;")")</f>
        <v>#NAME?</v>
      </c>
    </row>
    <row r="1880" spans="2:5">
      <c r="B1880" s="244">
        <f t="shared" si="71"/>
        <v>45343</v>
      </c>
      <c r="C1880" s="245" t="e">
        <f ca="1">_xll.FDS("EURUSD","FG_PRICE("&amp;B1880&amp;")")</f>
        <v>#NAME?</v>
      </c>
      <c r="D1880" t="e">
        <f ca="1">_xll.FDS("GBPUSD","FG_PRICE("&amp;B1880&amp;")")</f>
        <v>#NAME?</v>
      </c>
      <c r="E1880" t="e">
        <f ca="1">_xll.FDSB("JPYUSD","FG_PRICE("&amp;B1880&amp;")")</f>
        <v>#NAME?</v>
      </c>
    </row>
    <row r="1881" spans="2:5">
      <c r="B1881" s="244">
        <f t="shared" si="71"/>
        <v>45344</v>
      </c>
      <c r="C1881" s="245" t="e">
        <f ca="1">_xll.FDS("EURUSD","FG_PRICE("&amp;B1881&amp;")")</f>
        <v>#NAME?</v>
      </c>
      <c r="D1881" t="e">
        <f ca="1">_xll.FDS("GBPUSD","FG_PRICE("&amp;B1881&amp;")")</f>
        <v>#NAME?</v>
      </c>
      <c r="E1881" t="e">
        <f ca="1">_xll.FDSB("JPYUSD","FG_PRICE("&amp;B1881&amp;")")</f>
        <v>#NAME?</v>
      </c>
    </row>
    <row r="1882" spans="2:5">
      <c r="B1882" s="244">
        <f t="shared" si="71"/>
        <v>45345</v>
      </c>
      <c r="C1882" s="245" t="e">
        <f ca="1">_xll.FDS("EURUSD","FG_PRICE("&amp;B1882&amp;")")</f>
        <v>#NAME?</v>
      </c>
      <c r="D1882" t="e">
        <f ca="1">_xll.FDS("GBPUSD","FG_PRICE("&amp;B1882&amp;")")</f>
        <v>#NAME?</v>
      </c>
      <c r="E1882" t="e">
        <f ca="1">_xll.FDSB("JPYUSD","FG_PRICE("&amp;B1882&amp;")")</f>
        <v>#NAME?</v>
      </c>
    </row>
    <row r="1883" spans="2:5">
      <c r="B1883" s="244">
        <f t="shared" si="71"/>
        <v>45346</v>
      </c>
      <c r="C1883" s="245" t="e">
        <f ca="1">_xll.FDS("EURUSD","FG_PRICE("&amp;B1883&amp;")")</f>
        <v>#NAME?</v>
      </c>
      <c r="D1883" t="e">
        <f ca="1">_xll.FDS("GBPUSD","FG_PRICE("&amp;B1883&amp;")")</f>
        <v>#NAME?</v>
      </c>
      <c r="E1883" t="e">
        <f ca="1">_xll.FDSB("JPYUSD","FG_PRICE("&amp;B1883&amp;")")</f>
        <v>#NAME?</v>
      </c>
    </row>
    <row r="1884" spans="2:5">
      <c r="B1884" s="244">
        <f t="shared" si="71"/>
        <v>45347</v>
      </c>
      <c r="C1884" s="245" t="e">
        <f ca="1">_xll.FDS("EURUSD","FG_PRICE("&amp;B1884&amp;")")</f>
        <v>#NAME?</v>
      </c>
      <c r="D1884" t="e">
        <f ca="1">_xll.FDS("GBPUSD","FG_PRICE("&amp;B1884&amp;")")</f>
        <v>#NAME?</v>
      </c>
      <c r="E1884" t="e">
        <f ca="1">_xll.FDSB("JPYUSD","FG_PRICE("&amp;B1884&amp;")")</f>
        <v>#NAME?</v>
      </c>
    </row>
    <row r="1885" spans="2:5">
      <c r="B1885" s="244">
        <f t="shared" si="71"/>
        <v>45348</v>
      </c>
      <c r="C1885" s="245" t="e">
        <f ca="1">_xll.FDS("EURUSD","FG_PRICE("&amp;B1885&amp;")")</f>
        <v>#NAME?</v>
      </c>
      <c r="D1885" t="e">
        <f ca="1">_xll.FDS("GBPUSD","FG_PRICE("&amp;B1885&amp;")")</f>
        <v>#NAME?</v>
      </c>
      <c r="E1885" t="e">
        <f ca="1">_xll.FDSB("JPYUSD","FG_PRICE("&amp;B1885&amp;")")</f>
        <v>#NAME?</v>
      </c>
    </row>
    <row r="1886" spans="2:5">
      <c r="B1886" s="244">
        <f t="shared" si="71"/>
        <v>45349</v>
      </c>
      <c r="C1886" s="245" t="e">
        <f ca="1">_xll.FDS("EURUSD","FG_PRICE("&amp;B1886&amp;")")</f>
        <v>#NAME?</v>
      </c>
      <c r="D1886" t="e">
        <f ca="1">_xll.FDS("GBPUSD","FG_PRICE("&amp;B1886&amp;")")</f>
        <v>#NAME?</v>
      </c>
      <c r="E1886" t="e">
        <f ca="1">_xll.FDSB("JPYUSD","FG_PRICE("&amp;B1886&amp;")")</f>
        <v>#NAME?</v>
      </c>
    </row>
    <row r="1887" spans="2:5">
      <c r="B1887" s="244">
        <f t="shared" si="71"/>
        <v>45350</v>
      </c>
      <c r="C1887" s="245" t="e">
        <f ca="1">_xll.FDS("EURUSD","FG_PRICE("&amp;B1887&amp;")")</f>
        <v>#NAME?</v>
      </c>
      <c r="D1887" t="e">
        <f ca="1">_xll.FDS("GBPUSD","FG_PRICE("&amp;B1887&amp;")")</f>
        <v>#NAME?</v>
      </c>
      <c r="E1887" t="e">
        <f ca="1">_xll.FDSB("JPYUSD","FG_PRICE("&amp;B1887&amp;")")</f>
        <v>#NAME?</v>
      </c>
    </row>
    <row r="1888" spans="2:5">
      <c r="B1888" s="244">
        <f t="shared" si="71"/>
        <v>45351</v>
      </c>
      <c r="C1888" s="245" t="e">
        <f ca="1">_xll.FDS("EURUSD","FG_PRICE("&amp;B1888&amp;")")</f>
        <v>#NAME?</v>
      </c>
      <c r="D1888" t="e">
        <f ca="1">_xll.FDS("GBPUSD","FG_PRICE("&amp;B1888&amp;")")</f>
        <v>#NAME?</v>
      </c>
      <c r="E1888" t="e">
        <f ca="1">_xll.FDSB("JPYUSD","FG_PRICE("&amp;B1888&amp;")")</f>
        <v>#NAME?</v>
      </c>
    </row>
    <row r="1889" spans="2:5">
      <c r="B1889" s="244">
        <f t="shared" si="71"/>
        <v>45352</v>
      </c>
      <c r="C1889" s="245" t="e">
        <f ca="1">_xll.FDS("EURUSD","FG_PRICE("&amp;B1889&amp;")")</f>
        <v>#NAME?</v>
      </c>
      <c r="D1889" t="e">
        <f ca="1">_xll.FDS("GBPUSD","FG_PRICE("&amp;B1889&amp;")")</f>
        <v>#NAME?</v>
      </c>
      <c r="E1889" t="e">
        <f ca="1">_xll.FDSB("JPYUSD","FG_PRICE("&amp;B1889&amp;")")</f>
        <v>#NAME?</v>
      </c>
    </row>
    <row r="1890" spans="2:5">
      <c r="B1890" s="244">
        <f t="shared" si="71"/>
        <v>45353</v>
      </c>
      <c r="C1890" s="245" t="e">
        <f ca="1">_xll.FDS("EURUSD","FG_PRICE("&amp;B1890&amp;")")</f>
        <v>#NAME?</v>
      </c>
      <c r="D1890" t="e">
        <f ca="1">_xll.FDS("GBPUSD","FG_PRICE("&amp;B1890&amp;")")</f>
        <v>#NAME?</v>
      </c>
      <c r="E1890" t="e">
        <f ca="1">_xll.FDSB("JPYUSD","FG_PRICE("&amp;B1890&amp;")")</f>
        <v>#NAME?</v>
      </c>
    </row>
    <row r="1891" spans="2:5">
      <c r="B1891" s="244">
        <f t="shared" si="71"/>
        <v>45354</v>
      </c>
      <c r="C1891" s="245" t="e">
        <f ca="1">_xll.FDS("EURUSD","FG_PRICE("&amp;B1891&amp;")")</f>
        <v>#NAME?</v>
      </c>
      <c r="D1891" t="e">
        <f ca="1">_xll.FDS("GBPUSD","FG_PRICE("&amp;B1891&amp;")")</f>
        <v>#NAME?</v>
      </c>
      <c r="E1891" t="e">
        <f ca="1">_xll.FDSB("JPYUSD","FG_PRICE("&amp;B1891&amp;")")</f>
        <v>#NAME?</v>
      </c>
    </row>
    <row r="1892" spans="2:5">
      <c r="B1892" s="244">
        <f t="shared" si="71"/>
        <v>45355</v>
      </c>
      <c r="C1892" s="245" t="e">
        <f ca="1">_xll.FDS("EURUSD","FG_PRICE("&amp;B1892&amp;")")</f>
        <v>#NAME?</v>
      </c>
      <c r="D1892" t="e">
        <f ca="1">_xll.FDS("GBPUSD","FG_PRICE("&amp;B1892&amp;")")</f>
        <v>#NAME?</v>
      </c>
      <c r="E1892" t="e">
        <f ca="1">_xll.FDSB("JPYUSD","FG_PRICE("&amp;B1892&amp;")")</f>
        <v>#NAME?</v>
      </c>
    </row>
    <row r="1893" spans="2:5">
      <c r="B1893" s="244">
        <f t="shared" si="71"/>
        <v>45356</v>
      </c>
      <c r="C1893" s="245" t="e">
        <f ca="1">_xll.FDS("EURUSD","FG_PRICE("&amp;B1893&amp;")")</f>
        <v>#NAME?</v>
      </c>
      <c r="D1893" t="e">
        <f ca="1">_xll.FDS("GBPUSD","FG_PRICE("&amp;B1893&amp;")")</f>
        <v>#NAME?</v>
      </c>
      <c r="E1893" t="e">
        <f ca="1">_xll.FDSB("JPYUSD","FG_PRICE("&amp;B1893&amp;")")</f>
        <v>#NAME?</v>
      </c>
    </row>
    <row r="1894" spans="2:5">
      <c r="B1894" s="244">
        <f t="shared" si="71"/>
        <v>45357</v>
      </c>
      <c r="C1894" s="245" t="e">
        <f ca="1">_xll.FDS("EURUSD","FG_PRICE("&amp;B1894&amp;")")</f>
        <v>#NAME?</v>
      </c>
      <c r="D1894" t="e">
        <f ca="1">_xll.FDS("GBPUSD","FG_PRICE("&amp;B1894&amp;")")</f>
        <v>#NAME?</v>
      </c>
      <c r="E1894" t="e">
        <f ca="1">_xll.FDSB("JPYUSD","FG_PRICE("&amp;B1894&amp;")")</f>
        <v>#NAME?</v>
      </c>
    </row>
    <row r="1895" spans="2:5">
      <c r="B1895" s="244">
        <f t="shared" si="71"/>
        <v>45358</v>
      </c>
      <c r="C1895" s="245" t="e">
        <f ca="1">_xll.FDS("EURUSD","FG_PRICE("&amp;B1895&amp;")")</f>
        <v>#NAME?</v>
      </c>
      <c r="D1895" t="e">
        <f ca="1">_xll.FDS("GBPUSD","FG_PRICE("&amp;B1895&amp;")")</f>
        <v>#NAME?</v>
      </c>
      <c r="E1895" t="e">
        <f ca="1">_xll.FDSB("JPYUSD","FG_PRICE("&amp;B1895&amp;")")</f>
        <v>#NAME?</v>
      </c>
    </row>
    <row r="1896" spans="2:5">
      <c r="B1896" s="244">
        <f t="shared" si="71"/>
        <v>45359</v>
      </c>
      <c r="C1896" s="245" t="e">
        <f ca="1">_xll.FDS("EURUSD","FG_PRICE("&amp;B1896&amp;")")</f>
        <v>#NAME?</v>
      </c>
      <c r="D1896" t="e">
        <f ca="1">_xll.FDS("GBPUSD","FG_PRICE("&amp;B1896&amp;")")</f>
        <v>#NAME?</v>
      </c>
      <c r="E1896" t="e">
        <f ca="1">_xll.FDSB("JPYUSD","FG_PRICE("&amp;B1896&amp;")")</f>
        <v>#NAME?</v>
      </c>
    </row>
    <row r="1897" spans="2:5">
      <c r="B1897" s="244">
        <f t="shared" si="71"/>
        <v>45360</v>
      </c>
      <c r="C1897" s="245" t="e">
        <f ca="1">_xll.FDS("EURUSD","FG_PRICE("&amp;B1897&amp;")")</f>
        <v>#NAME?</v>
      </c>
      <c r="D1897" t="e">
        <f ca="1">_xll.FDS("GBPUSD","FG_PRICE("&amp;B1897&amp;")")</f>
        <v>#NAME?</v>
      </c>
      <c r="E1897" t="e">
        <f ca="1">_xll.FDSB("JPYUSD","FG_PRICE("&amp;B1897&amp;")")</f>
        <v>#NAME?</v>
      </c>
    </row>
    <row r="1898" spans="2:5">
      <c r="B1898" s="244">
        <f t="shared" si="71"/>
        <v>45361</v>
      </c>
      <c r="C1898" s="245" t="e">
        <f ca="1">_xll.FDS("EURUSD","FG_PRICE("&amp;B1898&amp;")")</f>
        <v>#NAME?</v>
      </c>
      <c r="D1898" t="e">
        <f ca="1">_xll.FDS("GBPUSD","FG_PRICE("&amp;B1898&amp;")")</f>
        <v>#NAME?</v>
      </c>
      <c r="E1898" t="e">
        <f ca="1">_xll.FDSB("JPYUSD","FG_PRICE("&amp;B1898&amp;")")</f>
        <v>#NAME?</v>
      </c>
    </row>
    <row r="1899" spans="2:5">
      <c r="B1899" s="244">
        <f t="shared" si="71"/>
        <v>45362</v>
      </c>
      <c r="C1899" s="245" t="e">
        <f ca="1">_xll.FDS("EURUSD","FG_PRICE("&amp;B1899&amp;")")</f>
        <v>#NAME?</v>
      </c>
      <c r="D1899" t="e">
        <f ca="1">_xll.FDS("GBPUSD","FG_PRICE("&amp;B1899&amp;")")</f>
        <v>#NAME?</v>
      </c>
      <c r="E1899" t="e">
        <f ca="1">_xll.FDSB("JPYUSD","FG_PRICE("&amp;B1899&amp;")")</f>
        <v>#NAME?</v>
      </c>
    </row>
    <row r="1900" spans="2:5">
      <c r="B1900" s="244">
        <f t="shared" si="71"/>
        <v>45363</v>
      </c>
      <c r="C1900" s="245" t="e">
        <f ca="1">_xll.FDS("EURUSD","FG_PRICE("&amp;B1900&amp;")")</f>
        <v>#NAME?</v>
      </c>
      <c r="D1900" t="e">
        <f ca="1">_xll.FDS("GBPUSD","FG_PRICE("&amp;B1900&amp;")")</f>
        <v>#NAME?</v>
      </c>
      <c r="E1900" t="e">
        <f ca="1">_xll.FDSB("JPYUSD","FG_PRICE("&amp;B1900&amp;")")</f>
        <v>#NAME?</v>
      </c>
    </row>
    <row r="1901" spans="2:5">
      <c r="B1901" s="244">
        <f t="shared" si="71"/>
        <v>45364</v>
      </c>
      <c r="C1901" s="245" t="e">
        <f ca="1">_xll.FDS("EURUSD","FG_PRICE("&amp;B1901&amp;")")</f>
        <v>#NAME?</v>
      </c>
      <c r="D1901" t="e">
        <f ca="1">_xll.FDS("GBPUSD","FG_PRICE("&amp;B1901&amp;")")</f>
        <v>#NAME?</v>
      </c>
      <c r="E1901" t="e">
        <f ca="1">_xll.FDSB("JPYUSD","FG_PRICE("&amp;B1901&amp;")")</f>
        <v>#NAME?</v>
      </c>
    </row>
    <row r="1902" spans="2:5">
      <c r="B1902" s="244">
        <f t="shared" si="71"/>
        <v>45365</v>
      </c>
      <c r="C1902" s="245" t="e">
        <f ca="1">_xll.FDS("EURUSD","FG_PRICE("&amp;B1902&amp;")")</f>
        <v>#NAME?</v>
      </c>
      <c r="D1902" t="e">
        <f ca="1">_xll.FDS("GBPUSD","FG_PRICE("&amp;B1902&amp;")")</f>
        <v>#NAME?</v>
      </c>
      <c r="E1902" t="e">
        <f ca="1">_xll.FDSB("JPYUSD","FG_PRICE("&amp;B1902&amp;")")</f>
        <v>#NAME?</v>
      </c>
    </row>
    <row r="1903" spans="2:5">
      <c r="B1903" s="244">
        <f t="shared" si="71"/>
        <v>45366</v>
      </c>
      <c r="C1903" s="245" t="e">
        <f ca="1">_xll.FDS("EURUSD","FG_PRICE("&amp;B1903&amp;")")</f>
        <v>#NAME?</v>
      </c>
      <c r="D1903" t="e">
        <f ca="1">_xll.FDS("GBPUSD","FG_PRICE("&amp;B1903&amp;")")</f>
        <v>#NAME?</v>
      </c>
      <c r="E1903" t="e">
        <f ca="1">_xll.FDSB("JPYUSD","FG_PRICE("&amp;B1903&amp;")")</f>
        <v>#NAME?</v>
      </c>
    </row>
    <row r="1904" spans="2:5">
      <c r="B1904" s="244">
        <f t="shared" si="71"/>
        <v>45367</v>
      </c>
      <c r="C1904" s="245" t="e">
        <f ca="1">_xll.FDS("EURUSD","FG_PRICE("&amp;B1904&amp;")")</f>
        <v>#NAME?</v>
      </c>
      <c r="D1904" t="e">
        <f ca="1">_xll.FDS("GBPUSD","FG_PRICE("&amp;B1904&amp;")")</f>
        <v>#NAME?</v>
      </c>
      <c r="E1904" t="e">
        <f ca="1">_xll.FDSB("JPYUSD","FG_PRICE("&amp;B1904&amp;")")</f>
        <v>#NAME?</v>
      </c>
    </row>
    <row r="1905" spans="2:5">
      <c r="B1905" s="244">
        <f t="shared" si="71"/>
        <v>45368</v>
      </c>
      <c r="C1905" s="245" t="e">
        <f ca="1">_xll.FDS("EURUSD","FG_PRICE("&amp;B1905&amp;")")</f>
        <v>#NAME?</v>
      </c>
      <c r="D1905" t="e">
        <f ca="1">_xll.FDS("GBPUSD","FG_PRICE("&amp;B1905&amp;")")</f>
        <v>#NAME?</v>
      </c>
      <c r="E1905" t="e">
        <f ca="1">_xll.FDSB("JPYUSD","FG_PRICE("&amp;B1905&amp;")")</f>
        <v>#NAME?</v>
      </c>
    </row>
    <row r="1906" spans="2:5">
      <c r="B1906" s="244">
        <f t="shared" si="71"/>
        <v>45369</v>
      </c>
      <c r="C1906" s="245" t="e">
        <f ca="1">_xll.FDS("EURUSD","FG_PRICE("&amp;B1906&amp;")")</f>
        <v>#NAME?</v>
      </c>
      <c r="D1906" t="e">
        <f ca="1">_xll.FDS("GBPUSD","FG_PRICE("&amp;B1906&amp;")")</f>
        <v>#NAME?</v>
      </c>
      <c r="E1906" t="e">
        <f ca="1">_xll.FDSB("JPYUSD","FG_PRICE("&amp;B1906&amp;")")</f>
        <v>#NAME?</v>
      </c>
    </row>
    <row r="1907" spans="2:5">
      <c r="B1907" s="244">
        <f t="shared" si="71"/>
        <v>45370</v>
      </c>
      <c r="C1907" s="245" t="e">
        <f ca="1">_xll.FDS("EURUSD","FG_PRICE("&amp;B1907&amp;")")</f>
        <v>#NAME?</v>
      </c>
      <c r="D1907" t="e">
        <f ca="1">_xll.FDS("GBPUSD","FG_PRICE("&amp;B1907&amp;")")</f>
        <v>#NAME?</v>
      </c>
      <c r="E1907" t="e">
        <f ca="1">_xll.FDSB("JPYUSD","FG_PRICE("&amp;B1907&amp;")")</f>
        <v>#NAME?</v>
      </c>
    </row>
    <row r="1908" spans="2:5">
      <c r="B1908" s="244">
        <f t="shared" si="71"/>
        <v>45371</v>
      </c>
      <c r="C1908" s="245" t="e">
        <f ca="1">_xll.FDS("EURUSD","FG_PRICE("&amp;B1908&amp;")")</f>
        <v>#NAME?</v>
      </c>
      <c r="D1908" t="e">
        <f ca="1">_xll.FDS("GBPUSD","FG_PRICE("&amp;B1908&amp;")")</f>
        <v>#NAME?</v>
      </c>
      <c r="E1908" t="e">
        <f ca="1">_xll.FDSB("JPYUSD","FG_PRICE("&amp;B1908&amp;")")</f>
        <v>#NAME?</v>
      </c>
    </row>
    <row r="1909" spans="2:5">
      <c r="B1909" s="244">
        <f t="shared" si="71"/>
        <v>45372</v>
      </c>
      <c r="C1909" s="245" t="e">
        <f ca="1">_xll.FDS("EURUSD","FG_PRICE("&amp;B1909&amp;")")</f>
        <v>#NAME?</v>
      </c>
      <c r="D1909" t="e">
        <f ca="1">_xll.FDS("GBPUSD","FG_PRICE("&amp;B1909&amp;")")</f>
        <v>#NAME?</v>
      </c>
      <c r="E1909" t="e">
        <f ca="1">_xll.FDSB("JPYUSD","FG_PRICE("&amp;B1909&amp;")")</f>
        <v>#NAME?</v>
      </c>
    </row>
    <row r="1910" spans="2:5">
      <c r="B1910" s="244">
        <f t="shared" si="71"/>
        <v>45373</v>
      </c>
      <c r="C1910" s="245" t="e">
        <f ca="1">_xll.FDS("EURUSD","FG_PRICE("&amp;B1910&amp;")")</f>
        <v>#NAME?</v>
      </c>
      <c r="D1910" t="e">
        <f ca="1">_xll.FDS("GBPUSD","FG_PRICE("&amp;B1910&amp;")")</f>
        <v>#NAME?</v>
      </c>
      <c r="E1910" t="e">
        <f ca="1">_xll.FDSB("JPYUSD","FG_PRICE("&amp;B1910&amp;")")</f>
        <v>#NAME?</v>
      </c>
    </row>
    <row r="1911" spans="2:5">
      <c r="B1911" s="244">
        <f t="shared" si="71"/>
        <v>45374</v>
      </c>
      <c r="C1911" s="245" t="e">
        <f ca="1">_xll.FDS("EURUSD","FG_PRICE("&amp;B1911&amp;")")</f>
        <v>#NAME?</v>
      </c>
      <c r="D1911" t="e">
        <f ca="1">_xll.FDS("GBPUSD","FG_PRICE("&amp;B1911&amp;")")</f>
        <v>#NAME?</v>
      </c>
      <c r="E1911" t="e">
        <f ca="1">_xll.FDSB("JPYUSD","FG_PRICE("&amp;B1911&amp;")")</f>
        <v>#NAME?</v>
      </c>
    </row>
    <row r="1912" spans="2:5">
      <c r="B1912" s="244">
        <f t="shared" si="71"/>
        <v>45375</v>
      </c>
      <c r="C1912" s="245" t="e">
        <f ca="1">_xll.FDS("EURUSD","FG_PRICE("&amp;B1912&amp;")")</f>
        <v>#NAME?</v>
      </c>
      <c r="D1912" t="e">
        <f ca="1">_xll.FDS("GBPUSD","FG_PRICE("&amp;B1912&amp;")")</f>
        <v>#NAME?</v>
      </c>
      <c r="E1912" t="e">
        <f ca="1">_xll.FDSB("JPYUSD","FG_PRICE("&amp;B1912&amp;")")</f>
        <v>#NAME?</v>
      </c>
    </row>
    <row r="1913" spans="2:5">
      <c r="B1913" s="244">
        <f t="shared" si="71"/>
        <v>45376</v>
      </c>
      <c r="C1913" s="245" t="e">
        <f ca="1">_xll.FDS("EURUSD","FG_PRICE("&amp;B1913&amp;")")</f>
        <v>#NAME?</v>
      </c>
      <c r="D1913" t="e">
        <f ca="1">_xll.FDS("GBPUSD","FG_PRICE("&amp;B1913&amp;")")</f>
        <v>#NAME?</v>
      </c>
      <c r="E1913" t="e">
        <f ca="1">_xll.FDSB("JPYUSD","FG_PRICE("&amp;B1913&amp;")")</f>
        <v>#NAME?</v>
      </c>
    </row>
    <row r="1914" spans="2:5">
      <c r="B1914" s="244">
        <f t="shared" si="71"/>
        <v>45377</v>
      </c>
      <c r="C1914" s="245" t="e">
        <f ca="1">_xll.FDS("EURUSD","FG_PRICE("&amp;B1914&amp;")")</f>
        <v>#NAME?</v>
      </c>
      <c r="D1914" t="e">
        <f ca="1">_xll.FDS("GBPUSD","FG_PRICE("&amp;B1914&amp;")")</f>
        <v>#NAME?</v>
      </c>
      <c r="E1914" t="e">
        <f ca="1">_xll.FDSB("JPYUSD","FG_PRICE("&amp;B1914&amp;")")</f>
        <v>#NAME?</v>
      </c>
    </row>
    <row r="1915" spans="2:5">
      <c r="B1915" s="244">
        <f t="shared" si="71"/>
        <v>45378</v>
      </c>
      <c r="C1915" s="245" t="e">
        <f ca="1">_xll.FDS("EURUSD","FG_PRICE("&amp;B1915&amp;")")</f>
        <v>#NAME?</v>
      </c>
      <c r="D1915" t="e">
        <f ca="1">_xll.FDS("GBPUSD","FG_PRICE("&amp;B1915&amp;")")</f>
        <v>#NAME?</v>
      </c>
      <c r="E1915" t="e">
        <f ca="1">_xll.FDSB("JPYUSD","FG_PRICE("&amp;B1915&amp;")")</f>
        <v>#NAME?</v>
      </c>
    </row>
    <row r="1916" spans="2:5">
      <c r="B1916" s="244">
        <f t="shared" si="71"/>
        <v>45379</v>
      </c>
      <c r="C1916" s="245" t="e">
        <f ca="1">_xll.FDS("EURUSD","FG_PRICE("&amp;B1916&amp;")")</f>
        <v>#NAME?</v>
      </c>
      <c r="D1916" t="e">
        <f ca="1">_xll.FDS("GBPUSD","FG_PRICE("&amp;B1916&amp;")")</f>
        <v>#NAME?</v>
      </c>
      <c r="E1916" t="e">
        <f ca="1">_xll.FDSB("JPYUSD","FG_PRICE("&amp;B1916&amp;")")</f>
        <v>#NAME?</v>
      </c>
    </row>
    <row r="1917" spans="2:5">
      <c r="B1917" s="244">
        <f t="shared" si="71"/>
        <v>45380</v>
      </c>
      <c r="C1917" s="245" t="e">
        <f ca="1">_xll.FDS("EURUSD","FG_PRICE("&amp;B1917&amp;")")</f>
        <v>#NAME?</v>
      </c>
      <c r="D1917" t="e">
        <f ca="1">_xll.FDS("GBPUSD","FG_PRICE("&amp;B1917&amp;")")</f>
        <v>#NAME?</v>
      </c>
      <c r="E1917" t="e">
        <f ca="1">_xll.FDSB("JPYUSD","FG_PRICE("&amp;B1917&amp;")")</f>
        <v>#NAME?</v>
      </c>
    </row>
    <row r="1918" spans="2:5">
      <c r="B1918" s="244">
        <f t="shared" si="71"/>
        <v>45381</v>
      </c>
      <c r="C1918" s="245" t="e">
        <f ca="1">_xll.FDS("EURUSD","FG_PRICE("&amp;B1918&amp;")")</f>
        <v>#NAME?</v>
      </c>
      <c r="D1918" t="e">
        <f ca="1">_xll.FDS("GBPUSD","FG_PRICE("&amp;B1918&amp;")")</f>
        <v>#NAME?</v>
      </c>
      <c r="E1918" t="e">
        <f ca="1">_xll.FDSB("JPYUSD","FG_PRICE("&amp;B1918&amp;")")</f>
        <v>#NAME?</v>
      </c>
    </row>
    <row r="1919" spans="2:5">
      <c r="B1919" s="244">
        <f t="shared" si="71"/>
        <v>45382</v>
      </c>
      <c r="C1919" s="245" t="e">
        <f ca="1">_xll.FDS("EURUSD","FG_PRICE("&amp;B1919&amp;")")</f>
        <v>#NAME?</v>
      </c>
      <c r="D1919" t="e">
        <f ca="1">_xll.FDS("GBPUSD","FG_PRICE("&amp;B1919&amp;")")</f>
        <v>#NAME?</v>
      </c>
      <c r="E1919" t="e">
        <f ca="1">_xll.FDSB("JPYUSD","FG_PRICE("&amp;B1919&amp;")")</f>
        <v>#NAME?</v>
      </c>
    </row>
    <row r="1920" spans="2:5">
      <c r="B1920" s="244">
        <f t="shared" si="71"/>
        <v>45383</v>
      </c>
      <c r="C1920" s="245" t="e">
        <f ca="1">_xll.FDS("EURUSD","FG_PRICE("&amp;B1920&amp;")")</f>
        <v>#NAME?</v>
      </c>
      <c r="D1920" t="e">
        <f ca="1">_xll.FDS("GBPUSD","FG_PRICE("&amp;B1920&amp;")")</f>
        <v>#NAME?</v>
      </c>
      <c r="E1920" t="e">
        <f ca="1">_xll.FDSB("JPYUSD","FG_PRICE("&amp;B1920&amp;")")</f>
        <v>#NAME?</v>
      </c>
    </row>
    <row r="1921" spans="2:5">
      <c r="B1921" s="244">
        <f t="shared" si="71"/>
        <v>45384</v>
      </c>
      <c r="C1921" s="245" t="e">
        <f ca="1">_xll.FDS("EURUSD","FG_PRICE("&amp;B1921&amp;")")</f>
        <v>#NAME?</v>
      </c>
      <c r="D1921" t="e">
        <f ca="1">_xll.FDS("GBPUSD","FG_PRICE("&amp;B1921&amp;")")</f>
        <v>#NAME?</v>
      </c>
      <c r="E1921" t="e">
        <f ca="1">_xll.FDSB("JPYUSD","FG_PRICE("&amp;B1921&amp;")")</f>
        <v>#NAME?</v>
      </c>
    </row>
    <row r="1922" spans="2:5">
      <c r="B1922" s="244">
        <f t="shared" si="71"/>
        <v>45385</v>
      </c>
      <c r="C1922" s="245" t="e">
        <f ca="1">_xll.FDS("EURUSD","FG_PRICE("&amp;B1922&amp;")")</f>
        <v>#NAME?</v>
      </c>
      <c r="D1922" t="e">
        <f ca="1">_xll.FDS("GBPUSD","FG_PRICE("&amp;B1922&amp;")")</f>
        <v>#NAME?</v>
      </c>
      <c r="E1922" t="e">
        <f ca="1">_xll.FDSB("JPYUSD","FG_PRICE("&amp;B1922&amp;")")</f>
        <v>#NAME?</v>
      </c>
    </row>
    <row r="1923" spans="2:5">
      <c r="B1923" s="244">
        <f t="shared" si="71"/>
        <v>45386</v>
      </c>
      <c r="C1923" s="245" t="e">
        <f ca="1">_xll.FDS("EURUSD","FG_PRICE("&amp;B1923&amp;")")</f>
        <v>#NAME?</v>
      </c>
      <c r="D1923" t="e">
        <f ca="1">_xll.FDS("GBPUSD","FG_PRICE("&amp;B1923&amp;")")</f>
        <v>#NAME?</v>
      </c>
      <c r="E1923" t="e">
        <f ca="1">_xll.FDSB("JPYUSD","FG_PRICE("&amp;B1923&amp;")")</f>
        <v>#NAME?</v>
      </c>
    </row>
    <row r="1924" spans="2:5">
      <c r="B1924" s="244">
        <f t="shared" si="71"/>
        <v>45387</v>
      </c>
      <c r="C1924" s="245" t="e">
        <f ca="1">_xll.FDS("EURUSD","FG_PRICE("&amp;B1924&amp;")")</f>
        <v>#NAME?</v>
      </c>
      <c r="D1924" t="e">
        <f ca="1">_xll.FDS("GBPUSD","FG_PRICE("&amp;B1924&amp;")")</f>
        <v>#NAME?</v>
      </c>
      <c r="E1924" t="e">
        <f ca="1">_xll.FDSB("JPYUSD","FG_PRICE("&amp;B1924&amp;")")</f>
        <v>#NAME?</v>
      </c>
    </row>
    <row r="1925" spans="2:5">
      <c r="B1925" s="244">
        <f t="shared" ref="B1925:B1988" si="72">B1924+1</f>
        <v>45388</v>
      </c>
      <c r="C1925" s="245" t="e">
        <f ca="1">_xll.FDS("EURUSD","FG_PRICE("&amp;B1925&amp;")")</f>
        <v>#NAME?</v>
      </c>
      <c r="D1925" t="e">
        <f ca="1">_xll.FDS("GBPUSD","FG_PRICE("&amp;B1925&amp;")")</f>
        <v>#NAME?</v>
      </c>
      <c r="E1925" t="e">
        <f ca="1">_xll.FDSB("JPYUSD","FG_PRICE("&amp;B1925&amp;")")</f>
        <v>#NAME?</v>
      </c>
    </row>
    <row r="1926" spans="2:5">
      <c r="B1926" s="244">
        <f t="shared" si="72"/>
        <v>45389</v>
      </c>
      <c r="C1926" s="245" t="e">
        <f ca="1">_xll.FDS("EURUSD","FG_PRICE("&amp;B1926&amp;")")</f>
        <v>#NAME?</v>
      </c>
      <c r="D1926" t="e">
        <f ca="1">_xll.FDS("GBPUSD","FG_PRICE("&amp;B1926&amp;")")</f>
        <v>#NAME?</v>
      </c>
      <c r="E1926" t="e">
        <f ca="1">_xll.FDSB("JPYUSD","FG_PRICE("&amp;B1926&amp;")")</f>
        <v>#NAME?</v>
      </c>
    </row>
    <row r="1927" spans="2:5">
      <c r="B1927" s="244">
        <f t="shared" si="72"/>
        <v>45390</v>
      </c>
      <c r="C1927" s="245" t="e">
        <f ca="1">_xll.FDS("EURUSD","FG_PRICE("&amp;B1927&amp;")")</f>
        <v>#NAME?</v>
      </c>
      <c r="D1927" t="e">
        <f ca="1">_xll.FDS("GBPUSD","FG_PRICE("&amp;B1927&amp;")")</f>
        <v>#NAME?</v>
      </c>
      <c r="E1927" t="e">
        <f ca="1">_xll.FDSB("JPYUSD","FG_PRICE("&amp;B1927&amp;")")</f>
        <v>#NAME?</v>
      </c>
    </row>
    <row r="1928" spans="2:5">
      <c r="B1928" s="244">
        <f t="shared" si="72"/>
        <v>45391</v>
      </c>
      <c r="C1928" s="245" t="e">
        <f ca="1">_xll.FDS("EURUSD","FG_PRICE("&amp;B1928&amp;")")</f>
        <v>#NAME?</v>
      </c>
      <c r="D1928" t="e">
        <f ca="1">_xll.FDS("GBPUSD","FG_PRICE("&amp;B1928&amp;")")</f>
        <v>#NAME?</v>
      </c>
      <c r="E1928" t="e">
        <f ca="1">_xll.FDSB("JPYUSD","FG_PRICE("&amp;B1928&amp;")")</f>
        <v>#NAME?</v>
      </c>
    </row>
    <row r="1929" spans="2:5">
      <c r="B1929" s="244">
        <f t="shared" si="72"/>
        <v>45392</v>
      </c>
      <c r="C1929" s="245" t="e">
        <f ca="1">_xll.FDS("EURUSD","FG_PRICE("&amp;B1929&amp;")")</f>
        <v>#NAME?</v>
      </c>
      <c r="D1929" t="e">
        <f ca="1">_xll.FDS("GBPUSD","FG_PRICE("&amp;B1929&amp;")")</f>
        <v>#NAME?</v>
      </c>
      <c r="E1929" t="e">
        <f ca="1">_xll.FDSB("JPYUSD","FG_PRICE("&amp;B1929&amp;")")</f>
        <v>#NAME?</v>
      </c>
    </row>
    <row r="1930" spans="2:5">
      <c r="B1930" s="244">
        <f t="shared" si="72"/>
        <v>45393</v>
      </c>
      <c r="C1930" s="245" t="e">
        <f ca="1">_xll.FDS("EURUSD","FG_PRICE("&amp;B1930&amp;")")</f>
        <v>#NAME?</v>
      </c>
      <c r="D1930" t="e">
        <f ca="1">_xll.FDS("GBPUSD","FG_PRICE("&amp;B1930&amp;")")</f>
        <v>#NAME?</v>
      </c>
      <c r="E1930" t="e">
        <f ca="1">_xll.FDSB("JPYUSD","FG_PRICE("&amp;B1930&amp;")")</f>
        <v>#NAME?</v>
      </c>
    </row>
    <row r="1931" spans="2:5">
      <c r="B1931" s="244">
        <f t="shared" si="72"/>
        <v>45394</v>
      </c>
      <c r="C1931" s="245" t="e">
        <f ca="1">_xll.FDS("EURUSD","FG_PRICE("&amp;B1931&amp;")")</f>
        <v>#NAME?</v>
      </c>
      <c r="D1931" t="e">
        <f ca="1">_xll.FDS("GBPUSD","FG_PRICE("&amp;B1931&amp;")")</f>
        <v>#NAME?</v>
      </c>
      <c r="E1931" t="e">
        <f ca="1">_xll.FDSB("JPYUSD","FG_PRICE("&amp;B1931&amp;")")</f>
        <v>#NAME?</v>
      </c>
    </row>
    <row r="1932" spans="2:5">
      <c r="B1932" s="244">
        <f t="shared" si="72"/>
        <v>45395</v>
      </c>
      <c r="C1932" s="245" t="e">
        <f ca="1">_xll.FDS("EURUSD","FG_PRICE("&amp;B1932&amp;")")</f>
        <v>#NAME?</v>
      </c>
      <c r="D1932" t="e">
        <f ca="1">_xll.FDS("GBPUSD","FG_PRICE("&amp;B1932&amp;")")</f>
        <v>#NAME?</v>
      </c>
      <c r="E1932" t="e">
        <f ca="1">_xll.FDSB("JPYUSD","FG_PRICE("&amp;B1932&amp;")")</f>
        <v>#NAME?</v>
      </c>
    </row>
    <row r="1933" spans="2:5">
      <c r="B1933" s="244">
        <f t="shared" si="72"/>
        <v>45396</v>
      </c>
      <c r="C1933" s="245" t="e">
        <f ca="1">_xll.FDS("EURUSD","FG_PRICE("&amp;B1933&amp;")")</f>
        <v>#NAME?</v>
      </c>
      <c r="D1933" t="e">
        <f ca="1">_xll.FDS("GBPUSD","FG_PRICE("&amp;B1933&amp;")")</f>
        <v>#NAME?</v>
      </c>
      <c r="E1933" t="e">
        <f ca="1">_xll.FDSB("JPYUSD","FG_PRICE("&amp;B1933&amp;")")</f>
        <v>#NAME?</v>
      </c>
    </row>
    <row r="1934" spans="2:5">
      <c r="B1934" s="244">
        <f t="shared" si="72"/>
        <v>45397</v>
      </c>
      <c r="C1934" s="245" t="e">
        <f ca="1">_xll.FDS("EURUSD","FG_PRICE("&amp;B1934&amp;")")</f>
        <v>#NAME?</v>
      </c>
      <c r="D1934" t="e">
        <f ca="1">_xll.FDS("GBPUSD","FG_PRICE("&amp;B1934&amp;")")</f>
        <v>#NAME?</v>
      </c>
      <c r="E1934" t="e">
        <f ca="1">_xll.FDSB("JPYUSD","FG_PRICE("&amp;B1934&amp;")")</f>
        <v>#NAME?</v>
      </c>
    </row>
    <row r="1935" spans="2:5">
      <c r="B1935" s="244">
        <f t="shared" si="72"/>
        <v>45398</v>
      </c>
      <c r="C1935" s="245" t="e">
        <f ca="1">_xll.FDS("EURUSD","FG_PRICE("&amp;B1935&amp;")")</f>
        <v>#NAME?</v>
      </c>
      <c r="D1935" t="e">
        <f ca="1">_xll.FDS("GBPUSD","FG_PRICE("&amp;B1935&amp;")")</f>
        <v>#NAME?</v>
      </c>
      <c r="E1935" t="e">
        <f ca="1">_xll.FDSB("JPYUSD","FG_PRICE("&amp;B1935&amp;")")</f>
        <v>#NAME?</v>
      </c>
    </row>
    <row r="1936" spans="2:5">
      <c r="B1936" s="244">
        <f t="shared" si="72"/>
        <v>45399</v>
      </c>
      <c r="C1936" s="245" t="e">
        <f ca="1">_xll.FDS("EURUSD","FG_PRICE("&amp;B1936&amp;")")</f>
        <v>#NAME?</v>
      </c>
      <c r="D1936" t="e">
        <f ca="1">_xll.FDS("GBPUSD","FG_PRICE("&amp;B1936&amp;")")</f>
        <v>#NAME?</v>
      </c>
      <c r="E1936" t="e">
        <f ca="1">_xll.FDSB("JPYUSD","FG_PRICE("&amp;B1936&amp;")")</f>
        <v>#NAME?</v>
      </c>
    </row>
    <row r="1937" spans="2:5">
      <c r="B1937" s="244">
        <f t="shared" si="72"/>
        <v>45400</v>
      </c>
      <c r="C1937" s="245" t="e">
        <f ca="1">_xll.FDS("EURUSD","FG_PRICE("&amp;B1937&amp;")")</f>
        <v>#NAME?</v>
      </c>
      <c r="D1937" t="e">
        <f ca="1">_xll.FDS("GBPUSD","FG_PRICE("&amp;B1937&amp;")")</f>
        <v>#NAME?</v>
      </c>
      <c r="E1937" t="e">
        <f ca="1">_xll.FDSB("JPYUSD","FG_PRICE("&amp;B1937&amp;")")</f>
        <v>#NAME?</v>
      </c>
    </row>
    <row r="1938" spans="2:5">
      <c r="B1938" s="244">
        <f t="shared" si="72"/>
        <v>45401</v>
      </c>
      <c r="C1938" s="245" t="e">
        <f ca="1">_xll.FDS("EURUSD","FG_PRICE("&amp;B1938&amp;")")</f>
        <v>#NAME?</v>
      </c>
      <c r="D1938" t="e">
        <f ca="1">_xll.FDS("GBPUSD","FG_PRICE("&amp;B1938&amp;")")</f>
        <v>#NAME?</v>
      </c>
      <c r="E1938" t="e">
        <f ca="1">_xll.FDSB("JPYUSD","FG_PRICE("&amp;B1938&amp;")")</f>
        <v>#NAME?</v>
      </c>
    </row>
    <row r="1939" spans="2:5">
      <c r="B1939" s="244">
        <f t="shared" si="72"/>
        <v>45402</v>
      </c>
      <c r="C1939" s="245" t="e">
        <f ca="1">_xll.FDS("EURUSD","FG_PRICE("&amp;B1939&amp;")")</f>
        <v>#NAME?</v>
      </c>
      <c r="D1939" t="e">
        <f ca="1">_xll.FDS("GBPUSD","FG_PRICE("&amp;B1939&amp;")")</f>
        <v>#NAME?</v>
      </c>
      <c r="E1939" t="e">
        <f ca="1">_xll.FDSB("JPYUSD","FG_PRICE("&amp;B1939&amp;")")</f>
        <v>#NAME?</v>
      </c>
    </row>
    <row r="1940" spans="2:5">
      <c r="B1940" s="244">
        <f t="shared" si="72"/>
        <v>45403</v>
      </c>
      <c r="C1940" s="245" t="e">
        <f ca="1">_xll.FDS("EURUSD","FG_PRICE("&amp;B1940&amp;")")</f>
        <v>#NAME?</v>
      </c>
      <c r="D1940" t="e">
        <f ca="1">_xll.FDS("GBPUSD","FG_PRICE("&amp;B1940&amp;")")</f>
        <v>#NAME?</v>
      </c>
      <c r="E1940" t="e">
        <f ca="1">_xll.FDSB("JPYUSD","FG_PRICE("&amp;B1940&amp;")")</f>
        <v>#NAME?</v>
      </c>
    </row>
    <row r="1941" spans="2:5">
      <c r="B1941" s="244">
        <f t="shared" si="72"/>
        <v>45404</v>
      </c>
      <c r="C1941" s="245" t="e">
        <f ca="1">_xll.FDS("EURUSD","FG_PRICE("&amp;B1941&amp;")")</f>
        <v>#NAME?</v>
      </c>
      <c r="D1941" t="e">
        <f ca="1">_xll.FDS("GBPUSD","FG_PRICE("&amp;B1941&amp;")")</f>
        <v>#NAME?</v>
      </c>
      <c r="E1941" t="e">
        <f ca="1">_xll.FDSB("JPYUSD","FG_PRICE("&amp;B1941&amp;")")</f>
        <v>#NAME?</v>
      </c>
    </row>
    <row r="1942" spans="2:5">
      <c r="B1942" s="244">
        <f t="shared" si="72"/>
        <v>45405</v>
      </c>
      <c r="C1942" s="245" t="e">
        <f ca="1">_xll.FDS("EURUSD","FG_PRICE("&amp;B1942&amp;")")</f>
        <v>#NAME?</v>
      </c>
      <c r="D1942" t="e">
        <f ca="1">_xll.FDS("GBPUSD","FG_PRICE("&amp;B1942&amp;")")</f>
        <v>#NAME?</v>
      </c>
      <c r="E1942" t="e">
        <f ca="1">_xll.FDSB("JPYUSD","FG_PRICE("&amp;B1942&amp;")")</f>
        <v>#NAME?</v>
      </c>
    </row>
    <row r="1943" spans="2:5">
      <c r="B1943" s="244">
        <f t="shared" si="72"/>
        <v>45406</v>
      </c>
      <c r="C1943" s="245" t="e">
        <f ca="1">_xll.FDS("EURUSD","FG_PRICE("&amp;B1943&amp;")")</f>
        <v>#NAME?</v>
      </c>
      <c r="D1943" t="e">
        <f ca="1">_xll.FDS("GBPUSD","FG_PRICE("&amp;B1943&amp;")")</f>
        <v>#NAME?</v>
      </c>
      <c r="E1943" t="e">
        <f ca="1">_xll.FDSB("JPYUSD","FG_PRICE("&amp;B1943&amp;")")</f>
        <v>#NAME?</v>
      </c>
    </row>
    <row r="1944" spans="2:5">
      <c r="B1944" s="244">
        <f t="shared" si="72"/>
        <v>45407</v>
      </c>
      <c r="C1944" s="245" t="e">
        <f ca="1">_xll.FDS("EURUSD","FG_PRICE("&amp;B1944&amp;")")</f>
        <v>#NAME?</v>
      </c>
      <c r="D1944" t="e">
        <f ca="1">_xll.FDS("GBPUSD","FG_PRICE("&amp;B1944&amp;")")</f>
        <v>#NAME?</v>
      </c>
      <c r="E1944" t="e">
        <f ca="1">_xll.FDSB("JPYUSD","FG_PRICE("&amp;B1944&amp;")")</f>
        <v>#NAME?</v>
      </c>
    </row>
    <row r="1945" spans="2:5">
      <c r="B1945" s="244">
        <f t="shared" si="72"/>
        <v>45408</v>
      </c>
      <c r="C1945" s="245" t="e">
        <f ca="1">_xll.FDS("EURUSD","FG_PRICE("&amp;B1945&amp;")")</f>
        <v>#NAME?</v>
      </c>
      <c r="D1945" t="e">
        <f ca="1">_xll.FDS("GBPUSD","FG_PRICE("&amp;B1945&amp;")")</f>
        <v>#NAME?</v>
      </c>
      <c r="E1945" t="e">
        <f ca="1">_xll.FDSB("JPYUSD","FG_PRICE("&amp;B1945&amp;")")</f>
        <v>#NAME?</v>
      </c>
    </row>
    <row r="1946" spans="2:5">
      <c r="B1946" s="244">
        <f t="shared" si="72"/>
        <v>45409</v>
      </c>
      <c r="C1946" s="245" t="e">
        <f ca="1">_xll.FDS("EURUSD","FG_PRICE("&amp;B1946&amp;")")</f>
        <v>#NAME?</v>
      </c>
      <c r="D1946" t="e">
        <f ca="1">_xll.FDS("GBPUSD","FG_PRICE("&amp;B1946&amp;")")</f>
        <v>#NAME?</v>
      </c>
      <c r="E1946" t="e">
        <f ca="1">_xll.FDSB("JPYUSD","FG_PRICE("&amp;B1946&amp;")")</f>
        <v>#NAME?</v>
      </c>
    </row>
    <row r="1947" spans="2:5">
      <c r="B1947" s="244">
        <f t="shared" si="72"/>
        <v>45410</v>
      </c>
      <c r="C1947" s="245" t="e">
        <f ca="1">_xll.FDS("EURUSD","FG_PRICE("&amp;B1947&amp;")")</f>
        <v>#NAME?</v>
      </c>
      <c r="D1947" t="e">
        <f ca="1">_xll.FDS("GBPUSD","FG_PRICE("&amp;B1947&amp;")")</f>
        <v>#NAME?</v>
      </c>
      <c r="E1947" t="e">
        <f ca="1">_xll.FDSB("JPYUSD","FG_PRICE("&amp;B1947&amp;")")</f>
        <v>#NAME?</v>
      </c>
    </row>
    <row r="1948" spans="2:5">
      <c r="B1948" s="244">
        <f t="shared" si="72"/>
        <v>45411</v>
      </c>
      <c r="C1948" s="245" t="e">
        <f ca="1">_xll.FDS("EURUSD","FG_PRICE("&amp;B1948&amp;")")</f>
        <v>#NAME?</v>
      </c>
      <c r="D1948" t="e">
        <f ca="1">_xll.FDS("GBPUSD","FG_PRICE("&amp;B1948&amp;")")</f>
        <v>#NAME?</v>
      </c>
      <c r="E1948" t="e">
        <f ca="1">_xll.FDSB("JPYUSD","FG_PRICE("&amp;B1948&amp;")")</f>
        <v>#NAME?</v>
      </c>
    </row>
    <row r="1949" spans="2:5">
      <c r="B1949" s="244">
        <f t="shared" si="72"/>
        <v>45412</v>
      </c>
      <c r="C1949" s="245" t="e">
        <f ca="1">_xll.FDS("EURUSD","FG_PRICE("&amp;B1949&amp;")")</f>
        <v>#NAME?</v>
      </c>
      <c r="D1949" t="e">
        <f ca="1">_xll.FDS("GBPUSD","FG_PRICE("&amp;B1949&amp;")")</f>
        <v>#NAME?</v>
      </c>
      <c r="E1949" t="e">
        <f ca="1">_xll.FDSB("JPYUSD","FG_PRICE("&amp;B1949&amp;")")</f>
        <v>#NAME?</v>
      </c>
    </row>
    <row r="1950" spans="2:5">
      <c r="B1950" s="244">
        <f t="shared" si="72"/>
        <v>45413</v>
      </c>
      <c r="C1950" s="245" t="e">
        <f ca="1">_xll.FDS("EURUSD","FG_PRICE("&amp;B1950&amp;")")</f>
        <v>#NAME?</v>
      </c>
      <c r="D1950" t="e">
        <f ca="1">_xll.FDS("GBPUSD","FG_PRICE("&amp;B1950&amp;")")</f>
        <v>#NAME?</v>
      </c>
      <c r="E1950" t="e">
        <f ca="1">_xll.FDSB("JPYUSD","FG_PRICE("&amp;B1950&amp;")")</f>
        <v>#NAME?</v>
      </c>
    </row>
    <row r="1951" spans="2:5">
      <c r="B1951" s="244">
        <f t="shared" si="72"/>
        <v>45414</v>
      </c>
      <c r="C1951" s="245" t="e">
        <f ca="1">_xll.FDS("EURUSD","FG_PRICE("&amp;B1951&amp;")")</f>
        <v>#NAME?</v>
      </c>
      <c r="D1951" t="e">
        <f ca="1">_xll.FDS("GBPUSD","FG_PRICE("&amp;B1951&amp;")")</f>
        <v>#NAME?</v>
      </c>
      <c r="E1951" t="e">
        <f ca="1">_xll.FDSB("JPYUSD","FG_PRICE("&amp;B1951&amp;")")</f>
        <v>#NAME?</v>
      </c>
    </row>
    <row r="1952" spans="2:5">
      <c r="B1952" s="244">
        <f t="shared" si="72"/>
        <v>45415</v>
      </c>
      <c r="C1952" s="245" t="e">
        <f ca="1">_xll.FDS("EURUSD","FG_PRICE("&amp;B1952&amp;")")</f>
        <v>#NAME?</v>
      </c>
      <c r="D1952" t="e">
        <f ca="1">_xll.FDS("GBPUSD","FG_PRICE("&amp;B1952&amp;")")</f>
        <v>#NAME?</v>
      </c>
      <c r="E1952" t="e">
        <f ca="1">_xll.FDSB("JPYUSD","FG_PRICE("&amp;B1952&amp;")")</f>
        <v>#NAME?</v>
      </c>
    </row>
    <row r="1953" spans="2:5">
      <c r="B1953" s="244">
        <f t="shared" si="72"/>
        <v>45416</v>
      </c>
      <c r="C1953" s="245" t="e">
        <f ca="1">_xll.FDS("EURUSD","FG_PRICE("&amp;B1953&amp;")")</f>
        <v>#NAME?</v>
      </c>
      <c r="D1953" t="e">
        <f ca="1">_xll.FDS("GBPUSD","FG_PRICE("&amp;B1953&amp;")")</f>
        <v>#NAME?</v>
      </c>
      <c r="E1953" t="e">
        <f ca="1">_xll.FDSB("JPYUSD","FG_PRICE("&amp;B1953&amp;")")</f>
        <v>#NAME?</v>
      </c>
    </row>
    <row r="1954" spans="2:5">
      <c r="B1954" s="244">
        <f t="shared" si="72"/>
        <v>45417</v>
      </c>
      <c r="C1954" s="245" t="e">
        <f ca="1">_xll.FDS("EURUSD","FG_PRICE("&amp;B1954&amp;")")</f>
        <v>#NAME?</v>
      </c>
      <c r="D1954" t="e">
        <f ca="1">_xll.FDS("GBPUSD","FG_PRICE("&amp;B1954&amp;")")</f>
        <v>#NAME?</v>
      </c>
      <c r="E1954" t="e">
        <f ca="1">_xll.FDSB("JPYUSD","FG_PRICE("&amp;B1954&amp;")")</f>
        <v>#NAME?</v>
      </c>
    </row>
    <row r="1955" spans="2:5">
      <c r="B1955" s="244">
        <f t="shared" si="72"/>
        <v>45418</v>
      </c>
      <c r="C1955" s="245" t="e">
        <f ca="1">_xll.FDS("EURUSD","FG_PRICE("&amp;B1955&amp;")")</f>
        <v>#NAME?</v>
      </c>
      <c r="D1955" t="e">
        <f ca="1">_xll.FDS("GBPUSD","FG_PRICE("&amp;B1955&amp;")")</f>
        <v>#NAME?</v>
      </c>
      <c r="E1955" t="e">
        <f ca="1">_xll.FDSB("JPYUSD","FG_PRICE("&amp;B1955&amp;")")</f>
        <v>#NAME?</v>
      </c>
    </row>
    <row r="1956" spans="2:5">
      <c r="B1956" s="244">
        <f t="shared" si="72"/>
        <v>45419</v>
      </c>
      <c r="C1956" s="245" t="e">
        <f ca="1">_xll.FDS("EURUSD","FG_PRICE("&amp;B1956&amp;")")</f>
        <v>#NAME?</v>
      </c>
      <c r="D1956" t="e">
        <f ca="1">_xll.FDS("GBPUSD","FG_PRICE("&amp;B1956&amp;")")</f>
        <v>#NAME?</v>
      </c>
      <c r="E1956" t="e">
        <f ca="1">_xll.FDSB("JPYUSD","FG_PRICE("&amp;B1956&amp;")")</f>
        <v>#NAME?</v>
      </c>
    </row>
    <row r="1957" spans="2:5">
      <c r="B1957" s="244">
        <f t="shared" si="72"/>
        <v>45420</v>
      </c>
      <c r="C1957" s="245" t="e">
        <f ca="1">_xll.FDS("EURUSD","FG_PRICE("&amp;B1957&amp;")")</f>
        <v>#NAME?</v>
      </c>
      <c r="D1957" t="e">
        <f ca="1">_xll.FDS("GBPUSD","FG_PRICE("&amp;B1957&amp;")")</f>
        <v>#NAME?</v>
      </c>
      <c r="E1957" t="e">
        <f ca="1">_xll.FDSB("JPYUSD","FG_PRICE("&amp;B1957&amp;")")</f>
        <v>#NAME?</v>
      </c>
    </row>
    <row r="1958" spans="2:5">
      <c r="B1958" s="244">
        <f t="shared" si="72"/>
        <v>45421</v>
      </c>
      <c r="C1958" s="245" t="e">
        <f ca="1">_xll.FDS("EURUSD","FG_PRICE("&amp;B1958&amp;")")</f>
        <v>#NAME?</v>
      </c>
      <c r="D1958" t="e">
        <f ca="1">_xll.FDS("GBPUSD","FG_PRICE("&amp;B1958&amp;")")</f>
        <v>#NAME?</v>
      </c>
      <c r="E1958" t="e">
        <f ca="1">_xll.FDSB("JPYUSD","FG_PRICE("&amp;B1958&amp;")")</f>
        <v>#NAME?</v>
      </c>
    </row>
    <row r="1959" spans="2:5">
      <c r="B1959" s="244">
        <f t="shared" si="72"/>
        <v>45422</v>
      </c>
      <c r="C1959" s="245" t="e">
        <f ca="1">_xll.FDS("EURUSD","FG_PRICE("&amp;B1959&amp;")")</f>
        <v>#NAME?</v>
      </c>
      <c r="D1959" t="e">
        <f ca="1">_xll.FDS("GBPUSD","FG_PRICE("&amp;B1959&amp;")")</f>
        <v>#NAME?</v>
      </c>
      <c r="E1959" t="e">
        <f ca="1">_xll.FDSB("JPYUSD","FG_PRICE("&amp;B1959&amp;")")</f>
        <v>#NAME?</v>
      </c>
    </row>
    <row r="1960" spans="2:5">
      <c r="B1960" s="244">
        <f t="shared" si="72"/>
        <v>45423</v>
      </c>
      <c r="C1960" s="245" t="e">
        <f ca="1">_xll.FDS("EURUSD","FG_PRICE("&amp;B1960&amp;")")</f>
        <v>#NAME?</v>
      </c>
      <c r="D1960" t="e">
        <f ca="1">_xll.FDS("GBPUSD","FG_PRICE("&amp;B1960&amp;")")</f>
        <v>#NAME?</v>
      </c>
      <c r="E1960" t="e">
        <f ca="1">_xll.FDSB("JPYUSD","FG_PRICE("&amp;B1960&amp;")")</f>
        <v>#NAME?</v>
      </c>
    </row>
    <row r="1961" spans="2:5">
      <c r="B1961" s="244">
        <f t="shared" si="72"/>
        <v>45424</v>
      </c>
      <c r="C1961" s="245" t="e">
        <f ca="1">_xll.FDS("EURUSD","FG_PRICE("&amp;B1961&amp;")")</f>
        <v>#NAME?</v>
      </c>
      <c r="D1961" t="e">
        <f ca="1">_xll.FDS("GBPUSD","FG_PRICE("&amp;B1961&amp;")")</f>
        <v>#NAME?</v>
      </c>
      <c r="E1961" t="e">
        <f ca="1">_xll.FDSB("JPYUSD","FG_PRICE("&amp;B1961&amp;")")</f>
        <v>#NAME?</v>
      </c>
    </row>
    <row r="1962" spans="2:5">
      <c r="B1962" s="244">
        <f t="shared" si="72"/>
        <v>45425</v>
      </c>
      <c r="C1962" s="245" t="e">
        <f ca="1">_xll.FDS("EURUSD","FG_PRICE("&amp;B1962&amp;")")</f>
        <v>#NAME?</v>
      </c>
      <c r="D1962" t="e">
        <f ca="1">_xll.FDS("GBPUSD","FG_PRICE("&amp;B1962&amp;")")</f>
        <v>#NAME?</v>
      </c>
      <c r="E1962" t="e">
        <f ca="1">_xll.FDSB("JPYUSD","FG_PRICE("&amp;B1962&amp;")")</f>
        <v>#NAME?</v>
      </c>
    </row>
    <row r="1963" spans="2:5">
      <c r="B1963" s="244">
        <f t="shared" si="72"/>
        <v>45426</v>
      </c>
      <c r="C1963" s="245" t="e">
        <f ca="1">_xll.FDS("EURUSD","FG_PRICE("&amp;B1963&amp;")")</f>
        <v>#NAME?</v>
      </c>
      <c r="D1963" t="e">
        <f ca="1">_xll.FDS("GBPUSD","FG_PRICE("&amp;B1963&amp;")")</f>
        <v>#NAME?</v>
      </c>
      <c r="E1963" t="e">
        <f ca="1">_xll.FDSB("JPYUSD","FG_PRICE("&amp;B1963&amp;")")</f>
        <v>#NAME?</v>
      </c>
    </row>
    <row r="1964" spans="2:5">
      <c r="B1964" s="244">
        <f t="shared" si="72"/>
        <v>45427</v>
      </c>
      <c r="C1964" s="245" t="e">
        <f ca="1">_xll.FDS("EURUSD","FG_PRICE("&amp;B1964&amp;")")</f>
        <v>#NAME?</v>
      </c>
      <c r="D1964" t="e">
        <f ca="1">_xll.FDS("GBPUSD","FG_PRICE("&amp;B1964&amp;")")</f>
        <v>#NAME?</v>
      </c>
      <c r="E1964" t="e">
        <f ca="1">_xll.FDSB("JPYUSD","FG_PRICE("&amp;B1964&amp;")")</f>
        <v>#NAME?</v>
      </c>
    </row>
    <row r="1965" spans="2:5">
      <c r="B1965" s="244">
        <f t="shared" si="72"/>
        <v>45428</v>
      </c>
      <c r="C1965" s="245" t="e">
        <f ca="1">_xll.FDS("EURUSD","FG_PRICE("&amp;B1965&amp;")")</f>
        <v>#NAME?</v>
      </c>
      <c r="D1965" t="e">
        <f ca="1">_xll.FDS("GBPUSD","FG_PRICE("&amp;B1965&amp;")")</f>
        <v>#NAME?</v>
      </c>
      <c r="E1965" t="e">
        <f ca="1">_xll.FDSB("JPYUSD","FG_PRICE("&amp;B1965&amp;")")</f>
        <v>#NAME?</v>
      </c>
    </row>
    <row r="1966" spans="2:5">
      <c r="B1966" s="244">
        <f t="shared" si="72"/>
        <v>45429</v>
      </c>
      <c r="C1966" s="245" t="e">
        <f ca="1">_xll.FDS("EURUSD","FG_PRICE("&amp;B1966&amp;")")</f>
        <v>#NAME?</v>
      </c>
      <c r="D1966" t="e">
        <f ca="1">_xll.FDS("GBPUSD","FG_PRICE("&amp;B1966&amp;")")</f>
        <v>#NAME?</v>
      </c>
      <c r="E1966" t="e">
        <f ca="1">_xll.FDSB("JPYUSD","FG_PRICE("&amp;B1966&amp;")")</f>
        <v>#NAME?</v>
      </c>
    </row>
    <row r="1967" spans="2:5">
      <c r="B1967" s="244">
        <f t="shared" si="72"/>
        <v>45430</v>
      </c>
      <c r="C1967" s="245" t="e">
        <f ca="1">_xll.FDS("EURUSD","FG_PRICE("&amp;B1967&amp;")")</f>
        <v>#NAME?</v>
      </c>
      <c r="D1967" t="e">
        <f ca="1">_xll.FDS("GBPUSD","FG_PRICE("&amp;B1967&amp;")")</f>
        <v>#NAME?</v>
      </c>
      <c r="E1967" t="e">
        <f ca="1">_xll.FDSB("JPYUSD","FG_PRICE("&amp;B1967&amp;")")</f>
        <v>#NAME?</v>
      </c>
    </row>
    <row r="1968" spans="2:5">
      <c r="B1968" s="244">
        <f t="shared" si="72"/>
        <v>45431</v>
      </c>
      <c r="C1968" s="245" t="e">
        <f ca="1">_xll.FDS("EURUSD","FG_PRICE("&amp;B1968&amp;")")</f>
        <v>#NAME?</v>
      </c>
      <c r="D1968" t="e">
        <f ca="1">_xll.FDS("GBPUSD","FG_PRICE("&amp;B1968&amp;")")</f>
        <v>#NAME?</v>
      </c>
      <c r="E1968" t="e">
        <f ca="1">_xll.FDSB("JPYUSD","FG_PRICE("&amp;B1968&amp;")")</f>
        <v>#NAME?</v>
      </c>
    </row>
    <row r="1969" spans="2:5">
      <c r="B1969" s="244">
        <f t="shared" si="72"/>
        <v>45432</v>
      </c>
      <c r="C1969" s="245" t="e">
        <f ca="1">_xll.FDS("EURUSD","FG_PRICE("&amp;B1969&amp;")")</f>
        <v>#NAME?</v>
      </c>
      <c r="D1969" t="e">
        <f ca="1">_xll.FDS("GBPUSD","FG_PRICE("&amp;B1969&amp;")")</f>
        <v>#NAME?</v>
      </c>
      <c r="E1969" t="e">
        <f ca="1">_xll.FDSB("JPYUSD","FG_PRICE("&amp;B1969&amp;")")</f>
        <v>#NAME?</v>
      </c>
    </row>
    <row r="1970" spans="2:5">
      <c r="B1970" s="244">
        <f t="shared" si="72"/>
        <v>45433</v>
      </c>
      <c r="C1970" s="245" t="e">
        <f ca="1">_xll.FDS("EURUSD","FG_PRICE("&amp;B1970&amp;")")</f>
        <v>#NAME?</v>
      </c>
      <c r="D1970" t="e">
        <f ca="1">_xll.FDS("GBPUSD","FG_PRICE("&amp;B1970&amp;")")</f>
        <v>#NAME?</v>
      </c>
      <c r="E1970" t="e">
        <f ca="1">_xll.FDSB("JPYUSD","FG_PRICE("&amp;B1970&amp;")")</f>
        <v>#NAME?</v>
      </c>
    </row>
    <row r="1971" spans="2:5">
      <c r="B1971" s="244">
        <f t="shared" si="72"/>
        <v>45434</v>
      </c>
      <c r="C1971" s="245" t="e">
        <f ca="1">_xll.FDS("EURUSD","FG_PRICE("&amp;B1971&amp;")")</f>
        <v>#NAME?</v>
      </c>
      <c r="D1971" t="e">
        <f ca="1">_xll.FDS("GBPUSD","FG_PRICE("&amp;B1971&amp;")")</f>
        <v>#NAME?</v>
      </c>
      <c r="E1971" t="e">
        <f ca="1">_xll.FDSB("JPYUSD","FG_PRICE("&amp;B1971&amp;")")</f>
        <v>#NAME?</v>
      </c>
    </row>
    <row r="1972" spans="2:5">
      <c r="B1972" s="244">
        <f t="shared" si="72"/>
        <v>45435</v>
      </c>
      <c r="C1972" s="245" t="e">
        <f ca="1">_xll.FDS("EURUSD","FG_PRICE("&amp;B1972&amp;")")</f>
        <v>#NAME?</v>
      </c>
      <c r="D1972" t="e">
        <f ca="1">_xll.FDS("GBPUSD","FG_PRICE("&amp;B1972&amp;")")</f>
        <v>#NAME?</v>
      </c>
      <c r="E1972" t="e">
        <f ca="1">_xll.FDSB("JPYUSD","FG_PRICE("&amp;B1972&amp;")")</f>
        <v>#NAME?</v>
      </c>
    </row>
    <row r="1973" spans="2:5">
      <c r="B1973" s="244">
        <f t="shared" si="72"/>
        <v>45436</v>
      </c>
      <c r="C1973" s="245" t="e">
        <f ca="1">_xll.FDS("EURUSD","FG_PRICE("&amp;B1973&amp;")")</f>
        <v>#NAME?</v>
      </c>
      <c r="D1973" t="e">
        <f ca="1">_xll.FDS("GBPUSD","FG_PRICE("&amp;B1973&amp;")")</f>
        <v>#NAME?</v>
      </c>
      <c r="E1973" t="e">
        <f ca="1">_xll.FDSB("JPYUSD","FG_PRICE("&amp;B1973&amp;")")</f>
        <v>#NAME?</v>
      </c>
    </row>
    <row r="1974" spans="2:5">
      <c r="B1974" s="244">
        <f t="shared" si="72"/>
        <v>45437</v>
      </c>
      <c r="C1974" s="245" t="e">
        <f ca="1">_xll.FDS("EURUSD","FG_PRICE("&amp;B1974&amp;")")</f>
        <v>#NAME?</v>
      </c>
      <c r="D1974" t="e">
        <f ca="1">_xll.FDS("GBPUSD","FG_PRICE("&amp;B1974&amp;")")</f>
        <v>#NAME?</v>
      </c>
      <c r="E1974" t="e">
        <f ca="1">_xll.FDSB("JPYUSD","FG_PRICE("&amp;B1974&amp;")")</f>
        <v>#NAME?</v>
      </c>
    </row>
    <row r="1975" spans="2:5">
      <c r="B1975" s="244">
        <f t="shared" si="72"/>
        <v>45438</v>
      </c>
      <c r="C1975" s="245" t="e">
        <f ca="1">_xll.FDS("EURUSD","FG_PRICE("&amp;B1975&amp;")")</f>
        <v>#NAME?</v>
      </c>
      <c r="D1975" t="e">
        <f ca="1">_xll.FDS("GBPUSD","FG_PRICE("&amp;B1975&amp;")")</f>
        <v>#NAME?</v>
      </c>
      <c r="E1975" t="e">
        <f ca="1">_xll.FDSB("JPYUSD","FG_PRICE("&amp;B1975&amp;")")</f>
        <v>#NAME?</v>
      </c>
    </row>
    <row r="1976" spans="2:5">
      <c r="B1976" s="244">
        <f t="shared" si="72"/>
        <v>45439</v>
      </c>
      <c r="C1976" s="245" t="e">
        <f ca="1">_xll.FDS("EURUSD","FG_PRICE("&amp;B1976&amp;")")</f>
        <v>#NAME?</v>
      </c>
      <c r="D1976" t="e">
        <f ca="1">_xll.FDS("GBPUSD","FG_PRICE("&amp;B1976&amp;")")</f>
        <v>#NAME?</v>
      </c>
      <c r="E1976" t="e">
        <f ca="1">_xll.FDSB("JPYUSD","FG_PRICE("&amp;B1976&amp;")")</f>
        <v>#NAME?</v>
      </c>
    </row>
    <row r="1977" spans="2:5">
      <c r="B1977" s="244">
        <f t="shared" si="72"/>
        <v>45440</v>
      </c>
      <c r="C1977" s="245" t="e">
        <f ca="1">_xll.FDS("EURUSD","FG_PRICE("&amp;B1977&amp;")")</f>
        <v>#NAME?</v>
      </c>
      <c r="D1977" t="e">
        <f ca="1">_xll.FDS("GBPUSD","FG_PRICE("&amp;B1977&amp;")")</f>
        <v>#NAME?</v>
      </c>
      <c r="E1977" t="e">
        <f ca="1">_xll.FDSB("JPYUSD","FG_PRICE("&amp;B1977&amp;")")</f>
        <v>#NAME?</v>
      </c>
    </row>
    <row r="1978" spans="2:5">
      <c r="B1978" s="244">
        <f t="shared" si="72"/>
        <v>45441</v>
      </c>
      <c r="C1978" s="245" t="e">
        <f ca="1">_xll.FDS("EURUSD","FG_PRICE("&amp;B1978&amp;")")</f>
        <v>#NAME?</v>
      </c>
      <c r="D1978" t="e">
        <f ca="1">_xll.FDS("GBPUSD","FG_PRICE("&amp;B1978&amp;")")</f>
        <v>#NAME?</v>
      </c>
      <c r="E1978" t="e">
        <f ca="1">_xll.FDSB("JPYUSD","FG_PRICE("&amp;B1978&amp;")")</f>
        <v>#NAME?</v>
      </c>
    </row>
    <row r="1979" spans="2:5">
      <c r="B1979" s="244">
        <f t="shared" si="72"/>
        <v>45442</v>
      </c>
      <c r="C1979" s="245" t="e">
        <f ca="1">_xll.FDS("EURUSD","FG_PRICE("&amp;B1979&amp;")")</f>
        <v>#NAME?</v>
      </c>
      <c r="D1979" t="e">
        <f ca="1">_xll.FDS("GBPUSD","FG_PRICE("&amp;B1979&amp;")")</f>
        <v>#NAME?</v>
      </c>
      <c r="E1979" t="e">
        <f ca="1">_xll.FDSB("JPYUSD","FG_PRICE("&amp;B1979&amp;")")</f>
        <v>#NAME?</v>
      </c>
    </row>
    <row r="1980" spans="2:5">
      <c r="B1980" s="244">
        <f t="shared" si="72"/>
        <v>45443</v>
      </c>
      <c r="C1980" s="245" t="e">
        <f ca="1">_xll.FDS("EURUSD","FG_PRICE("&amp;B1980&amp;")")</f>
        <v>#NAME?</v>
      </c>
      <c r="D1980" t="e">
        <f ca="1">_xll.FDS("GBPUSD","FG_PRICE("&amp;B1980&amp;")")</f>
        <v>#NAME?</v>
      </c>
      <c r="E1980" t="e">
        <f ca="1">_xll.FDSB("JPYUSD","FG_PRICE("&amp;B1980&amp;")")</f>
        <v>#NAME?</v>
      </c>
    </row>
    <row r="1981" spans="2:5">
      <c r="B1981" s="244">
        <f t="shared" si="72"/>
        <v>45444</v>
      </c>
      <c r="C1981" s="245" t="e">
        <f ca="1">_xll.FDS("EURUSD","FG_PRICE("&amp;B1981&amp;")")</f>
        <v>#NAME?</v>
      </c>
      <c r="D1981" t="e">
        <f ca="1">_xll.FDS("GBPUSD","FG_PRICE("&amp;B1981&amp;")")</f>
        <v>#NAME?</v>
      </c>
      <c r="E1981" t="e">
        <f ca="1">_xll.FDSB("JPYUSD","FG_PRICE("&amp;B1981&amp;")")</f>
        <v>#NAME?</v>
      </c>
    </row>
    <row r="1982" spans="2:5">
      <c r="B1982" s="244">
        <f t="shared" si="72"/>
        <v>45445</v>
      </c>
      <c r="C1982" s="245" t="e">
        <f ca="1">_xll.FDS("EURUSD","FG_PRICE("&amp;B1982&amp;")")</f>
        <v>#NAME?</v>
      </c>
      <c r="D1982" t="e">
        <f ca="1">_xll.FDS("GBPUSD","FG_PRICE("&amp;B1982&amp;")")</f>
        <v>#NAME?</v>
      </c>
      <c r="E1982" t="e">
        <f ca="1">_xll.FDSB("JPYUSD","FG_PRICE("&amp;B1982&amp;")")</f>
        <v>#NAME?</v>
      </c>
    </row>
    <row r="1983" spans="2:5">
      <c r="B1983" s="244">
        <f t="shared" si="72"/>
        <v>45446</v>
      </c>
      <c r="C1983" s="245" t="e">
        <f ca="1">_xll.FDS("EURUSD","FG_PRICE("&amp;B1983&amp;")")</f>
        <v>#NAME?</v>
      </c>
      <c r="D1983" t="e">
        <f ca="1">_xll.FDS("GBPUSD","FG_PRICE("&amp;B1983&amp;")")</f>
        <v>#NAME?</v>
      </c>
      <c r="E1983" t="e">
        <f ca="1">_xll.FDSB("JPYUSD","FG_PRICE("&amp;B1983&amp;")")</f>
        <v>#NAME?</v>
      </c>
    </row>
    <row r="1984" spans="2:5">
      <c r="B1984" s="244">
        <f t="shared" si="72"/>
        <v>45447</v>
      </c>
      <c r="C1984" s="245" t="e">
        <f ca="1">_xll.FDS("EURUSD","FG_PRICE("&amp;B1984&amp;")")</f>
        <v>#NAME?</v>
      </c>
      <c r="D1984" t="e">
        <f ca="1">_xll.FDS("GBPUSD","FG_PRICE("&amp;B1984&amp;")")</f>
        <v>#NAME?</v>
      </c>
      <c r="E1984" t="e">
        <f ca="1">_xll.FDSB("JPYUSD","FG_PRICE("&amp;B1984&amp;")")</f>
        <v>#NAME?</v>
      </c>
    </row>
    <row r="1985" spans="2:5">
      <c r="B1985" s="244">
        <f t="shared" si="72"/>
        <v>45448</v>
      </c>
      <c r="C1985" s="245" t="e">
        <f ca="1">_xll.FDS("EURUSD","FG_PRICE("&amp;B1985&amp;")")</f>
        <v>#NAME?</v>
      </c>
      <c r="D1985" t="e">
        <f ca="1">_xll.FDS("GBPUSD","FG_PRICE("&amp;B1985&amp;")")</f>
        <v>#NAME?</v>
      </c>
      <c r="E1985" t="e">
        <f ca="1">_xll.FDSB("JPYUSD","FG_PRICE("&amp;B1985&amp;")")</f>
        <v>#NAME?</v>
      </c>
    </row>
    <row r="1986" spans="2:5">
      <c r="B1986" s="244">
        <f t="shared" si="72"/>
        <v>45449</v>
      </c>
      <c r="C1986" s="245" t="e">
        <f ca="1">_xll.FDS("EURUSD","FG_PRICE("&amp;B1986&amp;")")</f>
        <v>#NAME?</v>
      </c>
      <c r="D1986" t="e">
        <f ca="1">_xll.FDS("GBPUSD","FG_PRICE("&amp;B1986&amp;")")</f>
        <v>#NAME?</v>
      </c>
      <c r="E1986" t="e">
        <f ca="1">_xll.FDSB("JPYUSD","FG_PRICE("&amp;B1986&amp;")")</f>
        <v>#NAME?</v>
      </c>
    </row>
    <row r="1987" spans="2:5">
      <c r="B1987" s="244">
        <f t="shared" si="72"/>
        <v>45450</v>
      </c>
      <c r="C1987" s="245" t="e">
        <f ca="1">_xll.FDS("EURUSD","FG_PRICE("&amp;B1987&amp;")")</f>
        <v>#NAME?</v>
      </c>
      <c r="D1987" t="e">
        <f ca="1">_xll.FDS("GBPUSD","FG_PRICE("&amp;B1987&amp;")")</f>
        <v>#NAME?</v>
      </c>
      <c r="E1987" t="e">
        <f ca="1">_xll.FDSB("JPYUSD","FG_PRICE("&amp;B1987&amp;")")</f>
        <v>#NAME?</v>
      </c>
    </row>
    <row r="1988" spans="2:5">
      <c r="B1988" s="244">
        <f t="shared" si="72"/>
        <v>45451</v>
      </c>
      <c r="C1988" s="245" t="e">
        <f ca="1">_xll.FDS("EURUSD","FG_PRICE("&amp;B1988&amp;")")</f>
        <v>#NAME?</v>
      </c>
      <c r="D1988" t="e">
        <f ca="1">_xll.FDS("GBPUSD","FG_PRICE("&amp;B1988&amp;")")</f>
        <v>#NAME?</v>
      </c>
      <c r="E1988" t="e">
        <f ca="1">_xll.FDSB("JPYUSD","FG_PRICE("&amp;B1988&amp;")")</f>
        <v>#NAME?</v>
      </c>
    </row>
    <row r="1989" spans="2:5">
      <c r="B1989" s="244">
        <f t="shared" ref="B1989:B2052" si="73">B1988+1</f>
        <v>45452</v>
      </c>
      <c r="C1989" s="245" t="e">
        <f ca="1">_xll.FDS("EURUSD","FG_PRICE("&amp;B1989&amp;")")</f>
        <v>#NAME?</v>
      </c>
      <c r="D1989" t="e">
        <f ca="1">_xll.FDS("GBPUSD","FG_PRICE("&amp;B1989&amp;")")</f>
        <v>#NAME?</v>
      </c>
      <c r="E1989" t="e">
        <f ca="1">_xll.FDSB("JPYUSD","FG_PRICE("&amp;B1989&amp;")")</f>
        <v>#NAME?</v>
      </c>
    </row>
    <row r="1990" spans="2:5">
      <c r="B1990" s="244">
        <f t="shared" si="73"/>
        <v>45453</v>
      </c>
      <c r="C1990" s="245" t="e">
        <f ca="1">_xll.FDS("EURUSD","FG_PRICE("&amp;B1990&amp;")")</f>
        <v>#NAME?</v>
      </c>
      <c r="D1990" t="e">
        <f ca="1">_xll.FDS("GBPUSD","FG_PRICE("&amp;B1990&amp;")")</f>
        <v>#NAME?</v>
      </c>
      <c r="E1990" t="e">
        <f ca="1">_xll.FDSB("JPYUSD","FG_PRICE("&amp;B1990&amp;")")</f>
        <v>#NAME?</v>
      </c>
    </row>
    <row r="1991" spans="2:5">
      <c r="B1991" s="244">
        <f t="shared" si="73"/>
        <v>45454</v>
      </c>
      <c r="C1991" s="245" t="e">
        <f ca="1">_xll.FDS("EURUSD","FG_PRICE("&amp;B1991&amp;")")</f>
        <v>#NAME?</v>
      </c>
      <c r="D1991" t="e">
        <f ca="1">_xll.FDS("GBPUSD","FG_PRICE("&amp;B1991&amp;")")</f>
        <v>#NAME?</v>
      </c>
      <c r="E1991" t="e">
        <f ca="1">_xll.FDSB("JPYUSD","FG_PRICE("&amp;B1991&amp;")")</f>
        <v>#NAME?</v>
      </c>
    </row>
    <row r="1992" spans="2:5">
      <c r="B1992" s="244">
        <f t="shared" si="73"/>
        <v>45455</v>
      </c>
      <c r="C1992" s="245" t="e">
        <f ca="1">_xll.FDS("EURUSD","FG_PRICE("&amp;B1992&amp;")")</f>
        <v>#NAME?</v>
      </c>
      <c r="D1992" t="e">
        <f ca="1">_xll.FDS("GBPUSD","FG_PRICE("&amp;B1992&amp;")")</f>
        <v>#NAME?</v>
      </c>
      <c r="E1992" t="e">
        <f ca="1">_xll.FDSB("JPYUSD","FG_PRICE("&amp;B1992&amp;")")</f>
        <v>#NAME?</v>
      </c>
    </row>
    <row r="1993" spans="2:5">
      <c r="B1993" s="244">
        <f t="shared" si="73"/>
        <v>45456</v>
      </c>
      <c r="C1993" s="245" t="e">
        <f ca="1">_xll.FDS("EURUSD","FG_PRICE("&amp;B1993&amp;")")</f>
        <v>#NAME?</v>
      </c>
      <c r="D1993" t="e">
        <f ca="1">_xll.FDS("GBPUSD","FG_PRICE("&amp;B1993&amp;")")</f>
        <v>#NAME?</v>
      </c>
      <c r="E1993" t="e">
        <f ca="1">_xll.FDSB("JPYUSD","FG_PRICE("&amp;B1993&amp;")")</f>
        <v>#NAME?</v>
      </c>
    </row>
    <row r="1994" spans="2:5">
      <c r="B1994" s="244">
        <f t="shared" si="73"/>
        <v>45457</v>
      </c>
      <c r="C1994" s="245" t="e">
        <f ca="1">_xll.FDS("EURUSD","FG_PRICE("&amp;B1994&amp;")")</f>
        <v>#NAME?</v>
      </c>
      <c r="D1994" t="e">
        <f ca="1">_xll.FDS("GBPUSD","FG_PRICE("&amp;B1994&amp;")")</f>
        <v>#NAME?</v>
      </c>
      <c r="E1994" t="e">
        <f ca="1">_xll.FDSB("JPYUSD","FG_PRICE("&amp;B1994&amp;")")</f>
        <v>#NAME?</v>
      </c>
    </row>
    <row r="1995" spans="2:5">
      <c r="B1995" s="244">
        <f t="shared" si="73"/>
        <v>45458</v>
      </c>
      <c r="C1995" s="245" t="e">
        <f ca="1">_xll.FDS("EURUSD","FG_PRICE("&amp;B1995&amp;")")</f>
        <v>#NAME?</v>
      </c>
      <c r="D1995" t="e">
        <f ca="1">_xll.FDS("GBPUSD","FG_PRICE("&amp;B1995&amp;")")</f>
        <v>#NAME?</v>
      </c>
      <c r="E1995" t="e">
        <f ca="1">_xll.FDSB("JPYUSD","FG_PRICE("&amp;B1995&amp;")")</f>
        <v>#NAME?</v>
      </c>
    </row>
    <row r="1996" spans="2:5">
      <c r="B1996" s="244">
        <f t="shared" si="73"/>
        <v>45459</v>
      </c>
      <c r="C1996" s="245" t="e">
        <f ca="1">_xll.FDS("EURUSD","FG_PRICE("&amp;B1996&amp;")")</f>
        <v>#NAME?</v>
      </c>
      <c r="D1996" t="e">
        <f ca="1">_xll.FDS("GBPUSD","FG_PRICE("&amp;B1996&amp;")")</f>
        <v>#NAME?</v>
      </c>
      <c r="E1996" t="e">
        <f ca="1">_xll.FDSB("JPYUSD","FG_PRICE("&amp;B1996&amp;")")</f>
        <v>#NAME?</v>
      </c>
    </row>
    <row r="1997" spans="2:5">
      <c r="B1997" s="244">
        <f t="shared" si="73"/>
        <v>45460</v>
      </c>
      <c r="C1997" s="245" t="e">
        <f ca="1">_xll.FDS("EURUSD","FG_PRICE("&amp;B1997&amp;")")</f>
        <v>#NAME?</v>
      </c>
      <c r="D1997" t="e">
        <f ca="1">_xll.FDS("GBPUSD","FG_PRICE("&amp;B1997&amp;")")</f>
        <v>#NAME?</v>
      </c>
      <c r="E1997" t="e">
        <f ca="1">_xll.FDSB("JPYUSD","FG_PRICE("&amp;B1997&amp;")")</f>
        <v>#NAME?</v>
      </c>
    </row>
    <row r="1998" spans="2:5">
      <c r="B1998" s="244">
        <f t="shared" si="73"/>
        <v>45461</v>
      </c>
      <c r="C1998" s="245" t="e">
        <f ca="1">_xll.FDS("EURUSD","FG_PRICE("&amp;B1998&amp;")")</f>
        <v>#NAME?</v>
      </c>
      <c r="D1998" t="e">
        <f ca="1">_xll.FDS("GBPUSD","FG_PRICE("&amp;B1998&amp;")")</f>
        <v>#NAME?</v>
      </c>
      <c r="E1998" t="e">
        <f ca="1">_xll.FDSB("JPYUSD","FG_PRICE("&amp;B1998&amp;")")</f>
        <v>#NAME?</v>
      </c>
    </row>
    <row r="1999" spans="2:5">
      <c r="B1999" s="244">
        <f t="shared" si="73"/>
        <v>45462</v>
      </c>
      <c r="C1999" s="245" t="e">
        <f ca="1">_xll.FDS("EURUSD","FG_PRICE("&amp;B1999&amp;")")</f>
        <v>#NAME?</v>
      </c>
      <c r="D1999" t="e">
        <f ca="1">_xll.FDS("GBPUSD","FG_PRICE("&amp;B1999&amp;")")</f>
        <v>#NAME?</v>
      </c>
      <c r="E1999" t="e">
        <f ca="1">_xll.FDSB("JPYUSD","FG_PRICE("&amp;B1999&amp;")")</f>
        <v>#NAME?</v>
      </c>
    </row>
    <row r="2000" spans="2:5">
      <c r="B2000" s="244">
        <f t="shared" si="73"/>
        <v>45463</v>
      </c>
      <c r="C2000" s="245" t="e">
        <f ca="1">_xll.FDS("EURUSD","FG_PRICE("&amp;B2000&amp;")")</f>
        <v>#NAME?</v>
      </c>
      <c r="D2000" t="e">
        <f ca="1">_xll.FDS("GBPUSD","FG_PRICE("&amp;B2000&amp;")")</f>
        <v>#NAME?</v>
      </c>
      <c r="E2000" t="e">
        <f ca="1">_xll.FDSB("JPYUSD","FG_PRICE("&amp;B2000&amp;")")</f>
        <v>#NAME?</v>
      </c>
    </row>
    <row r="2001" spans="2:5">
      <c r="B2001" s="244">
        <f t="shared" si="73"/>
        <v>45464</v>
      </c>
      <c r="C2001" s="245" t="e">
        <f ca="1">_xll.FDS("EURUSD","FG_PRICE("&amp;B2001&amp;")")</f>
        <v>#NAME?</v>
      </c>
      <c r="D2001" t="e">
        <f ca="1">_xll.FDS("GBPUSD","FG_PRICE("&amp;B2001&amp;")")</f>
        <v>#NAME?</v>
      </c>
      <c r="E2001" t="e">
        <f ca="1">_xll.FDSB("JPYUSD","FG_PRICE("&amp;B2001&amp;")")</f>
        <v>#NAME?</v>
      </c>
    </row>
    <row r="2002" spans="2:5">
      <c r="B2002" s="244">
        <f t="shared" si="73"/>
        <v>45465</v>
      </c>
      <c r="C2002" s="245" t="e">
        <f ca="1">_xll.FDS("EURUSD","FG_PRICE("&amp;B2002&amp;")")</f>
        <v>#NAME?</v>
      </c>
      <c r="D2002" t="e">
        <f ca="1">_xll.FDS("GBPUSD","FG_PRICE("&amp;B2002&amp;")")</f>
        <v>#NAME?</v>
      </c>
      <c r="E2002" t="e">
        <f ca="1">_xll.FDSB("JPYUSD","FG_PRICE("&amp;B2002&amp;")")</f>
        <v>#NAME?</v>
      </c>
    </row>
    <row r="2003" spans="2:5">
      <c r="B2003" s="244">
        <f t="shared" si="73"/>
        <v>45466</v>
      </c>
      <c r="C2003" s="245" t="e">
        <f ca="1">_xll.FDS("EURUSD","FG_PRICE("&amp;B2003&amp;")")</f>
        <v>#NAME?</v>
      </c>
      <c r="D2003" t="e">
        <f ca="1">_xll.FDS("GBPUSD","FG_PRICE("&amp;B2003&amp;")")</f>
        <v>#NAME?</v>
      </c>
      <c r="E2003" t="e">
        <f ca="1">_xll.FDSB("JPYUSD","FG_PRICE("&amp;B2003&amp;")")</f>
        <v>#NAME?</v>
      </c>
    </row>
    <row r="2004" spans="2:5">
      <c r="B2004" s="244">
        <f t="shared" si="73"/>
        <v>45467</v>
      </c>
      <c r="C2004" s="245" t="e">
        <f ca="1">_xll.FDS("EURUSD","FG_PRICE("&amp;B2004&amp;")")</f>
        <v>#NAME?</v>
      </c>
      <c r="D2004" t="e">
        <f ca="1">_xll.FDS("GBPUSD","FG_PRICE("&amp;B2004&amp;")")</f>
        <v>#NAME?</v>
      </c>
      <c r="E2004" t="e">
        <f ca="1">_xll.FDSB("JPYUSD","FG_PRICE("&amp;B2004&amp;")")</f>
        <v>#NAME?</v>
      </c>
    </row>
    <row r="2005" spans="2:5">
      <c r="B2005" s="244">
        <f t="shared" si="73"/>
        <v>45468</v>
      </c>
      <c r="C2005" s="245" t="e">
        <f ca="1">_xll.FDS("EURUSD","FG_PRICE("&amp;B2005&amp;")")</f>
        <v>#NAME?</v>
      </c>
      <c r="D2005" t="e">
        <f ca="1">_xll.FDS("GBPUSD","FG_PRICE("&amp;B2005&amp;")")</f>
        <v>#NAME?</v>
      </c>
      <c r="E2005" t="e">
        <f ca="1">_xll.FDSB("JPYUSD","FG_PRICE("&amp;B2005&amp;")")</f>
        <v>#NAME?</v>
      </c>
    </row>
    <row r="2006" spans="2:5">
      <c r="B2006" s="244">
        <f t="shared" si="73"/>
        <v>45469</v>
      </c>
      <c r="C2006" s="245" t="e">
        <f ca="1">_xll.FDS("EURUSD","FG_PRICE("&amp;B2006&amp;")")</f>
        <v>#NAME?</v>
      </c>
      <c r="D2006" t="e">
        <f ca="1">_xll.FDS("GBPUSD","FG_PRICE("&amp;B2006&amp;")")</f>
        <v>#NAME?</v>
      </c>
      <c r="E2006" t="e">
        <f ca="1">_xll.FDSB("JPYUSD","FG_PRICE("&amp;B2006&amp;")")</f>
        <v>#NAME?</v>
      </c>
    </row>
    <row r="2007" spans="2:5">
      <c r="B2007" s="244">
        <f t="shared" si="73"/>
        <v>45470</v>
      </c>
      <c r="C2007" s="245" t="e">
        <f ca="1">_xll.FDS("EURUSD","FG_PRICE("&amp;B2007&amp;")")</f>
        <v>#NAME?</v>
      </c>
      <c r="D2007" t="e">
        <f ca="1">_xll.FDS("GBPUSD","FG_PRICE("&amp;B2007&amp;")")</f>
        <v>#NAME?</v>
      </c>
      <c r="E2007" t="e">
        <f ca="1">_xll.FDSB("JPYUSD","FG_PRICE("&amp;B2007&amp;")")</f>
        <v>#NAME?</v>
      </c>
    </row>
    <row r="2008" spans="2:5">
      <c r="B2008" s="244">
        <f t="shared" si="73"/>
        <v>45471</v>
      </c>
      <c r="C2008" s="245" t="e">
        <f ca="1">_xll.FDS("EURUSD","FG_PRICE("&amp;B2008&amp;")")</f>
        <v>#NAME?</v>
      </c>
      <c r="D2008" t="e">
        <f ca="1">_xll.FDS("GBPUSD","FG_PRICE("&amp;B2008&amp;")")</f>
        <v>#NAME?</v>
      </c>
      <c r="E2008" t="e">
        <f ca="1">_xll.FDSB("JPYUSD","FG_PRICE("&amp;B2008&amp;")")</f>
        <v>#NAME?</v>
      </c>
    </row>
    <row r="2009" spans="2:5">
      <c r="B2009" s="244">
        <f t="shared" si="73"/>
        <v>45472</v>
      </c>
      <c r="C2009" s="245" t="e">
        <f ca="1">_xll.FDS("EURUSD","FG_PRICE("&amp;B2009&amp;")")</f>
        <v>#NAME?</v>
      </c>
      <c r="D2009" t="e">
        <f ca="1">_xll.FDS("GBPUSD","FG_PRICE("&amp;B2009&amp;")")</f>
        <v>#NAME?</v>
      </c>
      <c r="E2009" t="e">
        <f ca="1">_xll.FDSB("JPYUSD","FG_PRICE("&amp;B2009&amp;")")</f>
        <v>#NAME?</v>
      </c>
    </row>
    <row r="2010" spans="2:5">
      <c r="B2010" s="244">
        <f t="shared" si="73"/>
        <v>45473</v>
      </c>
      <c r="C2010" s="245" t="e">
        <f ca="1">_xll.FDS("EURUSD","FG_PRICE("&amp;B2010&amp;")")</f>
        <v>#NAME?</v>
      </c>
      <c r="D2010" t="e">
        <f ca="1">_xll.FDS("GBPUSD","FG_PRICE("&amp;B2010&amp;")")</f>
        <v>#NAME?</v>
      </c>
      <c r="E2010" t="e">
        <f ca="1">_xll.FDSB("JPYUSD","FG_PRICE("&amp;B2010&amp;")")</f>
        <v>#NAME?</v>
      </c>
    </row>
    <row r="2011" spans="2:5">
      <c r="B2011" s="244">
        <f t="shared" si="73"/>
        <v>45474</v>
      </c>
      <c r="C2011" s="245" t="e">
        <f ca="1">_xll.FDS("EURUSD","FG_PRICE("&amp;B2011&amp;")")</f>
        <v>#NAME?</v>
      </c>
      <c r="D2011" t="e">
        <f ca="1">_xll.FDS("GBPUSD","FG_PRICE("&amp;B2011&amp;")")</f>
        <v>#NAME?</v>
      </c>
      <c r="E2011" t="e">
        <f ca="1">_xll.FDSB("JPYUSD","FG_PRICE("&amp;B2011&amp;")")</f>
        <v>#NAME?</v>
      </c>
    </row>
    <row r="2012" spans="2:5">
      <c r="B2012" s="244">
        <f t="shared" si="73"/>
        <v>45475</v>
      </c>
      <c r="C2012" s="245" t="e">
        <f ca="1">_xll.FDS("EURUSD","FG_PRICE("&amp;B2012&amp;")")</f>
        <v>#NAME?</v>
      </c>
      <c r="D2012" t="e">
        <f ca="1">_xll.FDS("GBPUSD","FG_PRICE("&amp;B2012&amp;")")</f>
        <v>#NAME?</v>
      </c>
      <c r="E2012" t="e">
        <f ca="1">_xll.FDSB("JPYUSD","FG_PRICE("&amp;B2012&amp;")")</f>
        <v>#NAME?</v>
      </c>
    </row>
    <row r="2013" spans="2:5">
      <c r="B2013" s="244">
        <f t="shared" si="73"/>
        <v>45476</v>
      </c>
      <c r="C2013" s="245" t="e">
        <f ca="1">_xll.FDS("EURUSD","FG_PRICE("&amp;B2013&amp;")")</f>
        <v>#NAME?</v>
      </c>
      <c r="D2013" t="e">
        <f ca="1">_xll.FDS("GBPUSD","FG_PRICE("&amp;B2013&amp;")")</f>
        <v>#NAME?</v>
      </c>
      <c r="E2013" t="e">
        <f ca="1">_xll.FDSB("JPYUSD","FG_PRICE("&amp;B2013&amp;")")</f>
        <v>#NAME?</v>
      </c>
    </row>
    <row r="2014" spans="2:5">
      <c r="B2014" s="244">
        <f t="shared" si="73"/>
        <v>45477</v>
      </c>
      <c r="C2014" s="245" t="e">
        <f ca="1">_xll.FDS("EURUSD","FG_PRICE("&amp;B2014&amp;")")</f>
        <v>#NAME?</v>
      </c>
      <c r="D2014" t="e">
        <f ca="1">_xll.FDS("GBPUSD","FG_PRICE("&amp;B2014&amp;")")</f>
        <v>#NAME?</v>
      </c>
      <c r="E2014" t="e">
        <f ca="1">_xll.FDSB("JPYUSD","FG_PRICE("&amp;B2014&amp;")")</f>
        <v>#NAME?</v>
      </c>
    </row>
    <row r="2015" spans="2:5">
      <c r="B2015" s="244">
        <f t="shared" si="73"/>
        <v>45478</v>
      </c>
      <c r="C2015" s="245" t="e">
        <f ca="1">_xll.FDS("EURUSD","FG_PRICE("&amp;B2015&amp;")")</f>
        <v>#NAME?</v>
      </c>
      <c r="D2015" t="e">
        <f ca="1">_xll.FDS("GBPUSD","FG_PRICE("&amp;B2015&amp;")")</f>
        <v>#NAME?</v>
      </c>
      <c r="E2015" t="e">
        <f ca="1">_xll.FDSB("JPYUSD","FG_PRICE("&amp;B2015&amp;")")</f>
        <v>#NAME?</v>
      </c>
    </row>
    <row r="2016" spans="2:5">
      <c r="B2016" s="244">
        <f t="shared" si="73"/>
        <v>45479</v>
      </c>
      <c r="C2016" s="245" t="e">
        <f ca="1">_xll.FDS("EURUSD","FG_PRICE("&amp;B2016&amp;")")</f>
        <v>#NAME?</v>
      </c>
      <c r="D2016" t="e">
        <f ca="1">_xll.FDS("GBPUSD","FG_PRICE("&amp;B2016&amp;")")</f>
        <v>#NAME?</v>
      </c>
      <c r="E2016" t="e">
        <f ca="1">_xll.FDSB("JPYUSD","FG_PRICE("&amp;B2016&amp;")")</f>
        <v>#NAME?</v>
      </c>
    </row>
    <row r="2017" spans="2:5">
      <c r="B2017" s="244">
        <f t="shared" si="73"/>
        <v>45480</v>
      </c>
      <c r="C2017" s="245" t="e">
        <f ca="1">_xll.FDS("EURUSD","FG_PRICE("&amp;B2017&amp;")")</f>
        <v>#NAME?</v>
      </c>
      <c r="D2017" t="e">
        <f ca="1">_xll.FDS("GBPUSD","FG_PRICE("&amp;B2017&amp;")")</f>
        <v>#NAME?</v>
      </c>
      <c r="E2017" t="e">
        <f ca="1">_xll.FDSB("JPYUSD","FG_PRICE("&amp;B2017&amp;")")</f>
        <v>#NAME?</v>
      </c>
    </row>
    <row r="2018" spans="2:5">
      <c r="B2018" s="244">
        <f t="shared" si="73"/>
        <v>45481</v>
      </c>
      <c r="C2018" s="245" t="e">
        <f ca="1">_xll.FDS("EURUSD","FG_PRICE("&amp;B2018&amp;")")</f>
        <v>#NAME?</v>
      </c>
      <c r="D2018" t="e">
        <f ca="1">_xll.FDS("GBPUSD","FG_PRICE("&amp;B2018&amp;")")</f>
        <v>#NAME?</v>
      </c>
      <c r="E2018" t="e">
        <f ca="1">_xll.FDSB("JPYUSD","FG_PRICE("&amp;B2018&amp;")")</f>
        <v>#NAME?</v>
      </c>
    </row>
    <row r="2019" spans="2:5">
      <c r="B2019" s="244">
        <f t="shared" si="73"/>
        <v>45482</v>
      </c>
      <c r="C2019" s="245" t="e">
        <f ca="1">_xll.FDS("EURUSD","FG_PRICE("&amp;B2019&amp;")")</f>
        <v>#NAME?</v>
      </c>
      <c r="D2019" t="e">
        <f ca="1">_xll.FDS("GBPUSD","FG_PRICE("&amp;B2019&amp;")")</f>
        <v>#NAME?</v>
      </c>
      <c r="E2019" t="e">
        <f ca="1">_xll.FDSB("JPYUSD","FG_PRICE("&amp;B2019&amp;")")</f>
        <v>#NAME?</v>
      </c>
    </row>
    <row r="2020" spans="2:5">
      <c r="B2020" s="244">
        <f t="shared" si="73"/>
        <v>45483</v>
      </c>
      <c r="C2020" s="245" t="e">
        <f ca="1">_xll.FDS("EURUSD","FG_PRICE("&amp;B2020&amp;")")</f>
        <v>#NAME?</v>
      </c>
      <c r="D2020" t="e">
        <f ca="1">_xll.FDS("GBPUSD","FG_PRICE("&amp;B2020&amp;")")</f>
        <v>#NAME?</v>
      </c>
      <c r="E2020" t="e">
        <f ca="1">_xll.FDSB("JPYUSD","FG_PRICE("&amp;B2020&amp;")")</f>
        <v>#NAME?</v>
      </c>
    </row>
    <row r="2021" spans="2:5">
      <c r="B2021" s="244">
        <f t="shared" si="73"/>
        <v>45484</v>
      </c>
      <c r="C2021" s="245" t="e">
        <f ca="1">_xll.FDS("EURUSD","FG_PRICE("&amp;B2021&amp;")")</f>
        <v>#NAME?</v>
      </c>
      <c r="D2021" t="e">
        <f ca="1">_xll.FDS("GBPUSD","FG_PRICE("&amp;B2021&amp;")")</f>
        <v>#NAME?</v>
      </c>
      <c r="E2021" t="e">
        <f ca="1">_xll.FDSB("JPYUSD","FG_PRICE("&amp;B2021&amp;")")</f>
        <v>#NAME?</v>
      </c>
    </row>
    <row r="2022" spans="2:5">
      <c r="B2022" s="244">
        <f t="shared" si="73"/>
        <v>45485</v>
      </c>
      <c r="C2022" s="245" t="e">
        <f ca="1">_xll.FDS("EURUSD","FG_PRICE("&amp;B2022&amp;")")</f>
        <v>#NAME?</v>
      </c>
      <c r="D2022" t="e">
        <f ca="1">_xll.FDS("GBPUSD","FG_PRICE("&amp;B2022&amp;")")</f>
        <v>#NAME?</v>
      </c>
      <c r="E2022" t="e">
        <f ca="1">_xll.FDSB("JPYUSD","FG_PRICE("&amp;B2022&amp;")")</f>
        <v>#NAME?</v>
      </c>
    </row>
    <row r="2023" spans="2:5">
      <c r="B2023" s="244">
        <f t="shared" si="73"/>
        <v>45486</v>
      </c>
      <c r="C2023" s="245" t="e">
        <f ca="1">_xll.FDS("EURUSD","FG_PRICE("&amp;B2023&amp;")")</f>
        <v>#NAME?</v>
      </c>
      <c r="D2023" t="e">
        <f ca="1">_xll.FDS("GBPUSD","FG_PRICE("&amp;B2023&amp;")")</f>
        <v>#NAME?</v>
      </c>
      <c r="E2023" t="e">
        <f ca="1">_xll.FDSB("JPYUSD","FG_PRICE("&amp;B2023&amp;")")</f>
        <v>#NAME?</v>
      </c>
    </row>
    <row r="2024" spans="2:5">
      <c r="B2024" s="244">
        <f t="shared" si="73"/>
        <v>45487</v>
      </c>
      <c r="C2024" s="245" t="e">
        <f ca="1">_xll.FDS("EURUSD","FG_PRICE("&amp;B2024&amp;")")</f>
        <v>#NAME?</v>
      </c>
      <c r="D2024" t="e">
        <f ca="1">_xll.FDS("GBPUSD","FG_PRICE("&amp;B2024&amp;")")</f>
        <v>#NAME?</v>
      </c>
      <c r="E2024" t="e">
        <f ca="1">_xll.FDSB("JPYUSD","FG_PRICE("&amp;B2024&amp;")")</f>
        <v>#NAME?</v>
      </c>
    </row>
    <row r="2025" spans="2:5">
      <c r="B2025" s="244">
        <f t="shared" si="73"/>
        <v>45488</v>
      </c>
      <c r="C2025" s="245" t="e">
        <f ca="1">_xll.FDS("EURUSD","FG_PRICE("&amp;B2025&amp;")")</f>
        <v>#NAME?</v>
      </c>
      <c r="D2025" t="e">
        <f ca="1">_xll.FDS("GBPUSD","FG_PRICE("&amp;B2025&amp;")")</f>
        <v>#NAME?</v>
      </c>
      <c r="E2025" t="e">
        <f ca="1">_xll.FDSB("JPYUSD","FG_PRICE("&amp;B2025&amp;")")</f>
        <v>#NAME?</v>
      </c>
    </row>
    <row r="2026" spans="2:5">
      <c r="B2026" s="244">
        <f t="shared" si="73"/>
        <v>45489</v>
      </c>
      <c r="C2026" s="245" t="e">
        <f ca="1">_xll.FDS("EURUSD","FG_PRICE("&amp;B2026&amp;")")</f>
        <v>#NAME?</v>
      </c>
      <c r="D2026" t="e">
        <f ca="1">_xll.FDS("GBPUSD","FG_PRICE("&amp;B2026&amp;")")</f>
        <v>#NAME?</v>
      </c>
      <c r="E2026" t="e">
        <f ca="1">_xll.FDSB("JPYUSD","FG_PRICE("&amp;B2026&amp;")")</f>
        <v>#NAME?</v>
      </c>
    </row>
    <row r="2027" spans="2:5">
      <c r="B2027" s="244">
        <f t="shared" si="73"/>
        <v>45490</v>
      </c>
      <c r="C2027" s="245" t="e">
        <f ca="1">_xll.FDS("EURUSD","FG_PRICE("&amp;B2027&amp;")")</f>
        <v>#NAME?</v>
      </c>
      <c r="D2027" t="e">
        <f ca="1">_xll.FDS("GBPUSD","FG_PRICE("&amp;B2027&amp;")")</f>
        <v>#NAME?</v>
      </c>
      <c r="E2027" t="e">
        <f ca="1">_xll.FDSB("JPYUSD","FG_PRICE("&amp;B2027&amp;")")</f>
        <v>#NAME?</v>
      </c>
    </row>
    <row r="2028" spans="2:5">
      <c r="B2028" s="244">
        <f t="shared" si="73"/>
        <v>45491</v>
      </c>
      <c r="C2028" s="245" t="e">
        <f ca="1">_xll.FDS("EURUSD","FG_PRICE("&amp;B2028&amp;")")</f>
        <v>#NAME?</v>
      </c>
      <c r="D2028" t="e">
        <f ca="1">_xll.FDS("GBPUSD","FG_PRICE("&amp;B2028&amp;")")</f>
        <v>#NAME?</v>
      </c>
      <c r="E2028" t="e">
        <f ca="1">_xll.FDSB("JPYUSD","FG_PRICE("&amp;B2028&amp;")")</f>
        <v>#NAME?</v>
      </c>
    </row>
    <row r="2029" spans="2:5">
      <c r="B2029" s="244">
        <f t="shared" si="73"/>
        <v>45492</v>
      </c>
      <c r="C2029" s="245" t="e">
        <f ca="1">_xll.FDS("EURUSD","FG_PRICE("&amp;B2029&amp;")")</f>
        <v>#NAME?</v>
      </c>
      <c r="D2029" t="e">
        <f ca="1">_xll.FDS("GBPUSD","FG_PRICE("&amp;B2029&amp;")")</f>
        <v>#NAME?</v>
      </c>
      <c r="E2029" t="e">
        <f ca="1">_xll.FDSB("JPYUSD","FG_PRICE("&amp;B2029&amp;")")</f>
        <v>#NAME?</v>
      </c>
    </row>
    <row r="2030" spans="2:5">
      <c r="B2030" s="244">
        <f t="shared" si="73"/>
        <v>45493</v>
      </c>
      <c r="C2030" s="245" t="e">
        <f ca="1">_xll.FDS("EURUSD","FG_PRICE("&amp;B2030&amp;")")</f>
        <v>#NAME?</v>
      </c>
      <c r="D2030" t="e">
        <f ca="1">_xll.FDS("GBPUSD","FG_PRICE("&amp;B2030&amp;")")</f>
        <v>#NAME?</v>
      </c>
      <c r="E2030" t="e">
        <f ca="1">_xll.FDSB("JPYUSD","FG_PRICE("&amp;B2030&amp;")")</f>
        <v>#NAME?</v>
      </c>
    </row>
    <row r="2031" spans="2:5">
      <c r="B2031" s="244">
        <f t="shared" si="73"/>
        <v>45494</v>
      </c>
      <c r="C2031" s="245" t="e">
        <f ca="1">_xll.FDS("EURUSD","FG_PRICE("&amp;B2031&amp;")")</f>
        <v>#NAME?</v>
      </c>
      <c r="D2031" t="e">
        <f ca="1">_xll.FDS("GBPUSD","FG_PRICE("&amp;B2031&amp;")")</f>
        <v>#NAME?</v>
      </c>
      <c r="E2031" t="e">
        <f ca="1">_xll.FDSB("JPYUSD","FG_PRICE("&amp;B2031&amp;")")</f>
        <v>#NAME?</v>
      </c>
    </row>
    <row r="2032" spans="2:5">
      <c r="B2032" s="244">
        <f t="shared" si="73"/>
        <v>45495</v>
      </c>
      <c r="C2032" s="245" t="e">
        <f ca="1">_xll.FDS("EURUSD","FG_PRICE("&amp;B2032&amp;")")</f>
        <v>#NAME?</v>
      </c>
      <c r="D2032" t="e">
        <f ca="1">_xll.FDS("GBPUSD","FG_PRICE("&amp;B2032&amp;")")</f>
        <v>#NAME?</v>
      </c>
      <c r="E2032" t="e">
        <f ca="1">_xll.FDSB("JPYUSD","FG_PRICE("&amp;B2032&amp;")")</f>
        <v>#NAME?</v>
      </c>
    </row>
    <row r="2033" spans="2:5">
      <c r="B2033" s="244">
        <f t="shared" si="73"/>
        <v>45496</v>
      </c>
      <c r="C2033" s="245" t="e">
        <f ca="1">_xll.FDS("EURUSD","FG_PRICE("&amp;B2033&amp;")")</f>
        <v>#NAME?</v>
      </c>
      <c r="D2033" t="e">
        <f ca="1">_xll.FDS("GBPUSD","FG_PRICE("&amp;B2033&amp;")")</f>
        <v>#NAME?</v>
      </c>
      <c r="E2033" t="e">
        <f ca="1">_xll.FDSB("JPYUSD","FG_PRICE("&amp;B2033&amp;")")</f>
        <v>#NAME?</v>
      </c>
    </row>
    <row r="2034" spans="2:5">
      <c r="B2034" s="244">
        <f t="shared" si="73"/>
        <v>45497</v>
      </c>
      <c r="C2034" s="245" t="e">
        <f ca="1">_xll.FDS("EURUSD","FG_PRICE("&amp;B2034&amp;")")</f>
        <v>#NAME?</v>
      </c>
      <c r="D2034" t="e">
        <f ca="1">_xll.FDS("GBPUSD","FG_PRICE("&amp;B2034&amp;")")</f>
        <v>#NAME?</v>
      </c>
      <c r="E2034" t="e">
        <f ca="1">_xll.FDSB("JPYUSD","FG_PRICE("&amp;B2034&amp;")")</f>
        <v>#NAME?</v>
      </c>
    </row>
    <row r="2035" spans="2:5">
      <c r="B2035" s="244">
        <f t="shared" si="73"/>
        <v>45498</v>
      </c>
      <c r="C2035" s="245" t="e">
        <f ca="1">_xll.FDS("EURUSD","FG_PRICE("&amp;B2035&amp;")")</f>
        <v>#NAME?</v>
      </c>
      <c r="D2035" t="e">
        <f ca="1">_xll.FDS("GBPUSD","FG_PRICE("&amp;B2035&amp;")")</f>
        <v>#NAME?</v>
      </c>
      <c r="E2035" t="e">
        <f ca="1">_xll.FDSB("JPYUSD","FG_PRICE("&amp;B2035&amp;")")</f>
        <v>#NAME?</v>
      </c>
    </row>
    <row r="2036" spans="2:5">
      <c r="B2036" s="244">
        <f t="shared" si="73"/>
        <v>45499</v>
      </c>
      <c r="C2036" s="245" t="e">
        <f ca="1">_xll.FDS("EURUSD","FG_PRICE("&amp;B2036&amp;")")</f>
        <v>#NAME?</v>
      </c>
      <c r="D2036" t="e">
        <f ca="1">_xll.FDS("GBPUSD","FG_PRICE("&amp;B2036&amp;")")</f>
        <v>#NAME?</v>
      </c>
      <c r="E2036" t="e">
        <f ca="1">_xll.FDSB("JPYUSD","FG_PRICE("&amp;B2036&amp;")")</f>
        <v>#NAME?</v>
      </c>
    </row>
    <row r="2037" spans="2:5">
      <c r="B2037" s="244">
        <f t="shared" si="73"/>
        <v>45500</v>
      </c>
      <c r="C2037" s="245" t="e">
        <f ca="1">_xll.FDS("EURUSD","FG_PRICE("&amp;B2037&amp;")")</f>
        <v>#NAME?</v>
      </c>
      <c r="D2037" t="e">
        <f ca="1">_xll.FDS("GBPUSD","FG_PRICE("&amp;B2037&amp;")")</f>
        <v>#NAME?</v>
      </c>
      <c r="E2037" t="e">
        <f ca="1">_xll.FDSB("JPYUSD","FG_PRICE("&amp;B2037&amp;")")</f>
        <v>#NAME?</v>
      </c>
    </row>
    <row r="2038" spans="2:5">
      <c r="B2038" s="244">
        <f t="shared" si="73"/>
        <v>45501</v>
      </c>
      <c r="C2038" s="245" t="e">
        <f ca="1">_xll.FDS("EURUSD","FG_PRICE("&amp;B2038&amp;")")</f>
        <v>#NAME?</v>
      </c>
      <c r="D2038" t="e">
        <f ca="1">_xll.FDS("GBPUSD","FG_PRICE("&amp;B2038&amp;")")</f>
        <v>#NAME?</v>
      </c>
      <c r="E2038" t="e">
        <f ca="1">_xll.FDSB("JPYUSD","FG_PRICE("&amp;B2038&amp;")")</f>
        <v>#NAME?</v>
      </c>
    </row>
    <row r="2039" spans="2:5">
      <c r="B2039" s="244">
        <f t="shared" si="73"/>
        <v>45502</v>
      </c>
      <c r="C2039" s="245" t="e">
        <f ca="1">_xll.FDS("EURUSD","FG_PRICE("&amp;B2039&amp;")")</f>
        <v>#NAME?</v>
      </c>
      <c r="D2039" t="e">
        <f ca="1">_xll.FDS("GBPUSD","FG_PRICE("&amp;B2039&amp;")")</f>
        <v>#NAME?</v>
      </c>
      <c r="E2039" t="e">
        <f ca="1">_xll.FDSB("JPYUSD","FG_PRICE("&amp;B2039&amp;")")</f>
        <v>#NAME?</v>
      </c>
    </row>
    <row r="2040" spans="2:5">
      <c r="B2040" s="244">
        <f t="shared" si="73"/>
        <v>45503</v>
      </c>
      <c r="C2040" s="245" t="e">
        <f ca="1">_xll.FDS("EURUSD","FG_PRICE("&amp;B2040&amp;")")</f>
        <v>#NAME?</v>
      </c>
      <c r="D2040" t="e">
        <f ca="1">_xll.FDS("GBPUSD","FG_PRICE("&amp;B2040&amp;")")</f>
        <v>#NAME?</v>
      </c>
      <c r="E2040" t="e">
        <f ca="1">_xll.FDSB("JPYUSD","FG_PRICE("&amp;B2040&amp;")")</f>
        <v>#NAME?</v>
      </c>
    </row>
    <row r="2041" spans="2:5">
      <c r="B2041" s="244">
        <f t="shared" si="73"/>
        <v>45504</v>
      </c>
      <c r="C2041" s="245" t="e">
        <f ca="1">_xll.FDS("EURUSD","FG_PRICE("&amp;B2041&amp;")")</f>
        <v>#NAME?</v>
      </c>
      <c r="D2041" t="e">
        <f ca="1">_xll.FDS("GBPUSD","FG_PRICE("&amp;B2041&amp;")")</f>
        <v>#NAME?</v>
      </c>
      <c r="E2041" t="e">
        <f ca="1">_xll.FDSB("JPYUSD","FG_PRICE("&amp;B2041&amp;")")</f>
        <v>#NAME?</v>
      </c>
    </row>
    <row r="2042" spans="2:5">
      <c r="B2042" s="244">
        <f t="shared" si="73"/>
        <v>45505</v>
      </c>
      <c r="C2042" s="245" t="e">
        <f ca="1">_xll.FDS("EURUSD","FG_PRICE("&amp;B2042&amp;")")</f>
        <v>#NAME?</v>
      </c>
      <c r="D2042" t="e">
        <f ca="1">_xll.FDS("GBPUSD","FG_PRICE("&amp;B2042&amp;")")</f>
        <v>#NAME?</v>
      </c>
      <c r="E2042" t="e">
        <f ca="1">_xll.FDSB("JPYUSD","FG_PRICE("&amp;B2042&amp;")")</f>
        <v>#NAME?</v>
      </c>
    </row>
    <row r="2043" spans="2:5">
      <c r="B2043" s="244">
        <f t="shared" si="73"/>
        <v>45506</v>
      </c>
      <c r="C2043" s="245" t="e">
        <f ca="1">_xll.FDS("EURUSD","FG_PRICE("&amp;B2043&amp;")")</f>
        <v>#NAME?</v>
      </c>
      <c r="D2043" t="e">
        <f ca="1">_xll.FDS("GBPUSD","FG_PRICE("&amp;B2043&amp;")")</f>
        <v>#NAME?</v>
      </c>
      <c r="E2043" t="e">
        <f ca="1">_xll.FDSB("JPYUSD","FG_PRICE("&amp;B2043&amp;")")</f>
        <v>#NAME?</v>
      </c>
    </row>
    <row r="2044" spans="2:5">
      <c r="B2044" s="244">
        <f t="shared" si="73"/>
        <v>45507</v>
      </c>
      <c r="C2044" s="245" t="e">
        <f ca="1">_xll.FDS("EURUSD","FG_PRICE("&amp;B2044&amp;")")</f>
        <v>#NAME?</v>
      </c>
      <c r="D2044" t="e">
        <f ca="1">_xll.FDS("GBPUSD","FG_PRICE("&amp;B2044&amp;")")</f>
        <v>#NAME?</v>
      </c>
      <c r="E2044" t="e">
        <f ca="1">_xll.FDSB("JPYUSD","FG_PRICE("&amp;B2044&amp;")")</f>
        <v>#NAME?</v>
      </c>
    </row>
    <row r="2045" spans="2:5">
      <c r="B2045" s="244">
        <f t="shared" si="73"/>
        <v>45508</v>
      </c>
      <c r="C2045" s="245" t="e">
        <f ca="1">_xll.FDS("EURUSD","FG_PRICE("&amp;B2045&amp;")")</f>
        <v>#NAME?</v>
      </c>
      <c r="D2045" t="e">
        <f ca="1">_xll.FDS("GBPUSD","FG_PRICE("&amp;B2045&amp;")")</f>
        <v>#NAME?</v>
      </c>
      <c r="E2045" t="e">
        <f ca="1">_xll.FDSB("JPYUSD","FG_PRICE("&amp;B2045&amp;")")</f>
        <v>#NAME?</v>
      </c>
    </row>
    <row r="2046" spans="2:5">
      <c r="B2046" s="244">
        <f t="shared" si="73"/>
        <v>45509</v>
      </c>
      <c r="C2046" s="245" t="e">
        <f ca="1">_xll.FDS("EURUSD","FG_PRICE("&amp;B2046&amp;")")</f>
        <v>#NAME?</v>
      </c>
      <c r="D2046" t="e">
        <f ca="1">_xll.FDS("GBPUSD","FG_PRICE("&amp;B2046&amp;")")</f>
        <v>#NAME?</v>
      </c>
      <c r="E2046" t="e">
        <f ca="1">_xll.FDSB("JPYUSD","FG_PRICE("&amp;B2046&amp;")")</f>
        <v>#NAME?</v>
      </c>
    </row>
    <row r="2047" spans="2:5">
      <c r="B2047" s="244">
        <f t="shared" si="73"/>
        <v>45510</v>
      </c>
      <c r="C2047" s="245" t="e">
        <f ca="1">_xll.FDS("EURUSD","FG_PRICE("&amp;B2047&amp;")")</f>
        <v>#NAME?</v>
      </c>
      <c r="D2047" t="e">
        <f ca="1">_xll.FDS("GBPUSD","FG_PRICE("&amp;B2047&amp;")")</f>
        <v>#NAME?</v>
      </c>
      <c r="E2047" t="e">
        <f ca="1">_xll.FDSB("JPYUSD","FG_PRICE("&amp;B2047&amp;")")</f>
        <v>#NAME?</v>
      </c>
    </row>
    <row r="2048" spans="2:5">
      <c r="B2048" s="244">
        <f t="shared" si="73"/>
        <v>45511</v>
      </c>
      <c r="C2048" s="245" t="e">
        <f ca="1">_xll.FDS("EURUSD","FG_PRICE("&amp;B2048&amp;")")</f>
        <v>#NAME?</v>
      </c>
      <c r="D2048" t="e">
        <f ca="1">_xll.FDS("GBPUSD","FG_PRICE("&amp;B2048&amp;")")</f>
        <v>#NAME?</v>
      </c>
      <c r="E2048" t="e">
        <f ca="1">_xll.FDSB("JPYUSD","FG_PRICE("&amp;B2048&amp;")")</f>
        <v>#NAME?</v>
      </c>
    </row>
    <row r="2049" spans="2:5">
      <c r="B2049" s="244">
        <f t="shared" si="73"/>
        <v>45512</v>
      </c>
      <c r="C2049" s="245" t="e">
        <f ca="1">_xll.FDS("EURUSD","FG_PRICE("&amp;B2049&amp;")")</f>
        <v>#NAME?</v>
      </c>
      <c r="D2049" t="e">
        <f ca="1">_xll.FDS("GBPUSD","FG_PRICE("&amp;B2049&amp;")")</f>
        <v>#NAME?</v>
      </c>
      <c r="E2049" t="e">
        <f ca="1">_xll.FDSB("JPYUSD","FG_PRICE("&amp;B2049&amp;")")</f>
        <v>#NAME?</v>
      </c>
    </row>
    <row r="2050" spans="2:5">
      <c r="B2050" s="244">
        <f t="shared" si="73"/>
        <v>45513</v>
      </c>
      <c r="C2050" s="245" t="e">
        <f ca="1">_xll.FDS("EURUSD","FG_PRICE("&amp;B2050&amp;")")</f>
        <v>#NAME?</v>
      </c>
      <c r="D2050" t="e">
        <f ca="1">_xll.FDS("GBPUSD","FG_PRICE("&amp;B2050&amp;")")</f>
        <v>#NAME?</v>
      </c>
      <c r="E2050" t="e">
        <f ca="1">_xll.FDSB("JPYUSD","FG_PRICE("&amp;B2050&amp;")")</f>
        <v>#NAME?</v>
      </c>
    </row>
    <row r="2051" spans="2:5">
      <c r="B2051" s="244">
        <f t="shared" si="73"/>
        <v>45514</v>
      </c>
      <c r="C2051" s="245" t="e">
        <f ca="1">_xll.FDS("EURUSD","FG_PRICE("&amp;B2051&amp;")")</f>
        <v>#NAME?</v>
      </c>
      <c r="D2051" t="e">
        <f ca="1">_xll.FDS("GBPUSD","FG_PRICE("&amp;B2051&amp;")")</f>
        <v>#NAME?</v>
      </c>
      <c r="E2051" t="e">
        <f ca="1">_xll.FDSB("JPYUSD","FG_PRICE("&amp;B2051&amp;")")</f>
        <v>#NAME?</v>
      </c>
    </row>
    <row r="2052" spans="2:5">
      <c r="B2052" s="244">
        <f t="shared" si="73"/>
        <v>45515</v>
      </c>
      <c r="C2052" s="245" t="e">
        <f ca="1">_xll.FDS("EURUSD","FG_PRICE("&amp;B2052&amp;")")</f>
        <v>#NAME?</v>
      </c>
      <c r="D2052" t="e">
        <f ca="1">_xll.FDS("GBPUSD","FG_PRICE("&amp;B2052&amp;")")</f>
        <v>#NAME?</v>
      </c>
      <c r="E2052" t="e">
        <f ca="1">_xll.FDSB("JPYUSD","FG_PRICE("&amp;B2052&amp;")")</f>
        <v>#NAME?</v>
      </c>
    </row>
    <row r="2053" spans="2:5">
      <c r="B2053" s="244">
        <f t="shared" ref="B2053:B2116" si="74">B2052+1</f>
        <v>45516</v>
      </c>
      <c r="C2053" s="245" t="e">
        <f ca="1">_xll.FDS("EURUSD","FG_PRICE("&amp;B2053&amp;")")</f>
        <v>#NAME?</v>
      </c>
      <c r="D2053" t="e">
        <f ca="1">_xll.FDS("GBPUSD","FG_PRICE("&amp;B2053&amp;")")</f>
        <v>#NAME?</v>
      </c>
      <c r="E2053" t="e">
        <f ca="1">_xll.FDSB("JPYUSD","FG_PRICE("&amp;B2053&amp;")")</f>
        <v>#NAME?</v>
      </c>
    </row>
    <row r="2054" spans="2:5">
      <c r="B2054" s="244">
        <f t="shared" si="74"/>
        <v>45517</v>
      </c>
      <c r="C2054" s="245" t="e">
        <f ca="1">_xll.FDS("EURUSD","FG_PRICE("&amp;B2054&amp;")")</f>
        <v>#NAME?</v>
      </c>
      <c r="D2054" t="e">
        <f ca="1">_xll.FDS("GBPUSD","FG_PRICE("&amp;B2054&amp;")")</f>
        <v>#NAME?</v>
      </c>
      <c r="E2054" t="e">
        <f ca="1">_xll.FDSB("JPYUSD","FG_PRICE("&amp;B2054&amp;")")</f>
        <v>#NAME?</v>
      </c>
    </row>
    <row r="2055" spans="2:5">
      <c r="B2055" s="244">
        <f t="shared" si="74"/>
        <v>45518</v>
      </c>
      <c r="C2055" s="245" t="e">
        <f ca="1">_xll.FDS("EURUSD","FG_PRICE("&amp;B2055&amp;")")</f>
        <v>#NAME?</v>
      </c>
      <c r="D2055" t="e">
        <f ca="1">_xll.FDS("GBPUSD","FG_PRICE("&amp;B2055&amp;")")</f>
        <v>#NAME?</v>
      </c>
      <c r="E2055" t="e">
        <f ca="1">_xll.FDSB("JPYUSD","FG_PRICE("&amp;B2055&amp;")")</f>
        <v>#NAME?</v>
      </c>
    </row>
    <row r="2056" spans="2:5">
      <c r="B2056" s="244">
        <f t="shared" si="74"/>
        <v>45519</v>
      </c>
      <c r="C2056" s="245" t="e">
        <f ca="1">_xll.FDS("EURUSD","FG_PRICE("&amp;B2056&amp;")")</f>
        <v>#NAME?</v>
      </c>
      <c r="D2056" t="e">
        <f ca="1">_xll.FDS("GBPUSD","FG_PRICE("&amp;B2056&amp;")")</f>
        <v>#NAME?</v>
      </c>
      <c r="E2056" t="e">
        <f ca="1">_xll.FDSB("JPYUSD","FG_PRICE("&amp;B2056&amp;")")</f>
        <v>#NAME?</v>
      </c>
    </row>
    <row r="2057" spans="2:5">
      <c r="B2057" s="244">
        <f t="shared" si="74"/>
        <v>45520</v>
      </c>
      <c r="C2057" s="245" t="e">
        <f ca="1">_xll.FDS("EURUSD","FG_PRICE("&amp;B2057&amp;")")</f>
        <v>#NAME?</v>
      </c>
      <c r="D2057" t="e">
        <f ca="1">_xll.FDS("GBPUSD","FG_PRICE("&amp;B2057&amp;")")</f>
        <v>#NAME?</v>
      </c>
      <c r="E2057" t="e">
        <f ca="1">_xll.FDSB("JPYUSD","FG_PRICE("&amp;B2057&amp;")")</f>
        <v>#NAME?</v>
      </c>
    </row>
    <row r="2058" spans="2:5">
      <c r="B2058" s="244">
        <f t="shared" si="74"/>
        <v>45521</v>
      </c>
      <c r="C2058" s="245" t="e">
        <f ca="1">_xll.FDS("EURUSD","FG_PRICE("&amp;B2058&amp;")")</f>
        <v>#NAME?</v>
      </c>
      <c r="D2058" t="e">
        <f ca="1">_xll.FDS("GBPUSD","FG_PRICE("&amp;B2058&amp;")")</f>
        <v>#NAME?</v>
      </c>
      <c r="E2058" t="e">
        <f ca="1">_xll.FDSB("JPYUSD","FG_PRICE("&amp;B2058&amp;")")</f>
        <v>#NAME?</v>
      </c>
    </row>
    <row r="2059" spans="2:5">
      <c r="B2059" s="244">
        <f t="shared" si="74"/>
        <v>45522</v>
      </c>
      <c r="C2059" s="245" t="e">
        <f ca="1">_xll.FDS("EURUSD","FG_PRICE("&amp;B2059&amp;")")</f>
        <v>#NAME?</v>
      </c>
      <c r="D2059" t="e">
        <f ca="1">_xll.FDS("GBPUSD","FG_PRICE("&amp;B2059&amp;")")</f>
        <v>#NAME?</v>
      </c>
      <c r="E2059" t="e">
        <f ca="1">_xll.FDSB("JPYUSD","FG_PRICE("&amp;B2059&amp;")")</f>
        <v>#NAME?</v>
      </c>
    </row>
    <row r="2060" spans="2:5">
      <c r="B2060" s="244">
        <f t="shared" si="74"/>
        <v>45523</v>
      </c>
      <c r="C2060" s="245" t="e">
        <f ca="1">_xll.FDS("EURUSD","FG_PRICE("&amp;B2060&amp;")")</f>
        <v>#NAME?</v>
      </c>
      <c r="D2060" t="e">
        <f ca="1">_xll.FDS("GBPUSD","FG_PRICE("&amp;B2060&amp;")")</f>
        <v>#NAME?</v>
      </c>
      <c r="E2060" t="e">
        <f ca="1">_xll.FDSB("JPYUSD","FG_PRICE("&amp;B2060&amp;")")</f>
        <v>#NAME?</v>
      </c>
    </row>
    <row r="2061" spans="2:5">
      <c r="B2061" s="244">
        <f t="shared" si="74"/>
        <v>45524</v>
      </c>
      <c r="C2061" s="245" t="e">
        <f ca="1">_xll.FDS("EURUSD","FG_PRICE("&amp;B2061&amp;")")</f>
        <v>#NAME?</v>
      </c>
      <c r="D2061" t="e">
        <f ca="1">_xll.FDS("GBPUSD","FG_PRICE("&amp;B2061&amp;")")</f>
        <v>#NAME?</v>
      </c>
      <c r="E2061" t="e">
        <f ca="1">_xll.FDSB("JPYUSD","FG_PRICE("&amp;B2061&amp;")")</f>
        <v>#NAME?</v>
      </c>
    </row>
    <row r="2062" spans="2:5">
      <c r="B2062" s="244">
        <f t="shared" si="74"/>
        <v>45525</v>
      </c>
      <c r="C2062" s="245" t="e">
        <f ca="1">_xll.FDS("EURUSD","FG_PRICE("&amp;B2062&amp;")")</f>
        <v>#NAME?</v>
      </c>
      <c r="D2062" t="e">
        <f ca="1">_xll.FDS("GBPUSD","FG_PRICE("&amp;B2062&amp;")")</f>
        <v>#NAME?</v>
      </c>
      <c r="E2062" t="e">
        <f ca="1">_xll.FDSB("JPYUSD","FG_PRICE("&amp;B2062&amp;")")</f>
        <v>#NAME?</v>
      </c>
    </row>
    <row r="2063" spans="2:5">
      <c r="B2063" s="244">
        <f t="shared" si="74"/>
        <v>45526</v>
      </c>
      <c r="C2063" s="245" t="e">
        <f ca="1">_xll.FDS("EURUSD","FG_PRICE("&amp;B2063&amp;")")</f>
        <v>#NAME?</v>
      </c>
      <c r="D2063" t="e">
        <f ca="1">_xll.FDS("GBPUSD","FG_PRICE("&amp;B2063&amp;")")</f>
        <v>#NAME?</v>
      </c>
      <c r="E2063" t="e">
        <f ca="1">_xll.FDSB("JPYUSD","FG_PRICE("&amp;B2063&amp;")")</f>
        <v>#NAME?</v>
      </c>
    </row>
    <row r="2064" spans="2:5">
      <c r="B2064" s="244">
        <f t="shared" si="74"/>
        <v>45527</v>
      </c>
      <c r="C2064" s="245" t="e">
        <f ca="1">_xll.FDS("EURUSD","FG_PRICE("&amp;B2064&amp;")")</f>
        <v>#NAME?</v>
      </c>
      <c r="D2064" t="e">
        <f ca="1">_xll.FDS("GBPUSD","FG_PRICE("&amp;B2064&amp;")")</f>
        <v>#NAME?</v>
      </c>
      <c r="E2064" t="e">
        <f ca="1">_xll.FDSB("JPYUSD","FG_PRICE("&amp;B2064&amp;")")</f>
        <v>#NAME?</v>
      </c>
    </row>
    <row r="2065" spans="2:5">
      <c r="B2065" s="244">
        <f t="shared" si="74"/>
        <v>45528</v>
      </c>
      <c r="C2065" s="245" t="e">
        <f ca="1">_xll.FDS("EURUSD","FG_PRICE("&amp;B2065&amp;")")</f>
        <v>#NAME?</v>
      </c>
      <c r="D2065" t="e">
        <f ca="1">_xll.FDS("GBPUSD","FG_PRICE("&amp;B2065&amp;")")</f>
        <v>#NAME?</v>
      </c>
      <c r="E2065" t="e">
        <f ca="1">_xll.FDSB("JPYUSD","FG_PRICE("&amp;B2065&amp;")")</f>
        <v>#NAME?</v>
      </c>
    </row>
    <row r="2066" spans="2:5">
      <c r="B2066" s="244">
        <f t="shared" si="74"/>
        <v>45529</v>
      </c>
      <c r="C2066" s="245" t="e">
        <f ca="1">_xll.FDS("EURUSD","FG_PRICE("&amp;B2066&amp;")")</f>
        <v>#NAME?</v>
      </c>
      <c r="D2066" t="e">
        <f ca="1">_xll.FDS("GBPUSD","FG_PRICE("&amp;B2066&amp;")")</f>
        <v>#NAME?</v>
      </c>
      <c r="E2066" t="e">
        <f ca="1">_xll.FDSB("JPYUSD","FG_PRICE("&amp;B2066&amp;")")</f>
        <v>#NAME?</v>
      </c>
    </row>
    <row r="2067" spans="2:5">
      <c r="B2067" s="244">
        <f t="shared" si="74"/>
        <v>45530</v>
      </c>
      <c r="C2067" s="245" t="e">
        <f ca="1">_xll.FDS("EURUSD","FG_PRICE("&amp;B2067&amp;")")</f>
        <v>#NAME?</v>
      </c>
      <c r="D2067" t="e">
        <f ca="1">_xll.FDS("GBPUSD","FG_PRICE("&amp;B2067&amp;")")</f>
        <v>#NAME?</v>
      </c>
      <c r="E2067" t="e">
        <f ca="1">_xll.FDSB("JPYUSD","FG_PRICE("&amp;B2067&amp;")")</f>
        <v>#NAME?</v>
      </c>
    </row>
    <row r="2068" spans="2:5">
      <c r="B2068" s="244">
        <f t="shared" si="74"/>
        <v>45531</v>
      </c>
      <c r="C2068" s="245" t="e">
        <f ca="1">_xll.FDS("EURUSD","FG_PRICE("&amp;B2068&amp;")")</f>
        <v>#NAME?</v>
      </c>
      <c r="D2068" t="e">
        <f ca="1">_xll.FDS("GBPUSD","FG_PRICE("&amp;B2068&amp;")")</f>
        <v>#NAME?</v>
      </c>
      <c r="E2068" t="e">
        <f ca="1">_xll.FDSB("JPYUSD","FG_PRICE("&amp;B2068&amp;")")</f>
        <v>#NAME?</v>
      </c>
    </row>
    <row r="2069" spans="2:5">
      <c r="B2069" s="244">
        <f t="shared" si="74"/>
        <v>45532</v>
      </c>
      <c r="C2069" s="245" t="e">
        <f ca="1">_xll.FDS("EURUSD","FG_PRICE("&amp;B2069&amp;")")</f>
        <v>#NAME?</v>
      </c>
      <c r="D2069" t="e">
        <f ca="1">_xll.FDS("GBPUSD","FG_PRICE("&amp;B2069&amp;")")</f>
        <v>#NAME?</v>
      </c>
      <c r="E2069" t="e">
        <f ca="1">_xll.FDSB("JPYUSD","FG_PRICE("&amp;B2069&amp;")")</f>
        <v>#NAME?</v>
      </c>
    </row>
    <row r="2070" spans="2:5">
      <c r="B2070" s="244">
        <f t="shared" si="74"/>
        <v>45533</v>
      </c>
      <c r="C2070" s="245" t="e">
        <f ca="1">_xll.FDS("EURUSD","FG_PRICE("&amp;B2070&amp;")")</f>
        <v>#NAME?</v>
      </c>
      <c r="D2070" t="e">
        <f ca="1">_xll.FDS("GBPUSD","FG_PRICE("&amp;B2070&amp;")")</f>
        <v>#NAME?</v>
      </c>
      <c r="E2070" t="e">
        <f ca="1">_xll.FDSB("JPYUSD","FG_PRICE("&amp;B2070&amp;")")</f>
        <v>#NAME?</v>
      </c>
    </row>
    <row r="2071" spans="2:5">
      <c r="B2071" s="244">
        <f t="shared" si="74"/>
        <v>45534</v>
      </c>
      <c r="C2071" s="245" t="e">
        <f ca="1">_xll.FDS("EURUSD","FG_PRICE("&amp;B2071&amp;")")</f>
        <v>#NAME?</v>
      </c>
      <c r="D2071" t="e">
        <f ca="1">_xll.FDS("GBPUSD","FG_PRICE("&amp;B2071&amp;")")</f>
        <v>#NAME?</v>
      </c>
      <c r="E2071" t="e">
        <f ca="1">_xll.FDSB("JPYUSD","FG_PRICE("&amp;B2071&amp;")")</f>
        <v>#NAME?</v>
      </c>
    </row>
    <row r="2072" spans="2:5">
      <c r="B2072" s="244">
        <f t="shared" si="74"/>
        <v>45535</v>
      </c>
      <c r="C2072" s="245" t="e">
        <f ca="1">_xll.FDS("EURUSD","FG_PRICE("&amp;B2072&amp;")")</f>
        <v>#NAME?</v>
      </c>
      <c r="D2072" t="e">
        <f ca="1">_xll.FDS("GBPUSD","FG_PRICE("&amp;B2072&amp;")")</f>
        <v>#NAME?</v>
      </c>
      <c r="E2072" t="e">
        <f ca="1">_xll.FDSB("JPYUSD","FG_PRICE("&amp;B2072&amp;")")</f>
        <v>#NAME?</v>
      </c>
    </row>
    <row r="2073" spans="2:5">
      <c r="B2073" s="244">
        <f t="shared" si="74"/>
        <v>45536</v>
      </c>
      <c r="C2073" s="245" t="e">
        <f ca="1">_xll.FDS("EURUSD","FG_PRICE("&amp;B2073&amp;")")</f>
        <v>#NAME?</v>
      </c>
      <c r="D2073" t="e">
        <f ca="1">_xll.FDS("GBPUSD","FG_PRICE("&amp;B2073&amp;")")</f>
        <v>#NAME?</v>
      </c>
      <c r="E2073" t="e">
        <f ca="1">_xll.FDSB("JPYUSD","FG_PRICE("&amp;B2073&amp;")")</f>
        <v>#NAME?</v>
      </c>
    </row>
    <row r="2074" spans="2:5">
      <c r="B2074" s="244">
        <f t="shared" si="74"/>
        <v>45537</v>
      </c>
      <c r="C2074" s="245" t="e">
        <f ca="1">_xll.FDS("EURUSD","FG_PRICE("&amp;B2074&amp;")")</f>
        <v>#NAME?</v>
      </c>
      <c r="D2074" t="e">
        <f ca="1">_xll.FDS("GBPUSD","FG_PRICE("&amp;B2074&amp;")")</f>
        <v>#NAME?</v>
      </c>
      <c r="E2074" t="e">
        <f ca="1">_xll.FDSB("JPYUSD","FG_PRICE("&amp;B2074&amp;")")</f>
        <v>#NAME?</v>
      </c>
    </row>
    <row r="2075" spans="2:5">
      <c r="B2075" s="244">
        <f t="shared" si="74"/>
        <v>45538</v>
      </c>
      <c r="C2075" s="245" t="e">
        <f ca="1">_xll.FDS("EURUSD","FG_PRICE("&amp;B2075&amp;")")</f>
        <v>#NAME?</v>
      </c>
      <c r="D2075" t="e">
        <f ca="1">_xll.FDS("GBPUSD","FG_PRICE("&amp;B2075&amp;")")</f>
        <v>#NAME?</v>
      </c>
      <c r="E2075" t="e">
        <f ca="1">_xll.FDSB("JPYUSD","FG_PRICE("&amp;B2075&amp;")")</f>
        <v>#NAME?</v>
      </c>
    </row>
    <row r="2076" spans="2:5">
      <c r="B2076" s="244">
        <f t="shared" si="74"/>
        <v>45539</v>
      </c>
      <c r="C2076" s="245" t="e">
        <f ca="1">_xll.FDS("EURUSD","FG_PRICE("&amp;B2076&amp;")")</f>
        <v>#NAME?</v>
      </c>
      <c r="D2076" t="e">
        <f ca="1">_xll.FDS("GBPUSD","FG_PRICE("&amp;B2076&amp;")")</f>
        <v>#NAME?</v>
      </c>
      <c r="E2076" t="e">
        <f ca="1">_xll.FDSB("JPYUSD","FG_PRICE("&amp;B2076&amp;")")</f>
        <v>#NAME?</v>
      </c>
    </row>
    <row r="2077" spans="2:5">
      <c r="B2077" s="244">
        <f t="shared" si="74"/>
        <v>45540</v>
      </c>
      <c r="C2077" s="245" t="e">
        <f ca="1">_xll.FDS("EURUSD","FG_PRICE("&amp;B2077&amp;")")</f>
        <v>#NAME?</v>
      </c>
      <c r="D2077" t="e">
        <f ca="1">_xll.FDS("GBPUSD","FG_PRICE("&amp;B2077&amp;")")</f>
        <v>#NAME?</v>
      </c>
      <c r="E2077" t="e">
        <f ca="1">_xll.FDSB("JPYUSD","FG_PRICE("&amp;B2077&amp;")")</f>
        <v>#NAME?</v>
      </c>
    </row>
    <row r="2078" spans="2:5">
      <c r="B2078" s="244">
        <f t="shared" si="74"/>
        <v>45541</v>
      </c>
      <c r="C2078" s="245" t="e">
        <f ca="1">_xll.FDS("EURUSD","FG_PRICE("&amp;B2078&amp;")")</f>
        <v>#NAME?</v>
      </c>
      <c r="D2078" t="e">
        <f ca="1">_xll.FDS("GBPUSD","FG_PRICE("&amp;B2078&amp;")")</f>
        <v>#NAME?</v>
      </c>
      <c r="E2078" t="e">
        <f ca="1">_xll.FDSB("JPYUSD","FG_PRICE("&amp;B2078&amp;")")</f>
        <v>#NAME?</v>
      </c>
    </row>
    <row r="2079" spans="2:5">
      <c r="B2079" s="244">
        <f t="shared" si="74"/>
        <v>45542</v>
      </c>
      <c r="C2079" s="245" t="e">
        <f ca="1">_xll.FDS("EURUSD","FG_PRICE("&amp;B2079&amp;")")</f>
        <v>#NAME?</v>
      </c>
      <c r="D2079" t="e">
        <f ca="1">_xll.FDS("GBPUSD","FG_PRICE("&amp;B2079&amp;")")</f>
        <v>#NAME?</v>
      </c>
      <c r="E2079" t="e">
        <f ca="1">_xll.FDSB("JPYUSD","FG_PRICE("&amp;B2079&amp;")")</f>
        <v>#NAME?</v>
      </c>
    </row>
    <row r="2080" spans="2:5">
      <c r="B2080" s="244">
        <f t="shared" si="74"/>
        <v>45543</v>
      </c>
      <c r="C2080" s="245" t="e">
        <f ca="1">_xll.FDS("EURUSD","FG_PRICE("&amp;B2080&amp;")")</f>
        <v>#NAME?</v>
      </c>
      <c r="D2080" t="e">
        <f ca="1">_xll.FDS("GBPUSD","FG_PRICE("&amp;B2080&amp;")")</f>
        <v>#NAME?</v>
      </c>
      <c r="E2080" t="e">
        <f ca="1">_xll.FDSB("JPYUSD","FG_PRICE("&amp;B2080&amp;")")</f>
        <v>#NAME?</v>
      </c>
    </row>
    <row r="2081" spans="2:5">
      <c r="B2081" s="244">
        <f t="shared" si="74"/>
        <v>45544</v>
      </c>
      <c r="C2081" s="245" t="e">
        <f ca="1">_xll.FDS("EURUSD","FG_PRICE("&amp;B2081&amp;")")</f>
        <v>#NAME?</v>
      </c>
      <c r="D2081" t="e">
        <f ca="1">_xll.FDS("GBPUSD","FG_PRICE("&amp;B2081&amp;")")</f>
        <v>#NAME?</v>
      </c>
      <c r="E2081" t="e">
        <f ca="1">_xll.FDSB("JPYUSD","FG_PRICE("&amp;B2081&amp;")")</f>
        <v>#NAME?</v>
      </c>
    </row>
    <row r="2082" spans="2:5">
      <c r="B2082" s="244">
        <f t="shared" si="74"/>
        <v>45545</v>
      </c>
      <c r="C2082" s="245" t="e">
        <f ca="1">_xll.FDS("EURUSD","FG_PRICE("&amp;B2082&amp;")")</f>
        <v>#NAME?</v>
      </c>
      <c r="D2082" t="e">
        <f ca="1">_xll.FDS("GBPUSD","FG_PRICE("&amp;B2082&amp;")")</f>
        <v>#NAME?</v>
      </c>
      <c r="E2082" t="e">
        <f ca="1">_xll.FDSB("JPYUSD","FG_PRICE("&amp;B2082&amp;")")</f>
        <v>#NAME?</v>
      </c>
    </row>
    <row r="2083" spans="2:5">
      <c r="B2083" s="244">
        <f t="shared" si="74"/>
        <v>45546</v>
      </c>
      <c r="C2083" s="245" t="e">
        <f ca="1">_xll.FDS("EURUSD","FG_PRICE("&amp;B2083&amp;")")</f>
        <v>#NAME?</v>
      </c>
      <c r="D2083" t="e">
        <f ca="1">_xll.FDS("GBPUSD","FG_PRICE("&amp;B2083&amp;")")</f>
        <v>#NAME?</v>
      </c>
      <c r="E2083" t="e">
        <f ca="1">_xll.FDSB("JPYUSD","FG_PRICE("&amp;B2083&amp;")")</f>
        <v>#NAME?</v>
      </c>
    </row>
    <row r="2084" spans="2:5">
      <c r="B2084" s="244">
        <f t="shared" si="74"/>
        <v>45547</v>
      </c>
      <c r="C2084" s="245" t="e">
        <f ca="1">_xll.FDS("EURUSD","FG_PRICE("&amp;B2084&amp;")")</f>
        <v>#NAME?</v>
      </c>
      <c r="D2084" t="e">
        <f ca="1">_xll.FDS("GBPUSD","FG_PRICE("&amp;B2084&amp;")")</f>
        <v>#NAME?</v>
      </c>
      <c r="E2084" t="e">
        <f ca="1">_xll.FDSB("JPYUSD","FG_PRICE("&amp;B2084&amp;")")</f>
        <v>#NAME?</v>
      </c>
    </row>
    <row r="2085" spans="2:5">
      <c r="B2085" s="244">
        <f t="shared" si="74"/>
        <v>45548</v>
      </c>
      <c r="C2085" s="245" t="e">
        <f ca="1">_xll.FDS("EURUSD","FG_PRICE("&amp;B2085&amp;")")</f>
        <v>#NAME?</v>
      </c>
      <c r="D2085" t="e">
        <f ca="1">_xll.FDS("GBPUSD","FG_PRICE("&amp;B2085&amp;")")</f>
        <v>#NAME?</v>
      </c>
      <c r="E2085" t="e">
        <f ca="1">_xll.FDSB("JPYUSD","FG_PRICE("&amp;B2085&amp;")")</f>
        <v>#NAME?</v>
      </c>
    </row>
    <row r="2086" spans="2:5">
      <c r="B2086" s="244">
        <f t="shared" si="74"/>
        <v>45549</v>
      </c>
      <c r="C2086" s="245" t="e">
        <f ca="1">_xll.FDS("EURUSD","FG_PRICE("&amp;B2086&amp;")")</f>
        <v>#NAME?</v>
      </c>
      <c r="D2086" t="e">
        <f ca="1">_xll.FDS("GBPUSD","FG_PRICE("&amp;B2086&amp;")")</f>
        <v>#NAME?</v>
      </c>
      <c r="E2086" t="e">
        <f ca="1">_xll.FDSB("JPYUSD","FG_PRICE("&amp;B2086&amp;")")</f>
        <v>#NAME?</v>
      </c>
    </row>
    <row r="2087" spans="2:5">
      <c r="B2087" s="244">
        <f t="shared" si="74"/>
        <v>45550</v>
      </c>
      <c r="C2087" s="245" t="e">
        <f ca="1">_xll.FDS("EURUSD","FG_PRICE("&amp;B2087&amp;")")</f>
        <v>#NAME?</v>
      </c>
      <c r="D2087" t="e">
        <f ca="1">_xll.FDS("GBPUSD","FG_PRICE("&amp;B2087&amp;")")</f>
        <v>#NAME?</v>
      </c>
      <c r="E2087" t="e">
        <f ca="1">_xll.FDSB("JPYUSD","FG_PRICE("&amp;B2087&amp;")")</f>
        <v>#NAME?</v>
      </c>
    </row>
    <row r="2088" spans="2:5">
      <c r="B2088" s="244">
        <f t="shared" si="74"/>
        <v>45551</v>
      </c>
      <c r="C2088" s="245" t="e">
        <f ca="1">_xll.FDS("EURUSD","FG_PRICE("&amp;B2088&amp;")")</f>
        <v>#NAME?</v>
      </c>
      <c r="D2088" t="e">
        <f ca="1">_xll.FDS("GBPUSD","FG_PRICE("&amp;B2088&amp;")")</f>
        <v>#NAME?</v>
      </c>
      <c r="E2088" t="e">
        <f ca="1">_xll.FDSB("JPYUSD","FG_PRICE("&amp;B2088&amp;")")</f>
        <v>#NAME?</v>
      </c>
    </row>
    <row r="2089" spans="2:5">
      <c r="B2089" s="244">
        <f t="shared" si="74"/>
        <v>45552</v>
      </c>
      <c r="C2089" s="245" t="e">
        <f ca="1">_xll.FDS("EURUSD","FG_PRICE("&amp;B2089&amp;")")</f>
        <v>#NAME?</v>
      </c>
      <c r="D2089" t="e">
        <f ca="1">_xll.FDS("GBPUSD","FG_PRICE("&amp;B2089&amp;")")</f>
        <v>#NAME?</v>
      </c>
      <c r="E2089" t="e">
        <f ca="1">_xll.FDSB("JPYUSD","FG_PRICE("&amp;B2089&amp;")")</f>
        <v>#NAME?</v>
      </c>
    </row>
    <row r="2090" spans="2:5">
      <c r="B2090" s="244">
        <f t="shared" si="74"/>
        <v>45553</v>
      </c>
      <c r="C2090" s="245" t="e">
        <f ca="1">_xll.FDS("EURUSD","FG_PRICE("&amp;B2090&amp;")")</f>
        <v>#NAME?</v>
      </c>
      <c r="D2090" t="e">
        <f ca="1">_xll.FDS("GBPUSD","FG_PRICE("&amp;B2090&amp;")")</f>
        <v>#NAME?</v>
      </c>
      <c r="E2090" t="e">
        <f ca="1">_xll.FDSB("JPYUSD","FG_PRICE("&amp;B2090&amp;")")</f>
        <v>#NAME?</v>
      </c>
    </row>
    <row r="2091" spans="2:5">
      <c r="B2091" s="244">
        <f t="shared" si="74"/>
        <v>45554</v>
      </c>
      <c r="C2091" s="245" t="e">
        <f ca="1">_xll.FDS("EURUSD","FG_PRICE("&amp;B2091&amp;")")</f>
        <v>#NAME?</v>
      </c>
      <c r="D2091" t="e">
        <f ca="1">_xll.FDS("GBPUSD","FG_PRICE("&amp;B2091&amp;")")</f>
        <v>#NAME?</v>
      </c>
      <c r="E2091" t="e">
        <f ca="1">_xll.FDSB("JPYUSD","FG_PRICE("&amp;B2091&amp;")")</f>
        <v>#NAME?</v>
      </c>
    </row>
    <row r="2092" spans="2:5">
      <c r="B2092" s="244">
        <f t="shared" si="74"/>
        <v>45555</v>
      </c>
      <c r="C2092" s="245" t="e">
        <f ca="1">_xll.FDS("EURUSD","FG_PRICE("&amp;B2092&amp;")")</f>
        <v>#NAME?</v>
      </c>
      <c r="D2092" t="e">
        <f ca="1">_xll.FDS("GBPUSD","FG_PRICE("&amp;B2092&amp;")")</f>
        <v>#NAME?</v>
      </c>
      <c r="E2092" t="e">
        <f ca="1">_xll.FDSB("JPYUSD","FG_PRICE("&amp;B2092&amp;")")</f>
        <v>#NAME?</v>
      </c>
    </row>
    <row r="2093" spans="2:5">
      <c r="B2093" s="244">
        <f t="shared" si="74"/>
        <v>45556</v>
      </c>
      <c r="C2093" s="245" t="e">
        <f ca="1">_xll.FDS("EURUSD","FG_PRICE("&amp;B2093&amp;")")</f>
        <v>#NAME?</v>
      </c>
      <c r="D2093" t="e">
        <f ca="1">_xll.FDS("GBPUSD","FG_PRICE("&amp;B2093&amp;")")</f>
        <v>#NAME?</v>
      </c>
      <c r="E2093" t="e">
        <f ca="1">_xll.FDSB("JPYUSD","FG_PRICE("&amp;B2093&amp;")")</f>
        <v>#NAME?</v>
      </c>
    </row>
    <row r="2094" spans="2:5">
      <c r="B2094" s="244">
        <f t="shared" si="74"/>
        <v>45557</v>
      </c>
      <c r="C2094" s="245" t="e">
        <f ca="1">_xll.FDS("EURUSD","FG_PRICE("&amp;B2094&amp;")")</f>
        <v>#NAME?</v>
      </c>
      <c r="D2094" t="e">
        <f ca="1">_xll.FDS("GBPUSD","FG_PRICE("&amp;B2094&amp;")")</f>
        <v>#NAME?</v>
      </c>
      <c r="E2094" t="e">
        <f ca="1">_xll.FDSB("JPYUSD","FG_PRICE("&amp;B2094&amp;")")</f>
        <v>#NAME?</v>
      </c>
    </row>
    <row r="2095" spans="2:5">
      <c r="B2095" s="244">
        <f t="shared" si="74"/>
        <v>45558</v>
      </c>
      <c r="C2095" s="245" t="e">
        <f ca="1">_xll.FDS("EURUSD","FG_PRICE("&amp;B2095&amp;")")</f>
        <v>#NAME?</v>
      </c>
      <c r="D2095" t="e">
        <f ca="1">_xll.FDS("GBPUSD","FG_PRICE("&amp;B2095&amp;")")</f>
        <v>#NAME?</v>
      </c>
      <c r="E2095" t="e">
        <f ca="1">_xll.FDSB("JPYUSD","FG_PRICE("&amp;B2095&amp;")")</f>
        <v>#NAME?</v>
      </c>
    </row>
    <row r="2096" spans="2:5">
      <c r="B2096" s="244">
        <f t="shared" si="74"/>
        <v>45559</v>
      </c>
      <c r="C2096" s="245" t="e">
        <f ca="1">_xll.FDS("EURUSD","FG_PRICE("&amp;B2096&amp;")")</f>
        <v>#NAME?</v>
      </c>
      <c r="D2096" t="e">
        <f ca="1">_xll.FDS("GBPUSD","FG_PRICE("&amp;B2096&amp;")")</f>
        <v>#NAME?</v>
      </c>
      <c r="E2096" t="e">
        <f ca="1">_xll.FDSB("JPYUSD","FG_PRICE("&amp;B2096&amp;")")</f>
        <v>#NAME?</v>
      </c>
    </row>
    <row r="2097" spans="2:5">
      <c r="B2097" s="244">
        <f t="shared" si="74"/>
        <v>45560</v>
      </c>
      <c r="C2097" s="245" t="e">
        <f ca="1">_xll.FDS("EURUSD","FG_PRICE("&amp;B2097&amp;")")</f>
        <v>#NAME?</v>
      </c>
      <c r="D2097" t="e">
        <f ca="1">_xll.FDS("GBPUSD","FG_PRICE("&amp;B2097&amp;")")</f>
        <v>#NAME?</v>
      </c>
      <c r="E2097" t="e">
        <f ca="1">_xll.FDSB("JPYUSD","FG_PRICE("&amp;B2097&amp;")")</f>
        <v>#NAME?</v>
      </c>
    </row>
    <row r="2098" spans="2:5">
      <c r="B2098" s="244">
        <f t="shared" si="74"/>
        <v>45561</v>
      </c>
      <c r="C2098" s="245" t="e">
        <f ca="1">_xll.FDS("EURUSD","FG_PRICE("&amp;B2098&amp;")")</f>
        <v>#NAME?</v>
      </c>
      <c r="D2098" t="e">
        <f ca="1">_xll.FDS("GBPUSD","FG_PRICE("&amp;B2098&amp;")")</f>
        <v>#NAME?</v>
      </c>
      <c r="E2098" t="e">
        <f ca="1">_xll.FDSB("JPYUSD","FG_PRICE("&amp;B2098&amp;")")</f>
        <v>#NAME?</v>
      </c>
    </row>
    <row r="2099" spans="2:5">
      <c r="B2099" s="244">
        <f t="shared" si="74"/>
        <v>45562</v>
      </c>
      <c r="C2099" s="245" t="e">
        <f ca="1">_xll.FDS("EURUSD","FG_PRICE("&amp;B2099&amp;")")</f>
        <v>#NAME?</v>
      </c>
      <c r="D2099" t="e">
        <f ca="1">_xll.FDS("GBPUSD","FG_PRICE("&amp;B2099&amp;")")</f>
        <v>#NAME?</v>
      </c>
      <c r="E2099" t="e">
        <f ca="1">_xll.FDSB("JPYUSD","FG_PRICE("&amp;B2099&amp;")")</f>
        <v>#NAME?</v>
      </c>
    </row>
    <row r="2100" spans="2:5">
      <c r="B2100" s="244">
        <f t="shared" si="74"/>
        <v>45563</v>
      </c>
      <c r="C2100" s="245" t="e">
        <f ca="1">_xll.FDS("EURUSD","FG_PRICE("&amp;B2100&amp;")")</f>
        <v>#NAME?</v>
      </c>
      <c r="D2100" t="e">
        <f ca="1">_xll.FDS("GBPUSD","FG_PRICE("&amp;B2100&amp;")")</f>
        <v>#NAME?</v>
      </c>
      <c r="E2100" t="e">
        <f ca="1">_xll.FDSB("JPYUSD","FG_PRICE("&amp;B2100&amp;")")</f>
        <v>#NAME?</v>
      </c>
    </row>
    <row r="2101" spans="2:5">
      <c r="B2101" s="244">
        <f t="shared" si="74"/>
        <v>45564</v>
      </c>
      <c r="C2101" s="245" t="e">
        <f ca="1">_xll.FDS("EURUSD","FG_PRICE("&amp;B2101&amp;")")</f>
        <v>#NAME?</v>
      </c>
      <c r="D2101" t="e">
        <f ca="1">_xll.FDS("GBPUSD","FG_PRICE("&amp;B2101&amp;")")</f>
        <v>#NAME?</v>
      </c>
      <c r="E2101" t="e">
        <f ca="1">_xll.FDSB("JPYUSD","FG_PRICE("&amp;B2101&amp;")")</f>
        <v>#NAME?</v>
      </c>
    </row>
    <row r="2102" spans="2:5">
      <c r="B2102" s="244">
        <f t="shared" si="74"/>
        <v>45565</v>
      </c>
      <c r="C2102" s="245" t="e">
        <f ca="1">_xll.FDS("EURUSD","FG_PRICE("&amp;B2102&amp;")")</f>
        <v>#NAME?</v>
      </c>
      <c r="D2102" t="e">
        <f ca="1">_xll.FDS("GBPUSD","FG_PRICE("&amp;B2102&amp;")")</f>
        <v>#NAME?</v>
      </c>
      <c r="E2102" t="e">
        <f ca="1">_xll.FDSB("JPYUSD","FG_PRICE("&amp;B2102&amp;")")</f>
        <v>#NAME?</v>
      </c>
    </row>
    <row r="2103" spans="2:5">
      <c r="B2103" s="244">
        <f t="shared" si="74"/>
        <v>45566</v>
      </c>
      <c r="C2103" s="245" t="e">
        <f ca="1">_xll.FDS("EURUSD","FG_PRICE("&amp;B2103&amp;")")</f>
        <v>#NAME?</v>
      </c>
      <c r="D2103" t="e">
        <f ca="1">_xll.FDS("GBPUSD","FG_PRICE("&amp;B2103&amp;")")</f>
        <v>#NAME?</v>
      </c>
      <c r="E2103" t="e">
        <f ca="1">_xll.FDSB("JPYUSD","FG_PRICE("&amp;B2103&amp;")")</f>
        <v>#NAME?</v>
      </c>
    </row>
    <row r="2104" spans="2:5">
      <c r="B2104" s="244">
        <f t="shared" si="74"/>
        <v>45567</v>
      </c>
      <c r="C2104" s="245" t="e">
        <f ca="1">_xll.FDS("EURUSD","FG_PRICE("&amp;B2104&amp;")")</f>
        <v>#NAME?</v>
      </c>
      <c r="D2104" t="e">
        <f ca="1">_xll.FDS("GBPUSD","FG_PRICE("&amp;B2104&amp;")")</f>
        <v>#NAME?</v>
      </c>
      <c r="E2104" t="e">
        <f ca="1">_xll.FDSB("JPYUSD","FG_PRICE("&amp;B2104&amp;")")</f>
        <v>#NAME?</v>
      </c>
    </row>
    <row r="2105" spans="2:5">
      <c r="B2105" s="244">
        <f t="shared" si="74"/>
        <v>45568</v>
      </c>
      <c r="C2105" s="245" t="e">
        <f ca="1">_xll.FDS("EURUSD","FG_PRICE("&amp;B2105&amp;")")</f>
        <v>#NAME?</v>
      </c>
      <c r="D2105" t="e">
        <f ca="1">_xll.FDS("GBPUSD","FG_PRICE("&amp;B2105&amp;")")</f>
        <v>#NAME?</v>
      </c>
      <c r="E2105" t="e">
        <f ca="1">_xll.FDSB("JPYUSD","FG_PRICE("&amp;B2105&amp;")")</f>
        <v>#NAME?</v>
      </c>
    </row>
    <row r="2106" spans="2:5">
      <c r="B2106" s="244">
        <f t="shared" si="74"/>
        <v>45569</v>
      </c>
      <c r="C2106" s="245" t="e">
        <f ca="1">_xll.FDS("EURUSD","FG_PRICE("&amp;B2106&amp;")")</f>
        <v>#NAME?</v>
      </c>
      <c r="D2106" t="e">
        <f ca="1">_xll.FDS("GBPUSD","FG_PRICE("&amp;B2106&amp;")")</f>
        <v>#NAME?</v>
      </c>
      <c r="E2106" t="e">
        <f ca="1">_xll.FDSB("JPYUSD","FG_PRICE("&amp;B2106&amp;")")</f>
        <v>#NAME?</v>
      </c>
    </row>
    <row r="2107" spans="2:5">
      <c r="B2107" s="244">
        <f t="shared" si="74"/>
        <v>45570</v>
      </c>
      <c r="C2107" s="245" t="e">
        <f ca="1">_xll.FDS("EURUSD","FG_PRICE("&amp;B2107&amp;")")</f>
        <v>#NAME?</v>
      </c>
      <c r="D2107" t="e">
        <f ca="1">_xll.FDS("GBPUSD","FG_PRICE("&amp;B2107&amp;")")</f>
        <v>#NAME?</v>
      </c>
      <c r="E2107" t="e">
        <f ca="1">_xll.FDSB("JPYUSD","FG_PRICE("&amp;B2107&amp;")")</f>
        <v>#NAME?</v>
      </c>
    </row>
    <row r="2108" spans="2:5">
      <c r="B2108" s="244">
        <f t="shared" si="74"/>
        <v>45571</v>
      </c>
      <c r="C2108" s="245" t="e">
        <f ca="1">_xll.FDS("EURUSD","FG_PRICE("&amp;B2108&amp;")")</f>
        <v>#NAME?</v>
      </c>
      <c r="D2108" t="e">
        <f ca="1">_xll.FDS("GBPUSD","FG_PRICE("&amp;B2108&amp;")")</f>
        <v>#NAME?</v>
      </c>
      <c r="E2108" t="e">
        <f ca="1">_xll.FDSB("JPYUSD","FG_PRICE("&amp;B2108&amp;")")</f>
        <v>#NAME?</v>
      </c>
    </row>
    <row r="2109" spans="2:5">
      <c r="B2109" s="244">
        <f t="shared" si="74"/>
        <v>45572</v>
      </c>
      <c r="C2109" s="245" t="e">
        <f ca="1">_xll.FDS("EURUSD","FG_PRICE("&amp;B2109&amp;")")</f>
        <v>#NAME?</v>
      </c>
      <c r="D2109" t="e">
        <f ca="1">_xll.FDS("GBPUSD","FG_PRICE("&amp;B2109&amp;")")</f>
        <v>#NAME?</v>
      </c>
      <c r="E2109" t="e">
        <f ca="1">_xll.FDSB("JPYUSD","FG_PRICE("&amp;B2109&amp;")")</f>
        <v>#NAME?</v>
      </c>
    </row>
    <row r="2110" spans="2:5">
      <c r="B2110" s="244">
        <f t="shared" si="74"/>
        <v>45573</v>
      </c>
      <c r="C2110" s="245" t="e">
        <f ca="1">_xll.FDS("EURUSD","FG_PRICE("&amp;B2110&amp;")")</f>
        <v>#NAME?</v>
      </c>
      <c r="D2110" t="e">
        <f ca="1">_xll.FDS("GBPUSD","FG_PRICE("&amp;B2110&amp;")")</f>
        <v>#NAME?</v>
      </c>
      <c r="E2110" t="e">
        <f ca="1">_xll.FDSB("JPYUSD","FG_PRICE("&amp;B2110&amp;")")</f>
        <v>#NAME?</v>
      </c>
    </row>
    <row r="2111" spans="2:5">
      <c r="B2111" s="244">
        <f t="shared" si="74"/>
        <v>45574</v>
      </c>
      <c r="C2111" s="245"/>
      <c r="E2111" t="e">
        <f ca="1">_xll.FDSB("JPYUSD","FG_PRICE("&amp;B2111&amp;")")</f>
        <v>#NAME?</v>
      </c>
    </row>
    <row r="2112" spans="2:5">
      <c r="B2112" s="244">
        <f t="shared" si="74"/>
        <v>45575</v>
      </c>
      <c r="C2112" s="245"/>
      <c r="E2112" t="e">
        <f ca="1">_xll.FDSB("JPYUSD","FG_PRICE("&amp;B2112&amp;")")</f>
        <v>#NAME?</v>
      </c>
    </row>
    <row r="2113" spans="2:5">
      <c r="B2113" s="244">
        <f t="shared" si="74"/>
        <v>45576</v>
      </c>
      <c r="C2113" s="245"/>
      <c r="E2113" t="e">
        <f ca="1">_xll.FDSB("JPYUSD","FG_PRICE("&amp;B2113&amp;")")</f>
        <v>#NAME?</v>
      </c>
    </row>
    <row r="2114" spans="2:5">
      <c r="B2114" s="244">
        <f t="shared" si="74"/>
        <v>45577</v>
      </c>
      <c r="C2114" s="245"/>
      <c r="E2114" t="e">
        <f ca="1">_xll.FDSB("JPYUSD","FG_PRICE("&amp;B2114&amp;")")</f>
        <v>#NAME?</v>
      </c>
    </row>
    <row r="2115" spans="2:5">
      <c r="B2115" s="244">
        <f t="shared" si="74"/>
        <v>45578</v>
      </c>
      <c r="C2115" s="245"/>
      <c r="E2115" t="e">
        <f ca="1">_xll.FDSB("JPYUSD","FG_PRICE("&amp;B2115&amp;")")</f>
        <v>#NAME?</v>
      </c>
    </row>
    <row r="2116" spans="2:5">
      <c r="B2116" s="244">
        <f t="shared" si="74"/>
        <v>45579</v>
      </c>
      <c r="C2116" s="245"/>
      <c r="E2116" t="e">
        <f ca="1">_xll.FDSB("JPYUSD","FG_PRICE("&amp;B2116&amp;")")</f>
        <v>#NAME?</v>
      </c>
    </row>
    <row r="2117" spans="2:5">
      <c r="B2117" s="244">
        <f t="shared" ref="B2117:B2180" si="75">B2116+1</f>
        <v>45580</v>
      </c>
      <c r="C2117" s="245"/>
      <c r="E2117" t="e">
        <f ca="1">_xll.FDSB("JPYUSD","FG_PRICE("&amp;B2117&amp;")")</f>
        <v>#NAME?</v>
      </c>
    </row>
    <row r="2118" spans="2:5">
      <c r="B2118" s="244">
        <f t="shared" si="75"/>
        <v>45581</v>
      </c>
      <c r="C2118" s="245"/>
      <c r="E2118" t="e">
        <f ca="1">_xll.FDSB("JPYUSD","FG_PRICE("&amp;B2118&amp;")")</f>
        <v>#NAME?</v>
      </c>
    </row>
    <row r="2119" spans="2:5">
      <c r="B2119" s="244">
        <f t="shared" si="75"/>
        <v>45582</v>
      </c>
      <c r="C2119" s="245"/>
      <c r="E2119" t="e">
        <f ca="1">_xll.FDSB("JPYUSD","FG_PRICE("&amp;B2119&amp;")")</f>
        <v>#NAME?</v>
      </c>
    </row>
    <row r="2120" spans="2:5">
      <c r="B2120" s="244">
        <f t="shared" si="75"/>
        <v>45583</v>
      </c>
      <c r="C2120" s="245"/>
      <c r="E2120" t="e">
        <f ca="1">_xll.FDSB("JPYUSD","FG_PRICE("&amp;B2120&amp;")")</f>
        <v>#NAME?</v>
      </c>
    </row>
    <row r="2121" spans="2:5">
      <c r="B2121" s="244">
        <f t="shared" si="75"/>
        <v>45584</v>
      </c>
      <c r="C2121" s="245"/>
      <c r="E2121" t="e">
        <f ca="1">_xll.FDSB("JPYUSD","FG_PRICE("&amp;B2121&amp;")")</f>
        <v>#NAME?</v>
      </c>
    </row>
    <row r="2122" spans="2:5">
      <c r="B2122" s="244">
        <f t="shared" si="75"/>
        <v>45585</v>
      </c>
      <c r="C2122" s="245"/>
      <c r="E2122" t="e">
        <f ca="1">_xll.FDSB("JPYUSD","FG_PRICE("&amp;B2122&amp;")")</f>
        <v>#NAME?</v>
      </c>
    </row>
    <row r="2123" spans="2:5">
      <c r="B2123" s="244">
        <f t="shared" si="75"/>
        <v>45586</v>
      </c>
      <c r="C2123" s="245"/>
      <c r="E2123" t="e">
        <f ca="1">_xll.FDSB("JPYUSD","FG_PRICE("&amp;B2123&amp;")")</f>
        <v>#NAME?</v>
      </c>
    </row>
    <row r="2124" spans="2:5">
      <c r="B2124" s="244">
        <f t="shared" si="75"/>
        <v>45587</v>
      </c>
      <c r="C2124" s="245"/>
      <c r="E2124" t="e">
        <f ca="1">_xll.FDSB("JPYUSD","FG_PRICE("&amp;B2124&amp;")")</f>
        <v>#NAME?</v>
      </c>
    </row>
    <row r="2125" spans="2:5">
      <c r="B2125" s="244">
        <f t="shared" si="75"/>
        <v>45588</v>
      </c>
      <c r="C2125" s="245"/>
      <c r="E2125" t="e">
        <f ca="1">_xll.FDSB("JPYUSD","FG_PRICE("&amp;B2125&amp;")")</f>
        <v>#NAME?</v>
      </c>
    </row>
    <row r="2126" spans="2:5">
      <c r="B2126" s="244">
        <f t="shared" si="75"/>
        <v>45589</v>
      </c>
      <c r="C2126" s="245"/>
      <c r="E2126" t="e">
        <f ca="1">_xll.FDSB("JPYUSD","FG_PRICE("&amp;B2126&amp;")")</f>
        <v>#NAME?</v>
      </c>
    </row>
    <row r="2127" spans="2:5">
      <c r="B2127" s="244">
        <f t="shared" si="75"/>
        <v>45590</v>
      </c>
      <c r="C2127" s="245"/>
      <c r="E2127" t="e">
        <f ca="1">_xll.FDSB("JPYUSD","FG_PRICE("&amp;B2127&amp;")")</f>
        <v>#NAME?</v>
      </c>
    </row>
    <row r="2128" spans="2:5">
      <c r="B2128" s="244">
        <f t="shared" si="75"/>
        <v>45591</v>
      </c>
      <c r="C2128" s="245"/>
      <c r="E2128" t="e">
        <f ca="1">_xll.FDSB("JPYUSD","FG_PRICE("&amp;B2128&amp;")")</f>
        <v>#NAME?</v>
      </c>
    </row>
    <row r="2129" spans="2:5">
      <c r="B2129" s="244">
        <f t="shared" si="75"/>
        <v>45592</v>
      </c>
      <c r="C2129" s="245"/>
      <c r="E2129" t="e">
        <f ca="1">_xll.FDSB("JPYUSD","FG_PRICE("&amp;B2129&amp;")")</f>
        <v>#NAME?</v>
      </c>
    </row>
    <row r="2130" spans="2:5">
      <c r="B2130" s="244">
        <f t="shared" si="75"/>
        <v>45593</v>
      </c>
      <c r="C2130" s="245"/>
      <c r="E2130" t="e">
        <f ca="1">_xll.FDSB("JPYUSD","FG_PRICE("&amp;B2130&amp;")")</f>
        <v>#NAME?</v>
      </c>
    </row>
    <row r="2131" spans="2:5">
      <c r="B2131" s="244">
        <f t="shared" si="75"/>
        <v>45594</v>
      </c>
      <c r="C2131" s="245"/>
      <c r="E2131" t="e">
        <f ca="1">_xll.FDSB("JPYUSD","FG_PRICE("&amp;B2131&amp;")")</f>
        <v>#NAME?</v>
      </c>
    </row>
    <row r="2132" spans="2:5">
      <c r="B2132" s="244">
        <f t="shared" si="75"/>
        <v>45595</v>
      </c>
      <c r="C2132" s="245"/>
      <c r="E2132" t="e">
        <f ca="1">_xll.FDSB("JPYUSD","FG_PRICE("&amp;B2132&amp;")")</f>
        <v>#NAME?</v>
      </c>
    </row>
    <row r="2133" spans="2:5">
      <c r="B2133" s="244">
        <f t="shared" si="75"/>
        <v>45596</v>
      </c>
      <c r="C2133" s="245"/>
      <c r="E2133" t="e">
        <f ca="1">_xll.FDSB("JPYUSD","FG_PRICE("&amp;B2133&amp;")")</f>
        <v>#NAME?</v>
      </c>
    </row>
    <row r="2134" spans="2:5">
      <c r="B2134" s="244">
        <f t="shared" si="75"/>
        <v>45597</v>
      </c>
      <c r="C2134" s="245"/>
      <c r="E2134" t="e">
        <f ca="1">_xll.FDSB("JPYUSD","FG_PRICE("&amp;B2134&amp;")")</f>
        <v>#NAME?</v>
      </c>
    </row>
    <row r="2135" spans="2:5">
      <c r="B2135" s="244">
        <f t="shared" si="75"/>
        <v>45598</v>
      </c>
      <c r="C2135" s="245"/>
      <c r="E2135" t="e">
        <f ca="1">_xll.FDSB("JPYUSD","FG_PRICE("&amp;B2135&amp;")")</f>
        <v>#NAME?</v>
      </c>
    </row>
    <row r="2136" spans="2:5">
      <c r="B2136" s="244">
        <f t="shared" si="75"/>
        <v>45599</v>
      </c>
      <c r="C2136" s="245"/>
      <c r="E2136" t="e">
        <f ca="1">_xll.FDSB("JPYUSD","FG_PRICE("&amp;B2136&amp;")")</f>
        <v>#NAME?</v>
      </c>
    </row>
    <row r="2137" spans="2:5">
      <c r="B2137" s="244">
        <f t="shared" si="75"/>
        <v>45600</v>
      </c>
      <c r="C2137" s="245"/>
      <c r="E2137" t="e">
        <f ca="1">_xll.FDSB("JPYUSD","FG_PRICE("&amp;B2137&amp;")")</f>
        <v>#NAME?</v>
      </c>
    </row>
    <row r="2138" spans="2:5">
      <c r="B2138" s="244">
        <f t="shared" si="75"/>
        <v>45601</v>
      </c>
      <c r="C2138" s="245"/>
      <c r="E2138" t="e">
        <f ca="1">_xll.FDSB("JPYUSD","FG_PRICE("&amp;B2138&amp;")")</f>
        <v>#NAME?</v>
      </c>
    </row>
    <row r="2139" spans="2:5">
      <c r="B2139" s="244">
        <f t="shared" si="75"/>
        <v>45602</v>
      </c>
      <c r="C2139" s="245"/>
      <c r="E2139" t="e">
        <f ca="1">_xll.FDSB("JPYUSD","FG_PRICE("&amp;B2139&amp;")")</f>
        <v>#NAME?</v>
      </c>
    </row>
    <row r="2140" spans="2:5">
      <c r="B2140" s="244">
        <f t="shared" si="75"/>
        <v>45603</v>
      </c>
      <c r="C2140" s="245"/>
      <c r="E2140" t="e">
        <f ca="1">_xll.FDSB("JPYUSD","FG_PRICE("&amp;B2140&amp;")")</f>
        <v>#NAME?</v>
      </c>
    </row>
    <row r="2141" spans="2:5">
      <c r="B2141" s="244">
        <f t="shared" si="75"/>
        <v>45604</v>
      </c>
      <c r="C2141" s="245"/>
      <c r="E2141" t="e">
        <f ca="1">_xll.FDSB("JPYUSD","FG_PRICE("&amp;B2141&amp;")")</f>
        <v>#NAME?</v>
      </c>
    </row>
    <row r="2142" spans="2:5">
      <c r="B2142" s="244">
        <f t="shared" si="75"/>
        <v>45605</v>
      </c>
      <c r="C2142" s="245"/>
      <c r="E2142" t="e">
        <f ca="1">_xll.FDSB("JPYUSD","FG_PRICE("&amp;B2142&amp;")")</f>
        <v>#NAME?</v>
      </c>
    </row>
    <row r="2143" spans="2:5">
      <c r="B2143" s="244">
        <f t="shared" si="75"/>
        <v>45606</v>
      </c>
      <c r="C2143" s="245"/>
      <c r="E2143" t="e">
        <f ca="1">_xll.FDSB("JPYUSD","FG_PRICE("&amp;B2143&amp;")")</f>
        <v>#NAME?</v>
      </c>
    </row>
    <row r="2144" spans="2:5">
      <c r="B2144" s="244">
        <f t="shared" si="75"/>
        <v>45607</v>
      </c>
      <c r="C2144" s="245"/>
      <c r="E2144" t="e">
        <f ca="1">_xll.FDSB("JPYUSD","FG_PRICE("&amp;B2144&amp;")")</f>
        <v>#NAME?</v>
      </c>
    </row>
    <row r="2145" spans="2:5">
      <c r="B2145" s="244">
        <f t="shared" si="75"/>
        <v>45608</v>
      </c>
      <c r="C2145" s="245"/>
      <c r="E2145" t="e">
        <f ca="1">_xll.FDSB("JPYUSD","FG_PRICE("&amp;B2145&amp;")")</f>
        <v>#NAME?</v>
      </c>
    </row>
    <row r="2146" spans="2:5">
      <c r="B2146" s="244">
        <f t="shared" si="75"/>
        <v>45609</v>
      </c>
      <c r="C2146" s="245"/>
      <c r="E2146" t="e">
        <f ca="1">_xll.FDSB("JPYUSD","FG_PRICE("&amp;B2146&amp;")")</f>
        <v>#NAME?</v>
      </c>
    </row>
    <row r="2147" spans="2:5">
      <c r="B2147" s="244">
        <f t="shared" si="75"/>
        <v>45610</v>
      </c>
      <c r="C2147" s="245"/>
      <c r="E2147" t="e">
        <f ca="1">_xll.FDSB("JPYUSD","FG_PRICE("&amp;B2147&amp;")")</f>
        <v>#NAME?</v>
      </c>
    </row>
    <row r="2148" spans="2:5">
      <c r="B2148" s="244">
        <f t="shared" si="75"/>
        <v>45611</v>
      </c>
      <c r="C2148" s="245"/>
      <c r="E2148" t="e">
        <f ca="1">_xll.FDSB("JPYUSD","FG_PRICE("&amp;B2148&amp;")")</f>
        <v>#NAME?</v>
      </c>
    </row>
    <row r="2149" spans="2:5">
      <c r="B2149" s="244">
        <f t="shared" si="75"/>
        <v>45612</v>
      </c>
      <c r="C2149" s="245"/>
      <c r="E2149" t="e">
        <f ca="1">_xll.FDSB("JPYUSD","FG_PRICE("&amp;B2149&amp;")")</f>
        <v>#NAME?</v>
      </c>
    </row>
    <row r="2150" spans="2:5">
      <c r="B2150" s="244">
        <f t="shared" si="75"/>
        <v>45613</v>
      </c>
      <c r="C2150" s="245"/>
      <c r="E2150" t="e">
        <f ca="1">_xll.FDSB("JPYUSD","FG_PRICE("&amp;B2150&amp;")")</f>
        <v>#NAME?</v>
      </c>
    </row>
    <row r="2151" spans="2:5">
      <c r="B2151" s="244">
        <f t="shared" si="75"/>
        <v>45614</v>
      </c>
      <c r="C2151" s="245"/>
      <c r="E2151" t="e">
        <f ca="1">_xll.FDSB("JPYUSD","FG_PRICE("&amp;B2151&amp;")")</f>
        <v>#NAME?</v>
      </c>
    </row>
    <row r="2152" spans="2:5">
      <c r="B2152" s="244">
        <f t="shared" si="75"/>
        <v>45615</v>
      </c>
      <c r="C2152" s="245"/>
      <c r="E2152" t="e">
        <f ca="1">_xll.FDSB("JPYUSD","FG_PRICE("&amp;B2152&amp;")")</f>
        <v>#NAME?</v>
      </c>
    </row>
    <row r="2153" spans="2:5">
      <c r="B2153" s="244">
        <f t="shared" si="75"/>
        <v>45616</v>
      </c>
      <c r="C2153" s="245"/>
      <c r="E2153" t="e">
        <f ca="1">_xll.FDSB("JPYUSD","FG_PRICE("&amp;B2153&amp;")")</f>
        <v>#NAME?</v>
      </c>
    </row>
    <row r="2154" spans="2:5">
      <c r="B2154" s="244">
        <f t="shared" si="75"/>
        <v>45617</v>
      </c>
      <c r="C2154" s="245"/>
      <c r="E2154" t="e">
        <f ca="1">_xll.FDSB("JPYUSD","FG_PRICE("&amp;B2154&amp;")")</f>
        <v>#NAME?</v>
      </c>
    </row>
    <row r="2155" spans="2:5">
      <c r="B2155" s="244">
        <f t="shared" si="75"/>
        <v>45618</v>
      </c>
      <c r="C2155" s="245"/>
      <c r="E2155" t="e">
        <f ca="1">_xll.FDSB("JPYUSD","FG_PRICE("&amp;B2155&amp;")")</f>
        <v>#NAME?</v>
      </c>
    </row>
    <row r="2156" spans="2:5">
      <c r="B2156" s="244">
        <f t="shared" si="75"/>
        <v>45619</v>
      </c>
      <c r="C2156" s="245"/>
      <c r="E2156" t="e">
        <f ca="1">_xll.FDSB("JPYUSD","FG_PRICE("&amp;B2156&amp;")")</f>
        <v>#NAME?</v>
      </c>
    </row>
    <row r="2157" spans="2:5">
      <c r="B2157" s="244">
        <f t="shared" si="75"/>
        <v>45620</v>
      </c>
      <c r="C2157" s="245"/>
      <c r="E2157" t="e">
        <f ca="1">_xll.FDSB("JPYUSD","FG_PRICE("&amp;B2157&amp;")")</f>
        <v>#NAME?</v>
      </c>
    </row>
    <row r="2158" spans="2:5">
      <c r="B2158" s="244">
        <f t="shared" si="75"/>
        <v>45621</v>
      </c>
      <c r="C2158" s="245"/>
      <c r="E2158" t="e">
        <f ca="1">_xll.FDSB("JPYUSD","FG_PRICE("&amp;B2158&amp;")")</f>
        <v>#NAME?</v>
      </c>
    </row>
    <row r="2159" spans="2:5">
      <c r="B2159" s="244">
        <f t="shared" si="75"/>
        <v>45622</v>
      </c>
      <c r="C2159" s="245"/>
      <c r="E2159" t="e">
        <f ca="1">_xll.FDSB("JPYUSD","FG_PRICE("&amp;B2159&amp;")")</f>
        <v>#NAME?</v>
      </c>
    </row>
    <row r="2160" spans="2:5">
      <c r="B2160" s="244">
        <f t="shared" si="75"/>
        <v>45623</v>
      </c>
      <c r="C2160" s="245"/>
      <c r="E2160" t="e">
        <f ca="1">_xll.FDSB("JPYUSD","FG_PRICE("&amp;B2160&amp;")")</f>
        <v>#NAME?</v>
      </c>
    </row>
    <row r="2161" spans="2:5">
      <c r="B2161" s="244">
        <f t="shared" si="75"/>
        <v>45624</v>
      </c>
      <c r="C2161" s="245"/>
      <c r="E2161" t="e">
        <f ca="1">_xll.FDSB("JPYUSD","FG_PRICE("&amp;B2161&amp;")")</f>
        <v>#NAME?</v>
      </c>
    </row>
    <row r="2162" spans="2:5">
      <c r="B2162" s="244">
        <f t="shared" si="75"/>
        <v>45625</v>
      </c>
      <c r="C2162" s="245"/>
      <c r="E2162" t="e">
        <f ca="1">_xll.FDSB("JPYUSD","FG_PRICE("&amp;B2162&amp;")")</f>
        <v>#NAME?</v>
      </c>
    </row>
    <row r="2163" spans="2:5">
      <c r="B2163" s="244">
        <f t="shared" si="75"/>
        <v>45626</v>
      </c>
      <c r="C2163" s="245"/>
      <c r="E2163" t="e">
        <f ca="1">_xll.FDSB("JPYUSD","FG_PRICE("&amp;B2163&amp;")")</f>
        <v>#NAME?</v>
      </c>
    </row>
    <row r="2164" spans="2:5">
      <c r="B2164" s="244">
        <f t="shared" si="75"/>
        <v>45627</v>
      </c>
      <c r="C2164" s="245"/>
      <c r="E2164" t="e">
        <f ca="1">_xll.FDSB("JPYUSD","FG_PRICE("&amp;B2164&amp;")")</f>
        <v>#NAME?</v>
      </c>
    </row>
    <row r="2165" spans="2:5">
      <c r="B2165" s="244">
        <f t="shared" si="75"/>
        <v>45628</v>
      </c>
      <c r="C2165" s="245"/>
      <c r="E2165" t="e">
        <f ca="1">_xll.FDSB("JPYUSD","FG_PRICE("&amp;B2165&amp;")")</f>
        <v>#NAME?</v>
      </c>
    </row>
    <row r="2166" spans="2:5">
      <c r="B2166" s="244">
        <f t="shared" si="75"/>
        <v>45629</v>
      </c>
      <c r="C2166" s="245"/>
      <c r="E2166" t="e">
        <f ca="1">_xll.FDSB("JPYUSD","FG_PRICE("&amp;B2166&amp;")")</f>
        <v>#NAME?</v>
      </c>
    </row>
    <row r="2167" spans="2:5">
      <c r="B2167" s="244">
        <f t="shared" si="75"/>
        <v>45630</v>
      </c>
      <c r="C2167" s="245"/>
      <c r="E2167" t="e">
        <f ca="1">_xll.FDSB("JPYUSD","FG_PRICE("&amp;B2167&amp;")")</f>
        <v>#NAME?</v>
      </c>
    </row>
    <row r="2168" spans="2:5">
      <c r="B2168" s="244">
        <f t="shared" si="75"/>
        <v>45631</v>
      </c>
      <c r="C2168" s="245"/>
      <c r="E2168" t="e">
        <f ca="1">_xll.FDSB("JPYUSD","FG_PRICE("&amp;B2168&amp;")")</f>
        <v>#NAME?</v>
      </c>
    </row>
    <row r="2169" spans="2:5">
      <c r="B2169" s="244">
        <f t="shared" si="75"/>
        <v>45632</v>
      </c>
      <c r="C2169" s="245"/>
      <c r="E2169" t="e">
        <f ca="1">_xll.FDSB("JPYUSD","FG_PRICE("&amp;B2169&amp;")")</f>
        <v>#NAME?</v>
      </c>
    </row>
    <row r="2170" spans="2:5">
      <c r="B2170" s="244">
        <f t="shared" si="75"/>
        <v>45633</v>
      </c>
      <c r="C2170" s="245"/>
      <c r="E2170" t="e">
        <f ca="1">_xll.FDSB("JPYUSD","FG_PRICE("&amp;B2170&amp;")")</f>
        <v>#NAME?</v>
      </c>
    </row>
    <row r="2171" spans="2:5">
      <c r="B2171" s="244">
        <f t="shared" si="75"/>
        <v>45634</v>
      </c>
      <c r="C2171" s="245"/>
      <c r="E2171" t="e">
        <f ca="1">_xll.FDSB("JPYUSD","FG_PRICE("&amp;B2171&amp;")")</f>
        <v>#NAME?</v>
      </c>
    </row>
    <row r="2172" spans="2:5">
      <c r="B2172" s="244">
        <f t="shared" si="75"/>
        <v>45635</v>
      </c>
      <c r="C2172" s="245"/>
      <c r="E2172" t="e">
        <f ca="1">_xll.FDSB("JPYUSD","FG_PRICE("&amp;B2172&amp;")")</f>
        <v>#NAME?</v>
      </c>
    </row>
    <row r="2173" spans="2:5">
      <c r="B2173" s="244">
        <f t="shared" si="75"/>
        <v>45636</v>
      </c>
      <c r="C2173" s="245"/>
      <c r="E2173" t="e">
        <f ca="1">_xll.FDSB("JPYUSD","FG_PRICE("&amp;B2173&amp;")")</f>
        <v>#NAME?</v>
      </c>
    </row>
    <row r="2174" spans="2:5">
      <c r="B2174" s="244">
        <f t="shared" si="75"/>
        <v>45637</v>
      </c>
      <c r="C2174" s="245"/>
      <c r="E2174" t="e">
        <f ca="1">_xll.FDSB("JPYUSD","FG_PRICE("&amp;B2174&amp;")")</f>
        <v>#NAME?</v>
      </c>
    </row>
    <row r="2175" spans="2:5">
      <c r="B2175" s="244">
        <f t="shared" si="75"/>
        <v>45638</v>
      </c>
      <c r="C2175" s="245"/>
      <c r="E2175" t="e">
        <f ca="1">_xll.FDSB("JPYUSD","FG_PRICE("&amp;B2175&amp;")")</f>
        <v>#NAME?</v>
      </c>
    </row>
    <row r="2176" spans="2:5">
      <c r="B2176" s="244">
        <f t="shared" si="75"/>
        <v>45639</v>
      </c>
      <c r="C2176" s="245"/>
      <c r="E2176" t="e">
        <f ca="1">_xll.FDSB("JPYUSD","FG_PRICE("&amp;B2176&amp;")")</f>
        <v>#NAME?</v>
      </c>
    </row>
    <row r="2177" spans="2:5">
      <c r="B2177" s="244">
        <f t="shared" si="75"/>
        <v>45640</v>
      </c>
      <c r="C2177" s="245"/>
      <c r="E2177" t="e">
        <f ca="1">_xll.FDSB("JPYUSD","FG_PRICE("&amp;B2177&amp;")")</f>
        <v>#NAME?</v>
      </c>
    </row>
    <row r="2178" spans="2:5">
      <c r="B2178" s="244">
        <f t="shared" si="75"/>
        <v>45641</v>
      </c>
      <c r="C2178" s="245"/>
      <c r="E2178" t="e">
        <f ca="1">_xll.FDSB("JPYUSD","FG_PRICE("&amp;B2178&amp;")")</f>
        <v>#NAME?</v>
      </c>
    </row>
    <row r="2179" spans="2:5">
      <c r="B2179" s="244">
        <f t="shared" si="75"/>
        <v>45642</v>
      </c>
      <c r="C2179" s="245"/>
      <c r="E2179" t="e">
        <f ca="1">_xll.FDSB("JPYUSD","FG_PRICE("&amp;B2179&amp;")")</f>
        <v>#NAME?</v>
      </c>
    </row>
    <row r="2180" spans="2:5">
      <c r="B2180" s="244">
        <f t="shared" si="75"/>
        <v>45643</v>
      </c>
      <c r="C2180" s="245"/>
      <c r="E2180" t="e">
        <f ca="1">_xll.FDSB("JPYUSD","FG_PRICE("&amp;B2180&amp;")")</f>
        <v>#NAME?</v>
      </c>
    </row>
    <row r="2181" spans="2:5">
      <c r="B2181" s="244">
        <f t="shared" ref="B2181:B2194" si="76">B2180+1</f>
        <v>45644</v>
      </c>
      <c r="C2181" s="245"/>
      <c r="E2181" t="e">
        <f ca="1">_xll.FDSB("JPYUSD","FG_PRICE("&amp;B2181&amp;")")</f>
        <v>#NAME?</v>
      </c>
    </row>
    <row r="2182" spans="2:5">
      <c r="B2182" s="244">
        <f t="shared" si="76"/>
        <v>45645</v>
      </c>
      <c r="C2182" s="245"/>
      <c r="E2182" t="e">
        <f ca="1">_xll.FDSB("JPYUSD","FG_PRICE("&amp;B2182&amp;")")</f>
        <v>#NAME?</v>
      </c>
    </row>
    <row r="2183" spans="2:5">
      <c r="B2183" s="244">
        <f t="shared" si="76"/>
        <v>45646</v>
      </c>
      <c r="C2183" s="245"/>
      <c r="E2183" t="e">
        <f ca="1">_xll.FDSB("JPYUSD","FG_PRICE("&amp;B2183&amp;")")</f>
        <v>#NAME?</v>
      </c>
    </row>
    <row r="2184" spans="2:5">
      <c r="B2184" s="244">
        <f t="shared" si="76"/>
        <v>45647</v>
      </c>
      <c r="C2184" s="245"/>
      <c r="E2184" t="e">
        <f ca="1">_xll.FDSB("JPYUSD","FG_PRICE("&amp;B2184&amp;")")</f>
        <v>#NAME?</v>
      </c>
    </row>
    <row r="2185" spans="2:5">
      <c r="B2185" s="244">
        <f t="shared" si="76"/>
        <v>45648</v>
      </c>
      <c r="C2185" s="245"/>
      <c r="E2185" t="e">
        <f ca="1">_xll.FDSB("JPYUSD","FG_PRICE("&amp;B2185&amp;")")</f>
        <v>#NAME?</v>
      </c>
    </row>
    <row r="2186" spans="2:5">
      <c r="B2186" s="244">
        <f t="shared" si="76"/>
        <v>45649</v>
      </c>
      <c r="C2186" s="245"/>
      <c r="E2186" t="e">
        <f ca="1">_xll.FDSB("JPYUSD","FG_PRICE("&amp;B2186&amp;")")</f>
        <v>#NAME?</v>
      </c>
    </row>
    <row r="2187" spans="2:5">
      <c r="B2187" s="244">
        <f t="shared" si="76"/>
        <v>45650</v>
      </c>
      <c r="C2187" s="245"/>
      <c r="E2187" t="e">
        <f ca="1">_xll.FDSB("JPYUSD","FG_PRICE("&amp;B2187&amp;")")</f>
        <v>#NAME?</v>
      </c>
    </row>
    <row r="2188" spans="2:5">
      <c r="B2188" s="244">
        <f t="shared" si="76"/>
        <v>45651</v>
      </c>
      <c r="C2188" s="245"/>
      <c r="E2188" t="e">
        <f ca="1">_xll.FDSB("JPYUSD","FG_PRICE("&amp;B2188&amp;")")</f>
        <v>#NAME?</v>
      </c>
    </row>
    <row r="2189" spans="2:5">
      <c r="B2189" s="244">
        <f t="shared" si="76"/>
        <v>45652</v>
      </c>
      <c r="C2189" s="245"/>
      <c r="E2189" t="e">
        <f ca="1">_xll.FDSB("JPYUSD","FG_PRICE("&amp;B2189&amp;")")</f>
        <v>#NAME?</v>
      </c>
    </row>
    <row r="2190" spans="2:5">
      <c r="B2190" s="244">
        <f t="shared" si="76"/>
        <v>45653</v>
      </c>
      <c r="C2190" s="245"/>
      <c r="E2190" t="e">
        <f ca="1">_xll.FDSB("JPYUSD","FG_PRICE("&amp;B2190&amp;")")</f>
        <v>#NAME?</v>
      </c>
    </row>
    <row r="2191" spans="2:5">
      <c r="B2191" s="244">
        <f t="shared" si="76"/>
        <v>45654</v>
      </c>
      <c r="C2191" s="245"/>
      <c r="E2191" t="e">
        <f ca="1">_xll.FDSB("JPYUSD","FG_PRICE("&amp;B2191&amp;")")</f>
        <v>#NAME?</v>
      </c>
    </row>
    <row r="2192" spans="2:5">
      <c r="B2192" s="244">
        <f t="shared" si="76"/>
        <v>45655</v>
      </c>
      <c r="C2192" s="245"/>
      <c r="E2192" t="e">
        <f ca="1">_xll.FDSB("JPYUSD","FG_PRICE("&amp;B2192&amp;")")</f>
        <v>#NAME?</v>
      </c>
    </row>
    <row r="2193" spans="2:5">
      <c r="B2193" s="244">
        <f t="shared" si="76"/>
        <v>45656</v>
      </c>
      <c r="C2193" s="245"/>
      <c r="E2193" t="e">
        <f ca="1">_xll.FDSB("JPYUSD","FG_PRICE("&amp;B2193&amp;")")</f>
        <v>#NAME?</v>
      </c>
    </row>
    <row r="2194" spans="2:5">
      <c r="B2194" s="244">
        <f t="shared" si="76"/>
        <v>45657</v>
      </c>
      <c r="C2194" s="245"/>
      <c r="E2194" t="e">
        <f ca="1">_xll.FDSB("JPYUSD","FG_PRICE("&amp;B2194&amp;")")</f>
        <v>#NAME?</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M37"/>
  <sheetViews>
    <sheetView workbookViewId="0">
      <selection activeCell="D35" sqref="D35"/>
    </sheetView>
  </sheetViews>
  <sheetFormatPr defaultColWidth="9.46484375" defaultRowHeight="14.25"/>
  <cols>
    <col min="1" max="4" width="9.46484375" style="20"/>
    <col min="5" max="8" width="9.46484375" style="20" customWidth="1"/>
    <col min="9" max="10" width="9.46484375" style="20"/>
    <col min="11" max="13" width="12.46484375" style="20" customWidth="1"/>
    <col min="14" max="16384" width="9.46484375" style="20"/>
  </cols>
  <sheetData>
    <row r="3" spans="2:13">
      <c r="B3" s="40"/>
      <c r="C3" s="332" t="s">
        <v>81</v>
      </c>
      <c r="D3" s="332"/>
      <c r="E3" s="332" t="s">
        <v>65</v>
      </c>
      <c r="F3" s="332"/>
      <c r="G3" s="40" t="s">
        <v>22</v>
      </c>
      <c r="H3" s="40"/>
      <c r="K3" s="152" t="s">
        <v>81</v>
      </c>
      <c r="L3" s="152" t="s">
        <v>65</v>
      </c>
      <c r="M3" s="152" t="s">
        <v>22</v>
      </c>
    </row>
    <row r="4" spans="2:13">
      <c r="B4" s="40"/>
      <c r="C4" s="24" t="s">
        <v>74</v>
      </c>
      <c r="D4" s="24" t="s">
        <v>178</v>
      </c>
      <c r="E4" s="24" t="s">
        <v>74</v>
      </c>
      <c r="F4" s="24" t="s">
        <v>178</v>
      </c>
      <c r="G4" s="24" t="s">
        <v>74</v>
      </c>
      <c r="H4" s="24" t="s">
        <v>178</v>
      </c>
    </row>
    <row r="5" spans="2:13" hidden="1">
      <c r="B5" s="40" t="s">
        <v>10</v>
      </c>
      <c r="C5" s="40"/>
      <c r="D5" s="40"/>
      <c r="E5" s="37">
        <f>'Income Statement'!W13</f>
        <v>215.98699999999999</v>
      </c>
      <c r="F5" s="37" t="s">
        <v>148</v>
      </c>
      <c r="G5" s="37">
        <f>'Income Statement'!W80</f>
        <v>39.952000000000012</v>
      </c>
      <c r="H5" s="37" t="s">
        <v>148</v>
      </c>
    </row>
    <row r="6" spans="2:13" hidden="1">
      <c r="B6" s="40" t="s">
        <v>11</v>
      </c>
      <c r="C6" s="40"/>
      <c r="D6" s="40"/>
      <c r="E6" s="37">
        <f>'Income Statement'!X13</f>
        <v>236.05900000000003</v>
      </c>
      <c r="F6" s="37">
        <v>233.13419999999999</v>
      </c>
      <c r="G6" s="37">
        <f>'Income Statement'!X80</f>
        <v>46.694000000000003</v>
      </c>
      <c r="H6" s="37">
        <v>42.732759386666629</v>
      </c>
    </row>
    <row r="7" spans="2:13" hidden="1">
      <c r="B7" s="41" t="s">
        <v>12</v>
      </c>
      <c r="C7" s="41"/>
      <c r="D7" s="41"/>
      <c r="E7" s="37">
        <f>'Income Statement'!Y13</f>
        <v>254.18</v>
      </c>
      <c r="F7" s="37">
        <v>248.82899999999998</v>
      </c>
      <c r="G7" s="37">
        <f>'Income Statement'!Y80</f>
        <v>19.379999999999995</v>
      </c>
      <c r="H7" s="37">
        <v>39.995936266666639</v>
      </c>
    </row>
    <row r="8" spans="2:13" hidden="1">
      <c r="B8" s="41" t="s">
        <v>13</v>
      </c>
      <c r="C8" s="37">
        <f>'Income Statement'!Z4</f>
        <v>306.38099999999997</v>
      </c>
      <c r="D8" s="37">
        <v>302.73407500000008</v>
      </c>
      <c r="E8" s="37">
        <f>'Income Statement'!Z13</f>
        <v>282.53399999999999</v>
      </c>
      <c r="F8" s="37">
        <v>270.58657500000004</v>
      </c>
      <c r="G8" s="37">
        <f>'Income Statement'!Z80</f>
        <v>23.17</v>
      </c>
      <c r="H8" s="37">
        <v>17.695804475000038</v>
      </c>
    </row>
    <row r="9" spans="2:13" hidden="1">
      <c r="B9" s="41" t="s">
        <v>14</v>
      </c>
      <c r="C9" s="43">
        <f>'Income Statement'!AA4</f>
        <v>1102.0309999999999</v>
      </c>
      <c r="D9" s="43">
        <v>1098.3570750000001</v>
      </c>
      <c r="E9" s="43">
        <f>'Income Statement'!AA13</f>
        <v>988.76</v>
      </c>
      <c r="F9" s="43">
        <v>976.81257500000004</v>
      </c>
      <c r="G9" s="43">
        <f>'Income Statement'!AA80</f>
        <v>129.19600000000003</v>
      </c>
      <c r="H9" s="43">
        <v>123.72180447500006</v>
      </c>
    </row>
    <row r="10" spans="2:13" hidden="1">
      <c r="B10" s="41" t="str">
        <f>'Income Statement'!AB3</f>
        <v>1Q21</v>
      </c>
      <c r="C10" s="37">
        <f>'Income Statement'!AB4</f>
        <v>351.10900000000004</v>
      </c>
      <c r="D10" s="37">
        <v>344.45538759999999</v>
      </c>
      <c r="E10" s="37">
        <f>'Income Statement'!AB13</f>
        <v>304.11200000000002</v>
      </c>
      <c r="F10" s="37">
        <v>293.41653759999997</v>
      </c>
      <c r="G10" s="37">
        <f>'Income Statement'!AB80</f>
        <v>14.639000000000014</v>
      </c>
      <c r="H10" s="37">
        <v>10.573944808512451</v>
      </c>
    </row>
    <row r="11" spans="2:13" hidden="1">
      <c r="B11" s="41" t="str">
        <f>'Income Statement'!AC3</f>
        <v>2Q21</v>
      </c>
      <c r="C11" s="37">
        <f>'Income Statement'!AC4</f>
        <v>342.86099999999999</v>
      </c>
      <c r="D11" s="37">
        <v>350.75734075429801</v>
      </c>
      <c r="E11" s="37">
        <f>'Income Statement'!AC13</f>
        <v>316.40600000000001</v>
      </c>
      <c r="F11" s="37">
        <v>310.84859075429807</v>
      </c>
      <c r="G11" s="37">
        <f>'Income Statement'!AC80</f>
        <v>14.713999999999992</v>
      </c>
      <c r="H11" s="37">
        <v>10.923506425318443</v>
      </c>
      <c r="K11" s="36">
        <f>C11/D11-1</f>
        <v>-2.2512260861931144E-2</v>
      </c>
      <c r="L11" s="36">
        <f>E11/F11-1</f>
        <v>1.7878187037028148E-2</v>
      </c>
      <c r="M11" s="36">
        <f>G11/H11-1</f>
        <v>0.34700337300996709</v>
      </c>
    </row>
    <row r="12" spans="2:13" hidden="1">
      <c r="B12" s="41" t="str">
        <f>'Income Statement'!AD3</f>
        <v>3Q21</v>
      </c>
      <c r="C12" s="37">
        <f>'Income Statement'!AD4</f>
        <v>373.29700000000003</v>
      </c>
      <c r="D12" s="37">
        <v>364.18497000000002</v>
      </c>
      <c r="E12" s="37">
        <f>'Income Statement'!AD13</f>
        <v>320.79700000000003</v>
      </c>
      <c r="F12" s="37">
        <v>325.05497000000003</v>
      </c>
      <c r="G12" s="37">
        <f>'Income Statement'!AD80</f>
        <v>-8.7069999999999919</v>
      </c>
      <c r="H12" s="37">
        <v>14.383682917500032</v>
      </c>
      <c r="K12" s="36">
        <f t="shared" ref="K12:K31" si="0">C12/D12-1</f>
        <v>2.5020335133544958E-2</v>
      </c>
      <c r="L12" s="36">
        <f t="shared" ref="L12:L31" si="1">E12/F12-1</f>
        <v>-1.3099230570140175E-2</v>
      </c>
      <c r="M12" s="36">
        <f t="shared" ref="M12:M31" si="2">G12/H12-1</f>
        <v>-1.6053387056667208</v>
      </c>
    </row>
    <row r="13" spans="2:13">
      <c r="B13" s="154" t="str">
        <f>'Income Statement'!AE3</f>
        <v>4Q21</v>
      </c>
      <c r="C13" s="37">
        <f>'Income Statement'!AE4</f>
        <v>351.55600000000004</v>
      </c>
      <c r="D13" s="37">
        <v>367.043858</v>
      </c>
      <c r="E13" s="37">
        <f>'Income Statement'!AE13</f>
        <v>328.34199999999998</v>
      </c>
      <c r="F13" s="37">
        <v>331.89760799999999</v>
      </c>
      <c r="G13" s="37">
        <f>'Income Statement'!AE80</f>
        <v>7.3390000000000111</v>
      </c>
      <c r="H13" s="37">
        <v>12.154328602741217</v>
      </c>
      <c r="K13" s="35">
        <f t="shared" si="0"/>
        <v>-4.2196205337401316E-2</v>
      </c>
      <c r="L13" s="35">
        <f t="shared" si="1"/>
        <v>-1.0712966632769438E-2</v>
      </c>
      <c r="M13" s="36">
        <f t="shared" si="2"/>
        <v>-0.39618219649378117</v>
      </c>
    </row>
    <row r="14" spans="2:13">
      <c r="B14" s="41" t="s">
        <v>118</v>
      </c>
      <c r="C14" s="44">
        <f>'Income Statement'!AF4</f>
        <v>1418.8229999999999</v>
      </c>
      <c r="D14" s="44">
        <v>1418.4634879999999</v>
      </c>
      <c r="E14" s="44">
        <f>'Income Statement'!AF13</f>
        <v>1269.6569999999999</v>
      </c>
      <c r="F14" s="44">
        <v>1266.3423579999999</v>
      </c>
      <c r="G14" s="44">
        <f>'Income Statement'!AF80</f>
        <v>27.985000000000028</v>
      </c>
      <c r="H14" s="44">
        <v>37.253681527006222</v>
      </c>
      <c r="K14" s="35">
        <f t="shared" si="0"/>
        <v>2.5345171239266051E-4</v>
      </c>
      <c r="L14" s="35">
        <f t="shared" si="1"/>
        <v>2.6174927965254557E-3</v>
      </c>
      <c r="M14" s="36">
        <f t="shared" si="2"/>
        <v>-0.24879907561047543</v>
      </c>
    </row>
    <row r="15" spans="2:13">
      <c r="B15" s="154" t="str">
        <f>'Income Statement'!AG3</f>
        <v>1Q22</v>
      </c>
      <c r="C15" s="37">
        <f>'Income Statement'!AG4</f>
        <v>393.24799999999999</v>
      </c>
      <c r="D15" s="37">
        <v>400.96950462045857</v>
      </c>
      <c r="E15" s="37">
        <f>'Income Statement'!AG13</f>
        <v>341.59699999999998</v>
      </c>
      <c r="F15" s="37">
        <v>362.26011462045847</v>
      </c>
      <c r="G15" s="37">
        <f>'Income Statement'!AG80</f>
        <v>-33.586000000000041</v>
      </c>
      <c r="H15" s="37">
        <v>2.6985776883781796</v>
      </c>
      <c r="K15" s="35">
        <f t="shared" si="0"/>
        <v>-1.9257086964175607E-2</v>
      </c>
      <c r="L15" s="35">
        <f t="shared" si="1"/>
        <v>-5.7039441513199174E-2</v>
      </c>
      <c r="M15" s="36">
        <f t="shared" si="2"/>
        <v>-13.445815491858202</v>
      </c>
    </row>
    <row r="16" spans="2:13">
      <c r="B16" s="154" t="str">
        <f>'Income Statement'!AH3</f>
        <v>2Q22</v>
      </c>
      <c r="C16" s="37">
        <f>'Income Statement'!AH4</f>
        <v>354.59399999999999</v>
      </c>
      <c r="D16" s="37">
        <v>420.77549952679999</v>
      </c>
      <c r="E16" s="37">
        <f>'Income Statement'!AH13</f>
        <v>345.22400000000005</v>
      </c>
      <c r="F16" s="37">
        <v>380.0444995268</v>
      </c>
      <c r="G16" s="37">
        <f>'Income Statement'!AH80</f>
        <v>-15.885999999999994</v>
      </c>
      <c r="H16" s="37">
        <v>15.553146255953365</v>
      </c>
      <c r="K16" s="35">
        <f t="shared" si="0"/>
        <v>-0.15728458430024339</v>
      </c>
      <c r="L16" s="35">
        <f t="shared" si="1"/>
        <v>-9.1622164168026488E-2</v>
      </c>
      <c r="M16" s="36">
        <f t="shared" si="2"/>
        <v>-2.0214010553600508</v>
      </c>
    </row>
    <row r="17" spans="2:13">
      <c r="B17" s="154" t="str">
        <f>'Income Statement'!AI3</f>
        <v>3Q22</v>
      </c>
      <c r="C17" s="37">
        <f>'Income Statement'!AI4</f>
        <v>352.464</v>
      </c>
      <c r="D17" s="37">
        <v>444.35493549270234</v>
      </c>
      <c r="E17" s="37">
        <f>'Income Statement'!AI13</f>
        <v>345.80499999999995</v>
      </c>
      <c r="F17" s="37">
        <v>395.60930989270236</v>
      </c>
      <c r="G17" s="37">
        <f>'Income Statement'!AI80</f>
        <v>-22.606999999999996</v>
      </c>
      <c r="H17" s="37">
        <v>35.197883011871369</v>
      </c>
      <c r="K17" s="35">
        <f t="shared" si="0"/>
        <v>-0.2067962526191216</v>
      </c>
      <c r="L17" s="35">
        <f t="shared" si="1"/>
        <v>-0.12589266391685872</v>
      </c>
      <c r="M17" s="36">
        <f t="shared" si="2"/>
        <v>-1.6422829461753485</v>
      </c>
    </row>
    <row r="18" spans="2:13">
      <c r="B18" s="154" t="str">
        <f>'Income Statement'!AJ3</f>
        <v>4Q22</v>
      </c>
      <c r="C18" s="37">
        <f>'Income Statement'!AJ4</f>
        <v>371.81299999999999</v>
      </c>
      <c r="D18" s="37">
        <v>470.5340209549895</v>
      </c>
      <c r="E18" s="37">
        <f>'Income Statement'!AJ13</f>
        <v>355.03999999999996</v>
      </c>
      <c r="F18" s="37">
        <v>426.60120845498955</v>
      </c>
      <c r="G18" s="37">
        <f>'Income Statement'!AJ80</f>
        <v>38.584999999999994</v>
      </c>
      <c r="H18" s="37">
        <v>49.030778958549206</v>
      </c>
      <c r="K18" s="35">
        <f t="shared" si="0"/>
        <v>-0.20980634036753953</v>
      </c>
      <c r="L18" s="35">
        <f t="shared" si="1"/>
        <v>-0.1677473177212998</v>
      </c>
      <c r="M18" s="36">
        <f t="shared" si="2"/>
        <v>-0.21304533969121953</v>
      </c>
    </row>
    <row r="19" spans="2:13">
      <c r="B19" s="41">
        <f>'Income Statement'!AK3</f>
        <v>2022</v>
      </c>
      <c r="C19" s="44">
        <f>'Income Statement'!AK4</f>
        <v>1472.1189999999999</v>
      </c>
      <c r="D19" s="44">
        <v>1736.6339605949502</v>
      </c>
      <c r="E19" s="44">
        <f>'Income Statement'!AK13</f>
        <v>1387.6659999999999</v>
      </c>
      <c r="F19" s="44">
        <v>1564.5151324949502</v>
      </c>
      <c r="G19" s="44">
        <f>'Income Statement'!AK80</f>
        <v>-33.494000000000042</v>
      </c>
      <c r="H19" s="44">
        <v>102.48038591475212</v>
      </c>
      <c r="K19" s="35">
        <f>C19/D19-1</f>
        <v>-0.15231474599536832</v>
      </c>
      <c r="L19" s="35">
        <f t="shared" si="1"/>
        <v>-0.11303766184282726</v>
      </c>
      <c r="M19" s="36">
        <f t="shared" si="2"/>
        <v>-1.3268332735189139</v>
      </c>
    </row>
    <row r="20" spans="2:13">
      <c r="B20" s="41">
        <f>'Income Statement'!AP3</f>
        <v>2023</v>
      </c>
      <c r="C20" s="43">
        <f>'Income Statement'!AP4</f>
        <v>1597.5</v>
      </c>
      <c r="D20" s="43">
        <v>2087.9392912495923</v>
      </c>
      <c r="E20" s="43">
        <f>'Income Statement'!AP13</f>
        <v>1561.665</v>
      </c>
      <c r="F20" s="43">
        <v>1890.4615691523916</v>
      </c>
      <c r="G20" s="43">
        <f>'Income Statement'!AP80</f>
        <v>182.19700000000009</v>
      </c>
      <c r="H20" s="43">
        <v>163.46075965098922</v>
      </c>
      <c r="K20" s="35">
        <f>C20/D20-1</f>
        <v>-0.23489154752007835</v>
      </c>
      <c r="L20" s="35">
        <f>E20/F20-1</f>
        <v>-0.17392396360631179</v>
      </c>
      <c r="M20" s="36">
        <f>G20/H20-1</f>
        <v>0.1146222517808877</v>
      </c>
    </row>
    <row r="21" spans="2:13">
      <c r="C21" s="155"/>
      <c r="D21" s="155"/>
      <c r="E21" s="155"/>
      <c r="F21" s="155"/>
      <c r="G21" s="156"/>
      <c r="H21" s="156"/>
      <c r="K21" s="35"/>
      <c r="L21" s="35"/>
      <c r="M21" s="36"/>
    </row>
    <row r="22" spans="2:13">
      <c r="K22" s="35"/>
      <c r="L22" s="35"/>
      <c r="M22" s="36"/>
    </row>
    <row r="23" spans="2:13">
      <c r="B23" s="40"/>
      <c r="C23" s="332" t="s">
        <v>81</v>
      </c>
      <c r="D23" s="332"/>
      <c r="E23" s="332" t="s">
        <v>65</v>
      </c>
      <c r="F23" s="332"/>
      <c r="G23" s="40" t="s">
        <v>22</v>
      </c>
      <c r="H23" s="40"/>
      <c r="K23" s="35"/>
      <c r="L23" s="35"/>
      <c r="M23" s="36"/>
    </row>
    <row r="24" spans="2:13">
      <c r="B24" s="41">
        <f>'Income Statement'!AU3</f>
        <v>2024</v>
      </c>
      <c r="C24" s="37">
        <f>'Income Statement'!AU4</f>
        <v>1832.7660000000001</v>
      </c>
      <c r="D24" s="37">
        <v>2454.6062887809694</v>
      </c>
      <c r="E24" s="37">
        <f>'Income Statement'!AU13</f>
        <v>1760.65</v>
      </c>
      <c r="F24" s="37">
        <v>2231.9830088898671</v>
      </c>
      <c r="G24" s="37">
        <f>'Income Statement'!AU80</f>
        <v>476.15299999999991</v>
      </c>
      <c r="H24" s="37">
        <v>232.70727681909088</v>
      </c>
      <c r="K24" s="35">
        <f t="shared" si="0"/>
        <v>-0.25333606111218498</v>
      </c>
      <c r="L24" s="35">
        <f t="shared" si="1"/>
        <v>-0.21117231045781859</v>
      </c>
      <c r="M24" s="36">
        <f t="shared" si="2"/>
        <v>1.046145726547977</v>
      </c>
    </row>
    <row r="25" spans="2:13">
      <c r="B25" s="41">
        <f>'Income Statement'!AZ3</f>
        <v>2025</v>
      </c>
      <c r="C25" s="37">
        <f>'Income Statement'!AZ4</f>
        <v>2064.4690000000001</v>
      </c>
      <c r="D25" s="37">
        <v>2820.1688452429025</v>
      </c>
      <c r="E25" s="37">
        <f>'Income Statement'!AZ13</f>
        <v>1993.0440000000001</v>
      </c>
      <c r="F25" s="37">
        <v>2573.6505976730023</v>
      </c>
      <c r="G25" s="37">
        <f>'Income Statement'!AZ80</f>
        <v>91.035711435947093</v>
      </c>
      <c r="H25" s="37">
        <v>316.61271769318068</v>
      </c>
      <c r="K25" s="35">
        <f t="shared" si="0"/>
        <v>-0.26796262447818575</v>
      </c>
      <c r="L25" s="35">
        <f t="shared" si="1"/>
        <v>-0.22559651189557928</v>
      </c>
      <c r="M25" s="36">
        <f t="shared" si="2"/>
        <v>-0.71246982086118571</v>
      </c>
    </row>
    <row r="26" spans="2:13">
      <c r="B26" s="41" t="str">
        <f>'Income Statement'!BE3</f>
        <v>2026E</v>
      </c>
      <c r="C26" s="37">
        <f>'Income Statement'!BE4</f>
        <v>2371.9033131222973</v>
      </c>
      <c r="D26" s="37">
        <v>3166.7942032135943</v>
      </c>
      <c r="E26" s="37">
        <f>'Income Statement'!BE13</f>
        <v>2304.3809131222974</v>
      </c>
      <c r="F26" s="37">
        <v>2898.7466189825814</v>
      </c>
      <c r="G26" s="37">
        <f>'Income Statement'!BE80</f>
        <v>505.72092666589901</v>
      </c>
      <c r="H26" s="37">
        <v>408.02598888252732</v>
      </c>
      <c r="K26" s="35">
        <f t="shared" si="0"/>
        <v>-0.25100806654397023</v>
      </c>
      <c r="L26" s="35">
        <f t="shared" si="1"/>
        <v>-0.20504231103472503</v>
      </c>
      <c r="M26" s="36">
        <f t="shared" si="2"/>
        <v>0.23943312545098339</v>
      </c>
    </row>
    <row r="27" spans="2:13">
      <c r="B27" s="41" t="str">
        <f>'Income Statement'!BF3</f>
        <v>2027E</v>
      </c>
      <c r="C27" s="37">
        <f>'Income Statement'!BF4</f>
        <v>2645.887025193595</v>
      </c>
      <c r="D27" s="37">
        <v>3478.5653202547201</v>
      </c>
      <c r="E27" s="37">
        <f>'Income Statement'!BF13</f>
        <v>2574.9885051935948</v>
      </c>
      <c r="F27" s="37">
        <v>3192.4691156421832</v>
      </c>
      <c r="G27" s="37">
        <f>'Income Statement'!BF80</f>
        <v>640.95051221325764</v>
      </c>
      <c r="H27" s="37">
        <v>499.18210657362027</v>
      </c>
      <c r="K27" s="35">
        <f t="shared" si="0"/>
        <v>-0.23937405752097585</v>
      </c>
      <c r="L27" s="35">
        <f t="shared" si="1"/>
        <v>-0.19341788066895005</v>
      </c>
      <c r="M27" s="36">
        <f t="shared" si="2"/>
        <v>0.28400137699793349</v>
      </c>
    </row>
    <row r="28" spans="2:13">
      <c r="B28" s="41" t="str">
        <f>'Income Statement'!BG3</f>
        <v>2028E</v>
      </c>
      <c r="C28" s="37">
        <f>'Income Statement'!BG4</f>
        <v>2893.875180306467</v>
      </c>
      <c r="D28" s="37">
        <v>3707.6120747794212</v>
      </c>
      <c r="E28" s="37">
        <f>'Income Statement'!BG13</f>
        <v>2819.4317343064668</v>
      </c>
      <c r="F28" s="37">
        <v>3407.2110599362568</v>
      </c>
      <c r="G28" s="37">
        <f>'Income Statement'!BG80</f>
        <v>748.35542019353386</v>
      </c>
      <c r="H28" s="37">
        <v>520.86646470441951</v>
      </c>
      <c r="K28" s="35">
        <f t="shared" si="0"/>
        <v>-0.21947735579142713</v>
      </c>
      <c r="L28" s="35">
        <f t="shared" si="1"/>
        <v>-0.17251039495063936</v>
      </c>
      <c r="M28" s="36">
        <f t="shared" si="2"/>
        <v>0.43675101183219667</v>
      </c>
    </row>
    <row r="29" spans="2:13">
      <c r="B29" s="41" t="str">
        <f>'Income Statement'!BH3</f>
        <v>2029E</v>
      </c>
      <c r="C29" s="37">
        <f>'Income Statement'!BH4</f>
        <v>3114.373036130718</v>
      </c>
      <c r="D29" s="37">
        <v>3930.5492324203337</v>
      </c>
      <c r="E29" s="37">
        <f>'Income Statement'!BH13</f>
        <v>3036.207417830718</v>
      </c>
      <c r="F29" s="37">
        <v>3615.1281668350111</v>
      </c>
      <c r="G29" s="37">
        <f>'Income Statement'!BH80</f>
        <v>867.98082682906727</v>
      </c>
      <c r="H29" s="37">
        <v>535.20317993616152</v>
      </c>
      <c r="K29" s="35">
        <f t="shared" si="0"/>
        <v>-0.20764940165551238</v>
      </c>
      <c r="L29" s="35">
        <f t="shared" si="1"/>
        <v>-0.16013837470972137</v>
      </c>
      <c r="M29" s="36">
        <f t="shared" si="2"/>
        <v>0.62177815709652373</v>
      </c>
    </row>
    <row r="30" spans="2:13">
      <c r="B30" s="41" t="str">
        <f>'Income Statement'!BI3</f>
        <v>2030E</v>
      </c>
      <c r="C30" s="37">
        <f>'Income Statement'!BI4</f>
        <v>3307.7374847192973</v>
      </c>
      <c r="D30" s="37">
        <v>4147.5524459612661</v>
      </c>
      <c r="E30" s="37">
        <f>'Income Statement'!BI13</f>
        <v>3225.6635855042973</v>
      </c>
      <c r="F30" s="37">
        <v>3816.3603270966769</v>
      </c>
      <c r="G30" s="37">
        <f>'Income Statement'!BI80</f>
        <v>985.55213656827266</v>
      </c>
      <c r="H30" s="37">
        <v>554.57928437386761</v>
      </c>
      <c r="K30" s="35">
        <f t="shared" si="0"/>
        <v>-0.20248447058451302</v>
      </c>
      <c r="L30" s="35">
        <f t="shared" si="1"/>
        <v>-0.15478012843765099</v>
      </c>
      <c r="M30" s="36">
        <f t="shared" si="2"/>
        <v>0.7771167519915263</v>
      </c>
    </row>
    <row r="31" spans="2:13">
      <c r="B31" s="41" t="str">
        <f>'Income Statement'!BJ3</f>
        <v>2031E</v>
      </c>
      <c r="C31" s="37">
        <f>'Income Statement'!BJ4</f>
        <v>3477.4954576341252</v>
      </c>
      <c r="D31" s="37">
        <v>4359.5146130684543</v>
      </c>
      <c r="E31" s="37">
        <f>'Income Statement'!BJ13</f>
        <v>3391.3178634583755</v>
      </c>
      <c r="F31" s="37">
        <v>4011.7628882606359</v>
      </c>
      <c r="G31" s="37">
        <f>'Income Statement'!BJ80</f>
        <v>1100.1974878313274</v>
      </c>
      <c r="H31" s="37">
        <v>578.69199965594566</v>
      </c>
      <c r="K31" s="35">
        <f t="shared" si="0"/>
        <v>-0.2023204952198836</v>
      </c>
      <c r="L31" s="35">
        <f t="shared" si="1"/>
        <v>-0.15465645455214438</v>
      </c>
      <c r="M31" s="36">
        <f t="shared" si="2"/>
        <v>0.90117970956128057</v>
      </c>
    </row>
    <row r="33" spans="2:6">
      <c r="C33" s="333" t="s">
        <v>65</v>
      </c>
      <c r="D33" s="333"/>
      <c r="E33" s="333" t="s">
        <v>46</v>
      </c>
      <c r="F33" s="333"/>
    </row>
    <row r="34" spans="2:6">
      <c r="C34" s="159" t="s">
        <v>199</v>
      </c>
      <c r="D34" s="159" t="s">
        <v>200</v>
      </c>
      <c r="E34" s="159" t="s">
        <v>199</v>
      </c>
      <c r="F34" s="159" t="s">
        <v>200</v>
      </c>
    </row>
    <row r="35" spans="2:6">
      <c r="B35" s="20" t="str">
        <f>B13</f>
        <v>4Q21</v>
      </c>
      <c r="C35" s="158">
        <f>E13</f>
        <v>328.34199999999998</v>
      </c>
      <c r="D35" s="158">
        <v>331</v>
      </c>
      <c r="E35" s="158">
        <f>'Income Statement'!AE43</f>
        <v>2.5870000000000459</v>
      </c>
      <c r="F35" s="158">
        <v>23</v>
      </c>
    </row>
    <row r="36" spans="2:6">
      <c r="B36" s="20" t="str">
        <f>B15</f>
        <v>1Q22</v>
      </c>
      <c r="C36" s="158">
        <f>E15</f>
        <v>341.59699999999998</v>
      </c>
      <c r="D36" s="158">
        <v>357</v>
      </c>
      <c r="E36" s="158">
        <f>'Income Statement'!AG43</f>
        <v>4.1980000000000075</v>
      </c>
      <c r="F36" s="158">
        <v>16</v>
      </c>
    </row>
    <row r="37" spans="2:6">
      <c r="B37" s="20">
        <f>B19</f>
        <v>2022</v>
      </c>
      <c r="C37" s="158">
        <f>E19</f>
        <v>1387.6659999999999</v>
      </c>
      <c r="D37" s="158">
        <v>1529</v>
      </c>
      <c r="E37" s="158">
        <f>'Income Statement'!AK43</f>
        <v>64.68299999999995</v>
      </c>
      <c r="F37" s="158">
        <v>144</v>
      </c>
    </row>
  </sheetData>
  <mergeCells count="6">
    <mergeCell ref="E3:F3"/>
    <mergeCell ref="C3:D3"/>
    <mergeCell ref="C23:D23"/>
    <mergeCell ref="E23:F23"/>
    <mergeCell ref="C33:D33"/>
    <mergeCell ref="E33:F3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FdsFormulaCache xmlns="urn:fdsformulacache" version="2" timestamp="1772649419"><![CDATA[{"WIX-US^FG_PRICE(NOW)":204.46,"JPYUSD^FG_PRICE(45650)":0.007451287,"JPYUSD^FG_PRICE(45642)":0.007451287,"JPYUSD^FG_PRICE(45634)":0.007451287,"JPYUSD^FG_PRICE(45626)":0.007451287,"JPYUSD^FG_PRICE(45618)":0.007451287,"JPYUSD^FG_PRICE(45610)":0.007451287,"JPYUSD^FG_PRICE(45602)":0.007451287,"JPYUSD^FG_PRICE(45594)":0.007451287,"JPYUSD^FG_PRICE(45586)":0.007451287,"JPYUSD^FG_PRICE(45578)":0.007451287,"JPYUSD^FG_PRICE(45570)":0.007451287,"JPYUSD^FG_PRICE(45562)":0.007451287,"JPYUSD^FG_PRICE(45554)":0.007451287,"JPYUSD^FG_PRICE(45546)":0.007451287,"JPYUSD^FG_PRICE(45538)":0.007451287,"JPYUSD^FG_PRICE(45530)":0.007451287,"JPYUSD^FG_PRICE(45522)":0.007451287,"JPYUSD^FG_PRICE(45514)":0.007451287,"JPYUSD^FG_PRICE(45506)":0.007451287,"JPYUSD^FG_PRICE(45498)":0.007451287,"JPYUSD^FG_PRICE(45490)":0.007451287,"JPYUSD^FG_PRICE(45482)":0.007451287,"JPYUSD^FG_PRICE(45474)":0.007451287,"JPYUSD^FG_PRICE(45466)":0.007451287,"JPYUSD^FG_PRICE(45458)":0.007451287,"JPYUSD^FG_PRICE(45450)":0.007451287,"JPYUSD^FG_PRICE(45442)":0.007451287,"JPYUSD^FG_PRICE(45434)":0.007451287,"JPYUSD^FG_PRICE(45426)":0.007451287,"JPYUSD^FG_PRICE(45418)":0.007451287,"JPYUSD^FG_PRICE(45410)":0.007451287,"JPYUSD^FG_PRICE(45402)":0.007451287,"JPYUSD^FG_PRICE(45394)":0.007451287,"JPYUSD^FG_PRICE(45386)":0.007451287,"JPYUSD^FG_PRICE(45378)":0.007451287,"JPYUSD^FG_PRICE(45370)":0.007451287,"JPYUSD^FG_PRICE(45362)":0.007451287,"JPYUSD^FG_PRICE(45354)":0.007451287,"JPYUSD^FG_PRICE(45346)":0.007451287,"JPYUSD^FG_PRICE(45338)":0.007451287,"JPYUSD^FG_PRICE(45330)":0.007451287,"JPYUSD^FG_PRICE(45322)":0.007451287,"JPYUSD^FG_PRICE(45314)":0.007451287,"JPYUSD^FG_PRICE(45306)":0.007451287,"JPYUSD^FG_PRICE(45298)":0.007451287,"JPYUSD^FG_PRICE(45290)":0.007451287,"JPYUSD^FG_PRICE(45282)":0.007451287,"JPYUSD^FG_PRICE(45274)":0.007451287,"JPYUSD^FG_PRICE(45266)":0.007451287,"JPYUSD^FG_PRICE(45258)":0.007451287,"JPYUSD^FG_PRICE(45250)":0.007451287,"JPYUSD^FG_PRICE(45242)":0.007451287,"JPYUSD^FG_PRICE(45234)":0.007451287,"JPYUSD^FG_PRICE(45226)":0.007451287,"JPYUSD^FG_PRICE(45218)":0.007451287,"JPYUSD^FG_PRICE(45210)":0.007451287,"JPYUSD^FG_PRICE(45202)":0.007451287,"JPYUSD^FG_PRICE(45194)":0.007451287,"JPYUSD^FG_PRICE(45186)":0.007451287,"JPYUSD^FG_PRICE(45178)":0.007451287,"JPYUSD^FG_PRICE(45170)":0.007451287,"JPYUSD^FG_PRICE(45162)":0.007451287,"JPYUSD^FG_PRICE(45154)":0.007451287,"JPYUSD^FG_PRICE(45146)":0.007451287,"JPYUSD^FG_PRICE(45138)":0.007451287,"JPYUSD^FG_PRICE(45130)":0.007451287,"JPYUSD^FG_PRICE(45122)":0.007451287,"JPYUSD^FG_PRICE(45114)":0.007451287,"JPYUSD^FG_PRICE(45106)":0.007451287,"JPYUSD^FG_PRICE(45098)":0.007451287,"JPYUSD^FG_PRICE(45090)":0.007451287,"JPYUSD^FG_PRICE(45082)":0.007451287,"JPYUSD^FG_PRICE(45074)":0.007451287,"JPYUSD^FG_PRICE(45066)":0.007451287,"JPYUSD^FG_PRICE(45058)":0.007451287,"JPYUSD^FG_PRICE(45050)":0.007451287,"JPYUSD^FG_PRICE(45042)":0.007451287,"JPYUSD^FG_PRICE(45034)":0.007451287,"JPYUSD^FG_PRICE(45026)":0.007451287,"JPYUSD^FG_PRICE(45018)":0.007451287,"JPYUSD^FG_PRICE(45010)":0.007451287,"JPYUSD^FG_PRICE(45002)":0.007451287,"JPYUSD^FG_PRICE(44994)":0.007451287,"JPYUSD^FG_PRICE(44986)":0.007451287,"JPYUSD^FG_PRICE(44978)":0.007451287,"JPYUSD^FG_PRICE(44970)":0.00753012,"JPYUSD^FG_PRICE(44962)":0.007631258,"JPYUSD^FG_PRICE(44954)":0.007693787,"JPYUSD^FG_PRICE(44946)":0.007696748,"JPYUSD^FG_PRICE(44938)":0.0077029727,"JPYUSD^FG_PRICE(44930)":0.0075740363,"JPYUSD^FG_PRICE(44922)":0.0074990625,"JPYUSD^FG_PRICE(44914)":0.007299537,"JPYUSD^FG_PRICE(44906)":0.007320912,"JPYUSD^FG_PRICE(44898)":0.0073814355,"JPYUSD^FG_PRICE(44890)":0.0071813287,"JPYUSD^FG_PRICE(44882)":0.0071133873,"JPYUSD^FG_PRICE(44874)":0.0068359706,"JPYUSD^FG_PRICE(44866)":0.0067515103,"JPYUSD^FG_PRICE(44858)":0.006722011,"JPYUSD^FG_PRICE(44850)":0.0067401337,"JPYUSD^FG_PRICE(44842)":0.0068898993,"JPYUSD^FG_PRICE(44834)":0.0069087017,"JPYUSD^FG_PRICE(44826)":0.007037545,"JPYUSD^FG_PRICE(44818)":0.0070113936,"JPYUSD^FG_PRICE(44810)":0.007006972,"JPYUSD^FG_PRICE(44802)":0.0072079864,"JPYUSD^FG_PRICE(44794)":0.007293148,"JPYUSD^FG_PRICE(44786)":0.0074791517,"JPYUSD^FG_PRICE(44778)":0.0073885256,"JPYUSD^FG_PRICE(44770)":0.0074324575,"JPYUSD^FG_PRICE(44762)":0.007241916,"JPYUSD^FG_PRICE(44754)":0.0073171626,"JPYUSD^FG_PRICE(44746)":0.007366754,"JPYUSD^FG_PRICE(44738)":0.0073953555,"JPYUSD^FG_PRICE(44730)":0.0073912563,"JPYUSD^FG_PRICE(44722)":0.007449622,"JPYUSD^FG_PRICE(44714)":0.00770149,"JPYUSD^FG_PRICE(44706)":0.007852067,"JPYUSD^FG_PRICE(44698)":0.0077360463,"JPYUSD^FG_PRICE(44690)":0.0076622483,"JPYUSD^FG_PRICE(44682)":0.0077184318,"JPYUSD^FG_PRICE(44674)":0.007784222,"JPYUSD^FG_PRICE(44666)":0.007942497,"JPYUSD^FG_PRICE(44658)":0.008069397,"JPYUSD^FG_PRICE(44650)":0.008195714,"JPYUSD^FG_PRICE(45657)":0.007451287,"JPYUSD^FG_PRICE(45649)":0.007451287,"JPYUSD^FG_PRICE(45641)":0.007451287,"JPYUSD^FG_PRICE(45633)":0.007451287,"JPYUSD^FG_PRICE(45625)":0.007451287,"JPYUSD^FG_PRICE(45617)":0.007451287,"JPYUSD^FG_PRICE(45609)":0.007451287,"JPYUSD^FG_PRICE(45601)":0.007451287,"JPYUSD^FG_PRICE(45593)":0.007451287,"JPYUSD^FG_PRICE(45585)":0.007451287,"JPYUSD^FG_PRICE(45577)":0.007451287,"JPYUSD^FG_PRICE(45569)":0.007451287,"JPYUSD^FG_PRICE(45561)":0.007451287,"JPYUSD^FG_PRICE(45553)":0.007451287,"JPYUSD^FG_PRICE(45545)":0.007451287,"JPYUSD^FG_PRICE(45537)":0.007451287,"JPYUSD^FG_PRICE(45529)":0.007451287,"JPYUSD^FG_PRICE(45521)":0.007451287,"JPYUSD^FG_PRICE(45513)":0.007451287,"JPYUSD^FG_PRICE(45505)":0.007451287,"JPYUSD^FG_PRICE(45497)":0.007451287,"JPYUSD^FG_PRICE(45489)":0.007451287,"JPYUSD^FG_PRICE(45481)":0.007451287,"JPYUSD^FG_PRICE(45473)":0.007451287,"JPYUSD^FG_PRICE(45465)":0.007451287,"JPYUSD^FG_PRICE(45457)":0.007451287,"JPYUSD^FG_PRICE(45449)":0.007451287,"JPYUSD^FG_PRICE(45441)":0.007451287,"JPYUSD^FG_PRICE(45433)":0.007451287,"JPYUSD^FG_PRICE(45425)":0.007451287,"JPYUSD^FG_PRICE(45417)":0.007451287,"JPYUSD^FG_PRICE(45409)":0.007451287,"JPYUSD^FG_PRICE(45401)":0.007451287,"JPYUSD^FG_PRICE(45393)":0.007451287,"JPYUSD^FG_PRICE(45385)":0.007451287,"JPYUSD^FG_PRICE(45377)":0.007451287,"JPYUSD^FG_PRICE(45369)":0.007451287,"JPYUSD^FG_PRICE(45361)":0.007451287,"JPYUSD^FG_PRICE(45353)":0.007451287,"JPYUSD^FG_PRICE(45345)":0.007451287,"JPYUSD^FG_PRICE(45337)":0.007451287,"JPYUSD^FG_PRICE(45329)":0.007451287,"JPYUSD^FG_PRICE(45321)":0.007451287,"JPYUSD^FG_PRICE(45313)":0.007451287,"JPYUSD^FG_PRICE(45305)":0.007451287,"JPYUSD^FG_PRICE(45297)":0.007451287,"JPYUSD^FG_PRICE(45289)":0.007451287,"JPYUSD^FG_PRICE(45281)":0.007451287,"JPYUSD^FG_PRICE(45273)":0.007451287,"JPYUSD^FG_PRICE(45265)":0.007451287,"JPYUSD^FG_PRICE(45257)":0.007451287,"JPYUSD^FG_PRICE(45249)":0.007451287,"JPYUSD^FG_PRICE(45241)":0.007451287,"JPYUSD^FG_PRICE(45233)":0.007451287,"JPYUSD^FG_PRICE(45225)":0.007451287,"JPYUSD^FG_PRICE(45217)":0.007451287,"JPYUSD^FG_PRICE(45209)":0.007451287,"JPYUSD^FG_PRICE(45201)":0.007451287,"JPYUSD^FG_PRICE(45193)":0.007451287,"JPYUSD^FG_PRICE(45185)":0.007451287,"JPYUSD^FG_PRICE(45177)":0.007451287,"JPYUSD^FG_PRICE(45169)":0.007451287,"JPYUSD^FG_PRICE(45161)":0.007451287,"JPYUSD^FG_PRICE(45153)":0.007451287,"JPYUSD^FG_PRICE(45145)":0.007451287,"JPYUSD^FG_PRICE(45137)":0.007451287,"JPYUSD^FG_PRICE(45129)":0.007451287,"JPYUSD^FG_PRICE(45121)":0.007451287,"JPYUSD^FG_PRICE(45113)":0.007451287,"JPYUSD^FG_PRICE(45105)":0.007451287,"JPYUSD^FG_PRICE(45097)":0.007451287,"JPYUSD^FG_PRICE(45089)":0.007451287,"JPYUSD^FG_PRICE(45081)":0.007451287,"JPYUSD^FG_PRICE(45073)":0.007451287,"JPYUSD^FG_PRICE(45065)":0.007451287,"JPYUSD^FG_PRICE(45057)":0.007451287,"JPYUSD^FG_PRICE(45049)":0.007451287,"JPYUSD^FG_PRICE(45041)":0.007451287,"JPYUSD^FG_PRICE(45033)":0.007451287,"JPYUSD^FG_PRICE(45025)":0.007451287,"JPYUSD^FG_PRICE(45017)":0.007451287,"JPYUSD^FG_PRICE(45009)":0.007451287,"JPYUSD^FG_PRICE(45001)":0.007451287,"JPYUSD^FG_PRICE(44993)":0.007451287,"JPYUSD^FG_PRICE(44985)":0.007451287,"JPYUSD^FG_PRICE(44977)":0.007451287,"JPYUSD^FG_PRICE(44969)":0.0076155663,"JPYUSD^FG_PRICE(44961)":0.007631258,"JPYUSD^FG_PRICE(44953)":0.007693787,"JPYUSD^FG_PRICE(44945)":0.007784222,"JPYUSD^FG_PRICE(44937)":0.007542331,"JPYUSD^FG_PRICE(44929)":0.0076478906,"JPYUSD^FG_PRICE(44921)":0.007527286,"JPYUSD^FG_PRICE(44913)":0.0073171626,"JPYUSD^FG_PRICE(44905)":0.007320912,"JPYUSD^FG_PRICE(44897)":0.0073814355,"JPYUSD^FG_PRICE(44889)":0.007226739,"JPYUSD^FG_PRICE(44881)":0.0071764328,"JPYUSD^FG_PRICE(44873)":0.0068730884,"JPYUSD^FG_PRICE(44865)":0.0067278906,"JPYUSD^FG_PRICE(44857)":0.006667111,"JPYUSD^FG_PRICE(44849)":0.0067401337,"JPYUSD^FG_PRICE(44841)":0.0068898993,"JPYUSD^FG_PRICE(44833)":0.0069158683,"JPYUSD^FG_PRICE(44825)":0.0069384216,"JPYUSD^FG_PRICE(44817)":0.00693313,"JPYUSD^FG_PRICE(44809)":0.0071151587,"JPYUSD^FG_PRICE(44801)":0.0072849127,"JPYUSD^FG_PRICE(44793)":0.007293148,"JPYUSD^FG_PRICE(44785)":0.0074791517,"JPYUSD^FG_PRICE(44777)":0.0075111734,"JPYUSD^FG_PRICE(44769)":0.007284648,"JPYUSD^FG_PRICE(44761)":0.007253472,"JPYUSD^FG_PRICE(44753)":0.0072756372,"JPYUSD^FG_PRICE(44745)":0.0074011027,"JPYUSD^FG_PRICE(44737)":0.0073953555,"JPYUSD^FG_PRICE(44729)":0.0073912563,"JPYUSD^FG_PRICE(44721)":0.007446848,"JPYUSD^FG_PRICE(44713)":0.0076958593,"JPYUSD^FG_PRICE(44705)":0.007902327,"JPYUSD^FG_PRICE(44697)":0.007748034,"JPYUSD^FG_PRICE(45656)":0.007451287,"JPYUSD^FG_PRICE(45648)":0.007451287,"JPYUSD^FG_PRICE(45640)":0.007451287,"JPYUSD^FG_PRICE(45632)":0.007451287,"JPYUSD^FG_PRICE(45624)":0.007451287,"JPYUSD^FG_PRICE(45616)":0.007451287,"JPYUSD^FG_PRICE(45608)":0.007451287,"JPYUSD^FG_PRICE(45600)":0.007451287,"JPYUSD^FG_PRICE(45592)":0.007451287,"JPYUSD^FG_PRICE(45584)":0.007451287,"JPYUSD^FG_PRICE(45576)":0.007451287,"JPYUSD^FG_PRICE(45568)":0.007451287,"JPYUSD^FG_PRICE(45560)":0.007451287,"JPYUSD^FG_PRICE(45552)":0.007451287,"JPYUSD^FG_PRICE(45544)":0.007451287,"JPYUSD^FG_PRICE(45536)":0.007451287,"JPYUSD^FG_PRICE(45528)":0.007451287,"JPYUSD^FG_PRICE(45520)":0.007451287,"JPYUSD^FG_PRICE(45512)":0.007451287,"JPYUSD^FG_PRICE(45504)":0.007451287,"JPYUSD^FG_PRICE(45496)":0.007451287,"JPYUSD^FG_PRICE(45488)":0.007451287,"JPYUSD^FG_PRICE(45480)":0.007451287,"JPYUSD^FG_PRICE(45472)":0.007451287,"JPYUSD^FG_PRICE(45464)":0.007451287,"JPYUSD^FG_PRICE(45456)":0.007451287,"JPYUSD^FG_PRICE(45448)":0.007451287,"JPYUSD^FG_PRICE(45440)":0.007451287,"JPYUSD^FG_PRICE(45432)":0.007451287,"JPYUSD^FG_PRICE(45424)":0.007451287,"JPYUSD^FG_PRICE(45416)":0.007451287,"JPYUSD^FG_PRICE(45408)":0.007451287,"JPYUSD^FG_PRICE(45400)":0.007451287,"JPYUSD^FG_PRICE(45392)":0.007451287,"JPYUSD^FG_PRICE(45384)":0.007451287,"JPYUSD^FG_PRICE(45376)":0.007451287,"JPYUSD^FG_PRICE(45368)":0.007451287,"JPYUSD^FG_PRICE(45360)":0.007451287,"JPYUSD^FG_PRICE(45352)":0.007451287,"JPYUSD^FG_PRICE(45344)":0.007451287,"JPYUSD^FG_PRICE(45336)":0.007451287,"JPYUSD^FG_PRICE(45328)":0.007451287,"JPYUSD^FG_PRICE(45320)":0.007451287,"JPYUSD^FG_PRICE(45312)":0.007451287,"JPYUSD^FG_PRICE(45304)":0.007451287,"JPYUSD^FG_PRICE(45296)":0.007451287,"JPYUSD^FG_PRICE(45288)":0.007451287,"JPYUSD^FG_PRICE(45280)":0.007451287,"JPYUSD^FG_PRICE(45272)":0.007451287,"JPYUSD^FG_PRICE(45264)":0.007451287,"JPYUSD^FG_PRICE(45256)":0.007451287,"JPYUSD^FG_PRICE(45248)":0.007451287,"JPYUSD^FG_PRICE(45240)":0.007451287,"JPYUSD^FG_PRICE(45232)":0.007451287,"JPYUSD^FG_PRICE(45224)":0.007451287,"JPYUSD^FG_PRICE(45216)":0.007451287,"JPYUSD^FG_PRICE(45208)":0.007451287,"JPYUSD^FG_PRICE(45200)":0.007451287,"JPYUSD^FG_PRICE(45192)":0.007451287,"JPYUSD^FG_PRICE(45184)":0.007451287,"JPYUSD^FG_PRICE(45176)":0.007451287,"JPYUSD^FG_PRICE(45168)":0.007451287,"JPYUSD^FG_PRICE(45160)":0.007451287,"JPYUSD^FG_PRICE(45152)":0.007451287,"JPYUSD^FG_PRICE(45144)":0.007451287,"JPYUSD^FG_PRICE(45136)":0.007451287,"JPYUSD^FG_PRICE(45128)":0.007451287,"JPYUSD^FG_PRICE(45120)":0.007451287,"JPYUSD^FG_PRICE(45112)":0.007451287,"JPYUSD^FG_PRICE(45104)":0.007451287,"JPYUSD^FG_PRICE(45096)":0.007451287,"JPYUSD^FG_PRICE(45088)":0.007451287,"JPYUSD^FG_PRICE(45080)":0.007451287,"JPYUSD^FG_PRICE(45072)":0.007451287,"JPYUSD^FG_PRICE(45064)":0.007451287,"JPYUSD^FG_PRICE(45056)":0.007451287,"JPYUSD^FG_PRICE(45048)":0.007451287,"JPYUSD^FG_PRICE(45040)":0.007451287,"JPYUSD^FG_PRICE(45032)":0.007451287,"JPYUSD^FG_PRICE(45024)":0.007451287,"JPYUSD^FG_PRICE(45016)":0.007451287,"JPYUSD^FG_PRICE(45008)":0.007451287,"JPYUSD^FG_PRICE(45000)":0.007451287,"JPYUSD^FG_PRICE(44992)":0.007451287,"JPYUSD^FG_PRICE(44984)":0.007451287,"JPYUSD^FG_PRICE(44976)":0.007451287,"JPYUSD^FG_PRICE(44968)":0.0076155663,"JPYUSD^FG_PRICE(44960)":0.007631258,"JPYUSD^FG_PRICE(44952)":0.0076654786,"JPYUSD^FG_PRICE(44944)":0.0077887685,"JPYUSD^FG_PRICE(44936)":0.007565155,"JPYUSD^FG_PRICE(45654)":0.007451287,"JPYUSD^FG_PRICE(45646)":0.007451287,"JPYUSD^FG_PRICE(45638)":0.007451287,"JPYUSD^FG_PRICE(45630)":0.007451287,"JPYUSD^FG_PRICE(45622)":0.007451287,"JPYUSD^FG_PRICE(45614)":0.007451287,"JPYUSD^FG_PRICE(45606)":0.007451287,"JPYUSD^FG_PRICE(45598)":0.007451287,"JPYUSD^FG_PRICE(45590)":0.007451287,"JPYUSD^FG_PRICE(45582)":0.007451287,"JPYUSD^FG_PRICE(45574)":0.007451287,"JPYUSD^FG_PRICE(45566)":0.007451287,"JPYUSD^FG_PRICE(45558)":0.007451287,"JPYUSD^FG_PRICE(45550)":0.007451287,"JPYUSD^FG_PRICE(45542)":0.007451287,"JPYUSD^FG_PRICE(45534)":0.007451287,"JPYUSD^FG_PRICE(45526)":0.007451287,"JPYUSD^FG_PRICE(45518)":0.007451287,"JPYUSD^FG_PRICE(45510)":0.007451287,"JPYUSD^FG_PRICE(45502)":0.007451287,"JPYUSD^FG_PRICE(45494)":0.007451287,"JPYUSD^FG_PRICE(45486)":0.007451287,"JPYUSD^FG_PRICE(45478)":0.007451287,"JPYUSD^FG_PRICE(45470)":0.007451287,"JPYUSD^FG_PRICE(45462)":0.007451287,"JPYUSD^FG_PRICE(45454)":0.007451287,"JPYUSD^FG_PRICE(45446)":0.007451287,"JPYUSD^FG_PRICE(45438)":0.007451287,"JPYUSD^FG_PRICE(45430)":0.007451287,"JPYUSD^FG_PRICE(45422)":0.007451287,"JPYUSD^FG_PRICE(45414)":0.007451287,"JPYUSD^FG_PRICE(45406)":0.007451287,"JPYUSD^FG_PRICE(45398)":0.007451287,"JPYUSD^FG_PRICE(45390)":0.007451287,"JPYUSD^FG_PRICE(45382)":0.007451287,"JPYUSD^FG_PRICE(45374)":0.007451287,"JPYUSD^FG_PRICE(45366)":0.007451287,"JPYUSD^FG_PRICE(45358)":0.007451287,"JPYUSD^FG_PRICE(45350)":0.007451287,"JPYUSD^FG_PRICE(45342)":0.007451287,"JPYUSD^FG_PRICE(45334)":0.007451287,"JPYUSD^FG_PRICE(45326)":0.007451287,"JPYUSD^FG_PRICE(45318)":0.007451287,"JPYUSD^FG_PRICE(45310)":0.007451287,"JPYUSD^FG_PRICE(45302)":0.007451287,"JPYUSD^FG_PRICE(45294)":0.007451287,"JPYUSD^FG_PRICE(45286)":0.007451287,"JPYUSD^FG_PRICE(45278)":0.007451287,"JPYUSD^FG_PRICE(45270)":0.007451287,"JPYUSD^FG_PRICE(45262)":0.007451287,"JPYUSD^FG_PRICE(45254)":0.007451287,"JPYUSD^FG_PRICE(45246)":0.007451287,"JPYUSD^FG_PRICE(45238)":0.007451287,"JPYUSD^FG_PRICE(45230)":0.007451287,"JPYUSD^FG_PRICE(45222)":0.007451287,"JPYUSD^FG_PRICE(45214)":0.007451287,"JPYUSD^FG_PRICE(45206)":0.007451287,"JPYUSD^FG_PRICE(45198)":0.007451287,"JPYUSD^FG_PRICE(45190)":0.007451287,"JPYUSD^FG_PRICE(45182)":0.007451287,"JPYUSD^FG_PRICE(45174)":0.007451287,"JPYUSD^FG_PRICE(45166)":0.007451287,"JPYUSD^FG_PRICE(45158)":0.007451287,"JPYUSD^FG_PRICE(45150)":0.007451287,"JPYUSD^FG_PRICE(45142)":0.007451287,"JPYUSD^FG_PRICE(45134)":0.007451287,"JPYUSD^FG_PRICE(45126)":0.007451287,"JPYUSD^FG_PRICE(45118)":0.007451287,"JPYUSD^FG_PRICE(45110)":0.007451287,"JPYUSD^FG_PRICE(45102)":0.007451287,"JPYUSD^FG_PRICE(45094)":0.007451287,"JPYUSD^FG_PRICE(45086)":0.007451287,"JPYUSD^FG_PRICE(45078)":0.007451287,"JPYUSD^FG_PRICE(45070)":0.007451287,"JPYUSD^FG_PRICE(45062)":0.007451287,"JPYUSD^FG_PRICE(45054)":0.007451287,"JPYUSD^FG_PRICE(45046)":0.007451287,"JPYUSD^FG_PRICE(45038)":0.007451287,"JPYUSD^FG_PRICE(45030)":0.007451287,"JPYUSD^FG_PRICE(45022)":0.007451287,"JPYUSD^FG_PRICE(45014)":0.007451287,"JPYUSD^FG_PRICE(45006)":0.007451287,"JPYUSD^FG_PRICE(44998)":0.007451287,"JPYUSD^FG_PRICE(44990)":0.007451287,"JPYUSD^FG_PRICE(44982)":0.007451287,"JPYUSD^FG_PRICE(44974)":0.007451287,"JPYUSD^FG_PRICE(44966)":0.0076376693,"JPYUSD^FG_PRICE(44958)":0.0077366442,"JPYUSD^FG_PRICE(44950)":0.0076863947,"JPYUSD^FG_PRICE(44942)":0.0077802846,"JPYUSD^FG_PRICE(44934)":0.0075517297,"JPYUSD^FG_PRICE(44926)":0.007578915,"JPYUSD^FG_PRICE(44918)":0.007527286,"JPYUSD^FG_PRICE(44910)":0.0072706128,"JPYUSD^FG_PRICE(44902)":0.0073150215,"JPYUSD^FG_PRICE(44894)":0.0072293514,"JPYUSD^FG_PRICE(44886)":0.0070454786,"JPYUSD^FG_PRICE(44878)":0.0071908818,"JPYUSD^FG_PRICE(44870)":0.006791402,"JPYUSD^FG_PRICE(44862)":0.006779202,"JPYUSD^FG_PRICE(44854)":0.006685162,"JPYUSD^FG_PRICE(44846)":0.006809438,"JPYUSD^FG_PRICE(44838)":0.006922571,"JPYUSD^FG_PRICE(44830)":0.006927367,"JPYUSD^FG_PRICE(44822)":0.0069959424,"JPYUSD^FG_PRICE(44814)":0.0070200074,"JPYUSD^FG_PRICE(44806)":0.007141072,"JPYUSD^FG_PRICE(44798)":0.007315556,"JPYUSD^FG_PRICE(44790)":0.007381981,"JPYUSD^FG_PRICE(44782)":0.007410152,"JPYUSD^FG_PRICE(44774)":0.007585527,"JPYUSD^FG_PRICE(44766)":0.007350509,"JPYUSD^FG_PRICE(44758)":0.0072157877,"JPYUSD^FG_PRICE(44750)":0.0073494283,"JPYUSD^FG_PRICE(44742)":0.0073607895,"JPYUSD^FG_PRICE(44734)":0.0073610595,"JPYUSD^FG_PRICE(44726)":0.0074280407,"JPYUSD^FG_PRICE(44718)":0.007614116,"JPYUSD^FG_PRICE(44710)":0.007866274,"JPYUSD^FG_PRICE(44702)":0.0078115845,"JPYUSD^FG_PRICE(44694)":0.0077294684,"JPYUSD^FG_PRICE(44686)":0.007677838,"JPYUSD^FG_PRICE(44678)":0.007792714,"JPYUSD^FG_PRICE(44670)":0.0077618654,"JPYUSD^FG_PRICE(44662)":0.007966541,"JPYUSD^FG_PRICE(44654)":0.008139676,"JPYUSD^FG_PRICE(44646)":0.0081977295,"JPYUSD^FG_PRICE(45653)":0.007451287,"JPYUSD^FG_PRICE(45645)":0.007451287,"JPYUSD^FG_PRICE(45637)":0.007451287,"JPYUSD^FG_PRICE(45629)":0.007451287,"JPYUSD^FG_PRICE(45621)":0.007451287,"JPYUSD^FG_PRICE(45613)":0.007451287,"JPYUSD^FG_PRICE(45605)":0.007451287,"JPYUSD^FG_PRICE(45597)":0.007451287,"JPYUSD^FG_PRICE(45589)":0.007451287,"JPYUSD^FG_PRICE(45581)":0.007451287,"JPYUSD^FG_PRICE(45573)":0.007451287,"JPYUSD^FG_PRICE(45565)":0.007451287,"JPYUSD^FG_PRICE(45557)":0.007451287,"JPYUSD^FG_PRICE(45549)":0.007451287,"JPYUSD^FG_PRICE(45541)":0.007451287,"JPYUSD^FG_PRICE(45533)":0.007451287,"JPYUSD^FG_PRICE(45525)":0.007451287,"JPYUSD^FG_PRICE(45517)":0.007451287,"JPYUSD^FG_PRICE(45509)":0.007451287,"JPYUSD^FG_PRICE(45501)":0.007451287,"JPYUSD^FG_PRICE(45493)":0.007451287,"JPYUSD^FG_PRICE(45485)":0.007451287,"JPYUSD^FG_PRICE(45477)":0.007451287,"JPYUSD^FG_PRICE(45469)":0.007451287,"JPYUSD^FG_PRICE(45461)":0.007451287,"JPYUSD^FG_PRICE(45453)":0.007451287,"JPYUSD^FG_PRICE(45445)":0.007451287,"JPYUSD^FG_PRICE(45437)":0.007451287,"JPYUSD^FG_PRICE(45429)":0.007451287,"JPYUSD^FG_PRICE(45421)":0.007451287,"JPYUSD^FG_PRICE(45413)":0.007451287,"JPYUSD^FG_PRICE(45405)":0.007451287,"JPYUSD^FG_PRICE(45397)":0.007451287,"JPYUSD^FG_PRICE(45389)":0.007451287,"JPYUSD^FG_PRICE(45381)":0.007451287,"JPYUSD^FG_PRICE(45373)":0.007451287,"JPYUSD^FG_PRICE(45365)":0.007451287,"JPYUSD^FG_PRICE(45357)":0.007451287,"JPYUSD^FG_PRICE(45349)":0.007451287,"JPYUSD^FG_PRICE(45341)":0.007451287,"JPYUSD^FG_PRICE(45333)":0.007451287,"JPYUSD^FG_PRICE(45325)":0.007451287,"JPYUSD^FG_PRICE(45317)":0.007451287,"JPYUSD^FG_PRICE(45309)":0.007451287,"JPYUSD^FG_PRICE(45301)":0.007451287,"JPYUSD^FG_PRICE(45293)":0.007451287,"JPYUSD^FG_PRICE(45285)":0.007451287,"JPYUSD^FG_PRICE(45277)":0.007451287,"JPYUSD^FG_PRICE(45269)":0.007451287,"JPYUSD^FG_PRICE(45261)":0.007451287,"JPYUSD^FG_PRICE(45253)":0.007451287,"JPYUSD^FG_PRICE(45245)":0.007451287,"JPYUSD^FG_PRICE(45237)":0.007451287,"JPYUSD^FG_PRICE(45229)":0.007451287,"JPYUSD^FG_PRICE(45221)":0.007451287,"JPYUSD^FG_PRICE(45213)":0.007451287,"JPYUSD^FG_PRICE(45205)":0.007451287,"JPYUSD^FG_PRICE(45197)":0.007451287,"JPYUSD^FG_PRICE(45189)":0.007451287,"JPYUSD^FG_PRICE(45181)":0.007451287,"JPYUSD^FG_PRICE(45173)":0.007451287,"JPYUSD^FG_PRICE(45165)":0.007451287,"JPYUSD^FG_PRICE(45157)":0.007451287,"JPYUSD^FG_PRICE(45149)":0.007451287,"JPYUSD^FG_PRICE(45141)":0.007451287,"JPYUSD^FG_PRICE(45133)":0.007451287,"JPYUSD^FG_PRICE(45125)":0.007451287,"JPYUSD^FG_PRICE(45117)":0.007451287,"JPYUSD^FG_PRICE(45109)":0.007451287,"JPYUSD^FG_PRICE(45101)":0.007451287,"JPYUSD^FG_PRICE(45093)":0.007451287,"JPYUSD^FG_PRICE(45085)":0.007451287,"JPYUSD^FG_PRICE(45077)":0.007451287,"JPYUSD^FG_PRICE(45069)":0.007451287,"JPYUSD^FG_PRICE(45061)":0.007451287,"JPYUSD^FG_PRICE(45053)":0.007451287,"JPYUSD^FG_PRICE(45045)":0.007451287,"JPYUSD^FG_PRICE(45037)":0.007451287,"JPYUSD^FG_PRICE(45029)":0.007451287,"JPYUSD^FG_PRICE(45021)":0.007451287,"JPYUSD^FG_PRICE(45013)":0.007451287,"JPYUSD^FG_PRICE(45005)":0.007451287,"JPYUSD^FG_PRICE(44997)":0.007451287,"JPYUSD^FG_PRICE(44989)":0.007451287,"JPYUSD^FG_PRICE(44981)":0.007451287,"JPYUSD^FG_PRICE(44973)":0.007451287,"JPYUSD^FG_PRICE(44965)":0.0076071657,"JPYUSD^FG_PRICE(44957)":0.007689646,"JPYUSD^FG_PRICE(44949)":0.0076555023,"JPYUSD^FG_PRICE(44941)":0.007842215,"JPYUSD^FG_PRICE(44933)":0.0075517297,"JPYUSD^FG_PRICE(45655)":0.007451287,"JPYUSD^FG_PRICE(45635)":0.007451287,"JPYUSD^FG_PRICE(45612)":0.007451287,"JPYUSD^FG_PRICE(45591)":0.007451287,"JPYUSD^FG_PRICE(45571)":0.007451287,"JPYUSD^FG_PRICE(45548)":0.007451287,"JPYUSD^FG_PRICE(45527)":0.007451287,"JPYUSD^FG_PRICE(45507)":0.007451287,"JPYUSD^FG_PRICE(45484)":0.007451287,"JPYUSD^FG_PRICE(45463)":0.007451287,"JPYUSD^FG_PRICE(45443)":0.007451287,"JPYUSD^FG_PRICE(45420)":0.007451287,"JPYUSD^FG_PRICE(45399)":0.007451287,"JPYUSD^FG_PRICE(45379)":0.007451287,"JPYUSD^FG_PRICE(45356)":0.007451287,"JPYUSD^FG_PRICE(45335)":0.007451287,"JPYUSD^FG_PRICE(45315)":0.007451287,"JPYUSD^FG_PRICE(45292)":0.007451287,"JPYUSD^FG_PRICE(45271)":0.007451287,"JPYUSD^FG_PRICE(45251)":0.007451287,"JPYUSD^FG_PRICE(45228)":0.007451287,"JPYUSD^FG_PRICE(45207)":0.007451287,"JPYUSD^FG_PRICE(45187)":0.007451287,"JPYUSD^FG_PRICE(45164)":0.007451287,"JPYUSD^FG_PRICE(45143)":0.007451287,"JPYUSD^FG_PRICE(45123)":0.007451287,"JPYUSD^FG_PRICE(45100)":0.007451287,"JPYUSD^FG_PRICE(45079)":0.007451287,"JPYUSD^FG_PRICE(45059)":0.007451287,"JPYUSD^FG_PRICE(45036)":0.007451287,"JPYUSD^FG_PRICE(45015)":0.007451287,"JPYUSD^FG_PRICE(44995)":0.007451287,"JPYUSD^FG_PRICE(44972)":0.0074462937,"JPYUSD^FG_PRICE(44951)":0.007715454,"JPYUSD^FG_PRICE(44931)":0.0074696545,"JPYUSD^FG_PRICE(44917)":0.0075611505,"JPYUSD^FG_PRICE(44904)":0.007320912,"JPYUSD^FG_PRICE(44892)":0.0071813287,"JPYUSD^FG_PRICE(44879)":0.0071217464,"JPYUSD^FG_PRICE(44867)":0.0067962487,"JPYUSD^FG_PRICE(44853)":0.006678911,"JPYUSD^FG_PRICE(44840)":0.006902026,"JPYUSD^FG_PRICE(44828)":0.0069790976,"JPYUSD^FG_PRICE(44815)":0.0070200074,"JPYUSD^FG_PRICE(44803)":0.0071976106,"JPYUSD^FG_PRICE(44789)":0.007441307,"JPYUSD^FG_PRICE(44776)":0.007441307,"JPYUSD^FG_PRICE(44764)":0.007350509,"JPYUSD^FG_PRICE(44751)":0.0073494283,"JPYUSD^FG_PRICE(44739)":0.0073967227,"JPYUSD^FG_PRICE(44725)":0.007469375,"JPYUSD^FG_PRICE(44712)":0.0077733295,"JPYUSD^FG_PRICE(44700)":0.007849602,"JPYUSD^FG_PRICE(44688)":0.007668418,"JPYUSD^FG_PRICE(44677)":0.00786349,"JPYUSD^FG_PRICE(44667)":0.007942497,"JPYUSD^FG_PRICE(44656)":0.008110629,"JPYUSD^FG_PRICE(44645)":0.0081977295,"JPYUSD^FG_PRICE(44637)":0.008443093,"JPYUSD^FG_PRICE(44629)":0.00863446,"JPYUSD^FG_PRICE(44621)":0.008710422,"JPYUSD^FG_PRICE(44613)":0.008708146,"JPYUSD^FG_PRICE(44605)":0.008629617,"JPYUSD^FG_PRICE(44597)":0.008675661,"JPYUSD^FG_PRICE(44589)":0.008682063,"JPYUSD^FG_PRICE(44581)":0.0087723145,"JPYUSD^FG_PRICE(44573)":0.008707009,"JPYUSD^FG_PRICE(44565)":0.008611781,"JPYUSD^FG_PRICE(44557)":0.008704356,"JPYUSD^FG_PRICE(44549)":0.008800105,"JPYUSD^FG_PRICE(44541)":0.008816399,"JPYUSD^FG_PRICE(44533)":0.008831972,"JPYUSD^FG_PRICE(44525)":0.0086681405,"JPYUSD^FG_PRICE(44517)":0.008730194,"JPYUSD^FG_PRICE(44509)":0.008854651,"JPYUSD^FG_PRICE(44501)":0.0087569505,"JPYUSD^FG_PRICE(44493)":0.008803205,"JPYUSD^FG_PRICE(44485)":0.008766931,"JPYUSD^FG_PRICE(44477)":0.008925384,"JPYUSD^FG_PRICE(44469)":0.008962582,"JPYUSD^FG_PRICE(44461)":0.009121591,"JPYUSD^FG_PRICE(44453)":0.009119095,"JPYUSD^FG_PRICE(44445)":0.009102908,"JPYUSD^FG_PRICE(44437)":0.009092975,"JPYUSD^FG_PRICE(44429)":0.009107053,"JPYUSD^FG_PRICE(44421)":0.00910208,"JPYUSD^FG_PRICE(44413)":0.00911577,"JPYUSD^FG_PRICE(44405)":0.0090818275,"JPYUSD^FG_PRICE(44397)":0.009096284,"JPYUSD^FG_PRICE(44389)":0.009068239,"JPYUSD^FG_PRICE(44381)":0.008983515,"JPYUSD^FG_PRICE(44373)":0.009027308,"JPYUSD^FG_PRICE(44365)":0.009071118,"JPYUSD^FG_PRICE(44357)":0.009123671,"JPYUSD^FG_PRICE(44349)":0.009122839,"JPYUSD^FG_PRICE(44341)":0.009180629,"JPYUSD^FG_PRICE(44333)":0.009158768,"JPYUSD^FG_PRICE(44325)":0.009211072,"JPYUSD^FG_PRICE(44317)":0.009148712,"JPYUSD^FG_PRICE(44309)":0.009251977,"JPYUSD^FG_PRICE(44301)":0.009197094,"JPYUSD^FG_PRICE(44293)":0.009122007,"JPYUSD^FG_PRICE(44285)":0.009065772,"JPYUSD^FG_PRICE(44277)":0.009201325,"JPYUSD^FG_PRICE(44269)":0.009175574,"JPYUSD^FG_PRICE(44261)":0.009237449,"JPYUSD^FG_PRICE(44253)":0.0093861455,"JPYUSD^FG_PRICE(44245)":0.009453136,"JPYUSD^FG_PRICE(44237)":0.009554292,"JPYUSD^FG_PRICE(44229)":0.009514748,"JPYUSD^FG_PRICE(44221)":0.009635768,"JPYUSD^FG_PRICE(44213)":0.009626956,"JPYUSD^FG_PRICE(44205)":0.009634376,"JPYUSD^FG_PRICE(44197)":0.0096857,"JPYUSD^FG_PRICE(44189)":0.009649715,"JPYUSD^FG_PRICE(44181)":0.009660436,"JPYUSD^FG_PRICE(44173)":0.009603841,"JPYUSD^FG_PRICE(44165)":0.009590026,"JPYUSD^FG_PRICE(44157)":0.009632519,"JPYUSD^FG_PRICE(44149)":0.009556575,"JPYUSD^FG_PRICE(44141)":0.009680074,"JPYUSD^FG_PRICE(44133)":0.009551555,"JPYUSD^FG_PRICE(44125)":0.00957671,"JPYUSD^FG_PRICE(44117)":0.009475529,"JPYUSD^FG_PRICE(45652)":0.007451287,"JPYUSD^FG_PRICE(45631)":0.007451287,"JPYUSD^FG_PRICE(45611)":0.007451287,"JPYUSD^FG_PRICE(45588)":0.007451287,"JPYUSD^FG_PRICE(45567)":0.007451287,"JPYUSD^FG_PRICE(45547)":0.007451287,"JPYUSD^FG_PRICE(45524)":0.007451287,"JPYUSD^FG_PRICE(45503)":0.007451287,"JPYUSD^FG_PRICE(45483)":0.007451287,"JPYUSD^FG_PRICE(45460)":0.007451287,"JPYUSD^FG_PRICE(45439)":0.007451287,"JPYUSD^FG_PRICE(45419)":0.007451287,"JPYUSD^FG_PRICE(45396)":0.007451287,"JPYUSD^FG_PRICE(45375)":0.007451287,"JPYUSD^FG_PRICE(45355)":0.007451287,"JPYUSD^FG_PRICE(45332)":0.007451287,"JPYUSD^FG_PRICE(45311)":0.007451287,"JPYUSD^FG_PRICE(45291)":0.007451287,"JPYUSD^FG_PRICE(45268)":0.007451287,"JPYUSD^FG_PRICE(45247)":0.007451287,"JPYUSD^FG_PRICE(45227)":0.007451287,"JPYUSD^FG_PRICE(45204)":0.007451287,"JPYUSD^FG_PRICE(45183)":0.007451287,"JPYUSD^FG_PRICE(45163)":0.007451287,"JPYUSD^FG_PRICE(45140)":0.007451287,"JPYUSD^FG_PRICE(45119)":0.007451287,"JPYUSD^FG_PRICE(45099)":0.007451287,"JPYUSD^FG_PRICE(45076)":0.007451287,"JPYUSD^FG_PRICE(45055)":0.007451287,"JPYUSD^FG_PRICE(45035)":0.007451287,"JPYUSD^FG_PRICE(45012)":0.007451287,"JPYUSD^FG_PRICE(44991)":0.007451287,"JPYUSD^FG_PRICE(44971)":0.00752927,"JPYUSD^FG_PRICE(44948)":0.007696748,"JPYUSD^FG_PRICE(44928)":0.007578916,"JPYUSD^FG_PRICE(44916)":0.0075760446,"JPYUSD^FG_PRICE(44903)":0.007326276,"JPYUSD^FG_PRICE(44891)":0.0071813287,"JPYUSD^FG_PRICE(44877)":0.0071908818,"JPYUSD^FG_PRICE(44864)":0.006779202,"JPYUSD^FG_PRICE(44852)":0.006707133,"JPYUSD^FG_PRICE(44839)":0.006907747,"JPYUSD^FG_PRICE(44827)":0.0069790976,"JPYUSD^FG_PRICE(44813)":0.0070200074,"JPYUSD^FG_PRICE(44800)":0.0072849127,"JPYUSD^FG_PRICE(44788)":0.007519645,"JPYUSD^FG_PRICE(44775)":0.0075898445,"JPYUSD^FG_PRICE(44763)":0.007255051,"JPYUSD^FG_PRICE(44749)":0.0073559154,"JPYUSD^FG_PRICE(44736)":0.0073953555,"JPYUSD^FG_PRICE(44724)":0.007449622,"JPYUSD^FG_PRICE(44711)":0.0078348415,"JPYUSD^FG_PRICE(44699)":0.007783615,"JPYUSD^FG_PRICE(44687)":0.007668418,"JPYUSD^FG_PRICE(44676)":0.007819525,"JPYUSD^FG_PRICE(44665)":0.007942497,"JPYUSD^FG_PRICE(44655)":0.0081482995,"JPYUSD^FG_PRICE(44644)":0.008192692,"JPYUSD^FG_PRICE(44636)":0.008439175,"JPYUSD^FG_PRICE(44628)":0.008650519,"JPYUSD^FG_PRICE(44620)":0.008682439,"JPYUSD^FG_PRICE(44612)":0.008684702,"JPYUSD^FG_PRICE(44604)":0.008629617,"JPYUSD^FG_PRICE(44596)":0.008675661,"JPYUSD^FG_PRICE(44588)":0.0086621335,"JPYUSD^FG_PRICE(44580)":0.008745846,"JPYUSD^FG_PRICE(44572)":0.008659883,"JPYUSD^FG_PRICE(44564)":0.008673026,"JPYUSD^FG_PRICE(44556)":0.008742405,"JPYUSD^FG_PRICE(44548)":0.008800105,"JPYUSD^FG_PRICE(44540)":0.008816399,"JPYUSD^FG_PRICE(44532)":0.008852299,"JPYUSD^FG_PRICE(44524)":0.0086621335,"JPYUSD^FG_PRICE(44516)":0.008727908,"JPYUSD^FG_PRICE(44508)":0.008834313,"JPYUSD^FG_PRICE(44500)":0.008770007,"JPYUSD^FG_PRICE(44492)":0.008803205,"JPYUSD^FG_PRICE(44484)":0.008766931,"JPYUSD^FG_PRICE(44476)":0.0089666,"JPYUSD^FG_PRICE(44468)":0.008935751,"JPYUSD^FG_PRICE(44460)":0.00915751,"JPYUSD^FG_PRICE(44452)":0.009097111,"JPYUSD^FG_PRICE(44444)":0.00911868,"JPYUSD^FG_PRICE(44436)":0.009092975,"JPYUSD^FG_PRICE(44428)":0.009107053,"JPYUSD^FG_PRICE(44420)":0.009061664,"JPYUSD^FG_PRICE(44412)":0.009127836,"JPYUSD^FG_PRICE(44404)":0.009107053,"JPYUSD^FG_PRICE(44396)":0.009142857,"JPYUSD^FG_PRICE(44388)":0.009079354,"JPYUSD^FG_PRICE(44380)":0.008983515,"JPYUSD^FG_PRICE(44372)":0.009027308,"JPYUSD^FG_PRICE(44364)":0.009072352,"JPYUSD^FG_PRICE(44356)":0.009124088,"JPYUSD^FG_PRICE(44348)":0.009140768,"JPYUSD^FG_PRICE(44340)":0.009195825,"JPYUSD^FG_PRICE(44332)":0.009137845,"JPYUSD^FG_PRICE(44324)":0.009211072,"JPYUSD^FG_PRICE(44316)":0.009148712,"JPYUSD^FG_PRICE(44308)":0.009259259,"JPYUSD^FG_PRICE(44300)":0.00917305,"JPYUSD^FG_PRICE(44292)":0.009111618,"JPYUSD^FG_PRICE(44284)":0.009109957,"JPYUSD^FG_PRICE(44276)":0.009186532,"JPYUSD^FG_PRICE(44268)":0.009175574,"JPYUSD^FG_PRICE(44260)":0.009237449,"JPYUSD^FG_PRICE(44252)":0.009410436,"JPYUSD^FG_PRICE(44244)":0.009440642,"JPYUSD^FG_PRICE(44236)":0.009561601,"JPYUSD^FG_PRICE(44228)":0.009526986,"JPYUSD^FG_PRICE(44220)":0.009633911,"JPYUSD^FG_PRICE(44212)":0.009626956,"JPYUSD^FG_PRICE(44204)":0.009634376,"JPYUSD^FG_PRICE(44196)":0.009685699,"JPYUSD^FG_PRICE(44188)":0.009652509,"JPYUSD^FG_PRICE(44180)":0.009639948,"JPYUSD^FG_PRICE(44172)":0.009611688,"JPYUSD^FG_PRICE(44164)":0.009614923,"JPYUSD^FG_PRICE(44156)":0.009632519,"JPYUSD^FG_PRICE(44148)":0.009556575,"JPYUSD^FG_PRICE(44140)":0.009647388,"JPYUSD^FG_PRICE(44132)":0.009584512,"JPYUSD^FG_PRICE(44124)":0.009473286,"JPYUSD^FG_PRICE(45651)":0.007451287,"JPYUSD^FG_PRICE(45628)":0.007451287,"JPYUSD^FG_PRICE(45607)":0.007451287,"JPYUSD^FG_PRICE(45587)":0.007451287,"JPYUSD^FG_PRICE(45564)":0.007451287,"JPYUSD^FG_PRICE(45543)":0.007451287,"JPYUSD^FG_PRICE(45523)":0.007451287,"JPYUSD^FG_PRICE(45500)":0.007451287,"JPYUSD^FG_PRICE(45479)":0.007451287,"JPYUSD^FG_PRICE(45459)":0.007451287,"JPYUSD^FG_PRICE(45436)":0.007451287,"JPYUSD^FG_PRICE(45415)":0.007451287,"JPYUSD^FG_PRICE(45395)":0.007451287,"JPYUSD^FG_PRICE(45372)":0.007451287,"JPYUSD^FG_PRICE(45351)":0.007451287,"JPYUSD^FG_PRICE(45331)":0.007451287,"JPYUSD^FG_PRICE(45308)":0.007451287,"JPYUSD^FG_PRICE(45287)":0.007451287,"JPYUSD^FG_PRICE(45267)":0.007451287,"JPYUSD^FG_PRICE(45244)":0.007451287,"JPYUSD^FG_PRICE(45223)":0.007451287,"JPYUSD^FG_PRICE(45203)":0.007451287,"JPYUSD^FG_PRICE(45180)":0.007451287,"JPYUSD^FG_PRICE(45159)":0.007451287,"JPYUSD^FG_PRICE(45139)":0.007451287,"JPYUSD^FG_PRICE(45116)":0.007451287,"JPYUSD^FG_PRICE(45095)":0.007451287,"JPYUSD^FG_PRICE(45075)":0.007451287,"JPYUSD^FG_PRICE(45052)":0.007451287,"JPYUSD^FG_PRICE(45031)":0.007451287,"JPYUSD^FG_PRICE(45011)":0.007451287,"JPYUSD^FG_PRICE(44988)":0.007451287,"JPYUSD^FG_PRICE(44967)":0.0076155663,"JPYUSD^FG_PRICE(44947)":0.007696748,"JPYUSD^FG_PRICE(44927)":0.007578915,"JPYUSD^FG_PRICE(44915)":0.007609482,"JPYUSD^FG_PRICE(44901)":0.007317698,"JPYUSD^FG_PRICE(44888)":0.0071561467,"JPYUSD^FG_PRICE(44876)":0.0071908818,"JPYUSD^FG_PRICE(44863)":0.006779202,"JPYUSD^FG_PRICE(44851)":0.006723141,"JPYUSD^FG_PRICE(44837)":0.006922092,"JPYUSD^FG_PRICE(44824)":0.006957248,"JPYUSD^FG_PRICE(44812)":0.00694565,"JPYUSD^FG_PRICE(44799)":0.0072849127,"JPYUSD^FG_PRICE(44787)":0.0074791517,"JPYUSD^FG_PRICE(44773)":0.00748223,"JPYUSD^FG_PRICE(44760)":0.0072450647,"JPYUSD^FG_PRICE(44748)":0.0073710983,"JPYUSD^FG_PRICE(44735)":0.00743688,"JPYUSD^FG_PRICE(44723)":0.007449622,"JPYUSD^FG_PRICE(44709)":0.007866274,"JPYUSD^FG_PRICE(44696)":0.0077294684,"JPYUSD^FG_PRICE(44685)":0.0076934914,"JPYUSD^FG_PRICE(44675)":0.007784222,"JPYUSD^FG_PRICE(44664)":0.007953867,"JPYUSD^FG_PRICE(44653)":0.008139676,"JPYUSD^FG_PRICE(44643)":0.008261732,"JPYUSD^FG_PRICE(44635)":0.0084613105,"JPYUSD^FG_PRICE(44627)":0.008666637,"JPYUSD^FG_PRICE(44619)":0.008652016,"JPYUSD^FG_PRICE(44611)":0.008684702,"JPYUSD^FG_PRICE(44603)":0.008629617,"JPYUSD^FG_PRICE(44595)":0.008703599,"JPYUSD^FG_PRICE(44587)":0.008746994,"JPYUSD^FG_PRICE(44579)":0.008730194,"JPYUSD^FG_PRICE(44571)":0.008688852,"JPYUSD^FG_PRICE(44563)":0.008683948,"JPYUSD^FG_PRICE(44555)":0.008742405,"JPYUSD^FG_PRICE(44547)":0.008800105,"JPYUSD^FG_PRICE(44539)":0.008814844,"JPYUSD^FG_PRICE(44531)":0.008851907,"JPYUSD^FG_PRICE(44523)":0.00869603,"JPYUSD^FG_PRICE(44515)":0.008773854,"JPYUSD^FG_PRICE(44507)":0.008813679,"JPYUSD^FG_PRICE(44499)":0.008770007,"JPYUSD^FG_PRICE(44491)":0.008803205,"JPYUSD^FG_PRICE(44483)":0.008794688,"JPYUSD^FG_PRICE(44475)":0.0089895725,"JPYUSD^FG_PRICE(44467)":0.008973842,"JPYUSD^FG_PRICE(44459)":0.009131169,"JPYUSD^FG_PRICE(44451)":0.009104152,"JPYUSD^FG_PRICE(44443)":0.00911868,"JPYUSD^FG_PRICE(44435)":0.009092975,"JPYUSD^FG_PRICE(44427)":0.009113694,"JPYUSD^FG_PRICE(44419)":0.009052231,"JPYUSD^FG_PRICE(44411)":0.009178944,"JPYUSD^FG_PRICE(44403)":0.009065772,"JPYUSD^FG_PRICE(44395)":0.009082239,"JPYUSD^FG_PRICE(44387)":0.009079354,"JPYUSD^FG_PRICE(44379)":0.008983515,"JPYUSD^FG_PRICE(44371)":0.0090212,"JPYUSD^FG_PRICE(44363)":0.009095456,"JPYUSD^FG_PRICE(44355)":0.009137845,"JPYUSD^FG_PRICE(44347)":0.009141186,"JPYUSD^FG_PRICE(44339)":0.009177259,"JPYUSD^FG_PRICE(44331)":0.009137845,"JPYUSD^FG_PRICE(44323)":0.009211072,"JPYUSD^FG_PRICE(44315)":0.009178944,"JPYUSD^FG_PRICE(44307)":0.009245135,"JPYUSD^FG_PRICE(44299)":0.0091570895,"JPYUSD^FG_PRICE(44291)":0.0090797655,"JPYUSD^FG_PRICE(44283)":0.009127836,"JPYUSD^FG_PRICE(44275)":0.009186532,"JPYUSD^FG_PRICE(44267)":0.009175574,"JPYUSD^FG_PRICE(44259)":0.00929368,"JPYUSD^FG_PRICE(44251)":0.009439751,"JPYUSD^FG_PRICE(44243)":0.009459396,"JPYUSD^FG_PRICE(44235)":0.009506155,"JPYUSD^FG_PRICE(44227)":0.009551555,"JPYUSD^FG_PRICE(44219)":0.009633911,"JPYUSD^FG_PRICE(44211)":0.009626956,"JPYUSD^FG_PRICE(44203)":0.0096213985,"JPYUSD^FG_PRICE(44195)":0.009685699,"JPYUSD^FG_PRICE(44187)":0.009642736,"JPYUSD^FG_PRICE(44179)":0.009607994,"JPYUSD^FG_PRICE(44171)":0.00959739,"JPYUSD^FG_PRICE(44163)":0.009614923,"JPYUSD^FG_PRICE(44155)":0.009632519,"JPYUSD^FG_PRICE(44147)":0.009512033,"JPYUSD^FG_PRICE(44139)":0.009570751,"JPYUSD^FG_PRICE(44131)":0.009572584,"JPYUSD^FG_PRICE(44123)":0.009481369,"JPYUSD^FG_PRICE(44115)":0.009464768,"JPYUSD^FG_PRICE(44107)":0.009491718,"JPYUSD^FG_PRICE(44099)":0.009466112,"JPYUSD^FG_PRICE(44091)":0.00954973,"JPYUSD^FG_PRICE(45647)":0.007451287,"JPYUSD^FG_PRICE(45627)":0.007451287,"JPYUSD^FG_PRICE(45604)":0.007451287,"JPYUSD^FG_PRICE(45583)":0.007451287,"JPYUSD^FG_PRICE(45563)":0.007451287,"JPYUSD^FG_PRICE(45540)":0.007451287,"JPYUSD^FG_PRICE(45519)":0.007451287,"JPYUSD^FG_PRICE(45499)":0.007451287,"JPYUSD^FG_PRICE(45476)":0.007451287,"JPYUSD^FG_PRICE(45455)":0.007451287,"JPYUSD^FG_PRICE(45435)":0.007451287,"JPYUSD^FG_PRICE(45412)":0.007451287,"JPYUSD^FG_PRICE(45391)":0.007451287,"JPYUSD^FG_PRICE(45371)":0.007451287,"JPYUSD^FG_PRICE(45348)":0.007451287,"JPYUSD^FG_PRICE(45327)":0.007451287,"JPYUSD^FG_PRICE(45307)":0.007451287,"JPYUSD^FG_PRICE(45284)":0.007451287,"JPYUSD^FG_PRICE(45263)":0.007451287,"JPYUSD^FG_PRICE(45243)":0.007451287,"JPYUSD^FG_PRICE(45220)":0.007451287,"JPYUSD^FG_PRICE(45199)":0.007451287,"JPYUSD^FG_PRICE(45179)":0.007451287,"JPYUSD^FG_PRICE(45156)":0.007451287,"JPYUSD^FG_PRICE(45135)":0.007451287,"JPYUSD^FG_PRICE(45115)":0.007451287,"JPYUSD^FG_PRICE(45092)":0.007451287,"JPYUSD^FG_PRICE(45071)":0.007451287,"JPYUSD^FG_PRICE(45051)":0.007451287,"JPYUSD^FG_PRICE(45028)":0.007451287,"JPYUSD^FG_PRICE(45007)":0.007451287,"JPYUSD^FG_PRICE(44987)":0.007451287,"JPYUSD^FG_PRICE(44964)":0.007619338,"JPYUSD^FG_PRICE(44943)":0.0078030513,"JPYUSD^FG_PRICE(44925)":0.007578915,"JPYUSD^FG_PRICE(44912)":0.0073171626,"JPYUSD^FG_PRICE(44900)":0.007337296,"JPYUSD^FG_PRICE(44887)":0.0070741368,"JPYUSD^FG_PRICE(44875)":0.0070628948,"JPYUSD^FG_PRICE(44861)":0.0068486114,"JPYUSD^FG_PRICE(44848)":0.0067401337,"JPYUSD^FG_PRICE(44836)":0.0069087017,"JPYUSD^FG_PRICE(44823)":0.0069790976,"JPYUSD^FG_PRICE(44811)":0.006920655,"JPYUSD^FG_PRICE(44797)":0.007311812,"JPYUSD^FG_PRICE(44784)":0.007542331,"JPYUSD^FG_PRICE(44772)":0.00748223,"JPYUSD^FG_PRICE(44759)":0.0072157877,"JPYUSD^FG_PRICE(44747)":0.0073526707,"JPYUSD^FG_PRICE(44733)":0.00734565,"JPYUSD^FG_PRICE(44720)":0.0074718865,"JPYUSD^FG_PRICE(44708)":0.007866274,"JPYUSD^FG_PRICE(44695)":0.0077294684,"JPYUSD^FG_PRICE(44684)":0.007697341,"JPYUSD^FG_PRICE(44673)":0.007784222,"JPYUSD^FG_PRICE(44663)":0.007988815,"JPYUSD^FG_PRICE(44652)":0.008139676,"JPYUSD^FG_PRICE(44642)":0.008287407,"JPYUSD^FG_PRICE(44634)":0.008473499,"JPYUSD^FG_PRICE(44626)":0.0087096635,"JPYUSD^FG_PRICE(44618)":0.008652016,"JPYUSD^FG_PRICE(44610)":0.008684702,"JPYUSD^FG_PRICE(44602)":0.008624035,"JPYUSD^FG_PRICE(44594)":0.008741641,"JPYUSD^FG_PRICE(44586)":0.008776164,"JPYUSD^FG_PRICE(44578)":0.0087241,"JPYUSD^FG_PRICE(44570)":0.0086482745,"JPYUSD^FG_PRICE(44562)":0.008683948,"JPYUSD^FG_PRICE(44554)":0.008742405,"JPYUSD^FG_PRICE(44546)":0.008791595,"JPYUSD^FG_PRICE(44538)":0.008779246,"JPYUSD^FG_PRICE(44530)":0.008807081,"JPYUSD^FG_PRICE(44522)":0.008714977,"JPYUSD^FG_PRICE(44514)":0.0087753935,"JPYUSD^FG_PRICE(44506)":0.008813679,"JPYUSD^FG_PRICE(44498)":0.008770007,"JPYUSD^FG_PRICE(44490)":0.008781559,"JPYUSD^FG_PRICE(44482)":0.008821065,"JPYUSD^FG_PRICE(44474)":0.0089653935,"JPYUSD^FG_PRICE(44466)":0.0090102265,"JPYUSD^FG_PRICE(44458)":0.009093389,"JPYUSD^FG_PRICE(44450)":0.009104152,"JPYUSD^FG_PRICE(44442)":0.00911868,"JPYUSD^FG_PRICE(44434)":0.009086778,"JPYUSD^FG_PRICE(44426)":0.009099595,"JPYUSD^FG_PRICE(44418)":0.00904568,"JPYUSD^FG_PRICE(44410)":0.009152061,"JPYUSD^FG_PRICE(44402)":0.009044045,"JPYUSD^FG_PRICE(44394)":0.009082239,"JPYUSD^FG_PRICE(44386)":0.009079354,"JPYUSD^FG_PRICE(44378)":0.0089653935,"JPYUSD^FG_PRICE(44370)":0.00902527,"JPYUSD^FG_PRICE(44362)":0.009083889,"JPYUSD^FG_PRICE(44354)":0.0091495495,"JPYUSD^FG_PRICE(44346)":0.009092975,"JPYUSD^FG_PRICE(44338)":0.009177259,"JPYUSD^FG_PRICE(44330)":0.009137845,"JPYUSD^FG_PRICE(44322)":0.009168004,"JPYUSD^FG_PRICE(44314)":0.009182315,"JPYUSD^FG_PRICE(44306)":0.009248555,"JPYUSD^FG_PRICE(44298)":0.009140768,"JPYUSD^FG_PRICE(44290)":0.0090415925,"JPYUSD^FG_PRICE(44282)":0.009127836,"JPYUSD^FG_PRICE(44274)":0.009186532,"JPYUSD^FG_PRICE(44266)":0.009217439,"JPYUSD^FG_PRICE(44258)":0.009349289,"JPYUSD^FG_PRICE(44250)":0.00951339,"JPYUSD^FG_PRICE(44242)":0.009490818,"JPYUSD^FG_PRICE(44234)":0.009481819,"JPYUSD^FG_PRICE(44226)":0.009551555,"JPYUSD^FG_PRICE(44218)":0.009633911,"JPYUSD^FG_PRICE(44210)":0.009631592,"JPYUSD^FG_PRICE(44202)":0.009672116,"JPYUSD^FG_PRICE(44194)":0.009651578,"JPYUSD^FG_PRICE(44186)":0.009661836,"JPYUSD^FG_PRICE(44178)":0.009620473,"JPYUSD^FG_PRICE(44170)":0.00959739,"JPYUSD^FG_PRICE(44162)":0.009614923,"JPYUSD^FG_PRICE(44154)":0.009625102,"JPYUSD^FG_PRICE(44146)":0.009467008,"JPYUSD^FG_PRICE(45644)":0.007451287,"JPYUSD^FG_PRICE(45623)":0.007451287,"JPYUSD^FG_PRICE(45603)":0.007451287,"JPYUSD^FG_PRICE(45580)":0.007451287,"JPYUSD^FG_PRICE(45559)":0.007451287,"JPYUSD^FG_PRICE(45539)":0.007451287,"JPYUSD^FG_PRICE(45516)":0.007451287,"JPYUSD^FG_PRICE(45495)":0.007451287,"JPYUSD^FG_PRICE(45475)":0.007451287,"JPYUSD^FG_PRICE(45452)":0.007451287,"JPYUSD^FG_PRICE(45431)":0.007451287,"JPYUSD^FG_PRICE(45411)":0.007451287,"JPYUSD^FG_PRICE(45388)":0.007451287,"JPYUSD^FG_PRICE(45367)":0.007451287,"JPYUSD^FG_PRICE(45347)":0.007451287,"JPYUSD^FG_PRICE(45324)":0.007451287,"JPYUSD^FG_PRICE(45303)":0.007451287,"JPYUSD^FG_PRICE(45283)":0.007451287,"JPYUSD^FG_PRICE(45260)":0.007451287,"JPYUSD^FG_PRICE(45239)":0.007451287,"JPYUSD^FG_PRICE(45219)":0.007451287,"JPYUSD^FG_PRICE(45196)":0.007451287,"JPYUSD^FG_PRICE(45175)":0.007451287,"JPYUSD^FG_PRICE(45155)":0.007451287,"JPYUSD^FG_PRICE(45132)":0.007451287,"JPYUSD^FG_PRICE(45111)":0.007451287,"JPYUSD^FG_PRICE(45091)":0.007451287,"JPYUSD^FG_PRICE(45068)":0.007451287,"JPYUSD^FG_PRICE(45047)":0.007451287,"JPYUSD^FG_PRICE(45027)":0.007451287,"JPYUSD^FG_PRICE(45004)":0.007451287,"JPYUSD^FG_PRICE(44983)":0.007451287,"JPYUSD^FG_PRICE(44963)":0.00752672,"JPYUSD^FG_PRICE(44940)":0.007842215,"JPYUSD^FG_PRICE(44924)":0.007506098,"JPYUSD^FG_PRICE(44911)":0.0073171626,"JPYUSD^FG_PRICE(44899)":0.0073814355,"JPYUSD^FG_PRICE(44885)":0.0071487296,"JPYUSD^FG_PRICE(44872)":0.0068273367,"JPYUSD^FG_PRICE(44860)":0.0068201195,"JPYUSD^FG_PRICE(44847)":0.0067854114,"JPYUSD^FG_PRICE(44835)":0.0069087017,"JPYUSD^FG_PRICE(44821)":0.0069959424,"JPYUSD^FG_PRICE(44808)":0.007141072,"JPYUSD^FG_PRICE(44796)":0.0073394496,"JPYUSD^FG_PRICE(44783)":0.0075685903,"JPYUSD^FG_PRICE(44771)":0.00748223,"JPYUSD^FG_PRICE(44757)":0.0072157877,"JPYUSD^FG_PRICE(44744)":0.0074011027,"JPYUSD^FG_PRICE(44732)":0.0074093286,"JPYUSD^FG_PRICE(44719)":0.007548594,"JPYUSD^FG_PRICE(44707)":0.007853918,"JPYUSD^FG_PRICE(44693)":0.007805487,"JPYUSD^FG_PRICE(44683)":0.0076784273,"JPYUSD^FG_PRICE(44672)":0.007781798,"JPYUSD^FG_PRICE(44661)":0.008038262,"JPYUSD^FG_PRICE(44651)":0.008238929,"JPYUSD^FG_PRICE(44641)":0.008392782,"JPYUSD^FG_PRICE(44633)":0.008547374,"JPYUSD^FG_PRICE(44625)":0.0087096635,"JPYUSD^FG_PRICE(44617)":0.008652016,"JPYUSD^FG_PRICE(44609)":0.0086982995,"JPYUSD^FG_PRICE(44601)":0.008660633,"JPYUSD^FG_PRICE(44593)":0.00871232,"JPYUSD^FG_PRICE(44585)":0.008776935,"JPYUSD^FG_PRICE(44577)":0.008788505,"JPYUSD^FG_PRICE(44569)":0.0086482745,"JPYUSD^FG_PRICE(44561)":0.008683948,"JPYUSD^FG_PRICE(44553)":0.008740877,"JPYUSD^FG_PRICE(44545)":0.008784644,"JPYUSD^FG_PRICE(44537)":0.0087977825,"JPYUSD^FG_PRICE(44529)":0.008800105,"JPYUSD^FG_PRICE(44521)":0.00878233,"JPYUSD^FG_PRICE(44513)":0.0087753935,"JPYUSD^FG_PRICE(44505)":0.008813679,"JPYUSD^FG_PRICE(44497)":0.008819508,"JPYUSD^FG_PRICE(44489)":0.008747758,"JPYUSD^FG_PRICE(44481)":0.008802042,"JPYUSD^FG_PRICE(44473)":0.009020792,"JPYUSD^FG_PRICE(44465)":0.009033016,"JPYUSD^FG_PRICE(44457)":0.009093389,"JPYUSD^FG_PRICE(44449)":0.009104152,"JPYUSD^FG_PRICE(44441)":0.009092975,"JPYUSD^FG_PRICE(44433)":0.009082653,"JPYUSD^FG_PRICE(44425)":0.009124088,"JPYUSD^FG_PRICE(44417)":0.0090670055,"JPYUSD^FG_PRICE(44409)":0.009111618,"JPYUSD^FG_PRICE(44401)":0.009044045,"JPYUSD^FG_PRICE(44393)":0.009082239,"JPYUSD^FG_PRICE(44385)":0.009127836,"JPYUSD^FG_PRICE(44377)":0.009009821,"JPYUSD^FG_PRICE(44369)":0.009030976,"JPYUSD^FG_PRICE(44361)":0.009092149,"JPYUSD^FG_PRICE(44353)":0.009131169,"JPYUSD^FG_PRICE(44345)":0.009092975,"JPYUSD^FG_PRICE(44337)":0.009177259,"JPYUSD^FG_PRICE(44329)":0.009125337,"JPYUSD^FG_PRICE(44321)":0.009156251,"JPYUSD^FG_PRICE(44313)":0.009219989,"JPYUSD^FG_PRICE(44305)":0.009256688,"JPYUSD^FG_PRICE(44297)":0.009124921,"JPYUSD^FG_PRICE(44289)":0.0090415925,"JPYUSD^FG_PRICE(44281)":0.009127836,"JPYUSD^FG_PRICE(44273)":0.009176416,"JPYUSD^FG_PRICE(44265)":0.009205984,"JPYUSD^FG_PRICE(44257)":0.009369876,"JPYUSD^FG_PRICE(44249)":0.009516559,"JPYUSD^FG_PRICE(44241)":0.009526078,"JPYUSD^FG_PRICE(44233)":0.009481819,"JPYUSD^FG_PRICE(44225)":0.009551555,"JPYUSD^FG_PRICE(44217)":0.009655305,"JPYUSD^FG_PRICE(44209)":0.0096213985,"JPYUSD^FG_PRICE(44201)":0.009728572,"JPYUSD^FG_PRICE(44193)":0.009629273,"JPYUSD^FG_PRICE(44185)":0.009671648,"JPYUSD^FG_PRICE(44177)":0.009620473,"JPYUSD^FG_PRICE(44169)":0.00959739,"JPYUSD^FG_PRICE(44161)":0.009589567,"JPYUSD^FG_PRICE(44153)":0.009645992,"JPYUSD^FG_PRICE(44145)":0.009505251,"JPYUSD^FG_PRICE(44137)":0.009541985,"JPYUSD^FG_PRICE(44129)":0.0095387995,"JPYUSD^FG_PRICE(44121)":0.009486316,"JPYUSD^FG_PRICE(44113)":0.009464768,"JPYUSD^FG_PRICE(45639)":0.007451287,"JPYUSD^FG_PRICE(45619)":0.007451287,"JPYUSD^FG_PRICE(45596)":0.007451287,"JPYUSD^FG_PRICE(45575)":0.007451287,"JPYUSD^FG_PRICE(45555)":0.007451287,"JPYUSD^FG_PRICE(45532)":0.007451287,"JPYUSD^FG_PRICE(45511)":0.007451287,"JPYUSD^FG_PRICE(45491)":0.007451287,"JPYUSD^FG_PRICE(45468)":0.007451287,"JPYUSD^FG_PRICE(45447)":0.007451287,"JPYUSD^FG_PRICE(45427)":0.007451287,"JPYUSD^FG_PRICE(45404)":0.007451287,"JPYUSD^FG_PRICE(45383)":0.007451287,"JPYUSD^FG_PRICE(45363)":0.007451287,"JPYUSD^FG_PRICE(45340)":0.007451287,"JPYUSD^FG_PRICE(45319)":0.007451287,"JPYUSD^FG_PRICE(45299)":0.007451287,"JPYUSD^FG_PRICE(45276)":0.007451287,"JPYUSD^FG_PRICE(45255)":0.007451287,"JPYUSD^FG_PRICE(45235)":0.007451287,"JPYUSD^FG_PRICE(45212)":0.007451287,"JPYUSD^FG_PRICE(45191)":0.007451287,"JPYUSD^FG_PRICE(45171)":0.007451287,"JPYUSD^FG_PRICE(45148)":0.007451287,"JPYUSD^FG_PRICE(45127)":0.007451287,"JPYUSD^FG_PRICE(45107)":0.007451287,"JPYUSD^FG_PRICE(45084)":0.007451287,"JPYUSD^FG_PRICE(45063)":0.007451287,"JPYUSD^FG_PRICE(45043)":0.007451287,"JPYUSD^FG_PRICE(45020)":0.007451287,"JPYUSD^FG_PRICE(44999)":0.007451287,"JPYUSD^FG_PRICE(44979)":0.007451287,"JPYUSD^FG_PRICE(44956)":0.0076719476,"JPYUSD^FG_PRICE(44935)":0.007580352,"JPYUSD^FG_PRICE(44920)":0.007527286,"JPYUSD^FG_PRICE(44908)":0.0073983655,"JPYUSD^FG_PRICE(44895)":0.0071664043,"JPYUSD^FG_PRICE(44883)":0.0071487296,"JPYUSD^FG_PRICE(44869)":0.006791402,"JPYUSD^FG_PRICE(44856)":0.006667111,"JPYUSD^FG_PRICE(44844)":0.0068612993,"JPYUSD^FG_PRICE(44831)":0.006909179,"JPYUSD^FG_PRICE(44819)":0.0069700982,"JPYUSD^FG_PRICE(44805)":0.0071418365,"JPYUSD^FG_PRICE(44792)":0.007293148,"JPYUSD^FG_PRICE(44780)":0.0073885256,"JPYUSD^FG_PRICE(44767)":0.0073142187,"JPYUSD^FG_PRICE(44755)":0.007289427,"JPYUSD^FG_PRICE(44741)":0.0073080715,"JPYUSD^FG_PRICE(44728)":0.0075434693,"JPYUSD^FG_PRICE(44716)":0.0076496457,"JPYUSD^FG_PRICE(44703)":0.0078115845,"JPYUSD^FG_PRICE(44691)":0.007679017,"JPYUSD^FG_PRICE(44680)":0.0077184318,"JPYUSD^FG_PRICE(44669)":0.007895464,"JPYUSD^FG_PRICE(44659)":0.008038262,"JPYUSD^FG_PRICE(44648)":0.008094217,"JPYUSD^FG_PRICE(44639)":0.008391022,"JPYUSD^FG_PRICE(44631)":0.008547374,"JPYUSD^FG_PRICE(44623)":0.008647901,"JPYUSD^FG_PRICE(44615)":0.008693006,"JPYUSD^FG_PRICE(44607)":0.008640428,"JPYUSD^FG_PRICE(44599)":0.008691495,"JPYUSD^FG_PRICE(44591)":0.008682063,"JPYUSD^FG_PRICE(44583)":0.0087977825,"JPYUSD^FG_PRICE(44575)":0.008788505,"JPYUSD^FG_PRICE(44567)":0.008639309,"JPYUSD^FG_PRICE(44559)":0.00870057,"JPYUSD^FG_PRICE(44551)":0.008765394,"JPYUSD^FG_PRICE(44543)":0.008804754,"JPYUSD^FG_PRICE(44535)":0.008831972,"JPYUSD^FG_PRICE(44527)":0.008837826,"JPYUSD^FG_PRICE(44519)":0.00878233,"JPYUSD^FG_PRICE(45643)":0.007451287,"JPYUSD^FG_PRICE(45556)":0.007451287,"JPYUSD^FG_PRICE(45471)":0.007451287,"JPYUSD^FG_PRICE(45387)":0.007451287,"JPYUSD^FG_PRICE(45300)":0.007451287,"JPYUSD^FG_PRICE(45215)":0.007451287,"JPYUSD^FG_PRICE(45131)":0.007451287,"JPYUSD^FG_PRICE(45044)":0.007451287,"JPYUSD^FG_PRICE(44959)":0.007788465,"JPYUSD^FG_PRICE(44896)":0.007356728,"JPYUSD^FG_PRICE(44845)":0.0068617696,"JPYUSD^FG_PRICE(44795)":0.007289427,"JPYUSD^FG_PRICE(44743)":0.0074011027,"JPYUSD^FG_PRICE(44692)":0.0076754806,"JPYUSD^FG_PRICE(44649)":0.008149295,"JPYUSD^FG_PRICE(44616)":0.008650519,"JPYUSD^FG_PRICE(44584)":0.0087977825,"JPYUSD^FG_PRICE(44552)":0.008747758,"JPYUSD^FG_PRICE(44520)":0.00878233,"JPYUSD^FG_PRICE(44496)":0.008793528,"JPYUSD^FG_PRICE(44478)":0.008925384,"JPYUSD^FG_PRICE(44455)":0.009119927,"JPYUSD^FG_PRICE(44432)":0.009116186,"JPYUSD^FG_PRICE(44414)":0.009064129,"JPYUSD^FG_PRICE(44391)":0.009083478,"JPYUSD^FG_PRICE(44368)":0.009074822,"JPYUSD^FG_PRICE(44350)":0.009076469,"JPYUSD^FG_PRICE(44327)":0.009217864,"JPYUSD^FG_PRICE(44304)":0.009189909,"JPYUSD^FG_PRICE(44286)":0.009049774,"JPYUSD^FG_PRICE(44263)":0.009186532,"JPYUSD^FG_PRICE(44240)":0.009526078,"JPYUSD^FG_PRICE(44222)":0.009648319,"JPYUSD^FG_PRICE(44199)":0.0096857,"JPYUSD^FG_PRICE(44176)":0.009620473,"JPYUSD^FG_PRICE(44158)":0.009571668,"JPYUSD^FG_PRICE(44136)":0.009565717,"JPYUSD^FG_PRICE(44120)":0.009486316,"JPYUSD^FG_PRICE(44109)":0.009465664,"JPYUSD^FG_PRICE(44100)":0.009466112,"JPYUSD^FG_PRICE(44090)":0.0095387995,"JPYUSD^FG_PRICE(44082)":0.00943886,"JPYUSD^FG_PRICE(44074)":0.00942996,"JPYUSD^FG_PRICE(44066)":0.009437969,"JPYUSD^FG_PRICE(44058)":0.009393641,"JPYUSD^FG_PRICE(44050)":0.009444208,"JPYUSD^FG_PRICE(44042)":0.009521542,"JPYUSD^FG_PRICE(44034)":0.009329229,"JPYUSD^FG_PRICE(44026)":0.009323575,"JPYUSD^FG_PRICE(44018)":0.00930449,"JPYUSD^FG_PRICE(44010)":0.009316626,"JPYUSD^FG_PRICE(44002)":0.009347979,"JPYUSD^FG_PRICE(43994)":0.009317059,"JPYUSD^FG_PRICE(43986)":0.0091738915,"JPYUSD^FG_PRICE(43978)":0.009273428,"JPYUSD^FG_PRICE(43970)":0.009264835,"JPYUSD^FG_PRICE(43962)":0.009301028,"JPYUSD^FG_PRICE(43954)":0.0093541,"JPYUSD^FG_PRICE(43946)":0.0093079535,"JPYUSD^FG_PRICE(43938)":0.009300163,"JPYUSD^FG_PRICE(43930)":0.009216165,"JPYUSD^FG_PRICE(43922)":0.009335761,"JPYUSD^FG_PRICE(43914)":0.008969816,"JPYUSD^FG_PRICE(43906)":0.009464768,"JPYUSD^FG_PRICE(43898)":0.009492619,"JPYUSD^FG_PRICE(43890)":0.009270848,"JPYUSD^FG_PRICE(43882)":0.008952151,"JPYUSD^FG_PRICE(43874)":0.0091062235,"JPYUSD^FG_PRICE(43866)":0.009111202,"JPYUSD^FG_PRICE(43858)":0.009162543,"JPYUSD^FG_PRICE(43850)":0.0090777045,"JPYUSD^FG_PRICE(43842)":0.0091274185,"JPYUSD^FG_PRICE(43834)":0.009257116,"JPYUSD^FG_PRICE(43826)":0.009125337,"JPYUSD^FG_PRICE(43818)":0.009148712,"JPYUSD^FG_PRICE(43810)":0.009199632,"JPYUSD^FG_PRICE(43802)":0.009212769,"JPYUSD^FG_PRICE(43794)":0.009179365,"JPYUSD^FG_PRICE(43786)":0.009196671,"JPYUSD^FG_PRICE(43778)":0.009162124,"JPYUSD^FG_PRICE(43770)":0.009246417,"JPYUSD^FG_PRICE(43762)":0.009215316,"JPYUSD^FG_PRICE(43754)":0.009189066,"JPYUSD^FG_PRICE(43746)":0.009337504,"JPYUSD^FG_PRICE(43738)":0.009252834,"JPYUSD^FG_PRICE(43730)":0.009268699,"JPYUSD^FG_PRICE(43722)":0.00925369,"JPYUSD^FG_PRICE(43714)":0.009365488,"JPYUSD^FG_PRICE(43706)":0.009394523,"JPYUSD^FG_PRICE(43698)":0.009392317,"JPYUSD^FG_PRICE(43690)":0.009377784,"JPYUSD^FG_PRICE(43682)":0.009428181,"JPYUSD^FG_PRICE(43674)":0.009203442,"JPYUSD^FG_PRICE(43666)":0.009281604,"JPYUSD^FG_PRICE(43658)":0.009257973,"JPYUSD^FG_PRICE(43650)":0.009275147,"JPYUSD^FG_PRICE(43642)":0.009290227,"JPYUSD^FG_PRICE(43634)":0.0092157405,"JPYUSD^FG_PRICE(43626)":0.0092157405,"JPYUSD^FG_PRICE(43618)":0.009210223,"JPYUSD^FG_PRICE(43610)":0.009145365,"JPYUSD^FG_PRICE(43602)":0.009092975,"JPYUSD^FG_PRICE(43594)":0.009127002,"JPYUSD^FG_PRICE(43586)":0.008994828,"JPYUSD^FG_PRICE(43578)":0.008937748,"JPYUSD^FG_PRICE(43570)":0.008928173,"JPYUSD^FG_PRICE(43562)":0.008948546,"JPYUSD^FG_PRICE(43554)":0.009034649,"JPYUSD^FG_PRICE(43546)":0.009109542,"JPYUSD^FG_PRICE(43538)":0.008950949,"JPYUSD^FG_PRICE(43530)":0.008950548,"JPYUSD^FG_PRICE(43522)":0.009029753,"JPYUSD^FG_PRICE(43514)":0.009042,"JPYUSD^FG_PRICE(43506)":0.009113277,"JPYUSD^FG_PRICE(43498)":0.009142857,"JPYUSD^FG_PRICE(43490)":0.009117848,"JPYUSD^FG_PRICE(43482)":0.00917263,"JPYUSD^FG_PRICE(43474)":0.009242571,"JPYUSD^FG_PRICE(43466)":0.0091145225,"JPYUSD^FG_PRICE(43472)":0.009221689,"JPYUSD^FG_PRICE(43549)":0.009082653,"JPYUSD^FG_PRICE(43501)":0.009098353,"JPYUSD^FG_PRICE(45579)":0.007451287,"JPYUSD^FG_PRICE(44624)":0.0087096635,"JPYUSD^FG_PRICE(44480)":0.008826904,"JPYUSD^FG_PRICE(44334)":0.009183158,"JPYUSD^FG_PRICE(44224)":0.009586809,"JPYUSD^FG_PRICE(45636)":0.007451287,"JPYUSD^FG_PRICE(45551)":0.007451287,"JPYUSD^FG_PRICE(45467)":0.007451287,"JPYUSD^FG_PRICE(45380)":0.007451287,"JPYUSD^FG_PRICE(45295)":0.007451287,"JPYUSD^FG_PRICE(45211)":0.007451287,"JPYUSD^FG_PRICE(45124)":0.007451287,"JPYUSD^FG_PRICE(45039)":0.007451287,"JPYUSD^FG_PRICE(44955)":0.007693787,"JPYUSD^FG_PRICE(44893)":0.0072048707,"JPYUSD^FG_PRICE(44843)":0.0068898993,"JPYUSD^FG_PRICE(44791)":0.007395902,"JPYUSD^FG_PRICE(44740)":0.0073386417,"JPYUSD^FG_PRICE(44689)":0.007668418,"JPYUSD^FG_PRICE(44647)":0.0081977295,"JPYUSD^FG_PRICE(44614)":0.00869074,"JPYUSD^FG_PRICE(44582)":0.0087977825,"JPYUSD^FG_PRICE(44550)":0.008818732,"JPYUSD^FG_PRICE(44518)":0.008750054,"JPYUSD^FG_PRICE(44495)":0.008752353,"JPYUSD^FG_PRICE(44472)":0.009011851,"JPYUSD^FG_PRICE(44454)":0.0091495495,"JPYUSD^FG_PRICE(44431)":0.009112032,"JPYUSD^FG_PRICE(44408)":0.009111618,"JPYUSD^FG_PRICE(44390)":0.00906495,"JPYUSD^FG_PRICE(44367)":0.009071118,"JPYUSD^FG_PRICE(44344)":0.009092975,"JPYUSD^FG_PRICE(44326)":0.009196671,"JPYUSD^FG_PRICE(44303)":0.009189909,"JPYUSD^FG_PRICE(44280)":0.009162963,"JPYUSD^FG_PRICE(44262)":0.009237449,"JPYUSD^FG_PRICE(44239)":0.009526078,"JPYUSD^FG_PRICE(44216)":0.009655305,"JPYUSD^FG_PRICE(44198)":0.0096857,"JPYUSD^FG_PRICE(44175)":0.0095780855,"JPYUSD^FG_PRICE(44152)":0.009595548,"JPYUSD^FG_PRICE(44135)":0.009565717,"JPYUSD^FG_PRICE(44119)":0.009498029,"JPYUSD^FG_PRICE(44108)":0.009491718,"JPYUSD^FG_PRICE(44098)":0.00948092,"JPYUSD^FG_PRICE(44089)":0.00948047,"JPYUSD^FG_PRICE(44081)":0.009409108,"JPYUSD^FG_PRICE(44073)":0.009496225,"JPYUSD^FG_PRICE(44065)":0.009437969,"JPYUSD^FG_PRICE(44057)":0.009393641,"JPYUSD^FG_PRICE(44049)":0.009476427,"JPYUSD^FG_PRICE(44041)":0.009514295,"JPYUSD^FG_PRICE(44033)":0.0093541,"JPYUSD^FG_PRICE(44025)":0.009321836,"JPYUSD^FG_PRICE(44017)":0.00929973,"JPYUSD^FG_PRICE(44009)":0.009316626,"JPYUSD^FG_PRICE(44001)":0.009347979,"JPYUSD^FG_PRICE(43993)":0.009376905,"JPYUSD^FG_PRICE(43985)":0.009189066,"JPYUSD^FG_PRICE(43977)":0.009294112,"JPYUSD^FG_PRICE(43969)":0.009309254,"JPYUSD^FG_PRICE(43961)":0.009395847,"JPYUSD^FG_PRICE(43953)":0.0093541,"JPYUSD^FG_PRICE(43945)":0.0093079535,"JPYUSD^FG_PRICE(43937)":0.009296704,"JPYUSD^FG_PRICE(43929)":0.009195825,"JPYUSD^FG_PRICE(43921)":0.009263119,"JPYUSD^FG_PRICE(43913)":0.008980288,"JPYUSD^FG_PRICE(43905)":0.00933184,"JPYUSD^FG_PRICE(43897)":0.009492619,"JPYUSD^FG_PRICE(43889)":0.009270848,"JPYUSD^FG_PRICE(43881)":0.0089214025,"JPYUSD^FG_PRICE(43873)":0.009089669,"JPYUSD^FG_PRICE(43865)":0.009146202,"JPYUSD^FG_PRICE(43857)":0.009182315,"JPYUSD^FG_PRICE(43849)":0.009076469,"JPYUSD^FG_PRICE(43841)":0.0091274185,"JPYUSD^FG_PRICE(43833)":0.009257116,"JPYUSD^FG_PRICE(43825)":0.009120759,"JPYUSD^FG_PRICE(43817)":0.009124921,"JPYUSD^FG_PRICE(43809)":0.009198786,"JPYUSD^FG_PRICE(43801)":0.009164643,"JPYUSD^FG_PRICE(43793)":0.009203442,"JPYUSD^FG_PRICE(43785)":0.009196671,"JPYUSD^FG_PRICE(43777)":0.009162124,"JPYUSD^FG_PRICE(43769)":0.009250266,"JPYUSD^FG_PRICE(43761)":0.009206408,"JPYUSD^FG_PRICE(43753)":0.009190754,"JPYUSD^FG_PRICE(43745)":0.009350601,"JPYUSD^FG_PRICE(43737)":0.00924599,"JPYUSD^FG_PRICE(43729)":0.009268699,"JPYUSD^FG_PRICE(43721)":0.00925369,"JPYUSD^FG_PRICE(43713)":0.009341429,"JPYUSD^FG_PRICE(43705)":0.009442425,"JPYUSD^FG_PRICE(43697)":0.009406011,"JPYUSD^FG_PRICE(43689)":0.009496225,"JPYUSD^FG_PRICE(43681)":0.009383944,"JPYUSD^FG_PRICE(43673)":0.009203442,"JPYUSD^FG_PRICE(43665)":0.009281604,"JPYUSD^FG_PRICE(43657)":0.009230628,"JPYUSD^FG_PRICE(43649)":0.00927902,"JPYUSD^FG_PRICE(43641)":0.009349726,"JPYUSD^FG_PRICE(43633)":0.009201748,"JPYUSD^FG_PRICE(43625)":0.009257116,"JPYUSD^FG_PRICE(43617)":0.009210223,"JPYUSD^FG_PRICE(43609)":0.009145365,"JPYUSD^FG_PRICE(43601)":0.00909587,"JPYUSD^FG_PRICE(43593)":0.009076469,"JPYUSD^FG_PRICE(43585)":0.008978676,"JPYUSD^FG_PRICE(43577)":0.008934554,"JPYUSD^FG_PRICE(43569)":0.008930963,"JPYUSD^FG_PRICE(43561)":0.008948546,"JPYUSD^FG_PRICE(43553)":0.009034649,"JPYUSD^FG_PRICE(43545)":0.009020792,"JPYUSD^FG_PRICE(43537)":0.00899038,"JPYUSD^FG_PRICE(43529)":0.00893695,"JPYUSD^FG_PRICE(43521)":0.009019572,"JPYUSD^FG_PRICE(43513)":0.009045271,"JPYUSD^FG_PRICE(43505)":0.009113277,"JPYUSD^FG_PRICE(43497)":0.009142857,"JPYUSD^FG_PRICE(43489)":0.009125337,"JPYUSD^FG_PRICE(43481)":0.009187376,"JPYUSD^FG_PRICE(43473)":0.009205984,"JPYUSD^FG_PRICE(43480)":0.009215316,"JPYUSD^FG_PRICE(43565)":0.009013881,"JPYUSD^FG_PRICE(43533)":0.008998065,"JPYUSD^FG_PRICE(43477)":0.009224241,"JPYUSD^FG_PRICE(45323)":0.007451287,"JPYUSD^FG_PRICE(44704)":0.0078323865,"JPYUSD^FG_PRICE(44503)":0.008766163,"JPYUSD^FG_PRICE(44416)":0.009064129,"JPYUSD^FG_PRICE(44270)":0.009163803,"JPYUSD^FG_PRICE(45620)":0.007451287,"JPYUSD^FG_PRICE(45535)":0.007451287,"JPYUSD^FG_PRICE(45451)":0.007451287,"JPYUSD^FG_PRICE(45364)":0.007451287,"JPYUSD^FG_PRICE(45279)":0.007451287,"JPYUSD^FG_PRICE(45195)":0.007451287,"JPYUSD^FG_PRICE(45108)":0.007451287,"JPYUSD^FG_PRICE(45023)":0.007451287,"JPYUSD^FG_PRICE(44939)":0.007842215,"JPYUSD^FG_PRICE(44884)":0.0071487296,"JPYUSD^FG_PRICE(44832)":0.0069163465,"JPYUSD^FG_PRICE(44781)":0.007422527,"JPYUSD^FG_PRICE(44731)":0.0073912563,"JPYUSD^FG_PRICE(44681)":0.0077184318,"JPYUSD^FG_PRICE(44640)":0.008391022,"JPYUSD^FG_PRICE(44608)":0.008663259,"JPYUSD^FG_PRICE(44576)":0.008788505,"JPYUSD^FG_PRICE(44544)":0.008793915,"JPYUSD^FG_PRICE(44512)":0.0087753935,"JPYUSD^FG_PRICE(44494)":0.008800105,"JPYUSD^FG_PRICE(44471)":0.009011851,"JPYUSD^FG_PRICE(44448)":0.0091053955,"JPYUSD^FG_PRICE(44430)":0.009107053,"JPYUSD^FG_PRICE(44407)":0.009111618,"JPYUSD^FG_PRICE(44384)":0.009036689,"JPYUSD^FG_PRICE(44366)":0.009071118,"JPYUSD^FG_PRICE(44343)":0.009113277,"JPYUSD^FG_PRICE(44320)":0.00915751,"JPYUSD^FG_PRICE(44302)":0.009189909,"JPYUSD^FG_PRICE(44279)":0.009189909,"JPYUSD^FG_PRICE(44256)":0.009376905,"JPYUSD^FG_PRICE(44238)":0.009548819,"JPYUSD^FG_PRICE(44215)":0.009624176,"JPYUSD^FG_PRICE(44192)":0.009649715,"JPYUSD^FG_PRICE(44174)":0.009596468,"JPYUSD^FG_PRICE(44151)":0.009560687,"JPYUSD^FG_PRICE(44134)":0.009565717,"JPYUSD^FG_PRICE(44118)":0.009514295,"JPYUSD^FG_PRICE(44106)":0.009491718,"JPYUSD^FG_PRICE(44097)":0.009498029,"JPYUSD^FG_PRICE(44088)":0.009464768,"JPYUSD^FG_PRICE(44080)":0.009405126,"JPYUSD^FG_PRICE(44072)":0.009496225,"JPYUSD^FG_PRICE(44064)":0.009437969,"JPYUSD^FG_PRICE(44056)":0.00935585,"JPYUSD^FG_PRICE(44048)":0.009472837,"JPYUSD^FG_PRICE(44040)":0.009526078,"JPYUSD^FG_PRICE(44032)":0.009328794,"JPYUSD^FG_PRICE(44024)":0.009367243,"JPYUSD^FG_PRICE(44016)":0.00929973,"JPYUSD^FG_PRICE(44008)":0.009316626,"JPYUSD^FG_PRICE(44000)":0.009365927,"JPYUSD^FG_PRICE(43992)":0.0093244435,"JPYUSD^FG_PRICE(43984)":0.009209375,"JPYUSD^FG_PRICE(43976)":0.009285051,"JPYUSD^FG_PRICE(43968)":0.00931923,"JPYUSD^FG_PRICE(43960)":0.009395847,"JPYUSD^FG_PRICE(43952)":0.0093541,"JPYUSD^FG_PRICE(43944)":0.009292385,"JPYUSD^FG_PRICE(43936)":0.009309687,"JPYUSD^FG_PRICE(43928)":0.0091747325,"JPYUSD^FG_PRICE(43920)":0.009251977,"JPYUSD^FG_PRICE(43912)":0.008981498,"JPYUSD^FG_PRICE(43904)":0.00933184,"JPYUSD^FG_PRICE(43896)":0.009492619,"JPYUSD^FG_PRICE(43888)":0.009091736,"JPYUSD^FG_PRICE(43880)":0.009013069,"JPYUSD^FG_PRICE(43872)":0.009097939,"JPYUSD^FG_PRICE(43864)":0.009198786,"JPYUSD^FG_PRICE(43856)":0.009137845,"JPYUSD^FG_PRICE(43848)":0.009076469,"JPYUSD^FG_PRICE(43840)":0.0091274185,"JPYUSD^FG_PRICE(43832)":0.0092357425,"JPYUSD^FG_PRICE(43824)":0.009145782,"JPYUSD^FG_PRICE(43816)":0.009130335,"JPYUSD^FG_PRICE(43808)":0.009207679,"JPYUSD^FG_PRICE(43800)":0.009131586,"JPYUSD^FG_PRICE(43792)":0.009203442,"JPYUSD^FG_PRICE(43784)":0.009196671,"JPYUSD^FG_PRICE(43776)":0.009146202,"JPYUSD^FG_PRICE(43768)":0.009184424,"JPYUSD^FG_PRICE(43760)":0.009211496,"JPYUSD^FG_PRICE(43752)":0.009223816,"JPYUSD^FG_PRICE(43744)":0.00935585,"JPYUSD^FG_PRICE(43736)":0.00924599,"JPYUSD^FG_PRICE(43728)":0.009268699,"JPYUSD^FG_PRICE(43720)":0.009269129,"JPYUSD^FG_PRICE(43712)":0.009416639,"JPYUSD^FG_PRICE(43704)":0.009441533,"JPYUSD^FG_PRICE(43696)":0.009390112,"JPYUSD^FG_PRICE(43688)":0.009464768,"JPYUSD^FG_PRICE(43680)":0.009383944,"JPYUSD^FG_PRICE(43672)":0.009203442,"JPYUSD^FG_PRICE(43664)":0.009273428,"JPYUSD^FG_PRICE(43656)":0.009212344,"JPYUSD^FG_PRICE(43648)":0.009248982,"JPYUSD^FG_PRICE(43640)":0.009313588,"JPYUSD^FG_PRICE(43632)":0.009222965,"JPYUSD^FG_PRICE(43624)":0.009257116,"JPYUSD^FG_PRICE(43616)":0.009210223,"JPYUSD^FG_PRICE(43608)":0.009113277,"JPYUSD^FG_PRICE(43600)":0.009133671,"JPYUSD^FG_PRICE(43592)":0.009058381,"JPYUSD^FG_PRICE(43584)":0.008943344,"JPYUSD^FG_PRICE(43576)":0.008937749,"JPYUSD^FG_PRICE(43568)":0.008930963,"JPYUSD^FG_PRICE(43560)":0.008948546,"JPYUSD^FG_PRICE(43552)":0.009045271,"JPYUSD^FG_PRICE(43544)":0.008974244,"JPYUSD^FG_PRICE(43536)":0.008978273,"JPYUSD^FG_PRICE(43528)":0.008940945,"JPYUSD^FG_PRICE(43520)":0.009028938,"JPYUSD^FG_PRICE(43512)":0.009045271,"JPYUSD^FG_PRICE(43504)":0.009113277,"JPYUSD^FG_PRICE(43496)":0.009188643,"JPYUSD^FG_PRICE(43488)":0.009121175,"JPYUSD^FG_PRICE(43557)":0.008983515,"JPYUSD^FG_PRICE(43509)":0.009018759,"JPYUSD^FG_PRICE(43469)":0.009248127,"JPYUSD^FG_PRICE(45151)":0.007451287,"JPYUSD^FG_PRICE(44756)":0.0071833916,"JPYUSD^FG_PRICE(44528)":0.008837826,"JPYUSD^FG_PRICE(44375)":0.009039548,"JPYUSD^FG_PRICE(44247)":0.009467008,"JPYUSD^FG_PRICE(45615)":0.007451287,"JPYUSD^FG_PRICE(45531)":0.007451287,"JPYUSD^FG_PRICE(45444)":0.007451287,"JPYUSD^FG_PRICE(45359)":0.007451287,"JPYUSD^FG_PRICE(45275)":0.007451287,"JPYUSD^FG_PRICE(45188)":0.007451287,"JPYUSD^FG_PRICE(45103)":0.007451287,"JPYUSD^FG_PRICE(45019)":0.007451287,"JPYUSD^FG_PRICE(44932)":0.0075517297,"JPYUSD^FG_PRICE(44880)":0.007181844,"JPYUSD^FG_PRICE(44829)":0.0069790976,"JPYUSD^FG_PRICE(44779)":0.0073885256,"JPYUSD^FG_PRICE(44727)":0.0074308007,"JPYUSD^FG_PRICE(44679)":0.0076327138,"JPYUSD^FG_PRICE(44638)":0.008391022,"JPYUSD^FG_PRICE(44606)":0.008653139,"JPYUSD^FG_PRICE(44574)":0.008762322,"JPYUSD^FG_PRICE(44542)":0.008816399,"JPYUSD^FG_PRICE(44511)":0.008774239,"JPYUSD^FG_PRICE(44488)":0.008751586,"JPYUSD^FG_PRICE(44470)":0.009011851,"JPYUSD^FG_PRICE(44447)":0.009063307,"JPYUSD^FG_PRICE(44424)":0.009162124,"JPYUSD^FG_PRICE(44406)":0.009122423,"JPYUSD^FG_PRICE(44383)":0.0090444535,"JPYUSD^FG_PRICE(44360)":0.0091103725,"JPYUSD^FG_PRICE(44342)":0.009171367,"JPYUSD^FG_PRICE(44319)":0.009180629,"JPYUSD^FG_PRICE(44296)":0.009124921,"JPYUSD^FG_PRICE(44278)":0.009205984,"JPYUSD^FG_PRICE(44255)":0.0093861455,"JPYUSD^FG_PRICE(44232)":0.009481819,"JPYUSD^FG_PRICE(44214)":0.009643202,"JPYUSD^FG_PRICE(44191)":0.009649715,"JPYUSD^FG_PRICE(44168)":0.009637161,"JPYUSD^FG_PRICE(44150)":0.009556575,"JPYUSD^FG_PRICE(44130)":0.009536071,"JPYUSD^FG_PRICE(44116)":0.0094989315,"JPYUSD^FG_PRICE(44105)":0.009466112,"JPYUSD^FG_PRICE(44096)":0.009525171,"JPYUSD^FG_PRICE(44087)":0.0094161965,"JPYUSD^FG_PRICE(44079)":0.009405126,"JPYUSD^FG_PRICE(44071)":0.009496225,"JPYUSD^FG_PRICE(44063)":0.00943886,"JPYUSD^FG_PRICE(44055)":0.009354536,"JPYUSD^FG_PRICE(44047)":0.00943886,"JPYUSD^FG_PRICE(44039)":0.009510676,"JPYUSD^FG_PRICE(44031)":0.009333147,"JPYUSD^FG_PRICE(44023)":0.009367243,"JPYUSD^FG_PRICE(44015)":0.00929973,"JPYUSD^FG_PRICE(44007)":0.009329664,"JPYUSD^FG_PRICE(43999)":0.0093244435,"JPYUSD^FG_PRICE(43991)":0.009283759,"JPYUSD^FG_PRICE(43983)":0.009297568,"JPYUSD^FG_PRICE(43975)":0.00930449,"JPYUSD^FG_PRICE(43967)":0.00931923,"JPYUSD^FG_PRICE(43959)":0.009395847,"JPYUSD^FG_PRICE(43951)":0.009351475,"JPYUSD^FG_PRICE(43943)":0.009276438,"JPYUSD^FG_PRICE(43935)":0.009326618,"JPYUSD^FG_PRICE(43927)":0.009163383,"JPYUSD^FG_PRICE(43919)":0.009242998,"JPYUSD^FG_PRICE(43911)":0.008981498,"JPYUSD^FG_PRICE(43903)":0.00933184,"JPYUSD^FG_PRICE(43895)":0.009374707,"JPYUSD^FG_PRICE(43887)":0.009043636,"JPYUSD^FG_PRICE(43879)":0.009106639,"JPYUSD^FG_PRICE(43871)":0.009113277,"JPYUSD^FG_PRICE(43863)":0.009226369,"JPYUSD^FG_PRICE(43855)":0.009137845,"JPYUSD^FG_PRICE(43847)":0.009076469,"JPYUSD^FG_PRICE(43839)":0.009128668,"JPYUSD^FG_PRICE(43831)":0.009201745,"JPYUSD^FG_PRICE(43823)":0.009145784,"JPYUSD^FG_PRICE(43815)":0.009121591,"JPYUSD^FG_PRICE(43807)":0.009203019,"JPYUSD^FG_PRICE(43799)":0.009131586,"JPYUSD^FG_PRICE(43791)":0.009203442,"JPYUSD^FG_PRICE(43783)":0.009210223,"JPYUSD^FG_PRICE(43775)":0.009172208,"JPYUSD^FG_PRICE(43767)":0.009188221,"JPYUSD^FG_PRICE(43759)":0.009212344,"JPYUSD^FG_PRICE(43751)":0.009209375,"JPYUSD^FG_PRICE(43743)":0.00935585,"JPYUSD^FG_PRICE(43735)":0.00924599,"JPYUSD^FG_PRICE(43727)":0.009255403,"JPYUSD^FG_PRICE(43719)":0.009281173,"JPYUSD^FG_PRICE(43711)":0.009444208,"JPYUSD^FG_PRICE(43703)":0.009436188,"JPYUSD^FG_PRICE(43695)":0.009399821,"JPYUSD^FG_PRICE(43687)":0.009464768,"JPYUSD^FG_PRICE(43679)":0.009383944,"JPYUSD^FG_PRICE(43671)":0.009212344,"JPYUSD^FG_PRICE(43663)":0.00925155,"JPYUSD^FG_PRICE(43655)":0.009194134,"JPYUSD^FG_PRICE(43647)":0.00923148,"JPYUSD^FG_PRICE(43639)":0.009285051,"JPYUSD^FG_PRICE(43631)":0.009222965,"JPYUSD^FG_PRICE(43623)":0.009257116,"JPYUSD^FG_PRICE(43615)":0.009104566,"JPYUSD^FG_PRICE(43607)":0.009064539,"JPYUSD^FG_PRICE(43599)":0.009125752,"JPYUSD^FG_PRICE(43591)":0.009018759,"JPYUSD^FG_PRICE(43583)":0.008964188,"JPYUSD^FG_PRICE(43575)":0.008937749,"JPYUSD^FG_PRICE(43567)":0.008930963,"JPYUSD^FG_PRICE(43559)":0.008962983,"JPYUSD^FG_PRICE(43551)":0.009060022,"JPYUSD^FG_PRICE(43543)":0.008977466,"JPYUSD^FG_PRICE(43535)":0.0089915935,"JPYUSD^FG_PRICE(43527)":0.0089365505,"JPYUSD^FG_PRICE(43519)":0.009028938,"JPYUSD^FG_PRICE(43511)":0.009045271,"JPYUSD^FG_PRICE(43503)":0.009111202,"JPYUSD^FG_PRICE(43495)":0.0091245035,"JPYUSD^FG_PRICE(43487)":0.0091374265,"JPYUSD^FG_PRICE(43479)":0.009231905,"JPYUSD^FG_PRICE(43471)":0.009248127,"JPYUSD^FG_PRICE(43589)":0.008989167,"JPYUSD^FG_PRICE(43525)":0.0089365505,"JPYUSD^FG_PRICE(43485)":0.00911868,"JPYUSD^FG_PRICE(45407)":0.007451287,"JPYUSD^FG_PRICE(44807)":0.007141072,"JPYUSD^FG_PRICE(44560)":0.008683948,"JPYUSD^FG_PRICE(44398)":0.009063307,"JPYUSD^FG_PRICE(44288)":0.0090415925,"JPYUSD^FG_PRICE(44160)":0.009577626,"JPYUSD^FG_PRICE(45599)":0.007451287,"JPYUSD^FG_PRICE(45515)":0.007451287,"JPYUSD^FG_PRICE(45428)":0.007451287,"JPYUSD^FG_PRICE(45343)":0.007451287,"JPYUSD^FG_PRICE(45259)":0.007451287,"JPYUSD^FG_PRICE(45172)":0.007451287,"JPYUSD^FG_PRICE(45087)":0.007451287,"JPYUSD^FG_PRICE(45003)":0.007451287,"JPYUSD^FG_PRICE(44923)":0.0074501764,"JPYUSD^FG_PRICE(44871)":0.006791402,"JPYUSD^FG_PRICE(44820)":0.0069959424,"JPYUSD^FG_PRICE(44768)":0.0073214476,"JPYUSD^FG_PRICE(44717)":0.0076496457,"JPYUSD^FG_PRICE(44671)":0.00783116,"JPYUSD^FG_PRICE(44632)":0.008547374,"JPYUSD^FG_PRICE(44600)":0.008650519,"JPYUSD^FG_PRICE(44568)":0.0086482745,"JPYUSD^FG_PRICE(44536)":0.008814067,"JPYUSD^FG_PRICE(44510)":0.008779246,"JPYUSD^FG_PRICE(44487)":0.008753885,"JPYUSD^FG_PRICE(44464)":0.009033016,"JPYUSD^FG_PRICE(44446)":0.009072764,"JPYUSD^FG_PRICE(44423)":0.00910208,"JPYUSD^FG_PRICE(44400)":0.009044045,"JPYUSD^FG_PRICE(44382)":0.009013475,"JPYUSD^FG_PRICE(44359)":0.0091103725,"JPYUSD^FG_PRICE(44336)":0.009186954,"JPYUSD^FG_PRICE(44318)":0.009148712,"JPYUSD^FG_PRICE(44295)":0.009124921,"JPYUSD^FG_PRICE(44272)":0.009155832,"JPYUSD^FG_PRICE(44254)":0.0093861455,"JPYUSD^FG_PRICE(44231)":0.009485866,"JPYUSD^FG_PRICE(44208)":0.009596929,"JPYUSD^FG_PRICE(44190)":0.009649715,"JPYUSD^FG_PRICE(44167)":0.009561601,"JPYUSD^FG_PRICE(44144)":0.009486316,"JPYUSD^FG_PRICE(44128)":0.0095387995,"JPYUSD^FG_PRICE(44114)":0.009464768,"JPYUSD^FG_PRICE(44104)":0.009475978,"JPYUSD^FG_PRICE(44095)":0.009563429,"JPYUSD^FG_PRICE(44086)":0.0094161965,"JPYUSD^FG_PRICE(44078)":0.009405126,"JPYUSD^FG_PRICE(44070)":0.009394523,"JPYUSD^FG_PRICE(44062)":0.009465215,"JPYUSD^FG_PRICE(44054)":0.009392759,"JPYUSD^FG_PRICE(44046)":0.009425514,"JPYUSD^FG_PRICE(44038)":0.0094468845,"JPYUSD^FG_PRICE(44030)":0.009333147,"JPYUSD^FG_PRICE(44022)":0.009367243,"JPYUSD^FG_PRICE(44014)":0.009291521,"JPYUSD^FG_PRICE(44006)":0.0093541,"JPYUSD^FG_PRICE(43998)":0.009314022,"JPYUSD^FG_PRICE(43990)":0.009209375,"JPYUSD^FG_PRICE(43982)":0.009282035,"JPYUSD^FG_PRICE(43974)":0.00930449,"JPYUSD^FG_PRICE(43966)":0.00931923,"JPYUSD^FG_PRICE(43958)":0.009383944,"JPYUSD^FG_PRICE(43950)":0.009381303,"JPYUSD^FG_PRICE(43942)":0.0092897955,"JPYUSD^FG_PRICE(43934)":0.009282035,"JPYUSD^FG_PRICE(43926)":0.009216165,"JPYUSD^FG_PRICE(43918)":0.009242998,"JPYUSD^FG_PRICE(43910)":0.008981498,"JPYUSD^FG_PRICE(43902)":0.009462528,"JPYUSD^FG_PRICE(43894)":0.009320533,"JPYUSD^FG_PRICE(43886)":0.0090797655,"JPYUSD^FG_PRICE(43878)":0.009094629,"JPYUSD^FG_PRICE(43870)":0.009109542,"JPYUSD^FG_PRICE(43862)":0.009226369,"JPYUSD^FG_PRICE(43854)":0.009137845,"JPYUSD^FG_PRICE(43846)":0.009080178,"JPYUSD^FG_PRICE(43838)":0.009205136,"JPYUSD^FG_PRICE(43830)":0.009201748,"JPYUSD^FG_PRICE(43822)":0.009142857,"JPYUSD^FG_PRICE(43814)":0.009151643,"JPYUSD^FG_PRICE(43806)":0.009203019,"JPYUSD^FG_PRICE(43798)":0.009131586,"JPYUSD^FG_PRICE(43790)":0.009214891,"JPYUSD^FG_PRICE(43782)":0.009196671,"JPYUSD^FG_PRICE(43774)":0.009161704,"JPYUSD^FG_PRICE(43766)":0.009173471,"JPYUSD^FG_PRICE(43758)":0.009215316,"JPYUSD^FG_PRICE(43750)":0.009209375,"JPYUSD^FG_PRICE(43742)":0.00935585,"JPYUSD^FG_PRICE(43734)":0.009287206,"JPYUSD^FG_PRICE(43726)":0.00924001,"JPYUSD^FG_PRICE(43718)":0.009320967,"JPYUSD^FG_PRICE(43710)":0.009410436,"JPYUSD^FG_PRICE(43702)":0.009437969,"JPYUSD^FG_PRICE(43694)":0.009399821,"JPYUSD^FG_PRICE(43686)":0.009464768,"JPYUSD^FG_PRICE(43678)":0.009243426,"JPYUSD^FG_PRICE(43670)":0.00925369,"JPYUSD^FG_PRICE(43662)":0.009236169,"JPYUSD^FG_PRICE(43654)":0.009201748,"JPYUSD^FG_PRICE(43646)":0.009281604,"JPYUSD^FG_PRICE(43638)":0.009285051,"JPYUSD^FG_PRICE(43630)":0.009222965,"JPYUSD^FG_PRICE(43622)":0.009243426,"JPYUSD^FG_PRICE(43614)":0.009143693,"JPYUSD^FG_PRICE(43606)":0.009042409,"JPYUSD^FG_PRICE(43598)":0.009163383,"JPYUSD^FG_PRICE(43590)":0.008989167,"JPYUSD^FG_PRICE(43582)":0.008964188,"JPYUSD^FG_PRICE(43574)":0.008937749,"JPYUSD^FG_PRICE(43566)":0.008970219,"JPYUSD^FG_PRICE(43558)":0.008969414,"JPYUSD^FG_PRICE(43550)":0.009050183,"JPYUSD^FG_PRICE(43542)":0.008975452,"JPYUSD^FG_PRICE(43534)":0.008998065,"JPYUSD^FG_PRICE(43526)":0.0089365505,"JPYUSD^FG_PRICE(43518)":0.009028938,"JPYUSD^FG_PRICE(43510)":0.0090322,"JPYUSD^FG_PRICE(43502)":0.00910581,"JPYUSD^FG_PRICE(43494)":0.0091466205,"JPYUSD^FG_PRICE(43486)":0.009122423,"JPYUSD^FG_PRICE(43478)":0.009224241,"JPYUSD^FG_PRICE(43470)":0.009248127,"JPYUSD^FG_PRICE(43581)":0.008964188,"JPYUSD^FG_PRICE(43541)":0.008962582,"JPYUSD^FG_PRICE(43493)":0.009151224,"JPYUSD^FG_PRICE(45492)":0.007451287,"JPYUSD^FG_PRICE(44660)":0.008038262,"JPYUSD^FG_PRICE(44462)":0.0090797655,"JPYUSD^FG_PRICE(44352)":0.009131169,"JPYUSD^FG_PRICE(44206)":0.009634376,"JPYUSD^FG_PRICE(45595)":0.007451287,"JPYUSD^FG_PRICE(45508)":0.007451287,"JPYUSD^FG_PRICE(45423)":0.007451287,"JPYUSD^FG_PRICE(45339)":0.007451287,"JPYUSD^FG_PRICE(45252)":0.007451287,"JPYUSD^FG_PRICE(45167)":0.007451287,"JPYUSD^FG_PRICE(45083)":0.007451287,"JPYUSD^FG_PRICE(44996)":0.007451287,"JPYUSD^FG_PRICE(44919)":0.007527286,"JPYUSD^FG_PRICE(44868)":0.0067480938,"JPYUSD^FG_PRICE(44816)":0.007023705,"JPYUSD^FG_PRICE(44765)":0.007350509,"JPYUSD^FG_PRICE(44715)":0.0076496457,"JPYUSD^FG_PRICE(44668)":0.007942497,"JPYUSD^FG_PRICE(44630)":0.008623292,"JPYUSD^FG_PRICE(44598)":0.008675661,"JPYUSD^FG_PRICE(44566)":0.008636325,"JPYUSD^FG_PRICE(44534)":0.008831972,"JPYUSD^FG_PRICE(44504)":0.008800105,"JPYUSD^FG_PRICE(44486)":0.008766931,"JPYUSD^FG_PRICE(44463)":0.009033016,"JPYUSD^FG_PRICE(44440)":0.009090496,"JPYUSD^FG_PRICE(44422)":0.00910208,"JPYUSD^FG_PRICE(44399)":0.0090797655,"JPYUSD^FG_PRICE(44376)":0.009049364,"JPYUSD^FG_PRICE(44358)":0.0091103725,"JPYUSD^FG_PRICE(44335)":0.009208527,"JPYUSD^FG_PRICE(44312)":0.009251977,"JPYUSD^FG_PRICE(44294)":0.009151643,"JPYUSD^FG_PRICE(44271)":0.00917263,"JPYUSD^FG_PRICE(44248)":0.009467008,"JPYUSD^FG_PRICE(44230)":0.009517012,"JPYUSD^FG_PRICE(44207)":0.009588188,"JPYUSD^FG_PRICE(44184)":0.009671648,"JPYUSD^FG_PRICE(44166)":0.009570751,"JPYUSD^FG_PRICE(44143)":0.009680074,"JPYUSD^FG_PRICE(44127)":0.0095387995,"JPYUSD^FG_PRICE(44112)":0.0094317375,"JPYUSD^FG_PRICE(44103)":0.009461633,"JPYUSD^FG_PRICE(44094)":0.009585431,"JPYUSD^FG_PRICE(44085)":0.0094161965,"JPYUSD^FG_PRICE(44077)":0.009413093,"JPYUSD^FG_PRICE(44069)":0.009421076,"JPYUSD^FG_PRICE(44061)":0.009483168,"JPYUSD^FG_PRICE(44053)":0.00945403,"JPYUSD^FG_PRICE(44045)":0.009458053,"JPYUSD^FG_PRICE(44037)":0.0094468845,"JPYUSD^FG_PRICE(44029)":0.009333147,"JPYUSD^FG_PRICE(44021)":0.009320967,"JPYUSD^FG_PRICE(44013)":0.009300163,"JPYUSD^FG_PRICE(44005)":0.009413093,"JPYUSD^FG_PRICE(43997)":0.009310554,"JPYUSD^FG_PRICE(43989)":0.009112032,"JPYUSD^FG_PRICE(43981)":0.009282035,"JPYUSD^FG_PRICE(43973)":0.00930449,"JPYUSD^FG_PRICE(43965)":0.009341866,"JPYUSD^FG_PRICE(43957)":0.009429514,"JPYUSD^FG_PRICE(43949)":0.009350164,"JPYUSD^FG_PRICE(43941)":0.009290658,"JPYUSD^FG_PRICE(43933)":0.009216166,"JPYUSD^FG_PRICE(43925)":0.009216165,"JPYUSD^FG_PRICE(43917)":0.009242998,"JPYUSD^FG_PRICE(43909)":0.009085953,"JPYUSD^FG_PRICE(43901)":0.009537889,"JPYUSD^FG_PRICE(43893)":0.009297568,"JPYUSD^FG_PRICE(43885)":0.00903628,"JPYUSD^FG_PRICE(43877)":0.009110787,"JPYUSD^FG_PRICE(43869)":0.009109542,"JPYUSD^FG_PRICE(43861)":0.009226369,"JPYUSD^FG_PRICE(43853)":0.009143275,"JPYUSD^FG_PRICE(43845)":0.009091322,"JPYUSD^FG_PRICE(43837)":0.009206408,"JPYUSD^FG_PRICE(43829)":0.009175574,"JPYUSD^FG_PRICE(43821)":0.009136175,"JPYUSD^FG_PRICE(43813)":0.009151643,"JPYUSD^FG_PRICE(43805)":0.009203019,"JPYUSD^FG_PRICE(43797)":0.009129086,"JPYUSD^FG_PRICE(43789)":0.009204713,"JPYUSD^FG_PRICE(43781)":0.009161704,"JPYUSD^FG_PRICE(43773)":0.009215316,"JPYUSD^FG_PRICE(43765)":0.009210223,"JPYUSD^FG_PRICE(43757)":0.009215316,"JPYUSD^FG_PRICE(43749)":0.009209375,"JPYUSD^FG_PRICE(43741)":0.00937295,"JPYUSD^FG_PRICE(43733)":0.0092833275,"JPYUSD^FG_PRICE(43725)":0.009241717,"JPYUSD^FG_PRICE(43717)":0.00933184,"JPYUSD^FG_PRICE(43709)":0.009421076,"JPYUSD^FG_PRICE(43701)":0.009437969,"JPYUSD^FG_PRICE(43693)":0.009399821,"JPYUSD^FG_PRICE(43685)":0.009414867,"JPYUSD^FG_PRICE(43677)":0.009210223,"JPYUSD^FG_PRICE(43669)":0.009248982,"JPYUSD^FG_PRICE(43661)":0.009261403,"JPYUSD^FG_PRICE(43653)":0.0092195645,"JPYUSD^FG_PRICE(43645)":0.009281604,"JPYUSD^FG_PRICE(43637)":0.009285051,"JPYUSD^FG_PRICE(43629)":0.0092157405,"JPYUSD^FG_PRICE(43621)":0.009258831,"JPYUSD^FG_PRICE(43613)":0.009130335,"JPYUSD^FG_PRICE(43605)":0.009093389,"JPYUSD^FG_PRICE(43597)":0.009123671,"JPYUSD^FG_PRICE(43573)":0.008937748,"JPYUSD^FG_PRICE(43517)":0.009036689,"JPYUSD^FG_PRICE(45236)":0.007451287,"JPYUSD^FG_PRICE(45067)":0.007451287,"JPYUSD^FG_PRICE(44980)":0.007451287,"JPYUSD^FG_PRICE(44909)":0.007416197,"JPYUSD^FG_PRICE(44859)":0.0067652133,"JPYUSD^FG_PRICE(44592)":0.008678672,"JPYUSD^FG_PRICE(44439)":0.009102494,"JPYUSD^FG_PRICE(44311)":0.009251977,"JPYUSD^FG_PRICE(44183)":0.009671648,"JPYUSD^FG_PRICE(45572)":0.007451287,"JPYUSD^FG_PRICE(44907)":0.007277226,"JPYUSD^FG_PRICE(44558)":0.008713458,"JPYUSD^FG_PRICE(44374)":0.009027308,"JPYUSD^FG_PRICE(44200)":0.00969697,"JPYUSD^FG_PRICE(44110)":0.009468352,"JPYUSD^FG_PRICE(44075)":0.009434407,"JPYUSD^FG_PRICE(44043)":0.009458053,"JPYUSD^FG_PRICE(44011)":0.009283759,"JPYUSD^FG_PRICE(43979)":0.009291521,"JPYUSD^FG_PRICE(43947)":0.0093079535,"JPYUSD^FG_PRICE(43915)":0.008973842,"JPYUSD^FG_PRICE(43883)":0.008952151,"JPYUSD^FG_PRICE(43851)":0.009098353,"JPYUSD^FG_PRICE(43819)":0.009136175,"JPYUSD^FG_PRICE(43787)":0.00921192,"JPYUSD^FG_PRICE(43755)":0.009203865,"JPYUSD^FG_PRICE(43723)":0.00925369,"JPYUSD^FG_PRICE(43691)":0.009451349,"JPYUSD^FG_PRICE(43659)":0.009257973,"JPYUSD^FG_PRICE(43627)":0.009210223,"JPYUSD^FG_PRICE(43595)":0.009123671,"JPYUSD^FG_PRICE(43563)":0.008974646,"JPYUSD^FG_PRICE(43531)":0.008965795,"JPYUSD^FG_PRICE(43499)":0.009142857,"JPYUSD^FG_PRICE(43467)":0.0091495495,"JPYUSD^FG_PRICE(43620)":0.009232331,"JPYUSD^FG_PRICE(43556)":0.008992806,"JPYUSD^FG_PRICE(43492)":0.009117848,"JPYUSD^FG_PRICE(43523)":0.009017539,"JPYUSD^FG_PRICE(43796)":0.00914244,"JPYUSD^FG_PRICE(43636)":0.009298866,"JPYUSD^FG_PRICE(45060)":0.007451287,"JPYUSD^FG_PRICE(43987)":0.009112032,"JPYUSD^FG_PRICE(43763)":0.009210223,"JPYUSD^FG_PRICE(43571)":0.008934155,"JPYUSD^FG_PRICE(44590)":0.008682063,"JPYUSD^FG_PRICE(44012)":0.009269129,"JPYUSD^FG_PRICE(43820)":0.009136175,"JPYUSD^FG_PRICE(43628)":0.0092195645,"JPYUSD^FG_PRICE(43468)":0.009296704,"JPYUSD^FG_PRICE(45487)":0.007451287,"JPYUSD^FG_PRICE(44855)":0.006667111,"JPYUSD^FG_PRICE(44526)":0.008837826,"JPYUSD^FG_PRICE(44351)":0.009131169,"JPYUSD^FG_PRICE(44182)":0.009705439,"JPYUSD^FG_PRICE(44102)":0.009467456,"JPYUSD^FG_PRICE(44068)":0.0093852645,"JPYUSD^FG_PRICE(44036)":0.0094468845,"JPYUSD^FG_PRICE(44004)":0.009354975,"JPYUSD^FG_PRICE(43972)":0.009274717,"JPYUSD^FG_PRICE(43940)":0.009300163,"JPYUSD^FG_PRICE(43908)":0.009217864,"JPYUSD^FG_PRICE(43876)":0.009110787,"JPYUSD^FG_PRICE(43844)":0.0090876045,"JPYUSD^FG_PRICE(43812)":0.009151643,"JPYUSD^FG_PRICE(43780)":0.009165483,"JPYUSD^FG_PRICE(43748)":0.009263548,"JPYUSD^FG_PRICE(43716)":0.009365488,"JPYUSD^FG_PRICE(43684)":0.009454477,"JPYUSD^FG_PRICE(43652)":0.0092195645,"JPYUSD^FG_PRICE(43588)":0.008989167,"JPYUSD^FG_PRICE(43524)":0.008983112,"JPYUSD^FG_PRICE(43860)":0.009201748,"JPYUSD^FG_PRICE(43604)":0.009092975,"JPYUSD^FG_PRICE(44246)":0.009467008,"JPYUSD^FG_PRICE(43923)":0.009261403,"JPYUSD^FG_PRICE(43699)":0.009392759,"JPYUSD^FG_PRICE(43507)":0.009057971,"JPYUSD^FG_PRICE(44111)":0.0094317375,"JPYUSD^FG_PRICE(43916)":0.009134506,"JPYUSD^FG_PRICE(43724)":0.009257973,"JPYUSD^FG_PRICE(43532)":0.008998065,"JPYUSD^FG_PRICE(45403)":0.007451287,"JPYUSD^FG_PRICE(44804)":0.007213706,"JPYUSD^FG_PRICE(44502)":0.008787733,"JPYUSD^FG_PRICE(44328)":0.009142857,"JPYUSD^FG_PRICE(44159)":0.009554292,"JPYUSD^FG_PRICE(44101)":0.009466112,"JPYUSD^FG_PRICE(44067)":0.009446438,"JPYUSD^FG_PRICE(44035)":0.009346231,"JPYUSD^FG_PRICE(44003)":0.009347979,"JPYUSD^FG_PRICE(43971)":0.0093079535,"JPYUSD^FG_PRICE(43939)":0.009300163,"JPYUSD^FG_PRICE(43907)":0.009312287,"JPYUSD^FG_PRICE(43875)":0.009110787,"JPYUSD^FG_PRICE(43843)":0.009096698,"JPYUSD^FG_PRICE(43811)":0.009149968,"JPYUSD^FG_PRICE(43779)":0.009162124,"JPYUSD^FG_PRICE(43747)":0.009312287,"JPYUSD^FG_PRICE(43715)":0.009365488,"JPYUSD^FG_PRICE(43683)":0.009399821,"JPYUSD^FG_PRICE(43651)":0.0092195645,"JPYUSD^FG_PRICE(43619)":0.009226795,"JPYUSD^FG_PRICE(43587)":0.008965795,"JPYUSD^FG_PRICE(43555)":0.009034649,"JPYUSD^FG_PRICE(43491)":0.009117848,"JPYUSD^FG_PRICE(43668)":0.009272567,"JPYUSD^FG_PRICE(43476)":0.009224241,"JPYUSD^FG_PRICE(44083)":0.009413093,"JPYUSD^FG_PRICE(43859)":0.009159187,"JPYUSD^FG_PRICE(43667)":0.009281604,"JPYUSD^FG_PRICE(43475)":0.00924129,"JPYUSD^FG_PRICE(44076)":0.009420631,"JPYUSD^FG_PRICE(43884)":0.008952151,"JPYUSD^FG_PRICE(43692)":0.009421076,"JPYUSD^FG_PRICE(43500)":0.009086778,"JPYUSD^FG_PRICE(45316)":0.007451287,"JPYUSD^FG_PRICE(44752)":0.0073494283,"JPYUSD^FG_PRICE(44479)":0.008925384,"JPYUSD^FG_PRICE(44310)":0.009251977,"JPYUSD^FG_PRICE(44142)":0.009680074,"JPYUSD^FG_PRICE(44093)":0.009585431,"JPYUSD^FG_PRICE(44060)":0.0094277365,"JPYUSD^FG_PRICE(44028)":0.009335324,"JPYUSD^FG_PRICE(43996)":0.009317059,"JPYUSD^FG_PRICE(43964)":0.009335761,"JPYUSD^FG_PRICE(43932)":0.009216166,"JPYUSD^FG_PRICE(43900)":0.009638554,"JPYUSD^FG_PRICE(43868)":0.009109542,"JPYUSD^FG_PRICE(43836)":0.009232331,"JPYUSD^FG_PRICE(43804)":0.009194557,"JPYUSD^FG_PRICE(43772)":0.009246417,"JPYUSD^FG_PRICE(43740)":0.009315324,"JPYUSD^FG_PRICE(43708)":0.009421076,"JPYUSD^FG_PRICE(43676)":0.00920429,"JPYUSD^FG_PRICE(43644)":0.009281604,"JPYUSD^FG_PRICE(43612)":0.009129502,"JPYUSD^FG_PRICE(43580)":0.008972634,"JPYUSD^FG_PRICE(43548)":0.009109542,"JPYUSD^FG_PRICE(43516)":0.009028123,"JPYUSD^FG_PRICE(43484)":0.00911868,"JPYUSD^FG_PRICE(43643)":0.00927859,"JPYUSD^FG_PRICE(43579)":0.0089473445,"JPYUSD^FG_PRICE(43515)":0.009044862,"JPYUSD^FG_PRICE(43924)":0.009216165,"JPYUSD^FG_PRICE(43732)":0.009309687,"JPYUSD^FG_PRICE(43540)":0.008962582,"JPYUSD^FG_PRICE(44415)":0.009064129,"JPYUSD^FG_PRICE(44019)":0.009297568,"JPYUSD^FG_PRICE(43827)":0.009125337,"JPYUSD^FG_PRICE(43603)":0.009092975,"JPYUSD^FG_PRICE(44392)":0.009088017,"JPYUSD^FG_PRICE(43980)":0.009282035,"JPYUSD^FG_PRICE(43756)":0.009215316,"JPYUSD^FG_PRICE(43596)":0.009123671,"JPYUSD^FG_PRICE(45231)":0.007451287,"JPYUSD^FG_PRICE(44701)":0.0078115845,"JPYUSD^FG_PRICE(44456)":0.009093389,"JPYUSD^FG_PRICE(44287)":0.009041592,"JPYUSD^FG_PRICE(44138)":0.009563429,"JPYUSD^FG_PRICE(44092)":0.009585431,"JPYUSD^FG_PRICE(44059)":0.009393641,"JPYUSD^FG_PRICE(44027)":0.009359791,"JPYUSD^FG_PRICE(43995)":0.009317059,"JPYUSD^FG_PRICE(43963)":0.009325313,"JPYUSD^FG_PRICE(43931)":0.009216166,"JPYUSD^FG_PRICE(43899)":0.009751816,"JPYUSD^FG_PRICE(43867)":0.009092975,"JPYUSD^FG_PRICE(43835)":0.009257116,"JPYUSD^FG_PRICE(43803)":0.009189909,"JPYUSD^FG_PRICE(43771)":0.009246417,"JPYUSD^FG_PRICE(43739)":0.009271707,"JPYUSD^FG_PRICE(43707)":0.009421076,"JPYUSD^FG_PRICE(43675)":0.009189066,"JPYUSD^FG_PRICE(43611)":0.009145365,"JPYUSD^FG_PRICE(43547)":0.009109542,"JPYUSD^FG_PRICE(43483)":0.00911868,"JPYUSD^FG_PRICE(43764)":0.009210223,"JPYUSD^FG_PRICE(43572)":0.008928572,"JPYUSD^FG_PRICE(44622)":0.008652016,"JPYUSD^FG_PRICE(44051)":0.009444208,"JPYUSD^FG_PRICE(43891)":0.009270848,"JPYUSD^FG_PRICE(43731)":0.009314456,"JPYUSD^FG_PRICE(43539)":0.008962582,"JPYUSD^FG_PRICE(44223)":0.009605686,"JPYUSD^FG_PRICE(43948)":0.009328794,"JPYUSD^FG_PRICE(43788)":0.009217015,"JPYUSD^FG_PRICE(43564)":0.0089988755,"JPYUSD^FG_PRICE(45147)":0.007451287,"JPYUSD^FG_PRICE(44657)":0.008081134,"JPYUSD^FG_PRICE(44438)":0.009098767,"JPYUSD^FG_PRICE(44264)":0.009192022,"JPYUSD^FG_PRICE(44126)":0.009541529,"JPYUSD^FG_PRICE(44084)":0.00941797,"JPYUSD^FG_PRICE(44052)":0.009444208,"JPYUSD^FG_PRICE(44020)":0.009300595,"JPYUSD^FG_PRICE(43988)":0.009112032,"JPYUSD^FG_PRICE(43956)":0.0093804225,"JPYUSD^FG_PRICE(43892)":0.009265694,"JPYUSD^FG_PRICE(43828)":0.009125337,"JPYUSD^FG_PRICE(43700)":0.009437969,"JPYUSD^FG_PRICE(43508)":0.009048136,"JPYUSD^FG_PRICE(44122)":0.009486316,"JPYUSD^FG_PRICE(43955)":0.00935235,"JPYUSD^FG_PRICE(43795)":0.009167164,"JPYUSD^FG_PRICE(43635)":0.009224667,"JPYUSD^FG_PRICE(44975)":0.007451287,"JPYUSD^FG_PRICE(44044)":0.009458053,"JPYUSD^FG_PRICE(43852)":0.009098353,"JPYUSD^FG_PRICE(43660)":0.009257973,"GBPUSD^FG_PRICE(45573)":1.20115,"EURUSD^FG_PRICE(45573)":1.0673,"GBPUSD^FG_PRICE(45572)":1.20115,"EURUSD^FG_PRICE(45572)":1.0673,"GBPUSD^FG_PRICE(45571)":1.20115,"EURUSD^FG_PRICE(45571)":1.0673,"GBPUSD^FG_PRICE(45570)":1.20115,"EURUSD^FG_PRICE(45570)":1.0673,"GBPUSD^FG_PRICE(45569)":1.20115,"EURUSD^FG_PRICE(45569)":1.0673,"GBPUSD^FG_PRICE(45568)":1.20115,"EURUSD^FG_PRICE(45568)":1.0673,"GBPUSD^FG_PRICE(45567)":1.20115,"EURUSD^FG_PRICE(45567)":1.0673,"GBPUSD^FG_PRICE(45566)":1.20115,"EURUSD^FG_PRICE(45566)":1.0673,"GBPUSD^FG_PRICE(45565)":1.20115,"EURUSD^FG_PRICE(45565)":1.0673,"GBPUSD^FG_PRICE(45564)":1.20115,"EURUSD^FG_PRICE(45564)":1.0673,"GBPUSD^FG_PRICE(45563)":1.20115,"EURUSD^FG_PRICE(45563)":1.0673,"GBPUSD^FG_PRICE(45562)":1.20115,"EURUSD^FG_PRICE(45562)":1.0673,"GBPUSD^FG_PRICE(45561)":1.20115,"EURUSD^FG_PRICE(45561)":1.0673,"GBPUSD^FG_PRICE(45560)":1.20115,"EURUSD^FG_PRICE(45560)":1.0673,"GBPUSD^FG_PRICE(45559)":1.20115,"EURUSD^FG_PRICE(45559)":1.0673,"GBPUSD^FG_PRICE(45558)":1.20115,"EURUSD^FG_PRICE(45558)":1.0673,"GBPUSD^FG_PRICE(45557)":1.20115,"EURUSD^FG_PRICE(45557)":1.0673,"GBPUSD^FG_PRICE(45556)":1.20115,"EURUSD^FG_PRICE(45556)":1.0673,"GBPUSD^FG_PRICE(45555)":1.20115,"EURUSD^FG_PRICE(45555)":1.0673,"GBPUSD^FG_PRICE(45554)":1.20115,"EURUSD^FG_PRICE(45554)":1.0673,"GBPUSD^FG_PRICE(45553)":1.20115,"EURUSD^FG_PRICE(45553)":1.0673,"GBPUSD^FG_PRICE(45552)":1.20115,"EURUSD^FG_PRICE(45552)":1.0673,"GBPUSD^FG_PRICE(45551)":1.20115,"EURUSD^FG_PRICE(45551)":1.0673,"GBPUSD^FG_PRICE(45550)":1.20115,"EURUSD^FG_PRICE(45550)":1.0673,"GBPUSD^FG_PRICE(45549)":1.20115,"EURUSD^FG_PRICE(45549)":1.0673,"GBPUSD^FG_PRICE(45548)":1.20115,"EURUSD^FG_PRICE(45548)":1.0673,"GBPUSD^FG_PRICE(45547)":1.20115,"EURUSD^FG_PRICE(45547)":1.0673,"GBPUSD^FG_PRICE(45546)":1.20115,"EURUSD^FG_PRICE(45546)":1.0673,"GBPUSD^FG_PRICE(45545)":1.20115,"EURUSD^FG_PRICE(45545)":1.0673,"GBPUSD^FG_PRICE(45544)":1.20115,"EURUSD^FG_PRICE(45544)":1.0673,"GBPUSD^FG_PRICE(45543)":1.20115,"EURUSD^FG_PRICE(45543)":1.0673,"GBPUSD^FG_PRICE(45542)":1.20115,"EURUSD^FG_PRICE(45542)":1.0673,"GBPUSD^FG_PRICE(45541)":1.20115,"EURUSD^FG_PRICE(45541)":1.0673,"GBPUSD^FG_PRICE(45540)":1.20115,"EURUSD^FG_PRICE(45540)":1.0673,"GBPUSD^FG_PRICE(45539)":1.20115,"EURUSD^FG_PRICE(45539)":1.0673,"GBPUSD^FG_PRICE(45538)":1.20115,"EURUSD^FG_PRICE(45538)":1.0673,"GBPUSD^FG_PRICE(45537)":1.20115,"EURUSD^FG_PRICE(45537)":1.0673,"GBPUSD^FG_PRICE(45536)":1.20115,"EURUSD^FG_PRICE(45536)":1.0673,"GBPUSD^FG_PRICE(45535)":1.20115,"EURUSD^FG_PRICE(45535)":1.0673,"GBPUSD^FG_PRICE(45534)":1.20115,"EURUSD^FG_PRICE(45534)":1.0673,"GBPUSD^FG_PRICE(45533)":1.20115,"EURUSD^FG_PRICE(45533)":1.0673,"GBPUSD^FG_PRICE(45532)":1.20115,"EURUSD^FG_PRICE(45532)":1.0673,"GBPUSD^FG_PRICE(45531)":1.20115,"EURUSD^FG_PRICE(45531)":1.0673,"GBPUSD^FG_PRICE(45530)":1.20115,"EURUSD^FG_PRICE(45530)":1.0673,"GBPUSD^FG_PRICE(45529)":1.20115,"EURUSD^FG_PRICE(45529)":1.0673,"GBPUSD^FG_PRICE(45528)":1.20115,"EURUSD^FG_PRICE(45528)":1.0673,"GBPUSD^FG_PRICE(45527)":1.20115,"EURUSD^FG_PRICE(45527)":1.0673,"GBPUSD^FG_PRICE(45526)":1.20115,"EURUSD^FG_PRICE(45526)":1.0673,"GBPUSD^FG_PRICE(45525)":1.20115,"EURUSD^FG_PRICE(45525)":1.0673,"GBPUSD^FG_PRICE(45524)":1.20115,"EURUSD^FG_PRICE(45524)":1.0673,"GBPUSD^FG_PRICE(45523)":1.20115,"EURUSD^FG_PRICE(45523)":1.0673,"GBPUSD^FG_PRICE(45522)":1.20115,"EURUSD^FG_PRICE(45522)":1.0673,"GBPUSD^FG_PRICE(45521)":1.20115,"EURUSD^FG_PRICE(45521)":1.0673,"GBPUSD^FG_PRICE(45520)":1.20115,"EURUSD^FG_PRICE(45520)":1.0673,"GBPUSD^FG_PRICE(45519)":1.20115,"EURUSD^FG_PRICE(45519)":1.0673,"GBPUSD^FG_PRICE(45518)":1.20115,"EURUSD^FG_PRICE(45518)":1.0673,"GBPUSD^FG_PRICE(45517)":1.20115,"EURUSD^FG_PRICE(45517)":1.0673,"GBPUSD^FG_PRICE(45516)":1.20115,"EURUSD^FG_PRICE(45516)":1.0673,"GBPUSD^FG_PRICE(45515)":1.20115,"EURUSD^FG_PRICE(45515)":1.0673,"GBPUSD^FG_PRICE(45514)":1.20115,"EURUSD^FG_PRICE(45514)":1.0673,"GBPUSD^FG_PRICE(45513)":1.20115,"EURUSD^FG_PRICE(45513)":1.0673,"GBPUSD^FG_PRICE(45512)":1.20115,"EURUSD^FG_PRICE(45512)":1.0673,"GBPUSD^FG_PRICE(45511)":1.20115,"EURUSD^FG_PRICE(45511)":1.0673,"GBPUSD^FG_PRICE(45510)":1.20115,"EURUSD^FG_PRICE(45510)":1.0673,"GBPUSD^FG_PRICE(45509)":1.20115,"EURUSD^FG_PRICE(45509)":1.0673,"GBPUSD^FG_PRICE(45508)":1.20115,"EURUSD^FG_PRICE(45508)":1.0673,"GBPUSD^FG_PRICE(45507)":1.20115,"EURUSD^FG_PRICE(45507)":1.0673,"GBPUSD^FG_PRICE(45506)":1.20115,"EURUSD^FG_PRICE(45506)":1.0673,"GBPUSD^FG_PRICE(45505)":1.20115,"EURUSD^FG_PRICE(45505)":1.0673,"GBPUSD^FG_PRICE(45504)":1.20115,"EURUSD^FG_PRICE(45504)":1.0673,"GBPUSD^FG_PRICE(45503)":1.20115,"EURUSD^FG_PRICE(45503)":1.0673,"GBPUSD^FG_PRICE(45502)":1.20115,"EURUSD^FG_PRICE(45502)":1.0673,"GBPUSD^FG_PRICE(45501)":1.20115,"EURUSD^FG_PRICE(45501)":1.0673,"GBPUSD^FG_PRICE(45500)":1.20115,"EURUSD^FG_PRICE(45500)":1.0673,"GBPUSD^FG_PRICE(45499)":1.20115,"EURUSD^FG_PRICE(45499)":1.0673,"GBPUSD^FG_PRICE(45498)":1.20115,"EURUSD^FG_PRICE(45498)":1.0673,"GBPUSD^FG_PRICE(45497)":1.20115,"EURUSD^FG_PRICE(45497)":1.0673,"GBPUSD^FG_PRICE(45496)":1.20115,"EURUSD^FG_PRICE(45496)":1.0673,"GBPUSD^FG_PRICE(45495)":1.20115,"EURUSD^FG_PRICE(45495)":1.0673,"GBPUSD^FG_PRICE(45494)":1.20115,"EURUSD^FG_PRICE(45494)":1.0673,"GBPUSD^FG_PRICE(45493)":1.20115,"EURUSD^FG_PRICE(45493)":1.0673,"GBPUSD^FG_PRICE(45492)":1.20115,"EURUSD^FG_PRICE(45492)":1.0673,"GBPUSD^FG_PRICE(45491)":1.20115,"EURUSD^FG_PRICE(45491)":1.0673,"GBPUSD^FG_PRICE(45490)":1.20115,"EURUSD^FG_PRICE(45490)":1.0673,"GBPUSD^FG_PRICE(45489)":1.20115,"EURUSD^FG_PRICE(45489)":1.0673,"GBPUSD^FG_PRICE(45488)":1.20115,"EURUSD^FG_PRICE(45488)":1.0673,"GBPUSD^FG_PRICE(45487)":1.20115,"EURUSD^FG_PRICE(45487)":1.0673,"GBPUSD^FG_PRICE(45486)":1.20115,"EURUSD^FG_PRICE(45486)":1.0673,"GBPUSD^FG_PRICE(45485)":1.20115,"EURUSD^FG_PRICE(45485)":1.0673,"GBPUSD^FG_PRICE(45484)":1.20115,"EURUSD^FG_PRICE(45484)":1.0673,"GBPUSD^FG_PRICE(45483)":1.20115,"EURUSD^FG_PRICE(45483)":1.0673,"GBPUSD^FG_PRICE(45482)":1.20115,"EURUSD^FG_PRICE(45482)":1.0673,"GBPUSD^FG_PRICE(45481)":1.20115,"EURUSD^FG_PRICE(45481)":1.0673,"GBPUSD^FG_PRICE(45480)":1.20115,"EURUSD^FG_PRICE(45480)":1.0673,"GBPUSD^FG_PRICE(45479)":1.20115,"EURUSD^FG_PRICE(45479)":1.0673,"GBPUSD^FG_PRICE(45478)":1.20115,"EURUSD^FG_PRICE(45478)":1.0673,"GBPUSD^FG_PRICE(45477)":1.20115,"EURUSD^FG_PRICE(45477)":1.0673,"GBPUSD^FG_PRICE(45476)":1.20115,"EURUSD^FG_PRICE(45476)":1.0673,"GBPUSD^FG_PRICE(45475)":1.20115,"EURUSD^FG_PRICE(45475)":1.0673,"GBPUSD^FG_PRICE(45474)":1.20115,"EURUSD^FG_PRICE(45474)":1.0673,"GBPUSD^FG_PRICE(45473)":1.20115,"EURUSD^FG_PRICE(45473)":1.0673,"GBPUSD^FG_PRICE(45472)":1.20115,"EURUSD^FG_PRICE(45472)":1.0673,"GBPUSD^FG_PRICE(45471)":1.20115,"EURUSD^FG_PRICE(45471)":1.0673,"GBPUSD^FG_PRICE(45470)":1.20115,"EURUSD^FG_PRICE(45470)":1.0673,"GBPUSD^FG_PRICE(45469)":1.20115,"EURUSD^FG_PRICE(45469)":1.0673,"GBPUSD^FG_PRICE(45468)":1.20115,"EURUSD^FG_PRICE(45468)":1.0673,"GBPUSD^FG_PRICE(45467)":1.20115,"EURUSD^FG_PRICE(45467)":1.0673,"GBPUSD^FG_PRICE(45466)":1.20115,"EURUSD^FG_PRICE(45466)":1.0673,"GBPUSD^FG_PRICE(45465)":1.20115,"EURUSD^FG_PRICE(45465)":1.0673,"GBPUSD^FG_PRICE(45464)":1.20115,"EURUSD^FG_PRICE(45464)":1.0673,"GBPUSD^FG_PRICE(45463)":1.20115,"EURUSD^FG_PRICE(45463)":1.0673,"GBPUSD^FG_PRICE(45462)":1.20115,"EURUSD^FG_PRICE(45462)":1.0673,"GBPUSD^FG_PRICE(45461)":1.20115,"EURUSD^FG_PRICE(45461)":1.0673,"GBPUSD^FG_PRICE(45460)":1.20115,"EURUSD^FG_PRICE(45460)":1.0673,"GBPUSD^FG_PRICE(45459)":1.20115,"EURUSD^FG_PRICE(45459)":1.0673,"GBPUSD^FG_PRICE(45458)":1.20115,"EURUSD^FG_PRICE(45458)":1.0673,"GBPUSD^FG_PRICE(45457)":1.20115,"EURUSD^FG_PRICE(45457)":1.0673,"GBPUSD^FG_PRICE(45456)":1.20115,"EURUSD^FG_PRICE(45456)":1.0673,"GBPUSD^FG_PRICE(45455)":1.20115,"EURUSD^FG_PRICE(45455)":1.0673,"GBPUSD^FG_PRICE(45454)":1.20115,"EURUSD^FG_PRICE(45454)":1.0673,"GBPUSD^FG_PRICE(45453)":1.20115,"EURUSD^FG_PRICE(45453)":1.0673,"GBPUSD^FG_PRICE(45452)":1.20115,"EURUSD^FG_PRICE(45452)":1.0673,"GBPUSD^FG_PRICE(45451)":1.20115,"EURUSD^FG_PRICE(45451)":1.0673,"GBPUSD^FG_PRICE(45450)":1.20115,"EURUSD^FG_PRICE(45450)":1.0673,"GBPUSD^FG_PRICE(45449)":1.20115,"EURUSD^FG_PRICE(45449)":1.0673,"GBPUSD^FG_PRICE(45448)":1.20115,"EURUSD^FG_PRICE(45448)":1.0673,"GBPUSD^FG_PRICE(45447)":1.20115,"EURUSD^FG_PRICE(45447)":1.0673,"GBPUSD^FG_PRICE(45446)":1.20115,"EURUSD^FG_PRICE(45446)":1.0673,"GBPUSD^FG_PRICE(45445)":1.20115,"EURUSD^FG_PRICE(45445)":1.0673,"GBPUSD^FG_PRICE(45444)":1.20115,"EURUSD^FG_PRICE(45444)":1.0673,"GBPUSD^FG_PRICE(45443)":1.20115,"EURUSD^FG_PRICE(45443)":1.0673,"GBPUSD^FG_PRICE(45442)":1.20115,"EURUSD^FG_PRICE(45442)":1.0673,"GBPUSD^FG_PRICE(45441)":1.20115,"EURUSD^FG_PRICE(45441)":1.0673,"GBPUSD^FG_PRICE(45440)":1.20115,"EURUSD^FG_PRICE(45440)":1.0673,"GBPUSD^FG_PRICE(45439)":1.20115,"EURUSD^FG_PRICE(45439)":1.0673,"GBPUSD^FG_PRICE(45438)":1.20115,"EURUSD^FG_PRICE(45438)":1.0673,"GBPUSD^FG_PRICE(45437)":1.20115,"EURUSD^FG_PRICE(45437)":1.0673,"GBPUSD^FG_PRICE(45436)":1.20115,"EURUSD^FG_PRICE(45436)":1.0673,"GBPUSD^FG_PRICE(45435)":1.20115,"EURUSD^FG_PRICE(45435)":1.0673,"GBPUSD^FG_PRICE(45434)":1.20115,"EURUSD^FG_PRICE(45434)":1.0673,"GBPUSD^FG_PRICE(45433)":1.20115,"EURUSD^FG_PRICE(45433)":1.0673,"GBPUSD^FG_PRICE(45432)":1.20115,"EURUSD^FG_PRICE(45432)":1.0673,"GBPUSD^FG_PRICE(45431)":1.20115,"EURUSD^FG_PRICE(45431)":1.0673,"GBPUSD^FG_PRICE(45430)":1.20115,"EURUSD^FG_PRICE(45430)":1.0673,"GBPUSD^FG_PRICE(45429)":1.20115,"EURUSD^FG_PRICE(45429)":1.0673,"GBPUSD^FG_PRICE(45428)":1.20115,"EURUSD^FG_PRICE(45428)":1.0673,"GBPUSD^FG_PRICE(45427)":1.20115,"EURUSD^FG_PRICE(45427)":1.0673,"GBPUSD^FG_PRICE(45426)":1.20115,"EURUSD^FG_PRICE(45426)":1.0673,"GBPUSD^FG_PRICE(45425)":1.20115,"EURUSD^FG_PRICE(45425)":1.0673,"GBPUSD^FG_PRICE(45424)":1.20115,"EURUSD^FG_PRICE(45424)":1.0673,"GBPUSD^FG_PRICE(45423)":1.20115,"EURUSD^FG_PRICE(45423)":1.0673,"GBPUSD^FG_PRICE(45422)":1.20115,"EURUSD^FG_PRICE(45422)":1.0673,"GBPUSD^FG_PRICE(45421)":1.20115,"EURUSD^FG_PRICE(45421)":1.0673,"GBPUSD^FG_PRICE(45420)":1.20115,"EURUSD^FG_PRICE(45420)":1.0673,"GBPUSD^FG_PRICE(45419)":1.20115,"EURUSD^FG_PRICE(45419)":1.0673,"GBPUSD^FG_PRICE(45418)":1.20115,"EURUSD^FG_PRICE(45418)":1.0673,"GBPUSD^FG_PRICE(45417)":1.20115,"EURUSD^FG_PRICE(45417)":1.0673,"GBPUSD^FG_PRICE(45416)":1.20115,"EURUSD^FG_PRICE(45416)":1.0673,"GBPUSD^FG_PRICE(45415)":1.20115,"EURUSD^FG_PRICE(45415)":1.0673,"GBPUSD^FG_PRICE(45414)":1.20115,"EURUSD^FG_PRICE(45414)":1.0673,"GBPUSD^FG_PRICE(45413)":1.20115,"EURUSD^FG_PRICE(45413)":1.0673,"GBPUSD^FG_PRICE(45412)":1.20115,"EURUSD^FG_PRICE(45412)":1.0673,"GBPUSD^FG_PRICE(45411)":1.20115,"EURUSD^FG_PRICE(45411)":1.0673,"GBPUSD^FG_PRICE(45410)":1.20115,"EURUSD^FG_PRICE(45410)":1.0673,"GBPUSD^FG_PRICE(45409)":1.20115,"EURUSD^FG_PRICE(45409)":1.0673,"GBPUSD^FG_PRICE(45408)":1.20115,"EURUSD^FG_PRICE(45408)":1.0673,"GBPUSD^FG_PRICE(45407)":1.20115,"EURUSD^FG_PRICE(45407)":1.0673,"GBPUSD^FG_PRICE(45406)":1.20115,"EURUSD^FG_PRICE(45406)":1.0673,"GBPUSD^FG_PRICE(45405)":1.20115,"EURUSD^FG_PRICE(45405)":1.0673,"GBPUSD^FG_PRICE(45404)":1.20115,"EURUSD^FG_PRICE(45404)":1.0673,"GBPUSD^FG_PRICE(45403)":1.20115,"EURUSD^FG_PRICE(45403)":1.0673,"GBPUSD^FG_PRICE(45402)":1.20115,"EURUSD^FG_PRICE(45402)":1.0673,"GBPUSD^FG_PRICE(45401)":1.20115,"EURUSD^FG_PRICE(45401)":1.0673,"GBPUSD^FG_PRICE(45400)":1.20115,"EURUSD^FG_PRICE(45400)":1.0673,"GBPUSD^FG_PRICE(45399)":1.20115,"EURUSD^FG_PRICE(45399)":1.0673,"GBPUSD^FG_PRICE(45398)":1.20115,"EURUSD^FG_PRICE(45398)":1.0673,"GBPUSD^FG_PRICE(45397)":1.20115,"EURUSD^FG_PRICE(45397)":1.0673,"GBPUSD^FG_PRICE(45396)":1.20115,"EURUSD^FG_PRICE(45396)":1.0673,"GBPUSD^FG_PRICE(45395)":1.20115,"EURUSD^FG_PRICE(45395)":1.0673,"GBPUSD^FG_PRICE(45394)":1.20115,"EURUSD^FG_PRICE(45394)":1.0673,"GBPUSD^FG_PRICE(45393)":1.20115,"EURUSD^FG_PRICE(45393)":1.0673,"GBPUSD^FG_PRICE(45392)":1.20115,"EURUSD^FG_PRICE(45392)":1.0673,"GBPUSD^FG_PRICE(45391)":1.20115,"EURUSD^FG_PRICE(45391)":1.0673,"GBPUSD^FG_PRICE(45390)":1.20115,"EURUSD^FG_PRICE(45390)":1.0673,"GBPUSD^FG_PRICE(45389)":1.20115,"EURUSD^FG_PRICE(45389)":1.0673,"GBPUSD^FG_PRICE(45388)":1.20115,"EURUSD^FG_PRICE(45388)":1.0673,"GBPUSD^FG_PRICE(45387)":1.20115,"EURUSD^FG_PRICE(45387)":1.0673,"GBPUSD^FG_PRICE(45386)":1.20115,"EURUSD^FG_PRICE(45386)":1.0673,"GBPUSD^FG_PRICE(45385)":1.20115,"EURUSD^FG_PRICE(45385)":1.0673,"GBPUSD^FG_PRICE(45384)":1.20115,"EURUSD^FG_PRICE(45384)":1.0673,"GBPUSD^FG_PRICE(45383)":1.20115,"EURUSD^FG_PRICE(45383)":1.0673,"GBPUSD^FG_PRICE(45382)":1.20115,"EURUSD^FG_PRICE(45382)":1.0673,"GBPUSD^FG_PRICE(45381)":1.20115,"EURUSD^FG_PRICE(45381)":1.0673,"GBPUSD^FG_PRICE(45380)":1.20115,"EURUSD^FG_PRICE(45380)":1.0673,"GBPUSD^FG_PRICE(45379)":1.20115,"EURUSD^FG_PRICE(45379)":1.0673,"GBPUSD^FG_PRICE(45378)":1.20115,"EURUSD^FG_PRICE(45378)":1.0673,"GBPUSD^FG_PRICE(45377)":1.20115,"EURUSD^FG_PRICE(45377)":1.0673,"GBPUSD^FG_PRICE(45376)":1.20115,"EURUSD^FG_PRICE(45376)":1.0673,"GBPUSD^FG_PRICE(45375)":1.20115,"EURUSD^FG_PRICE(45375)":1.0673,"GBPUSD^FG_PRICE(45374)":1.20115,"EURUSD^FG_PRICE(45374)":1.0673,"GBPUSD^FG_PRICE(45373)":1.20115,"EURUSD^FG_PRICE(45373)":1.0673,"GBPUSD^FG_PRICE(45372)":1.20115,"EURUSD^FG_PRICE(45372)":1.0673,"GBPUSD^FG_PRICE(45371)":1.20115,"EURUSD^FG_PRICE(45371)":1.0673,"GBPUSD^FG_PRICE(45370)":1.20115,"EURUSD^FG_PRICE(45370)":1.0673,"GBPUSD^FG_PRICE(45369)":1.20115,"EURUSD^FG_PRICE(45369)":1.0673,"GBPUSD^FG_PRICE(45368)":1.20115,"EURUSD^FG_PRICE(45368)":1.0673,"GBPUSD^FG_PRICE(45367)":1.20115,"EURUSD^FG_PRICE(45367)":1.0673,"GBPUSD^FG_PRICE(45366)":1.20115,"EURUSD^FG_PRICE(45366)":1.0673,"GBPUSD^FG_PRICE(45365)":1.20115,"EURUSD^FG_PRICE(45365)":1.0673,"GBPUSD^FG_PRICE(45364)":1.20115,"EURUSD^FG_PRICE(45364)":1.0673,"GBPUSD^FG_PRICE(45363)":1.20115,"EURUSD^FG_PRICE(45363)":1.0673,"GBPUSD^FG_PRICE(45362)":1.20115,"EURUSD^FG_PRICE(45362)":1.0673,"GBPUSD^FG_PRICE(45361)":1.20115,"EURUSD^FG_PRICE(45361)":1.0673,"GBPUSD^FG_PRICE(45360)":1.20115,"EURUSD^FG_PRICE(45360)":1.0673,"GBPUSD^FG_PRICE(45359)":1.20115,"EURUSD^FG_PRICE(45359)":1.0673,"GBPUSD^FG_PRICE(45358)":1.20115,"EURUSD^FG_PRICE(45358)":1.0673,"GBPUSD^FG_PRICE(45357)":1.20115,"EURUSD^FG_PRICE(45357)":1.0673,"GBPUSD^FG_PRICE(45356)":1.20115,"EURUSD^FG_PRICE(45356)":1.0673,"GBPUSD^FG_PRICE(45355)":1.20115,"EURUSD^FG_PRICE(45355)":1.0673,"GBPUSD^FG_PRICE(45354)":1.20115,"EURUSD^FG_PRICE(45354)":1.0673,"GBPUSD^FG_PRICE(45353)":1.20115,"EURUSD^FG_PRICE(45353)":1.0673,"GBPUSD^FG_PRICE(45352)":1.20115,"EURUSD^FG_PRICE(45352)":1.0673,"GBPUSD^FG_PRICE(45351)":1.20115,"EURUSD^FG_PRICE(45351)":1.0673,"GBPUSD^FG_PRICE(45350)":1.20115,"EURUSD^FG_PRICE(45350)":1.0673,"GBPUSD^FG_PRICE(45349)":1.20115,"EURUSD^FG_PRICE(45349)":1.0673,"GBPUSD^FG_PRICE(45348)":1.20115,"EURUSD^FG_PRICE(45348)":1.0673,"GBPUSD^FG_PRICE(45347)":1.20115,"EURUSD^FG_PRICE(45347)":1.0673,"GBPUSD^FG_PRICE(45346)":1.20115,"EURUSD^FG_PRICE(45346)":1.0673,"GBPUSD^FG_PRICE(45345)":1.20115,"EURUSD^FG_PRICE(45345)":1.0673,"GBPUSD^FG_PRICE(45344)":1.20115,"EURUSD^FG_PRICE(45344)":1.0673,"GBPUSD^FG_PRICE(45343)":1.20115,"EURUSD^FG_PRICE(45343)":1.0673,"GBPUSD^FG_PRICE(45342)":1.20115,"EURUSD^FG_PRICE(45342)":1.0673,"GBPUSD^FG_PRICE(45341)":1.20115,"EURUSD^FG_PRICE(45341)":1.0673,"GBPUSD^FG_PRICE(45340)":1.20115,"EURUSD^FG_PRICE(45340)":1.0673,"GBPUSD^FG_PRICE(45339)":1.20115,"EURUSD^FG_PRICE(45339)":1.0673,"GBPUSD^FG_PRICE(45338)":1.20115,"EURUSD^FG_PRICE(45338)":1.0673,"GBPUSD^FG_PRICE(45337)":1.20115,"EURUSD^FG_PRICE(45337)":1.0673,"GBPUSD^FG_PRICE(45336)":1.20115,"EURUSD^FG_PRICE(45336)":1.0673,"GBPUSD^FG_PRICE(45335)":1.20115,"EURUSD^FG_PRICE(45335)":1.0673,"GBPUSD^FG_PRICE(45334)":1.20115,"EURUSD^FG_PRICE(45334)":1.0673,"GBPUSD^FG_PRICE(45333)":1.20115,"EURUSD^FG_PRICE(45333)":1.0673,"GBPUSD^FG_PRICE(45332)":1.20115,"EURUSD^FG_PRICE(45332)":1.0673,"GBPUSD^FG_PRICE(45331)":1.20115,"EURUSD^FG_PRICE(45331)":1.0673,"GBPUSD^FG_PRICE(45330)":1.20115,"EURUSD^FG_PRICE(45330)":1.0673,"GBPUSD^FG_PRICE(45329)":1.20115,"EURUSD^FG_PRICE(45329)":1.0673,"GBPUSD^FG_PRICE(45328)":1.20115,"EURUSD^FG_PRICE(45328)":1.0673,"GBPUSD^FG_PRICE(45327)":1.20115,"EURUSD^FG_PRICE(45327)":1.0673,"GBPUSD^FG_PRICE(45326)":1.20115,"EURUSD^FG_PRICE(45326)":1.0673,"GBPUSD^FG_PRICE(45325)":1.20115,"EURUSD^FG_PRICE(45325)":1.0673,"GBPUSD^FG_PRICE(45324)":1.20115,"EURUSD^FG_PRICE(45324)":1.0673,"GBPUSD^FG_PRICE(45323)":1.20115,"EURUSD^FG_PRICE(45323)":1.0673,"GBPUSD^FG_PRICE(45322)":1.20115,"EURUSD^FG_PRICE(45322)":1.0673,"GBPUSD^FG_PRICE(45321)":1.20115,"EURUSD^FG_PRICE(45321)":1.0673,"GBPUSD^FG_PRICE(45320)":1.20115,"EURUSD^FG_PRICE(45320)":1.0673,"GBPUSD^FG_PRICE(45319)":1.20115,"EURUSD^FG_PRICE(45319)":1.0673,"GBPUSD^FG_PRICE(45318)":1.20115,"EURUSD^FG_PRICE(45318)":1.0673,"GBPUSD^FG_PRICE(45317)":1.20115,"EURUSD^FG_PRICE(45317)":1.0673,"GBPUSD^FG_PRICE(45316)":1.20115,"EURUSD^FG_PRICE(45316)":1.0673,"GBPUSD^FG_PRICE(45315)":1.20115,"EURUSD^FG_PRICE(45315)":1.0673,"GBPUSD^FG_PRICE(45314)":1.20115,"EURUSD^FG_PRICE(45314)":1.0673,"GBPUSD^FG_PRICE(45313)":1.20115,"EURUSD^FG_PRICE(45313)":1.0673,"GBPUSD^FG_PRICE(45312)":1.20115,"EURUSD^FG_PRICE(45312)":1.0673,"GBPUSD^FG_PRICE(45311)":1.20115,"EURUSD^FG_PRICE(45311)":1.0673,"GBPUSD^FG_PRICE(45310)":1.20115,"EURUSD^FG_PRICE(45310)":1.0673,"GBPUSD^FG_PRICE(45309)":1.20115,"EURUSD^FG_PRICE(45309)":1.0673,"GBPUSD^FG_PRICE(45308)":1.20115,"EURUSD^FG_PRICE(45308)":1.0673,"GBPUSD^FG_PRICE(45307)":1.20115,"EURUSD^FG_PRICE(45307)":1.0673,"GBPUSD^FG_PRICE(45306)":1.20115,"EURUSD^FG_PRICE(45306)":1.0673,"GBPUSD^FG_PRICE(45305)":1.20115,"EURUSD^FG_PRICE(45305)":1.0673,"GBPUSD^FG_PRICE(45304)":1.20115,"EURUSD^FG_PRICE(45304)":1.0673,"GBPUSD^FG_PRICE(45303)":1.20115,"EURUSD^FG_PRICE(45303)":1.0673,"GBPUSD^FG_PRICE(45302)":1.20115,"EURUSD^FG_PRICE(45302)":1.0673,"GBPUSD^FG_PRICE(45301)":1.20115,"EURUSD^FG_PRICE(45301)":1.0673,"GBPUSD^FG_PRICE(45300)":1.20115,"EURUSD^FG_PRICE(45300)":1.0673,"GBPUSD^FG_PRICE(45299)":1.20115,"EURUSD^FG_PRICE(45299)":1.0673,"GBPUSD^FG_PRICE(45298)":1.20115,"EURUSD^FG_PRICE(45298)":1.0673,"GBPUSD^FG_PRICE(45297)":1.20115,"EURUSD^FG_PRICE(45297)":1.0673,"GBPUSD^FG_PRICE(45296)":1.20115,"EURUSD^FG_PRICE(45296)":1.0673,"GBPUSD^FG_PRICE(45295)":1.20115,"EURUSD^FG_PRICE(45295)":1.0673,"GBPUSD^FG_PRICE(45294)":1.20115,"EURUSD^FG_PRICE(45294)":1.0673,"GBPUSD^FG_PRICE(45293)":1.20115,"EURUSD^FG_PRICE(45293)":1.0673,"GBPUSD^FG_PRICE(45292)":1.20115,"EURUSD^FG_PRICE(45292)":1.0673,"GBPUSD^FG_PRICE(45291)":1.20115,"EURUSD^FG_PRICE(45291)":1.0673,"GBPUSD^FG_PRICE(45290)":1.20115,"EURUSD^FG_PRICE(45290)":1.0673,"GBPUSD^FG_PRICE(45289)":1.20115,"EURUSD^FG_PRICE(45289)":1.0673,"GBPUSD^FG_PRICE(45288)":1.20115,"EURUSD^FG_PRICE(45288)":1.0673,"GBPUSD^FG_PRICE(45287)":1.20115,"EURUSD^FG_PRICE(45287)":1.0673,"GBPUSD^FG_PRICE(45286)":1.20115,"EURUSD^FG_PRICE(45286)":1.0673,"GBPUSD^FG_PRICE(45285)":1.20115,"EURUSD^FG_PRICE(45285)":1.0673,"GBPUSD^FG_PRICE(45284)":1.20115,"EURUSD^FG_PRICE(45284)":1.0673,"GBPUSD^FG_PRICE(45283)":1.20115,"EURUSD^FG_PRICE(45283)":1.0673,"GBPUSD^FG_PRICE(45282)":1.20115,"EURUSD^FG_PRICE(45282)":1.0673,"GBPUSD^FG_PRICE(45281)":1.20115,"EURUSD^FG_PRICE(45281)":1.0673,"GBPUSD^FG_PRICE(45280)":1.20115,"EURUSD^FG_PRICE(45280)":1.0673,"GBPUSD^FG_PRICE(45279)":1.20115,"EURUSD^FG_PRICE(45279)":1.0673,"GBPUSD^FG_PRICE(45278)":1.20115,"EURUSD^FG_PRICE(45278)":1.0673,"GBPUSD^FG_PRICE(45277)":1.20115,"EURUSD^FG_PRICE(45277)":1.0673,"GBPUSD^FG_PRICE(45276)":1.20115,"EURUSD^FG_PRICE(45276)":1.0673,"GBPUSD^FG_PRICE(45275)":1.20115,"EURUSD^FG_PRICE(45275)":1.0673,"GBPUSD^FG_PRICE(45274)":1.20115,"EURUSD^FG_PRICE(45274)":1.0673,"GBPUSD^FG_PRICE(45273)":1.20115,"EURUSD^FG_PRICE(45273)":1.0673,"GBPUSD^FG_PRICE(45272)":1.20115,"EURUSD^FG_PRICE(45272)":1.0673,"GBPUSD^FG_PRICE(45271)":1.20115,"EURUSD^FG_PRICE(45271)":1.0673,"GBPUSD^FG_PRICE(45270)":1.20115,"EURUSD^FG_PRICE(45270)":1.0673,"GBPUSD^FG_PRICE(45269)":1.20115,"EURUSD^FG_PRICE(45269)":1.0673,"GBPUSD^FG_PRICE(45268)":1.20115,"EURUSD^FG_PRICE(45268)":1.0673,"GBPUSD^FG_PRICE(45267)":1.20115,"EURUSD^FG_PRICE(45267)":1.0673,"GBPUSD^FG_PRICE(45266)":1.20115,"EURUSD^FG_PRICE(45266)":1.0673,"GBPUSD^FG_PRICE(45265)":1.20115,"EURUSD^FG_PRICE(45265)":1.0673,"GBPUSD^FG_PRICE(45264)":1.20115,"EURUSD^FG_PRICE(45264)":1.0673,"GBPUSD^FG_PRICE(45263)":1.20115,"EURUSD^FG_PRICE(45263)":1.0673,"GBPUSD^FG_PRICE(45262)":1.20115,"EURUSD^FG_PRICE(45262)":1.0673,"GBPUSD^FG_PRICE(45261)":1.20115,"EURUSD^FG_PRICE(45261)":1.0673,"GBPUSD^FG_PRICE(45260)":1.20115,"EURUSD^FG_PRICE(45260)":1.0673,"GBPUSD^FG_PRICE(45259)":1.20115,"EURUSD^FG_PRICE(45259)":1.0673,"GBPUSD^FG_PRICE(45258)":1.20115,"EURUSD^FG_PRICE(45258)":1.0673,"GBPUSD^FG_PRICE(45257)":1.20115,"EURUSD^FG_PRICE(45257)":1.0673,"GBPUSD^FG_PRICE(45256)":1.20115,"EURUSD^FG_PRICE(45256)":1.0673,"GBPUSD^FG_PRICE(45255)":1.20115,"EURUSD^FG_PRICE(45255)":1.0673,"GBPUSD^FG_PRICE(45254)":1.20115,"EURUSD^FG_PRICE(45254)":1.0673,"GBPUSD^FG_PRICE(45253)":1.20115,"EURUSD^FG_PRICE(45253)":1.0673,"GBPUSD^FG_PRICE(45252)":1.20115,"EURUSD^FG_PRICE(45252)":1.0673,"GBPUSD^FG_PRICE(45251)":1.20115,"EURUSD^FG_PRICE(45251)":1.0673,"GBPUSD^FG_PRICE(45250)":1.20115,"EURUSD^FG_PRICE(45250)":1.0673,"GBPUSD^FG_PRICE(45249)":1.20115,"EURUSD^FG_PRICE(45249)":1.0673,"GBPUSD^FG_PRICE(45248)":1.20115,"EURUSD^FG_PRICE(45248)":1.0673,"GBPUSD^FG_PRICE(45247)":1.20115,"EURUSD^FG_PRICE(45247)":1.0673,"GBPUSD^FG_PRICE(45246)":1.20115,"EURUSD^FG_PRICE(45246)":1.0673,"GBPUSD^FG_PRICE(45245)":1.20115,"EURUSD^FG_PRICE(45245)":1.0673,"GBPUSD^FG_PRICE(45244)":1.20115,"EURUSD^FG_PRICE(45244)":1.0673,"GBPUSD^FG_PRICE(45243)":1.20115,"EURUSD^FG_PRICE(45243)":1.0673,"GBPUSD^FG_PRICE(45242)":1.20115,"EURUSD^FG_PRICE(45242)":1.0673,"GBPUSD^FG_PRICE(45241)":1.20115,"EURUSD^FG_PRICE(45241)":1.0673,"GBPUSD^FG_PRICE(45240)":1.20115,"EURUSD^FG_PRICE(45240)":1.0673,"GBPUSD^FG_PRICE(45239)":1.20115,"EURUSD^FG_PRICE(45239)":1.0673,"GBPUSD^FG_PRICE(45238)":1.20115,"EURUSD^FG_PRICE(45238)":1.0673,"GBPUSD^FG_PRICE(45237)":1.20115,"EURUSD^FG_PRICE(45237)":1.0673,"GBPUSD^FG_PRICE(45236)":1.20115,"EURUSD^FG_PRICE(45236)":1.0673,"GBPUSD^FG_PRICE(45235)":1.20115,"EURUSD^FG_PRICE(45235)":1.0673,"GBPUSD^FG_PRICE(45234)":1.20115,"EURUSD^FG_PRICE(45234)":1.0673,"GBPUSD^FG_PRICE(45233)":1.20115,"EURUSD^FG_PRICE(45233)":1.0673,"GBPUSD^FG_PRICE(45232)":1.20115,"EURUSD^FG_PRICE(45232)":1.0673,"GBPUSD^FG_PRICE(45231)":1.20115,"EURUSD^FG_PRICE(45231)":1.0673,"GBPUSD^FG_PRICE(45230)":1.20115,"EURUSD^FG_PRICE(45230)":1.0673,"GBPUSD^FG_PRICE(45229)":1.20115,"EURUSD^FG_PRICE(45229)":1.0673,"GBPUSD^FG_PRICE(45228)":1.20115,"EURUSD^FG_PRICE(45228)":1.0673,"GBPUSD^FG_PRICE(45227)":1.20115,"EURUSD^FG_PRICE(45227)":1.0673,"GBPUSD^FG_PRICE(45226)":1.20115,"EURUSD^FG_PRICE(45226)":1.0673,"GBPUSD^FG_PRICE(45225)":1.20115,"EURUSD^FG_PRICE(45225)":1.0673,"GBPUSD^FG_PRICE(45224)":1.20115,"EURUSD^FG_PRICE(45224)":1.0673,"GBPUSD^FG_PRICE(45223)":1.20115,"EURUSD^FG_PRICE(45223)":1.0673,"GBPUSD^FG_PRICE(45222)":1.20115,"EURUSD^FG_PRICE(45222)":1.0673,"GBPUSD^FG_PRICE(45221)":1.20115,"EURUSD^FG_PRICE(45221)":1.0673,"GBPUSD^FG_PRICE(45220)":1.20115,"EURUSD^FG_PRICE(45220)":1.0673,"GBPUSD^FG_PRICE(45219)":1.20115,"EURUSD^FG_PRICE(45219)":1.0673,"GBPUSD^FG_PRICE(45218)":1.20115,"EURUSD^FG_PRICE(45218)":1.0673,"GBPUSD^FG_PRICE(45217)":1.20115,"EURUSD^FG_PRICE(45217)":1.0673,"GBPUSD^FG_PRICE(45216)":1.20115,"EURUSD^FG_PRICE(45216)":1.0673,"GBPUSD^FG_PRICE(45215)":1.20115,"EURUSD^FG_PRICE(45215)":1.0673,"GBPUSD^FG_PRICE(45214)":1.20115,"EURUSD^FG_PRICE(45214)":1.0673,"GBPUSD^FG_PRICE(45213)":1.20115,"EURUSD^FG_PRICE(45213)":1.0673,"GBPUSD^FG_PRICE(45212)":1.20115,"EURUSD^FG_PRICE(45212)":1.0673,"GBPUSD^FG_PRICE(45211)":1.20115,"EURUSD^FG_PRICE(45211)":1.0673,"GBPUSD^FG_PRICE(45210)":1.20115,"EURUSD^FG_PRICE(45210)":1.0673,"GBPUSD^FG_PRICE(45209)":1.20115,"EURUSD^FG_PRICE(45209)":1.0673,"GBPUSD^FG_PRICE(45208)":1.20115,"EURUSD^FG_PRICE(45208)":1.0673,"GBPUSD^FG_PRICE(45207)":1.20115,"EURUSD^FG_PRICE(45207)":1.0673,"GBPUSD^FG_PRICE(45206)":1.20115,"EURUSD^FG_PRICE(45206)":1.0673,"GBPUSD^FG_PRICE(45205)":1.20115,"EURUSD^FG_PRICE(45205)":1.0673,"GBPUSD^FG_PRICE(45204)":1.20115,"EURUSD^FG_PRICE(45204)":1.0673,"GBPUSD^FG_PRICE(45203)":1.20115,"EURUSD^FG_PRICE(45203)":1.0673,"GBPUSD^FG_PRICE(45202)":1.20115,"EURUSD^FG_PRICE(45202)":1.0673,"GBPUSD^FG_PRICE(45201)":1.20115,"EURUSD^FG_PRICE(45201)":1.0673,"GBPUSD^FG_PRICE(45200)":1.20115,"EURUSD^FG_PRICE(45200)":1.0673,"GBPUSD^FG_PRICE(45199)":1.20115,"EURUSD^FG_PRICE(45199)":1.0673,"GBPUSD^FG_PRICE(45198)":1.20115,"EURUSD^FG_PRICE(45198)":1.0673,"GBPUSD^FG_PRICE(45197)":1.20115,"EURUSD^FG_PRICE(45197)":1.0673,"GBPUSD^FG_PRICE(45196)":1.20115,"EURUSD^FG_PRICE(45196)":1.0673,"GBPUSD^FG_PRICE(45195)":1.20115,"EURUSD^FG_PRICE(45195)":1.0673,"GBPUSD^FG_PRICE(45194)":1.20115,"EURUSD^FG_PRICE(45194)":1.0673,"GBPUSD^FG_PRICE(45193)":1.20115,"EURUSD^FG_PRICE(45193)":1.0673,"GBPUSD^FG_PRICE(45192)":1.20115,"EURUSD^FG_PRICE(45192)":1.0673,"GBPUSD^FG_PRICE(45191)":1.20115,"EURUSD^FG_PRICE(45191)":1.0673,"GBPUSD^FG_PRICE(45190)":1.20115,"EURUSD^FG_PRICE(45190)":1.0673,"GBPUSD^FG_PRICE(45189)":1.20115,"EURUSD^FG_PRICE(45189)":1.0673,"GBPUSD^FG_PRICE(45188)":1.20115,"EURUSD^FG_PRICE(45188)":1.0673,"GBPUSD^FG_PRICE(45187)":1.20115,"EURUSD^FG_PRICE(45187)":1.0673,"GBPUSD^FG_PRICE(45186)":1.20115,"EURUSD^FG_PRICE(45186)":1.0673,"GBPUSD^FG_PRICE(45185)":1.20115,"EURUSD^FG_PRICE(45185)":1.0673,"GBPUSD^FG_PRICE(45184)":1.20115,"EURUSD^FG_PRICE(45184)":1.0673,"GBPUSD^FG_PRICE(45183)":1.20115,"EURUSD^FG_PRICE(45183)":1.0673,"GBPUSD^FG_PRICE(45182)":1.20115,"EURUSD^FG_PRICE(45182)":1.0673,"GBPUSD^FG_PRICE(45181)":1.20115,"EURUSD^FG_PRICE(45181)":1.0673,"GBPUSD^FG_PRICE(45180)":1.20115,"EURUSD^FG_PRICE(45180)":1.0673,"GBPUSD^FG_PRICE(45179)":1.20115,"EURUSD^FG_PRICE(45179)":1.0673,"GBPUSD^FG_PRICE(45178)":1.20115,"EURUSD^FG_PRICE(45178)":1.0673,"GBPUSD^FG_PRICE(45177)":1.20115,"EURUSD^FG_PRICE(45177)":1.0673,"GBPUSD^FG_PRICE(45176)":1.20115,"EURUSD^FG_PRICE(45176)":1.0673,"GBPUSD^FG_PRICE(45175)":1.20115,"EURUSD^FG_PRICE(45175)":1.0673,"GBPUSD^FG_PRICE(45174)":1.20115,"EURUSD^FG_PRICE(45174)":1.0673,"GBPUSD^FG_PRICE(45173)":1.20115,"EURUSD^FG_PRICE(45173)":1.0673,"GBPUSD^FG_PRICE(45172)":1.20115,"EURUSD^FG_PRICE(45172)":1.0673,"GBPUSD^FG_PRICE(45171)":1.20115,"EURUSD^FG_PRICE(45171)":1.0673,"GBPUSD^FG_PRICE(45170)":1.20115,"EURUSD^FG_PRICE(45170)":1.0673,"GBPUSD^FG_PRICE(45169)":1.20115,"EURUSD^FG_PRICE(45169)":1.0673,"GBPUSD^FG_PRICE(45168)":1.20115,"EURUSD^FG_PRICE(45168)":1.0673,"GBPUSD^FG_PRICE(45167)":1.20115,"EURUSD^FG_PRICE(45167)":1.0673,"GBPUSD^FG_PRICE(45166)":1.20115,"EURUSD^FG_PRICE(45166)":1.0673,"GBPUSD^FG_PRICE(45165)":1.20115,"EURUSD^FG_PRICE(45165)":1.0673,"GBPUSD^FG_PRICE(45164)":1.20115,"EURUSD^FG_PRICE(45164)":1.0673,"GBPUSD^FG_PRICE(45163)":1.20115,"EURUSD^FG_PRICE(45163)":1.0673,"GBPUSD^FG_PRICE(45162)":1.20115,"EURUSD^FG_PRICE(45162)":1.0673,"GBPUSD^FG_PRICE(45161)":1.20115,"EURUSD^FG_PRICE(45161)":1.0673,"GBPUSD^FG_PRICE(45160)":1.20115,"EURUSD^FG_PRICE(45160)":1.0673,"GBPUSD^FG_PRICE(45159)":1.20115,"EURUSD^FG_PRICE(45159)":1.0673,"GBPUSD^FG_PRICE(45158)":1.20115,"EURUSD^FG_PRICE(45158)":1.0673,"GBPUSD^FG_PRICE(45157)":1.20115,"EURUSD^FG_PRICE(45157)":1.0673,"GBPUSD^FG_PRICE(45156)":1.20115,"EURUSD^FG_PRICE(45156)":1.0673,"GBPUSD^FG_PRICE(45155)":1.20115,"EURUSD^FG_PRICE(45155)":1.0673,"GBPUSD^FG_PRICE(45154)":1.20115,"EURUSD^FG_PRICE(45154)":1.0673,"GBPUSD^FG_PRICE(45153)":1.20115,"EURUSD^FG_PRICE(45153)":1.0673,"GBPUSD^FG_PRICE(45152)":1.20115,"EURUSD^FG_PRICE(45152)":1.0673,"GBPUSD^FG_PRICE(45151)":1.20115,"EURUSD^FG_PRICE(45151)":1.0673,"GBPUSD^FG_PRICE(45150)":1.20115,"EURUSD^FG_PRICE(45150)":1.0673,"GBPUSD^FG_PRICE(45149)":1.20115,"EURUSD^FG_PRICE(45149)":1.0673,"GBPUSD^FG_PRICE(45148)":1.20115,"EURUSD^FG_PRICE(45148)":1.0673,"GBPUSD^FG_PRICE(45147)":1.20115,"EURUSD^FG_PRICE(45147)":1.0673,"GBPUSD^FG_PRICE(45146)":1.20115,"EURUSD^FG_PRICE(45146)":1.0673,"GBPUSD^FG_PRICE(45145)":1.20115,"EURUSD^FG_PRICE(45145)":1.0673,"GBPUSD^FG_PRICE(45144)":1.20115,"EURUSD^FG_PRICE(45144)":1.0673,"GBPUSD^FG_PRICE(45143)":1.20115,"EURUSD^FG_PRICE(45143)":1.0673,"GBPUSD^FG_PRICE(45142)":1.20115,"EURUSD^FG_PRICE(45142)":1.0673,"GBPUSD^FG_PRICE(45141)":1.20115,"EURUSD^FG_PRICE(45141)":1.0673,"GBPUSD^FG_PRICE(45140)":1.20115,"EURUSD^FG_PRICE(45140)":1.0673,"GBPUSD^FG_PRICE(45139)":1.20115,"EURUSD^FG_PRICE(45139)":1.0673,"GBPUSD^FG_PRICE(45138)":1.20115,"EURUSD^FG_PRICE(45138)":1.0673,"GBPUSD^FG_PRICE(45137)":1.20115,"EURUSD^FG_PRICE(45137)":1.0673,"GBPUSD^FG_PRICE(45136)":1.20115,"EURUSD^FG_PRICE(45136)":1.0673,"GBPUSD^FG_PRICE(45135)":1.20115,"EURUSD^FG_PRICE(45135)":1.0673,"GBPUSD^FG_PRICE(45134)":1.20115,"EURUSD^FG_PRICE(45134)":1.0673,"GBPUSD^FG_PRICE(45133)":1.20115,"EURUSD^FG_PRICE(45133)":1.0673,"GBPUSD^FG_PRICE(45132)":1.20115,"EURUSD^FG_PRICE(45132)":1.0673,"GBPUSD^FG_PRICE(45131)":1.20115,"EURUSD^FG_PRICE(45131)":1.0673,"GBPUSD^FG_PRICE(45130)":1.20115,"EURUSD^FG_PRICE(45130)":1.0673,"GBPUSD^FG_PRICE(45129)":1.20115,"EURUSD^FG_PRICE(45129)":1.0673,"GBPUSD^FG_PRICE(45128)":1.20115,"EURUSD^FG_PRICE(45128)":1.0673,"GBPUSD^FG_PRICE(45127)":1.20115,"EURUSD^FG_PRICE(45127)":1.0673,"GBPUSD^FG_PRICE(45126)":1.20115,"EURUSD^FG_PRICE(45126)":1.0673,"GBPUSD^FG_PRICE(45125)":1.20115,"EURUSD^FG_PRICE(45125)":1.0673,"GBPUSD^FG_PRICE(45124)":1.20115,"EURUSD^FG_PRICE(45124)":1.0673,"GBPUSD^FG_PRICE(45123)":1.20115,"EURUSD^FG_PRICE(45123)":1.0673,"GBPUSD^FG_PRICE(45122)":1.20115,"EURUSD^FG_PRICE(45122)":1.0673,"GBPUSD^FG_PRICE(45121)":1.20115,"EURUSD^FG_PRICE(45121)":1.0673,"GBPUSD^FG_PRICE(45120)":1.20115,"EURUSD^FG_PRICE(45120)":1.0673,"GBPUSD^FG_PRICE(45119)":1.20115,"EURUSD^FG_PRICE(45119)":1.0673,"GBPUSD^FG_PRICE(45118)":1.20115,"EURUSD^FG_PRICE(45118)":1.0673,"GBPUSD^FG_PRICE(45117)":1.20115,"EURUSD^FG_PRICE(45117)":1.0673,"GBPUSD^FG_PRICE(45116)":1.20115,"EURUSD^FG_PRICE(45116)":1.0673,"GBPUSD^FG_PRICE(45115)":1.20115,"EURUSD^FG_PRICE(45115)":1.0673,"GBPUSD^FG_PRICE(45114)":1.20115,"EURUSD^FG_PRICE(45114)":1.0673,"GBPUSD^FG_PRICE(45113)":1.20115,"EURUSD^FG_PRICE(45113)":1.0673,"GBPUSD^FG_PRICE(45112)":1.20115,"EURUSD^FG_PRICE(45112)":1.0673,"GBPUSD^FG_PRICE(45111)":1.20115,"EURUSD^FG_PRICE(45111)":1.0673,"GBPUSD^FG_PRICE(45110)":1.20115,"EURUSD^FG_PRICE(45110)":1.0673,"GBPUSD^FG_PRICE(45109)":1.20115,"EURUSD^FG_PRICE(45109)":1.0673,"GBPUSD^FG_PRICE(45108)":1.20115,"EURUSD^FG_PRICE(45108)":1.0673,"GBPUSD^FG_PRICE(45107)":1.20115,"EURUSD^FG_PRICE(45107)":1.0673,"GBPUSD^FG_PRICE(45106)":1.20115,"EURUSD^FG_PRICE(45106)":1.0673,"GBPUSD^FG_PRICE(45105)":1.20115,"EURUSD^FG_PRICE(45105)":1.0673,"GBPUSD^FG_PRICE(45104)":1.20115,"EURUSD^FG_PRICE(45104)":1.0673,"GBPUSD^FG_PRICE(45103)":1.20115,"EURUSD^FG_PRICE(45103)":1.0673,"GBPUSD^FG_PRICE(45102)":1.20115,"EURUSD^FG_PRICE(45102)":1.0673,"GBPUSD^FG_PRICE(45101)":1.20115,"EURUSD^FG_PRICE(45101)":1.0673,"GBPUSD^FG_PRICE(45100)":1.20115,"EURUSD^FG_PRICE(45100)":1.0673,"GBPUSD^FG_PRICE(45099)":1.20115,"EURUSD^FG_PRICE(45099)":1.0673,"GBPUSD^FG_PRICE(45098)":1.20115,"EURUSD^FG_PRICE(45098)":1.0673,"GBPUSD^FG_PRICE(45097)":1.20115,"EURUSD^FG_PRICE(45097)":1.0673,"GBPUSD^FG_PRICE(45096)":1.20115,"EURUSD^FG_PRICE(45096)":1.0673,"GBPUSD^FG_PRICE(45095)":1.20115,"EURUSD^FG_PRICE(45095)":1.0673,"GBPUSD^FG_PRICE(45094)":1.20115,"EURUSD^FG_PRICE(45094)":1.0673,"GBPUSD^FG_PRICE(45093)":1.20115,"EURUSD^FG_PRICE(45093)":1.0673,"GBPUSD^FG_PRICE(45092)":1.20115,"EURUSD^FG_PRICE(45092)":1.0673,"GBPUSD^FG_PRICE(45091)":1.20115,"EURUSD^FG_PRICE(45091)":1.0673,"GBPUSD^FG_PRICE(45090)":1.20115,"EURUSD^FG_PRICE(45090)":1.0673,"GBPUSD^FG_PRICE(45089)":1.20115,"EURUSD^FG_PRICE(45089)":1.0673,"GBPUSD^FG_PRICE(45088)":1.20115,"EURUSD^FG_PRICE(45088)":1.0673,"GBPUSD^FG_PRICE(45087)":1.20115,"EURUSD^FG_PRICE(45087)":1.0673,"GBPUSD^FG_PRICE(45086)":1.20115,"EURUSD^FG_PRICE(45086)":1.0673,"GBPUSD^FG_PRICE(45085)":1.20115,"EURUSD^FG_PRICE(45085)":1.0673,"GBPUSD^FG_PRICE(45084)":1.20115,"EURUSD^FG_PRICE(45084)":1.0673,"GBPUSD^FG_PRICE(45083)":1.20115,"EURUSD^FG_PRICE(45083)":1.0673,"GBPUSD^FG_PRICE(45082)":1.20115,"EURUSD^FG_PRICE(45082)":1.0673,"GBPUSD^FG_PRICE(45081)":1.20115,"EURUSD^FG_PRICE(45081)":1.0673,"GBPUSD^FG_PRICE(45080)":1.20115,"EURUSD^FG_PRICE(45080)":1.0673,"GBPUSD^FG_PRICE(45079)":1.20115,"EURUSD^FG_PRICE(45079)":1.0673,"GBPUSD^FG_PRICE(45078)":1.20115,"EURUSD^FG_PRICE(45078)":1.0673,"GBPUSD^FG_PRICE(45077)":1.20115,"EURUSD^FG_PRICE(45077)":1.0673,"GBPUSD^FG_PRICE(45076)":1.20115,"EURUSD^FG_PRICE(45076)":1.0673,"GBPUSD^FG_PRICE(45075)":1.20115,"EURUSD^FG_PRICE(45075)":1.0673,"GBPUSD^FG_PRICE(45074)":1.20115,"EURUSD^FG_PRICE(45074)":1.0673,"GBPUSD^FG_PRICE(45073)":1.20115,"EURUSD^FG_PRICE(45073)":1.0673,"GBPUSD^FG_PRICE(45072)":1.20115,"EURUSD^FG_PRICE(45072)":1.0673,"GBPUSD^FG_PRICE(45071)":1.20115,"EURUSD^FG_PRICE(45071)":1.0673,"GBPUSD^FG_PRICE(45070)":1.20115,"EURUSD^FG_PRICE(45070)":1.0673,"GBPUSD^FG_PRICE(45069)":1.20115,"EURUSD^FG_PRICE(45069)":1.0673,"GBPUSD^FG_PRICE(45068)":1.20115,"EURUSD^FG_PRICE(45068)":1.0673,"GBPUSD^FG_PRICE(45067)":1.20115,"EURUSD^FG_PRICE(45067)":1.0673,"GBPUSD^FG_PRICE(45066)":1.20115,"EURUSD^FG_PRICE(45066)":1.0673,"GBPUSD^FG_PRICE(45065)":1.20115,"EURUSD^FG_PRICE(45065)":1.0673,"GBPUSD^FG_PRICE(45064)":1.20115,"EURUSD^FG_PRICE(45064)":1.0673,"GBPUSD^FG_PRICE(45063)":1.20115,"EURUSD^FG_PRICE(45063)":1.0673,"GBPUSD^FG_PRICE(45062)":1.20115,"EURUSD^FG_PRICE(45062)":1.0673,"GBPUSD^FG_PRICE(45061)":1.20115,"EURUSD^FG_PRICE(45061)":1.0673,"GBPUSD^FG_PRICE(45060)":1.20115,"EURUSD^FG_PRICE(45060)":1.0673,"GBPUSD^FG_PRICE(45059)":1.20115,"EURUSD^FG_PRICE(45059)":1.0673,"GBPUSD^FG_PRICE(45058)":1.20115,"EURUSD^FG_PRICE(45058)":1.0673,"GBPUSD^FG_PRICE(45057)":1.20115,"EURUSD^FG_PRICE(45057)":1.0673,"GBPUSD^FG_PRICE(45056)":1.20115,"EURUSD^FG_PRICE(45056)":1.0673,"GBPUSD^FG_PRICE(45055)":1.20115,"EURUSD^FG_PRICE(45055)":1.0673,"GBPUSD^FG_PRICE(45054)":1.20115,"EURUSD^FG_PRICE(45054)":1.0673,"GBPUSD^FG_PRICE(45053)":1.20115,"EURUSD^FG_PRICE(45053)":1.0673,"GBPUSD^FG_PRICE(45052)":1.20115,"EURUSD^FG_PRICE(45052)":1.0673,"GBPUSD^FG_PRICE(45051)":1.20115,"EURUSD^FG_PRICE(45051)":1.0673,"GBPUSD^FG_PRICE(45050)":1.20115,"EURUSD^FG_PRICE(45050)":1.0673,"GBPUSD^FG_PRICE(45049)":1.20115,"EURUSD^FG_PRICE(45049)":1.0673,"GBPUSD^FG_PRICE(45048)":1.20115,"EURUSD^FG_PRICE(45048)":1.0673,"GBPUSD^FG_PRICE(45047)":1.20115,"EURUSD^FG_PRICE(45047)":1.0673,"GBPUSD^FG_PRICE(45046)":1.20115,"EURUSD^FG_PRICE(45046)":1.0673,"GBPUSD^FG_PRICE(45045)":1.20115,"EURUSD^FG_PRICE(45045)":1.0673,"GBPUSD^FG_PRICE(45044)":1.20115,"EURUSD^FG_PRICE(45044)":1.0673,"GBPUSD^FG_PRICE(45043)":1.20115,"EURUSD^FG_PRICE(45043)":1.0673,"GBPUSD^FG_PRICE(45042)":1.20115,"EURUSD^FG_PRICE(45042)":1.0673,"GBPUSD^FG_PRICE(45041)":1.20115,"EURUSD^FG_PRICE(45041)":1.0673,"GBPUSD^FG_PRICE(45040)":1.20115,"EURUSD^FG_PRICE(45040)":1.0673,"GBPUSD^FG_PRICE(45039)":1.20115,"EURUSD^FG_PRICE(45039)":1.0673,"GBPUSD^FG_PRICE(45038)":1.20115,"EURUSD^FG_PRICE(45038)":1.0673,"GBPUSD^FG_PRICE(45037)":1.20115,"EURUSD^FG_PRICE(45037)":1.0673,"GBPUSD^FG_PRICE(45036)":1.20115,"EURUSD^FG_PRICE(45036)":1.0673,"GBPUSD^FG_PRICE(45035)":1.20115,"EURUSD^FG_PRICE(45035)":1.0673,"GBPUSD^FG_PRICE(45034)":1.20115,"EURUSD^FG_PRICE(45034)":1.0673,"GBPUSD^FG_PRICE(45033)":1.20115,"EURUSD^FG_PRICE(45033)":1.0673,"GBPUSD^FG_PRICE(45032)":1.20115,"EURUSD^FG_PRICE(45032)":1.0673,"GBPUSD^FG_PRICE(45031)":1.20115,"EURUSD^FG_PRICE(45031)":1.0673,"GBPUSD^FG_PRICE(45030)":1.20115,"EURUSD^FG_PRICE(45030)":1.0673,"GBPUSD^FG_PRICE(45029)":1.20115,"EURUSD^FG_PRICE(45029)":1.0673,"GBPUSD^FG_PRICE(45028)":1.20115,"EURUSD^FG_PRICE(45028)":1.0673,"GBPUSD^FG_PRICE(45027)":1.20115,"EURUSD^FG_PRICE(45027)":1.0673,"GBPUSD^FG_PRICE(45026)":1.20115,"EURUSD^FG_PRICE(45026)":1.0673,"GBPUSD^FG_PRICE(45025)":1.20115,"EURUSD^FG_PRICE(45025)":1.0673,"GBPUSD^FG_PRICE(45024)":1.20115,"EURUSD^FG_PRICE(45024)":1.0673,"GBPUSD^FG_PRICE(45023)":1.20115,"EURUSD^FG_PRICE(45023)":1.0673,"GBPUSD^FG_PRICE(45022)":1.20115,"EURUSD^FG_PRICE(45022)":1.0673,"GBPUSD^FG_PRICE(45021)":1.20115,"EURUSD^FG_PRICE(45021)":1.0673,"GBPUSD^FG_PRICE(45020)":1.20115,"EURUSD^FG_PRICE(45020)":1.0673,"GBPUSD^FG_PRICE(45019)":1.20115,"EURUSD^FG_PRICE(45019)":1.0673,"GBPUSD^FG_PRICE(45018)":1.20115,"EURUSD^FG_PRICE(45018)":1.0673,"GBPUSD^FG_PRICE(45017)":1.20115,"EURUSD^FG_PRICE(45017)":1.0673,"GBPUSD^FG_PRICE(45016)":1.20115,"EURUSD^FG_PRICE(45016)":1.0673,"GBPUSD^FG_PRICE(45015)":1.20115,"EURUSD^FG_PRICE(45015)":1.0673,"GBPUSD^FG_PRICE(45014)":1.20115,"EURUSD^FG_PRICE(45014)":1.0673,"GBPUSD^FG_PRICE(45013)":1.20115,"EURUSD^FG_PRICE(45013)":1.0673,"GBPUSD^FG_PRICE(45012)":1.20115,"EURUSD^FG_PRICE(45012)":1.0673,"GBPUSD^FG_PRICE(45011)":1.20115,"EURUSD^FG_PRICE(45011)":1.0673,"GBPUSD^FG_PRICE(45010)":1.20115,"EURUSD^FG_PRICE(45010)":1.0673,"GBPUSD^FG_PRICE(45009)":1.20115,"EURUSD^FG_PRICE(45009)":1.0673,"GBPUSD^FG_PRICE(45008)":1.20115,"EURUSD^FG_PRICE(45008)":1.0673,"GBPUSD^FG_PRICE(45007)":1.20115,"EURUSD^FG_PRICE(45007)":1.0673,"GBPUSD^FG_PRICE(45006)":1.20115,"EURUSD^FG_PRICE(45006)":1.0673,"GBPUSD^FG_PRICE(45005)":1.20115,"EURUSD^FG_PRICE(45005)":1.0673,"GBPUSD^FG_PRICE(45004)":1.20115,"EURUSD^FG_PRICE(45004)":1.0673,"GBPUSD^FG_PRICE(45003)":1.20115,"EURUSD^FG_PRICE(45003)":1.0673,"GBPUSD^FG_PRICE(45002)":1.20115,"EURUSD^FG_PRICE(45002)":1.0673,"GBPUSD^FG_PRICE(45001)":1.20115,"EURUSD^FG_PRICE(45001)":1.0673,"GBPUSD^FG_PRICE(45000)":1.20115,"EURUSD^FG_PRICE(45000)":1.0673,"GBPUSD^FG_PRICE(44999)":1.20115,"EURUSD^FG_PRICE(44999)":1.0673,"GBPUSD^FG_PRICE(44998)":1.20115,"EURUSD^FG_PRICE(44998)":1.0673,"GBPUSD^FG_PRICE(44997)":1.20115,"EURUSD^FG_PRICE(44997)":1.0673,"GBPUSD^FG_PRICE(44996)":1.20115,"EURUSD^FG_PRICE(44996)":1.0673,"GBPUSD^FG_PRICE(44995)":1.20115,"EURUSD^FG_PRICE(44995)":1.0673,"GBPUSD^FG_PRICE(44994)":1.20115,"EURUSD^FG_PRICE(44994)":1.0673,"GBPUSD^FG_PRICE(44993)":1.20115,"EURUSD^FG_PRICE(44993)":1.0673,"GBPUSD^FG_PRICE(44992)":1.20115,"EURUSD^FG_PRICE(44992)":1.0673,"GBPUSD^FG_PRICE(44991)":1.20115,"EURUSD^FG_PRICE(44991)":1.0673,"GBPUSD^FG_PRICE(44990)":1.20115,"EURUSD^FG_PRICE(44990)":1.0673,"GBPUSD^FG_PRICE(44989)":1.20115,"EURUSD^FG_PRICE(44989)":1.0673,"GBPUSD^FG_PRICE(44988)":1.20115,"EURUSD^FG_PRICE(44988)":1.0673,"GBPUSD^FG_PRICE(44987)":1.20115,"EURUSD^FG_PRICE(44987)":1.0673,"GBPUSD^FG_PRICE(44986)":1.20115,"EURUSD^FG_PRICE(44986)":1.0673,"GBPUSD^FG_PRICE(44985)":1.20115,"EURUSD^FG_PRICE(44985)":1.0673,"GBPUSD^FG_PRICE(44984)":1.20115,"EURUSD^FG_PRICE(44984)":1.0673,"GBPUSD^FG_PRICE(44983)":1.20115,"EURUSD^FG_PRICE(44983)":1.0673,"GBPUSD^FG_PRICE(44982)":1.20115,"EURUSD^FG_PRICE(44982)":1.0673,"GBPUSD^FG_PRICE(44981)":1.20115,"EURUSD^FG_PRICE(44981)":1.0673,"GBPUSD^FG_PRICE(44980)":1.20115,"EURUSD^FG_PRICE(44980)":1.0673,"GBPUSD^FG_PRICE(44979)":1.20115,"EURUSD^FG_PRICE(44979)":1.0673,"GBPUSD^FG_PRICE(44978)":1.20115,"EURUSD^FG_PRICE(44978)":1.0673,"GBPUSD^FG_PRICE(44977)":1.20115,"EURUSD^FG_PRICE(44977)":1.0673,"GBPUSD^FG_PRICE(44976)":1.20115,"EURUSD^FG_PRICE(44976)":1.0673,"GBPUSD^FG_PRICE(44975)":1.20115,"EURUSD^FG_PRICE(44975)":1.0673,"GBPUSD^FG_PRICE(44974)":1.20115,"EURUSD^FG_PRICE(44974)":1.0673,"GBPUSD^FG_PRICE(44973)":1.20115,"EURUSD^FG_PRICE(44973)":1.0673,"GBPUSD^FG_PRICE(44972)":1.2002,"EURUSD^FG_PRICE(44972)":1.0676,"GBPUSD^FG_PRICE(44971)":1.21575,"EURUSD^FG_PRICE(44971)":1.0718501,"GBPUSD^FG_PRICE(44970)":1.2135999,"EURUSD^FG_PRICE(44970)":1.07195,"GBPUSD^FG_PRICE(44969)":1.2077,"EURUSD^FG_PRICE(44969)":1.06765,"GBPUSD^FG_PRICE(44968)":1.2077,"EURUSD^FG_PRICE(44968)":1.06765,"GBPUSD^FG_PRICE(44967)":1.2077,"EURUSD^FG_PRICE(44967)":1.06765,"GBPUSD^FG_PRICE(44966)":1.2170501,"EURUSD^FG_PRICE(44966)":1.0762,"GBPUSD^FG_PRICE(44965)":1.2077999,"EURUSD^FG_PRICE(44965)":1.07245,"GBPUSD^FG_PRICE(44964)":1.201,"EURUSD^FG_PRICE(44964)":1.06925,"GBPUSD^FG_PRICE(44963)":1.20125,"EURUSD^FG_PRICE(44963)":1.07315,"GBPUSD^FG_PRICE(44962)":1.2107,"EURUSD^FG_PRICE(44962)":1.08575,"GBPUSD^FG_PRICE(44961)":1.2107,"EURUSD^FG_PRICE(44961)":1.08575,"GBPUSD^FG_PRICE(44960)":1.2107,"EURUSD^FG_PRICE(44960)":1.08575,"GBPUSD^FG_PRICE(44959)":1.2295,"EURUSD^FG_PRICE(44959)":1.0940499,"GBPUSD^FG_PRICE(44958)":1.23255,"EURUSD^FG_PRICE(44958)":1.09215,"GBPUSD^FG_PRICE(44957)":1.2311,"EURUSD^FG_PRICE(44957)":1.08605,"GBPUSD^FG_PRICE(44956)":1.2381,"EURUSD^FG_PRICE(44956)":1.0870501,"GBPUSD^FG_PRICE(44955)":1.2357501,"EURUSD^FG_PRICE(44955)":1.0840499,"GBPUSD^FG_PRICE(44954)":1.2357501,"EURUSD^FG_PRICE(44954)":1.0840499,"GBPUSD^FG_PRICE(44953)":1.2357501,"EURUSD^FG_PRICE(44953)":1.0840499,"GBPUSD^FG_PRICE(44952)":1.23555,"EURUSD^FG_PRICE(44952)":1.0854,"GBPUSD^FG_PRICE(44951)":1.23595,"EURUSD^FG_PRICE(44951)":1.09025,"GBPUSD^FG_PRICE(44950)":1.2314501,"EURUSD^FG_PRICE(44950)":1.08755,"GBPUSD^FG_PRICE(44949)":1.23715,"EURUSD^FG_PRICE(44949)":1.0865,"GBPUSD^FG_PRICE(44948)":1.23685,"EURUSD^FG_PRICE(44948)":1.0831,"GBPUSD^FG_PRICE(44947)":1.23685,"EURUSD^FG_PRICE(44947)":1.0831,"GBPUSD^FG_PRICE(44946)":1.23685,"EURUSD^FG_PRICE(44946)":1.0831,"GBPUSD^FG_PRICE(44945)":1.23595,"EURUSD^FG_PRICE(44945)":1.07895,"GBPUSD^FG_PRICE(44944)":1.2392,"EURUSD^FG_PRICE(44944)":1.08315,"GBPUSD^FG_PRICE(44943)":1.22795,"EURUSD^FG_PRICE(44943)":1.08015,"GBPUSD^FG_PRICE(44942)":1.2206,"EURUSD^FG_PRICE(44942)":1.08255,"GBPUSD^FG_PRICE(44941)":1.2215,"EURUSD^FG_PRICE(44941)":1.08295,"GBPUSD^FG_PRICE(44940)":1.2215,"EURUSD^FG_PRICE(44940)":1.08295,"GBPUSD^FG_PRICE(44939)":1.2215,"EURUSD^FG_PRICE(44939)":1.08295,"GBPUSD^FG_PRICE(44938)":1.2155501,"EURUSD^FG_PRICE(44938)":1.08065,"GBPUSD^FG_PRICE(44937)":1.2125,"EURUSD^FG_PRICE(44937)":1.07535,"GBPUSD^FG_PRICE(44936)":1.2147,"EURUSD^FG_PRICE(44936)":1.0728,"GBPUSD^FG_PRICE(44935)":1.2191501,"EURUSD^FG_PRICE(44935)":1.07415,"GBPUSD^FG_PRICE(44934)":1.20465,"EURUSD^FG_PRICE(44934)":1.06025,"GBPUSD^FG_PRICE(44933)":1.20465,"EURUSD^FG_PRICE(44933)":1.06025,"GBPUSD^FG_PRICE(44932)":1.20465,"EURUSD^FG_PRICE(44932)":1.06025,"GBPUSD^FG_PRICE(44931)":1.1883,"EURUSD^FG_PRICE(44931)":1.05195,"GBPUSD^FG_PRICE(44930)":1.2042999,"EURUSD^FG_PRICE(44930)":1.06035,"GBPUSD^FG_PRICE(44929)":1.2007,"EURUSD^FG_PRICE(44929)":1.05555,"GBPUSD^FG_PRICE(44928)":1.2029,"EURUSD^FG_PRICE(44928)":1.0672523,"GBPUSD^FG_PRICE(44927)":1.2029,"EURUSD^FG_PRICE(44927)":1.06725,"GBPUSD^FG_PRICE(44926)":1.2029,"EURUSD^FG_PRICE(44926)":1.06725,"GBPUSD^FG_PRICE(44925)":1.2029,"EURUSD^FG_PRICE(44925)":1.06725,"GBPUSD^FG_PRICE(44924)":1.20535,"EURUSD^FG_PRICE(44924)":1.06665,"GBPUSD^FG_PRICE(44923)":1.20345,"EURUSD^FG_PRICE(44923)":1.06185,"GBPUSD^FG_PRICE(44922)":1.2018,"EURUSD^FG_PRICE(44922)":1.06495,"GBPUSD^FG_PRICE(44921)":1.20605,"EURUSD^FG_PRICE(44921)":1.0613835,"GBPUSD^FG_PRICE(44920)":1.20605,"EURUSD^FG_PRICE(44920)":1.06135,"GBPUSD^FG_PRICE(44919)":1.20605,"EURUSD^FG_PRICE(44919)":1.06135,"GBPUSD^FG_PRICE(44918)":1.20605,"EURUSD^FG_PRICE(44918)":1.06135,"GBPUSD^FG_PRICE(44917)":1.2029,"EURUSD^FG_PRICE(44917)":1.06005,"GBPUSD^FG_PRICE(44916)":1.211,"EURUSD^FG_PRICE(44916)":1.06145,"GBPUSD^FG_PRICE(44915)":1.2139,"EURUSD^FG_PRICE(44915)":1.0639501,"GBPUSD^FG_PRICE(44914)":1.21305,"EURUSD^FG_PRICE(44914)":1.05795,"GBPUSD^FG_PRICE(44913)":1.2150999,"EURUSD^FG_PRICE(44913)":1.06155,"GBPUSD^FG_PRICE(44912)":1.2150999,"EURUSD^FG_PRICE(44912)":1.06155,"GBPUSD^FG_PRICE(44911)":1.2150999,"EURUSD^FG_PRICE(44911)":1.06155,"GBPUSD^FG_PRICE(44910)":1.2218,"EURUSD^FG_PRICE(44910)":1.06505,"GBPUSD^FG_PRICE(44909)":1.2406,"EURUSD^FG_PRICE(44909)":1.0647501,"GBPUSD^FG_PRICE(44908)":1.23965,"EURUSD^FG_PRICE(44908)":1.06385,"GBPUSD^FG_PRICE(44907)":1.2253001,"EURUSD^FG_PRICE(44907)":1.05215,"GBPUSD^FG_PRICE(44906)":1.2293,"EURUSD^FG_PRICE(44906)":1.05405,"GBPUSD^FG_PRICE(44905)":1.2293,"EURUSD^FG_PRICE(44905)":1.05405,"GBPUSD^FG_PRICE(44904)":1.2293,"EURUSD^FG_PRICE(44904)":1.05405,"GBPUSD^FG_PRICE(44903)":1.22185,"EURUSD^FG_PRICE(44903)":1.05455,"GBPUSD^FG_PRICE(44902)":1.21945,"EURUSD^FG_PRICE(44902)":1.05035,"GBPUSD^FG_PRICE(44901)":1.2222999,"EURUSD^FG_PRICE(44901)":1.0502499,"GBPUSD^FG_PRICE(44900)":1.22185,"EURUSD^FG_PRICE(44900)":1.05275,"GBPUSD^FG_PRICE(44899)":1.2215999,"EURUSD^FG_PRICE(44899)":1.04735,"GBPUSD^FG_PRICE(44898)":1.2215999,"EURUSD^FG_PRICE(44898)":1.04735,"GBPUSD^FG_PRICE(44897)":1.2215999,"EURUSD^FG_PRICE(44897)":1.04735,"GBPUSD^FG_PRICE(44896)":1.2267,"EURUSD^FG_PRICE(44896)":1.04865,"GBPUSD^FG_PRICE(44895)":1.1909,"EURUSD^FG_PRICE(44895)":1.02965,"GBPUSD^FG_PRICE(44894)":1.2,"EURUSD^FG_PRICE(44894)":1.03565,"GBPUSD^FG_PRICE(44893)":1.20385,"EURUSD^FG_PRICE(44893)":1.03975,"GBPUSD^FG_PRICE(44892)":1.2093999,"EURUSD^FG_PRICE(44892)":1.04065,"GBPUSD^FG_PRICE(44891)":1.2093999,"EURUSD^FG_PRICE(44891)":1.04065,"GBPUSD^FG_PRICE(44890)":1.2093999,"EURUSD^FG_PRICE(44890)":1.04065,"GBPUSD^FG_PRICE(44889)":1.214,"EURUSD^FG_PRICE(44889)":1.0409501,"GBPUSD^FG_PRICE(44888)":1.20655,"EURUSD^FG_PRICE(44888)":1.03745,"GBPUSD^FG_PRICE(44887)":1.188,"EURUSD^FG_PRICE(44887)":1.02845,"GBPUSD^FG_PRICE(44886)":1.17855,"EURUSD^FG_PRICE(44886)":1.02405,"GBPUSD^FG_PRICE(44885)":1.1927,"EURUSD^FG_PRICE(44885)":1.03615,"GBPUSD^FG_PRICE(44884)":1.1927,"EURUSD^FG_PRICE(44884)":1.03615,"GBPUSD^FG_PRICE(44883)":1.1927,"EURUSD^FG_PRICE(44883)":1.03615,"GBPUSD^FG_PRICE(44882)":1.1779,"EURUSD^FG_PRICE(44882)":1.03295,"GBPUSD^FG_PRICE(44881)":1.1893,"EURUSD^FG_PRICE(44881)":1.04055,"GBPUSD^FG_PRICE(44880)":1.1897,"EURUSD^FG_PRICE(44880)":1.03665,"GBPUSD^FG_PRICE(44879)":1.1733,"EURUSD^FG_PRICE(44879)":1.03315,"GBPUSD^FG_PRICE(44878)":1.1776999,"EURUSD^FG_PRICE(44878)":1.03265,"GBPUSD^FG_PRICE(44877)":1.1776999,"EURUSD^FG_PRICE(44877)":1.03265,"GBPUSD^FG_PRICE(44876)":1.1776999,"EURUSD^FG_PRICE(44876)":1.03265,"GBPUSD^FG_PRICE(44875)":1.1679,"EURUSD^FG_PRICE(44875)":1.01815,"GBPUSD^FG_PRICE(44874)":1.13785,"EURUSD^FG_PRICE(44874)":1.0028499,"GBPUSD^FG_PRICE(44873)":1.15635,"EURUSD^FG_PRICE(44873)":1.00665,"GBPUSD^FG_PRICE(44872)":1.1463,"EURUSD^FG_PRICE(44872)":0.99995005,"GBPUSD^FG_PRICE(44871)":1.128,"EURUSD^FG_PRICE(44871)":0.98954993,"GBPUSD^FG_PRICE(44870)":1.128,"EURUSD^FG_PRICE(44870)":0.98954993,"GBPUSD^FG_PRICE(44869)":1.128,"EURUSD^FG_PRICE(44869)":0.98954993,"GBPUSD^FG_PRICE(44868)":1.118,"EURUSD^FG_PRICE(44868)":0.97585005,"GBPUSD^FG_PRICE(44867)":1.1463,"EURUSD^FG_PRICE(44867)":0.9872,"GBPUSD^FG_PRICE(44866)":1.1461,"EURUSD^FG_PRICE(44866)":0.98725003,"GBPUSD^FG_PRICE(44865)":1.15135,"EURUSD^FG_PRICE(44865)":0.98835003,"GBPUSD^FG_PRICE(44864)":1.15915,"EURUSD^FG_PRICE(44864)":0.99495006,"GBPUSD^FG_PRICE(44863)":1.15915,"EURUSD^FG_PRICE(44863)":0.99495006,"GBPUSD^FG_PRICE(44862)":1.15915,"EURUSD^FG_PRICE(44862)":0.99495006,"GBPUSD^FG_PRICE(44861)":1.1581,"EURUSD^FG_PRICE(44861)":0.99974996,"GBPUSD^FG_PRICE(44860)":1.1604,"EURUSD^FG_PRICE(44860)":1.00485,"GBPUSD^FG_PRICE(44859)":1.1461,"EURUSD^FG_PRICE(44859)":0.99584997,"GBPUSD^FG_PRICE(44858)":1.1314,"EURUSD^FG_PRICE(44858)":0.98844993,"GBPUSD^FG_PRICE(44857)":1.1165999,"EURUSD^FG_PRICE(44857)":0.97965,"GBPUSD^FG_PRICE(44856)":1.1165999,"EURUSD^FG_PRICE(44856)":0.97965,"GBPUSD^FG_PRICE(44855)":1.1165999,"EURUSD^FG_PRICE(44855)":0.97965,"GBPUSD^FG_PRICE(44854)":1.1322,"EURUSD^FG_PRICE(44854)":0.98434997,"GBPUSD^FG_PRICE(44853)":1.1259,"EURUSD^FG_PRICE(44853)":0.97905,"GBPUSD^FG_PRICE(44852)":1.13185,"EURUSD^FG_PRICE(44852)":0.98505,"GBPUSD^FG_PRICE(44851)":1.1431,"EURUSD^FG_PRICE(44851)":0.98165005,"GBPUSD^FG_PRICE(44850)":1.12535,"EURUSD^FG_PRICE(44850)":0.97535,"GBPUSD^FG_PRICE(44849)":1.12535,"EURUSD^FG_PRICE(44849)":0.97535,"GBPUSD^FG_PRICE(44848)":1.12535,"EURUSD^FG_PRICE(44848)":0.97535,"GBPUSD^FG_PRICE(44847)":1.1235,"EURUSD^FG_PRICE(44847)":0.97165,"GBPUSD^FG_PRICE(44846)":1.1072,"EURUSD^FG_PRICE(44846)":0.97005,"GBPUSD^FG_PRICE(44845)":1.1086,"EURUSD^FG_PRICE(44845)":0.9709,"GBPUSD^FG_PRICE(44844)":1.1048,"EURUSD^FG_PRICE(44844)":0.97025,"GBPUSD^FG_PRICE(44843)":1.11335,"EURUSD^FG_PRICE(44843)":0.97854996,"GBPUSD^FG_PRICE(44842)":1.11335,"EURUSD^FG_PRICE(44842)":0.97854996,"GBPUSD^FG_PRICE(44841)":1.11335,"EURUSD^FG_PRICE(44841)":0.97854996,"GBPUSD^FG_PRICE(44840)":1.1195,"EURUSD^FG_PRICE(44840)":0.98415,"GBPUSD^FG_PRICE(44839)":1.1244,"EURUSD^FG_PRICE(44839)":0.98555,"GBPUSD^FG_PRICE(44838)":1.1403,"EURUSD^FG_PRICE(44838)":0.99565,"GBPUSD^FG_PRICE(44837)":1.128,"EURUSD^FG_PRICE(44837)":0.98175,"GBPUSD^FG_PRICE(44836)":1.1163,"EURUSD^FG_PRICE(44836)":0.97965,"GBPUSD^FG_PRICE(44835)":1.1163,"EURUSD^FG_PRICE(44835)":0.97965,"GBPUSD^FG_PRICE(44834)":1.1163,"GBPUSD^FG_PRICE(44830)":1.0791,"GBPUSD^FG_PRICE(44826)":1.1262,"GBPUSD^FG_PRICE(44822)":1.1432999,"GBPUSD^FG_PRICE(44818)":1.15795,"GBPUSD^FG_PRICE(44814)":1.1582,"GBPUSD^FG_PRICE(44810)":1.1529,"GBPUSD^FG_PRICE(44806)":1.15835,"GBPUSD^FG_PRICE(44802)":1.16925,"GBPUSD^FG_PRICE(44798)":1.1825,"GBPUSD^FG_PRICE(44794)":1.1803,"GBPUSD^FG_PRICE(44790)":1.2044,"GBPUSD^FG_PRICE(44786)":1.21175,"GBPUSD^FG_PRICE(44782)":1.20875,"GBPUSD^FG_PRICE(44778)":1.20595,"GBPUSD^FG_PRICE(44774)":1.2282001,"GBPUSD^FG_PRICE(44770)":1.2129999,"GBPUSD^FG_PRICE(44766)":1.20415,"GBPUSD^FG_PRICE(44762)":1.19965,"GBPUSD^FG_PRICE(44758)":1.18505,"GBPUSD^FG_PRICE(44754)":1.1889,"GBPUSD^FG_PRICE(44750)":1.2026,"GBPUSD^FG_PRICE(44746)":1.2116001,"GBPUSD^FG_PRICE(44742)":1.21445,"GBPUSD^FG_PRICE(44738)":1.2290001,"GBPUSD^FG_PRICE(44734)":1.2308999,"GBPUSD^FG_PRICE(44730)":1.21805,"GBPUSD^FG_PRICE(44726)":1.2004501,"GBPUSD^FG_PRICE(44722)":1.2342,"GBPUSD^FG_PRICE(44718)":1.2557,"GBPUSD^FG_PRICE(44714)":1.2544,"GBPUSD^FG_PRICE(44710)":1.26145,"GBPUSD^FG_PRICE(44706)":1.25455,"GBPUSD^FG_PRICE(44702)":1.2467,"GBPUSD^FG_PRICE(44698)":1.24705,"GBPUSD^FG_PRICE(44694)":1.22205,"GBPUSD^FG_PRICE(44690)":1.23065,"GBPUSD^FG_PRICE(44686)":1.23735,"GBPUSD^FG_PRICE(44682)":1.2555,"GBPUSD^FG_PRICE(44678)":1.25045,"GBPUSD^FG_PRICE(44674)":1.28425,"GBPUSD^FG_PRICE(44670)":1.2990999,"GBPUSD^FG_PRICE(44666)":1.3045499,"GBPUSD^FG_PRICE(44662)":1.30415,"GBPUSD^FG_PRICE(44658)":1.30665,"GBPUSD^FG_PRICE(44654)":1.31075,"GBPUSD^FG_PRICE(44650)":1.3174001,"GBPUSD^FG_PRICE(44646)":1.3192999,"GBPUSD^FG_PRICE(44642)":1.32595,"GBPUSD^FG_PRICE(44638)":1.31695,"GBPUSD^FG_PRICE(44634)":1.3048,"GBPUSD^FG_PRICE(44630)":1.31285,"GBPUSD^FG_PRICE(44626)":1.3218,"GBPUSD^FG_PRICE(44622)":1.33135,"GBPUSD^FG_PRICE(44618)":1.3417499,"GBPUSD^FG_PRICE(44614)":1.35955,"GBPUSD^FG_PRICE(44610)":1.35835,"GBPUSD^FG_PRICE(44606)":1.3512001,"GBPUSD^FG_PRICE(44602)":1.36165,"GBPUSD^FG_PRICE(44598)":1.35315,"GBPUSD^FG_PRICE(44594)":1.35655,"GBPUSD^FG_PRICE(44590)":1.3414,"GBPUSD^FG_PRICE(44586)":1.3484501,"GBPUSD^FG_PRICE(44582)":1.3554499,"GBPUSD^FG_PRICE(44578)":1.36495,"GBPUSD^FG_PRICE(44574)":1.3734001,"GBPUSD^FG_PRICE(44570)":1.35735,"GBPUSD^FG_PRICE(44566)":1.35665,"GBPUSD^FG_PRICE(44562)":1.35445,"GBPUSD^FG_PRICE(44558)":1.3425,"GBPUSD^FG_PRICE(44554)":1.3411499,"GBPUSD^FG_PRICE(44550)":1.32205,"GBPUSD^FG_PRICE(44546)":1.33315,"GBPUSD^FG_PRICE(44542)":1.3228999,"GBPUSD^FG_PRICE(44538)":1.32165,"GBPUSD^FG_PRICE(44534)":1.3219999,"GBPUSD^FG_PRICE(44530)":1.3230001,"GBPUSD^FG_PRICE(44526)":1.33365,"GBPUSD^FG_PRICE(44522)":1.34,"GBPUSD^FG_PRICE(44518)":1.34775,"GBPUSD^FG_PRICE(44514)":1.3395,"GBPUSD^FG_PRICE(44510)":1.34735,"GBPUSD^FG_PRICE(44506)":1.349,"GBPUSD^FG_PRICE(44502)":1.3611001,"GBPUSD^FG_PRICE(44498)":1.37075,"GBPUSD^FG_PRICE(44494)":1.37695,"GBPUSD^FG_PRICE(44490)":1.3820499,"GBPUSD^FG_PRICE(44486)":1.37685,"GBPUSD^FG_PRICE(44482)":1.36335,"GBPUSD^FG_PRICE(44478)":1.36375,"GBPUSD^FG_PRICE(44474)":1.36235,"GBPUSD^FG_PRICE(44470)":1.3539,"GBPUSD^FG_PRICE(44466)":1.3705001,"GBPUSD^FG_PRICE(44462)":1.37445,"GBPUSD^FG_PRICE(44458)":1.3747001,"GBPUSD^FG_PRICE(44454)":1.3829,"GBPUSD^FG_PRICE(44450)":1.38555,"GBPUSD^FG_PRICE(44446)":1.37855,"GBPUSD^FG_PRICE(44442)":1.3872,"GBPUSD^FG_PRICE(44438)":1.37575,"GBPUSD^FG_PRICE(44434)":1.37155,"GBPUSD^FG_PRICE(44430)":1.3615,"GBPUSD^FG_PRICE(44426)":1.3757,"GBPUSD^FG_PRICE(44422)":1.3853999,"GBPUSD^FG_PRICE(44418)":1.38475,"GBPUSD^FG_PRICE(44414)":1.38655,"GBPUSD^FG_PRICE(44410)":1.3898,"GBPUSD^FG_PRICE(44406)":1.39755,"GBPUSD^FG_PRICE(44402)":1.37515,"GBPUSD^FG_PRICE(44398)":1.36745,"GBPUSD^FG_PRICE(44394)":1.37915,"GBPUSD^FG_PRICE(44390)":1.3845,"GBPUSD^FG_PRICE(44386)":1.38335,"GBPUSD^FG_PRICE(44382)":1.3841,"GBPUSD^FG_PRICE(44378)":1.378,"GBPUSD^FG_PRICE(44374)":1.3914,"GBPUSD^FG_PRICE(44370)":1.3969,"GBPUSD^FG_PRICE(44366)":1.3806001,"GBPUSD^FG_PRICE(44362)":1.4087499,"GBPUSD^FG_PRICE(44358)":1.41245,"GBPUSD^FG_PRICE(44354)":1.41675,"GBPUSD^FG_PRICE(44350)":1.4111999,"GBPUSD^FG_PRICE(44346)":1.41785,"GBPUSD^FG_PRICE(44342)":1.4123499,"GBPUSD^FG_PRICE(44338)":1.4160999,"GBPUSD^FG_PRICE(44334)":1.42105,"GBPUSD^FG_PRICE(44330)":1.4088,"GBPUSD^FG_PRICE(44326)":1.4140501,"GBPUSD^FG_PRICE(44322)":1.389,"GBPUSD^FG_PRICE(44318)":1.3845501,"GBPUSD^FG_PRICE(44314)":1.3906,"GBPUSD^FG_PRICE(44310)":1.3838999,"GBPUSD^FG_PRICE(44306)":1.395,"GBPUSD^FG_PRICE(44302)":1.382,"GBPUSD^FG_PRICE(44298)":1.3745,"GBPUSD^FG_PRICE(44294)":1.373,"GBPUSD^FG_PRICE(44290)":1.3821,"GBPUSD^FG_PRICE(44286)":1.3797001,"GBPUSD^FG_PRICE(44282)":1.37915,"GBPUSD^FG_PRICE(44278)":1.3792,"GBPUSD^FG_PRICE(44274)":1.38715,"GBPUSD^FG_PRICE(44270)":1.3863,"GBPUSD^FG_PRICE(44266)":1.3969,"GBPUSD^FG_PRICE(44262)":1.382,"GBPUSD^FG_PRICE(44258)":1.3974999,"GBPUSD^FG_PRICE(44254)":1.3981,"GBPUSD^FG_PRICE(44250)":1.4104999,"GBPUSD^FG_PRICE(44246)":1.40135,"GBPUSD^FG_PRICE(44242)":1.39115,"GBPUSD^FG_PRICE(44238)":1.382,"GBPUSD^FG_PRICE(44234)":1.37255,"GBPUSD^FG_PRICE(44230)":1.3644999,"GBPUSD^FG_PRICE(44226)":1.3731999,"GBPUSD^FG_PRICE(44222)":1.3742,"GBPUSD^FG_PRICE(44218)":1.36715,"GBPUSD^FG_PRICE(44214)":1.3575499,"GBPUSD^FG_PRICE(44210)":1.3679,"GBPUSD^FG_PRICE(44206)":1.3593,"GBPUSD^FG_PRICE(44202)":1.3550999,"GBPUSD^FG_PRICE(44198)":1.36695,"GBPUSD^FG_PRICE(44194)":1.3491,"GBPUSD^FG_PRICE(44190)":1.35365,"GBPUSD^FG_PRICE(44186)":1.3319501,"GBPUSD^FG_PRICE(44182)":1.3593,"GBPUSD^FG_PRICE(44178)":1.3211,"GBPUSD^FG_PRICE(44174)":1.3395,"GBPUSD^FG_PRICE(44170)":1.3473,"GBPUSD^FG_PRICE(44166)":1.3363,"GBPUSD^FG_PRICE(44162)":1.3345,"GBPUSD^FG_PRICE(44158)":1.3295,"GBPUSD^FG_PRICE(44154)":1.3223001,"GBPUSD^FG_PRICE(44150)":1.3161,"GBPUSD^FG_PRICE(44146)":1.31965,"GBPUSD^FG_PRICE(44142)":1.3144499,"GBPUSD^FG_PRICE(44138)":1.3069999,"GBPUSD^FG_PRICE(44134)":1.293,"GBPUSD^FG_PRICE(44130)":1.3023,"GBPUSD^FG_PRICE(44126)":1.3094,"GBPUSD^FG_PRICE(44122)":1.29285,"GBPUSD^FG_PRICE(44118)":1.304,"GBPUSD^FG_PRICE(44114)":1.2997999,"GBPUSD^FG_PRICE(44110)":1.2972001,"GBPUSD^FG_PRICE(44106)":1.29345,"GBPUSD^FG_PRICE(44102)":1.28415,"GBPUSD^FG_PRICE(44098)":1.2715,"GBPUSD^FG_PRICE(44094)":1.2960501,"GBPUSD^FG_PRICE(44090)":1.3002,"GBPUSD^FG_PRICE(44086)":1.2783,"GBPUSD^FG_PRICE(44082)":1.3025,"GBPUSD^FG_PRICE(44078)":1.3208,"GBPUSD^FG_PRICE(44074)":1.33895,"GBPUSD^FG_PRICE(44070)":1.319,"GBPUSD^FG_PRICE(44066)":1.30725,"GBPUSD^FG_PRICE(44062)":1.3184,"GBPUSD^FG_PRICE(44058)":1.3109001,"GBPUSD^FG_PRICE(44054)":1.3085,"GBPUSD^FG_PRICE(44050)":1.3051,"GBPUSD^FG_PRICE(44046)":1.3031,"GBPUSD^FG_PRICE(44042)":1.3040999,"GBPUSD^FG_PRICE(44038)":1.2788,"GBPUSD^FG_PRICE(44034)":1.2731501,"GBPUSD^FG_PRICE(44030)":1.2535,"GBPUSD^FG_PRICE(44026)":1.2529,"GBPUSD^FG_PRICE(44022)":1.2660999,"GBPUSD^FG_PRICE(44018)":1.251,"GBPUSD^FG_PRICE(44014)":1.2465999,"GBPUSD^FG_PRICE(44010)":1.23175,"GBPUSD^FG_PRICE(44006)":1.2449,"GBPUSD^FG_PRICE(44002)":1.2364,"GBPUSD^FG_PRICE(43998)":1.25675,"GBPUSD^FG_PRICE(43994)":1.2540001,"GBPUSD^FG_PRICE(43990)":1.2698,"GBPUSD^FG_PRICE(43986)":1.2607499,"GBPUSD^FG_PRICE(43982)":1.2363,"GBPUSD^FG_PRICE(43978)":1.2213,"GBPUSD^FG_PRICE(43974)":1.21895,"GBPUSD^FG_PRICE(43970)":1.22505,"GBPUSD^FG_PRICE(43966)":1.2125,"GBPUSD^FG_PRICE(43962)":1.2356,"GBPUSD^FG_PRICE(43958)":1.22855,"GBPUSD^FG_PRICE(43954)":1.25425,"GBPUSD^FG_PRICE(43950)":1.24365,"GBPUSD^FG_PRICE(43946)":1.23375,"GBPUSD^FG_PRICE(43942)":1.2274,"GBPUSD^FG_PRICE(43938)":1.2504001,"GBPUSD^FG_PRICE(43934)":1.25035,"GBPUSD^FG_PRICE(43930)":1.24685,"GBPUSD^FG_PRICE(43926)":1.2258999,"GBPUSD^FG_PRICE(43922)":1.24245,"GBPUSD^FG_PRICE(43918)":1.2354,"GBPUSD^FG_PRICE(43914)":1.1781499,"GBPUSD^FG_PRICE(43910)":1.17435,"GBPUSD^FG_PRICE(43906)":1.2277,"GBPUSD^FG_PRICE(43902)":1.25415,"GBPUSD^FG_PRICE(43898)":1.30335,"GBPUSD^FG_PRICE(43894)":1.2818,"GBPUSD^FG_PRICE(43890)":1.2773,"GBPUSD^FG_PRICE(43886)":1.3016,"GBPUSD^FG_PRICE(43882)":1.2959,"GBPUSD^FG_PRICE(43878)":1.3007001,"GBPUSD^FG_PRICE(43874)":1.3054,"GBPUSD^FG_PRICE(43870)":1.2938501,"GBPUSD^FG_PRICE(43866)":1.29825,"GBPUSD^FG_PRICE(43862)":1.3182,"GBPUSD^FG_PRICE(43858)":1.2982,"GBPUSD^FG_PRICE(43854)":1.3068,"GBPUSD^FG_PRICE(43850)":1.29975,"GBPUSD^FG_PRICE(43846)":1.3066,"GBPUSD^FG_PRICE(43842)":1.30605,"GBPUSD^FG_PRICE(43838)":1.3098999,"GBPUSD^FG_PRICE(43834)":1.3071,"GBPUSD^FG_PRICE(43830)":1.3247501,"GBPUSD^FG_PRICE(43826)":1.309,"GBPUSD^FG_PRICE(43822)":1.2925,"GBPUSD^FG_PRICE(43818)":1.3029,"EURUSD^FG_PRICE(44834)":0.97965,"EURUSD^FG_PRICE(44830)":0.96485007,"EURUSD^FG_PRICE(44826)":0.98155,"EURUSD^FG_PRICE(44822)":1.00305,"EURUSD^FG_PRICE(44818)":0.99974996,"EURUSD^FG_PRICE(44814)":1.0042499,"EURUSD^FG_PRICE(44810)":0.99044997,"EURUSD^FG_PRICE(44806)":1.00275,"EURUSD^FG_PRICE(44802)":0.99835,"EURUSD^FG_PRICE(44798)":0.99815,"EURUSD^FG_PRICE(44794)":1.00415,"EURUSD^FG_PRICE(44790)":1.01625,"EURUSD^FG_PRICE(44786)":1.0244501,"EURUSD^FG_PRICE(44782)":1.0223,"EURUSD^FG_PRICE(44778)":1.01655,"EURUSD^FG_PRICE(44774)":1.0273,"EURUSD^FG_PRICE(44770)":1.01555,"EURUSD^FG_PRICE(44766)":1.02305,"EURUSD^FG_PRICE(44762)":1.02125,"EURUSD^FG_PRICE(44758)":1.0079501,"EURUSD^FG_PRICE(44754)":1.00495,"EURUSD^FG_PRICE(44750)":1.0173501,"EURUSD^FG_PRICE(44746)":1.0424,"EURUSD^FG_PRICE(44742)":1.04545,"EURUSD^FG_PRICE(44738)":1.05445,"EURUSD^FG_PRICE(44734)":1.0596501,"EURUSD^FG_PRICE(44730)":1.04575,"EURUSD^FG_PRICE(44726)":1.04105,"EURUSD^FG_PRICE(44722)":1.05305,"EURUSD^FG_PRICE(44718)":1.07205,"EURUSD^FG_PRICE(44714)":1.07165,"EURUSD^FG_PRICE(44710)":1.071,"EURUSD^FG_PRICE(44706)":1.06795,"EURUSD^FG_PRICE(44702)":1.0558,"EURUSD^FG_PRICE(44698)":1.05355,"EURUSD^FG_PRICE(44694)":1.03945,"EURUSD^FG_PRICE(44690)":1.053,"EURUSD^FG_PRICE(44686)":1.05305,"EURUSD^FG_PRICE(44682)":1.05495,"EURUSD^FG_PRICE(44678)":1.05175,"EURUSD^FG_PRICE(44674)":1.0775499,"EURUSD^FG_PRICE(44670)":1.07865,"EURUSD^FG_PRICE(44666)":1.0776061,"EURUSD^FG_PRICE(44662)":1.0897,"EURUSD^FG_PRICE(44658)":1.09115,"EURUSD^FG_PRICE(44654)":1.10365,"EURUSD^FG_PRICE(44650)":1.1164501,"EURUSD^FG_PRICE(44646)":1.0984501,"EURUSD^FG_PRICE(44642)":1.1022,"EURUSD^FG_PRICE(44638)":1.10485,"EURUSD^FG_PRICE(44634)":1.098,"EURUSD^FG_PRICE(44630)":1.10185,"EURUSD^FG_PRICE(44626)":1.09195,"EURUSD^FG_PRICE(44622)":1.10675,"EURUSD^FG_PRICE(44618)":1.12455,"EURUSD^FG_PRICE(44614)":1.13345,"EURUSD^FG_PRICE(44610)":1.13415,"EURUSD^FG_PRICE(44606)":1.13085,"EURUSD^FG_PRICE(44602)":1.14675,"EURUSD^FG_PRICE(44598)":1.1443,"EURUSD^FG_PRICE(44594)":1.12965,"EURUSD^FG_PRICE(44590)":1.1165501,"EURUSD^FG_PRICE(44586)":1.1274,"EURUSD^FG_PRICE(44582)":1.1347001,"EURUSD^FG_PRICE(44578)":1.1403,"EURUSD^FG_PRICE(44574)":1.14605,"EURUSD^FG_PRICE(44570)":1.1348001,"EURUSD^FG_PRICE(44566)":1.13365,"EURUSD^FG_PRICE(44562)":1.1372,"EURUSD^FG_PRICE(44558)":1.12965,"EURUSD^FG_PRICE(44554)":1.1329,"EURUSD^FG_PRICE(44550)":1.12895,"EURUSD^FG_PRICE(44546)":1.1307,"EURUSD^FG_PRICE(44542)":1.13045,"EURUSD^FG_PRICE(44538)":1.13325,"EURUSD^FG_PRICE(44534)":1.128,"EURUSD^FG_PRICE(44530)":1.1256,"EURUSD^FG_PRICE(44526)":1.1315501,"EURUSD^FG_PRICE(44522)":1.12465,"EURUSD^FG_PRICE(44518)":1.13485,"EURUSD^FG_PRICE(44514)":1.1444501,"EURUSD^FG_PRICE(44510)":1.15185,"EURUSD^FG_PRICE(44506)":1.15545,"EURUSD^FG_PRICE(44502)":1.158,"EURUSD^FG_PRICE(44498)":1.15725,"EURUSD^FG_PRICE(44494)":1.1613,"EURUSD^FG_PRICE(44490)":1.1646,"EURUSD^FG_PRICE(44486)":1.16055,"EURUSD^FG_PRICE(44482)":1.15745,"EURUSD^FG_PRICE(44478)":1.1574,"EURUSD^FG_PRICE(44474)":1.1593,"EURUSD^FG_PRICE(44470)":1.1596501,"EURUSD^FG_PRICE(44466)":1.17005,"EURUSD^FG_PRICE(44462)":1.17495,"EURUSD^FG_PRICE(44458)":1.1737,"EURUSD^FG_PRICE(44454)":1.1819,"EURUSD^FG_PRICE(44450)":1.18345,"EURUSD^FG_PRICE(44446)":1.1845499,"EURUSD^FG_PRICE(44442)":1.1881,"EURUSD^FG_PRICE(44438)":1.1798999,"EURUSD^FG_PRICE(44434)":1.1754501,"EURUSD^FG_PRICE(44430)":1.16795,"EURUSD^FG_PRICE(44426)":1.17115,"EURUSD^FG_PRICE(44422)":1.1793,"EURUSD^FG_PRICE(44418)":1.17195,"EURUSD^FG_PRICE(44414)":1.176,"EURUSD^FG_PRICE(44410)":1.1881499,"EURUSD^FG_PRICE(44406)":1.18845,"EURUSD^FG_PRICE(44402)":1.17615,"EURUSD^FG_PRICE(44398)":1.1788499,"EURUSD^FG_PRICE(44394)":1.1809,"EURUSD^FG_PRICE(44390)":1.18245,"EURUSD^FG_PRICE(44386)":1.18645,"EURUSD^FG_PRICE(44382)":1.18615,"EURUSD^FG_PRICE(44378)":1.1868,"EURUSD^FG_PRICE(44374)":1.1951,"EURUSD^FG_PRICE(44370)":1.1948,"EURUSD^FG_PRICE(44366)":1.1856,"EURUSD^FG_PRICE(44362)":1.21265,"EURUSD^FG_PRICE(44358)":1.21105,"EURUSD^FG_PRICE(44354)":1.2186999,"EURUSD^FG_PRICE(44350)":1.2137,"EURUSD^FG_PRICE(44346)":1.21815,"EURUSD^FG_PRICE(44342)":1.22175,"EURUSD^FG_PRICE(44338)":1.21885,"EURUSD^FG_PRICE(44334)":1.22185,"EURUSD^FG_PRICE(44330)":1.2133499,"EURUSD^FG_PRICE(44326)":1.216,"EURUSD^FG_PRICE(44322)":1.2059,"EURUSD^FG_PRICE(44318)":1.2038,"EURUSD^FG_PRICE(44314)":1.20895,"EURUSD^FG_PRICE(44310)":1.20495,"EURUSD^FG_PRICE(44306)":1.20485,"EURUSD^FG_PRICE(44302)":1.19795,"EURUSD^FG_PRICE(44298)":1.19075,"EURUSD^FG_PRICE(44294)":1.1897501,"EURUSD^FG_PRICE(44290)":1.1760552,"EURUSD^FG_PRICE(44286)":1.1753,"EURUSD^FG_PRICE(44282)":1.1797,"EURUSD^FG_PRICE(44278)":1.1872,"EURUSD^FG_PRICE(44274)":1.1909499,"EURUSD^FG_PRICE(44270)":1.1916499,"EURUSD^FG_PRICE(44266)":1.19605,"EURUSD^FG_PRICE(44262)":1.1909,"EURUSD^FG_PRICE(44258)":1.20745,"EURUSD^FG_PRICE(44254)":1.2138,"EURUSD^FG_PRICE(44250)":1.21595,"EURUSD^FG_PRICE(44246)":1.2127,"EURUSD^FG_PRICE(44242)":1.2132001,"EURUSD^FG_PRICE(44238)":1.2132001,"EURUSD^FG_PRICE(44234)":1.2025499,"EURUSD^FG_PRICE(44230)":1.20125,"EURUSD^FG_PRICE(44226)":1.2149,"EURUSD^FG_PRICE(44222)":1.21665,"EURUSD^FG_PRICE(44218)":1.21725,"EURUSD^FG_PRICE(44214)":1.2075,"EURUSD^FG_PRICE(44210)":1.2135,"EURUSD^FG_PRICE(44206)":1.2256,"EURUSD^FG_PRICE(44202)":1.2281,"EURUSD^FG_PRICE(44198)":1.22355,"EURUSD^FG_PRICE(44194)":1.2241501,"EURUSD^FG_PRICE(44190)":1.218352,"EURUSD^FG_PRICE(44186)":1.2212499,"EURUSD^FG_PRICE(44182)":1.2245,"EURUSD^FG_PRICE(44178)":1.21075,"EURUSD^FG_PRICE(44174)":1.20815,"EURUSD^FG_PRICE(44170)":1.2141501,"EURUSD^FG_PRICE(44166)":1.20325,"EURUSD^FG_PRICE(44162)":1.19485,"EURUSD^FG_PRICE(44158)":1.18185,"EURUSD^FG_PRICE(44154)":1.184,"EURUSD^FG_PRICE(44150)":1.182,"EURUSD^FG_PRICE(44146)":1.1758,"EURUSD^FG_PRICE(44142)":1.1874499,"EURUSD^FG_PRICE(44138)":1.17305,"EURUSD^FG_PRICE(44134)":1.16485,"EURUSD^FG_PRICE(44130)":1.1817499,"EURUSD^FG_PRICE(44126)":1.18275,"EURUSD^FG_PRICE(44122)":1.1719999,"EURUSD^FG_PRICE(44118)":1.1759499,"EURUSD^FG_PRICE(44114)":1.18145,"EURUSD^FG_PRICE(44110)":1.17915,"EURUSD^FG_PRICE(44106)":1.17145,"EURUSD^FG_PRICE(44102)":1.1645,"EURUSD^FG_PRICE(44098)":1.16405,"EURUSD^FG_PRICE(44094)":1.186,"EURUSD^FG_PRICE(44090)":1.18285,"EURUSD^FG_PRICE(44086)":1.1831,"EURUSD^FG_PRICE(44082)":1.17925,"EURUSD^FG_PRICE(44078)":1.17975,"EURUSD^FG_PRICE(44074)":1.19595,"EURUSD^FG_PRICE(44070)":1.179,"EURUSD^FG_PRICE(44066)":1.17795,"EURUSD^FG_PRICE(44062)":1.19005,"EURUSD^FG_PRICE(44058)":1.1829,"EURUSD^FG_PRICE(44054)":1.17655,"EURUSD^FG_PRICE(44050)":1.1788499,"EURUSD^FG_PRICE(44046)":1.1738,"EURUSD^FG_PRICE(44042)":1.17945,"EURUSD^FG_PRICE(44038)":1.16245,"EURUSD^FG_PRICE(44034)":1.1593,"EURUSD^FG_PRICE(44030)":1.1422,"EURUSD^FG_PRICE(44026)":1.1398001,"EURUSD^FG_PRICE(44022)":1.13185,"EURUSD^FG_PRICE(44018)":1.13175,"EURUSD^FG_PRICE(44014)":1.1228501,"EURUSD^FG_PRICE(44010)":1.1201999,"EURUSD^FG_PRICE(44006)":1.12755,"EURUSD^FG_PRICE(44002)":1.11835,"EURUSD^FG_PRICE(43998)":1.12375,"EURUSD^FG_PRICE(43994)":1.12465,"EURUSD^FG_PRICE(43990)":1.1301,"EURUSD^FG_PRICE(43986)":1.1344,"EURUSD^FG_PRICE(43982)":1.11235,"EURUSD^FG_PRICE(43978)":1.0973,"EURUSD^FG_PRICE(43974)":1.08905,"EURUSD^FG_PRICE(43970)":1.09475,"EURUSD^FG_PRICE(43966)":1.0818499,"EURUSD^FG_PRICE(43962)":1.0825,"EURUSD^FG_PRICE(43958)":1.07775,"EURUSD^FG_PRICE(43954)":1.10085,"EURUSD^FG_PRICE(43950)":1.08535,"EURUSD^FG_PRICE(43946)":1.0812501,"EURUSD^FG_PRICE(43942)":1.08615,"EURUSD^FG_PRICE(43938)":1.0889,"EURUSD^FG_PRICE(43934)":1.09005,"EURUSD^FG_PRICE(43930)":1.09385,"EURUSD^FG_PRICE(43926)":1.07985,"EURUSD^FG_PRICE(43922)":1.0924001,"EURUSD^FG_PRICE(43918)":1.1058,"EURUSD^FG_PRICE(43914)":1.07965,"EURUSD^FG_PRICE(43910)":1.0689,"EURUSD^FG_PRICE(43906)":1.11385,"EURUSD^FG_PRICE(43902)":1.10815,"EURUSD^FG_PRICE(43898)":1.13105,"EURUSD^FG_PRICE(43894)":1.1141,"EURUSD^FG_PRICE(43890)":1.0984501,"EURUSD^FG_PRICE(43886)":1.08645,"EURUSD^FG_PRICE(43882)":1.0852,"EURUSD^FG_PRICE(43878)":1.08305,"EURUSD^FG_PRICE(43874)":1.08485,"EURUSD^FG_PRICE(43870)":1.0964,"EURUSD^FG_PRICE(43866)":1.1001999,"EURUSD^FG_PRICE(43862)":1.1082,"EURUSD^FG_PRICE(43858)":1.10005,"EURUSD^FG_PRICE(43854)":1.1025001,"EURUSD^FG_PRICE(43850)":1.10825,"EURUSD^FG_PRICE(43846)":1.11415,"EURUSD^FG_PRICE(43842)":1.1113499,"EURUSD^FG_PRICE(43838)":1.11195,"EURUSD^FG_PRICE(43834)":1.1165,"GBPUSD^FG_PRICE(44833)":1.1034501,"GBPUSD^FG_PRICE(44829)":1.0903,"GBPUSD^FG_PRICE(44825)":1.13315,"GBPUSD^FG_PRICE(44821)":1.1432999,"GBPUSD^FG_PRICE(44817)":1.1544,"GBPUSD^FG_PRICE(44813)":1.1582,"GBPUSD^FG_PRICE(44809)":1.1507,"GBPUSD^FG_PRICE(44805)":1.1527,"GBPUSD^FG_PRICE(44801)":1.17915,"GBPUSD^FG_PRICE(44797)":1.1821,"GBPUSD^FG_PRICE(44793)":1.1803,"GBPUSD^FG_PRICE(44789)":1.2093999,"GBPUSD^FG_PRICE(44785)":1.21175,"GBPUSD^FG_PRICE(44781)":1.2119,"GBPUSD^FG_PRICE(44777)":1.21105,"GBPUSD^FG_PRICE(44773)":1.2169,"GBPUSD^FG_PRICE(44769)":1.2031,"GBPUSD^FG_PRICE(44765)":1.20415,"GBPUSD^FG_PRICE(44761)":1.20325,"GBPUSD^FG_PRICE(44757)":1.18505,"GBPUSD^FG_PRICE(44753)":1.1885,"GBPUSD^FG_PRICE(44749)":1.1998999,"GBPUSD^FG_PRICE(44745)":1.2005501,"GBPUSD^FG_PRICE(44741)":1.2121999,"GBPUSD^FG_PRICE(44737)":1.2290001,"GBPUSD^FG_PRICE(44733)":1.22835,"GBPUSD^FG_PRICE(44729)":1.21805,"GBPUSD^FG_PRICE(44725)":1.2132499,"GBPUSD^FG_PRICE(44721)":1.2541001,"GBPUSD^FG_PRICE(44717)":1.2522,"GBPUSD^FG_PRICE(44713)":1.24965,"GBPUSD^FG_PRICE(44709)":1.26145,"GBPUSD^FG_PRICE(44705)":1.2524999,"GBPUSD^FG_PRICE(44701)":1.2467,"GBPUSD^FG_PRICE(44697)":1.22525,"GBPUSD^FG_PRICE(44693)":1.2227501,"GBPUSD^FG_PRICE(44689)":1.23525,"GBPUSD^FG_PRICE(44685)":1.2501501,"GBPUSD^FG_PRICE(44681)":1.2555,"GBPUSD^FG_PRICE(44677)":1.26205,"GBPUSD^FG_PRICE(44673)":1.28425,"GBPUSD^FG_PRICE(44669)":1.3018501,"GBPUSD^FG_PRICE(44665)":1.3045499,"GBPUSD^FG_PRICE(44661)":1.30085,"GBPUSD^FG_PRICE(44657)":1.30895,"GBPUSD^FG_PRICE(44653)":1.31075,"GBPUSD^FG_PRICE(44649)":1.3136,"GBPUSD^FG_PRICE(44645)":1.3192999,"GBPUSD^FG_PRICE(44641)":1.32045,"GBPUSD^FG_PRICE(44637)":1.31575,"GBPUSD^FG_PRICE(44633)":1.30865,"GBPUSD^FG_PRICE(44629)":1.31565,"GBPUSD^FG_PRICE(44625)":1.3218,"GBPUSD^FG_PRICE(44621)":1.3352,"GBPUSD^FG_PRICE(44617)":1.3417499,"GBPUSD^FG_PRICE(44613)":1.36075,"GBPUSD^FG_PRICE(44609)":1.362,"GBPUSD^FG_PRICE(44605)":1.3603,"GBPUSD^FG_PRICE(44601)":1.35465,"GBPUSD^FG_PRICE(44597)":1.35315,"GBPUSD^FG_PRICE(44593)":1.3508,"GBPUSD^FG_PRICE(44589)":1.3414,"GBPUSD^FG_PRICE(44585)":1.3464,"GBPUSD^FG_PRICE(44581)":1.36555,"GBPUSD^FG_PRICE(44577)":1.36835,"GBPUSD^FG_PRICE(44573)":1.3686999,"GBPUSD^FG_PRICE(44569)":1.35735,"GBPUSD^FG_PRICE(44565)":1.3553001,"GBPUSD^FG_PRICE(44561)":1.35445,"GBPUSD^FG_PRICE(44557)":1.3418,"GBPUSD^FG_PRICE(44553)":1.3407,"GBPUSD^FG_PRICE(44549)":1.3264,"GBPUSD^FG_PRICE(44545)":1.32155,"GBPUSD^FG_PRICE(44541)":1.3228999,"GBPUSD^FG_PRICE(44537)":1.32355,"GBPUSD^FG_PRICE(44533)":1.3219999,"GBPUSD^FG_PRICE(44529)":1.3296,"GBPUSD^FG_PRICE(44525)":1.3319999,"GBPUSD^FG_PRICE(44521)":1.3459,"GBPUSD^FG_PRICE(44517)":1.3464501,"GBPUSD^FG_PRICE(44513)":1.3395,"GBPUSD^FG_PRICE(44509)":1.35515,"GBPUSD^FG_PRICE(44505)":1.349,"GBPUSD^FG_PRICE(44501)":1.36765,"GBPUSD^FG_PRICE(44497)":1.3799,"GBPUSD^FG_PRICE(44493)":1.37725,"GBPUSD^FG_PRICE(44489)":1.3815,"GBPUSD^FG_PRICE(44485)":1.37685,"GBPUSD^FG_PRICE(44481)":1.36025,"GBPUSD^FG_PRICE(44477)":1.36375,"GBPUSD^FG_PRICE(44473)":1.36035,"GBPUSD^FG_PRICE(44469)":1.34835,"GBPUSD^FG_PRICE(44465)":1.36755,"GBPUSD^FG_PRICE(44461)":1.36455,"GBPUSD^FG_PRICE(44457)":1.3747001,"GBPUSD^FG_PRICE(44453)":1.3852,"GBPUSD^FG_PRICE(44449)":1.38555,"GBPUSD^FG_PRICE(44445)":1.38265,"GBPUSD^FG_PRICE(44441)":1.3834001,"GBPUSD^FG_PRICE(44437)":1.3743501,"GBPUSD^FG_PRICE(44433)":1.3731501,"GBPUSD^FG_PRICE(44429)":1.3615,"GBPUSD^FG_PRICE(44425)":1.3737999,"GBPUSD^FG_PRICE(44421)":1.3853999,"GBPUSD^FG_PRICE(44417)":1.3848,"GBPUSD^FG_PRICE(44413)":1.3933,"GBPUSD^FG_PRICE(44409)":1.39035,"GBPUSD^FG_PRICE(44405)":1.3869001,"GBPUSD^FG_PRICE(44401)":1.37515,"GBPUSD^FG_PRICE(44397)":1.36115,"GBPUSD^FG_PRICE(44393)":1.37915,"GBPUSD^FG_PRICE(44389)":1.3894501,"GBPUSD^FG_PRICE(44385)":1.3761001,"GBPUSD^FG_PRICE(44381)":1.37835,"GBPUSD^FG_PRICE(44377)":1.38145,"GBPUSD^FG_PRICE(44373)":1.3914,"GBPUSD^FG_PRICE(44369)":1.3917,"GBPUSD^FG_PRICE(44365)":1.3806001,"GBPUSD^FG_PRICE(44361)":1.41195,"GBPUSD^FG_PRICE(44357)":1.4143,"GBPUSD^FG_PRICE(44353)":1.4172,"GBPUSD^FG_PRICE(44349)":1.41645,"GBPUSD^FG_PRICE(44345)":1.41785,"GBPUSD^FG_PRICE(44341)":1.4132999,"GBPUSD^FG_PRICE(44337)":1.4160999,"GBPUSD^FG_PRICE(44333)":1.41195,"GBPUSD^FG_PRICE(44329)":1.40455,"GBPUSD^FG_PRICE(44325)":1.3979,"GBPUSD^FG_PRICE(44321)":1.391,"GBPUSD^FG_PRICE(44317)":1.3845501,"GBPUSD^FG_PRICE(44313)":1.3915001,"GBPUSD^FG_PRICE(44309)":1.3838999,"GBPUSD^FG_PRICE(44305)":1.3987,"GBPUSD^FG_PRICE(44301)":1.3793,"GBPUSD^FG_PRICE(44297)":1.373,"GBPUSD^FG_PRICE(44293)":1.3787,"GBPUSD^FG_PRICE(44289)":1.3821,"GBPUSD^FG_PRICE(44285)":1.37115,"GBPUSD^FG_PRICE(44281)":1.37915,"GBPUSD^FG_PRICE(44277)":1.3853999,"GBPUSD^FG_PRICE(44273)":1.39365,"GBPUSD^FG_PRICE(44269)":1.3895,"GBPUSD^FG_PRICE(44265)":1.3904,"GBPUSD^FG_PRICE(44261)":1.382,"GBPUSD^FG_PRICE(44257)":1.39495,"GBPUSD^FG_PRICE(44253)":1.3981,"GBPUSD^FG_PRICE(44249)":1.4051,"GBPUSD^FG_PRICE(44245)":1.3948,"GBPUSD^FG_PRICE(44241)":1.38485,"GBPUSD^FG_PRICE(44237)":1.3845,"GBPUSD^FG_PRICE(44233)":1.37255,"GBPUSD^FG_PRICE(44229)":1.36285,"GBPUSD^FG_PRICE(44225)":1.3731999,"GBPUSD^FG_PRICE(44221)":1.3671,"GBPUSD^FG_PRICE(44217)":1.3726001,"GBPUSD^FG_PRICE(44213)":1.3580999,"GBPUSD^FG_PRICE(44209)":1.3637999,"GBPUSD^FG_PRICE(44205)":1.3593,"GBPUSD^FG_PRICE(44201)":1.3595,"GBPUSD^FG_PRICE(44197)":1.36695,"GBPUSD^FG_PRICE(44193)":1.3445001,"GBPUSD^FG_PRICE(44189)":1.35365,"GBPUSD^FG_PRICE(44185)":1.3484,"GBPUSD^FG_PRICE(44181)":1.3497,"GBPUSD^FG_PRICE(44177)":1.3211,"GBPUSD^FG_PRICE(44173)":1.3361499,"GBPUSD^FG_PRICE(44169)":1.3473,"GBPUSD^FG_PRICE(44165)":1.33505,"GBPUSD^FG_PRICE(44161)":1.33295,"GBPUSD^FG_PRICE(44157)":1.3287001,"GBPUSD^FG_PRICE(44153)":1.3303001,"GBPUSD^FG_PRICE(44149)":1.3161,"GBPUSD^FG_PRICE(44145)":1.3248,"GBPUSD^FG_PRICE(44141)":1.3144499,"GBPUSD^FG_PRICE(44137)":1.291,"GBPUSD^FG_PRICE(44133)":1.289,"GBPUSD^FG_PRICE(44129)":1.3043,"GBPUSD^FG_PRICE(44125)":1.31625,"GBPUSD^FG_PRICE(44121)":1.29285,"GBPUSD^FG_PRICE(44117)":1.2986,"GBPUSD^FG_PRICE(44113)":1.2997999,"GBPUSD^FG_PRICE(44109)":1.2978,"GBPUSD^FG_PRICE(44105)":1.2867,"GBPUSD^FG_PRICE(44101)":1.27045,"GBPUSD^FG_PRICE(44097)":1.2763,"GBPUSD^FG_PRICE(44093)":1.2960501,"GBPUSD^FG_PRICE(44089)":1.2853,"GBPUSD^FG_PRICE(44085)":1.2783,"GBPUSD^FG_PRICE(44081)":1.31785,"GBPUSD^FG_PRICE(44077)":1.32725,"GBPUSD^FG_PRICE(44073)":1.3331001,"GBPUSD^FG_PRICE(44069)":1.3192,"GBPUSD^FG_PRICE(44065)":1.30725,"GBPUSD^FG_PRICE(44061)":1.3218,"GBPUSD^FG_PRICE(44057)":1.3109001,"GBPUSD^FG_PRICE(44053)":1.3089,"GBPUSD^FG_PRICE(44049)":1.3143001,"GBPUSD^FG_PRICE(44045)":1.3125,"GBPUSD^FG_PRICE(44041)":1.29635,"GBPUSD^FG_PRICE(44037)":1.2788,"GBPUSD^FG_PRICE(44033)":1.275,"GBPUSD^FG_PRICE(44029)":1.2535,"GBPUSD^FG_PRICE(44025)":1.26175,"GBPUSD^FG_PRICE(44021)":1.26155,"GBPUSD^FG_PRICE(44017)":1.24675,"GBPUSD^FG_PRICE(44013)":1.2458,"GBPUSD^FG_PRICE(44009)":1.23175,"GBPUSD^FG_PRICE(44005)":1.2524,"GBPUSD^FG_PRICE(44001)":1.2364,"GBPUSD^FG_PRICE(43997)":1.25665,"GBPUSD^FG_PRICE(43993)":1.2643,"GBPUSD^FG_PRICE(43989)":1.27255,"GBPUSD^FG_PRICE(43985)":1.25965,"GBPUSD^FG_PRICE(43981)":1.2363,"GBPUSD^FG_PRICE(43977)":1.23585,"GBPUSD^FG_PRICE(43973)":1.21895,"GBPUSD^FG_PRICE(43969)":1.21925,"GBPUSD^FG_PRICE(43965)":1.21995,"GBPUSD^FG_PRICE(43961)":1.2453,"GBPUSD^FG_PRICE(43957)":1.2362,"GBPUSD^FG_PRICE(43953)":1.25425,"GBPUSD^FG_PRICE(43949)":1.2437,"GBPUSD^FG_PRICE(43945)":1.23375,"GBPUSD^FG_PRICE(43941)":1.2474,"GBPUSD^FG_PRICE(43937)":1.2446,"GBPUSD^FG_PRICE(43933)":1.24685,"GBPUSD^FG_PRICE(43929)":1.23825,"GBPUSD^FG_PRICE(43925)":1.2258999,"GBPUSD^FG_PRICE(43921)":1.2399501,"GBPUSD^FG_PRICE(43917)":1.2354,"GBPUSD^FG_PRICE(43913)":1.14905,"GBPUSD^FG_PRICE(43909)":1.16605,"GBPUSD^FG_PRICE(43905)":1.2401,"GBPUSD^FG_PRICE(43901)":1.2885001,"GBPUSD^FG_PRICE(43897)":1.30335,"GBPUSD^FG_PRICE(43893)":1.2817,"GBPUSD^FG_PRICE(43889)":1.2773,"GBPUSD^FG_PRICE(43885)":1.2925,"GBPUSD^FG_PRICE(43881)":1.28795,"GBPUSD^FG_PRICE(43877)":1.30145,"GBPUSD^FG_PRICE(43873)":1.2976,"GBPUSD^FG_PRICE(43869)":1.2938501,"GBPUSD^FG_PRICE(43865)":1.30245,"GBPUSD^FG_PRICE(43861)":1.3182,"GBPUSD^FG_PRICE(43857)":1.30555,"GBPUSD^FG_PRICE(43853)":1.31195,"GBPUSD^FG_PRICE(43849)":1.3031,"GBPUSD^FG_PRICE(43845)":1.30245,"GBPUSD^FG_PRICE(43841)":1.30605,"GBPUSD^FG_PRICE(43837)":1.31205,"GBPUSD^FG_PRICE(43833)":1.3071,"GBPUSD^FG_PRICE(43829)":1.31135,"GBPUSD^FG_PRICE(43825)":1.29995,"EURUSD^FG_PRICE(44833)":0.97665,"GBPUSD^FG_PRICE(44827)":1.0903,"GBPUSD^FG_PRICE(44820)":1.1432999,"EURUSD^FG_PRICE(44815)":1.0042499,"EURUSD^FG_PRICE(44808)":1.00275,"EURUSD^FG_PRICE(44801)":1.00165,"GBPUSD^FG_PRICE(44795)":1.17905,"GBPUSD^FG_PRICE(44788)":1.208,"EURUSD^FG_PRICE(44783)":1.03555,"EURUSD^FG_PRICE(44776)":1.01305,"EURUSD^FG_PRICE(44769)":1.01205,"GBPUSD^FG_PRICE(44763)":1.1949,"GBPUSD^FG_PRICE(44756)":1.1784,"EURUSD^FG_PRICE(44751)":1.0173501,"EURUSD^FG_PRICE(44744)":1.03915,"EURUSD^FG_PRICE(44737)":1.05445,"GBPUSD^FG_PRICE(44731)":1.21805,"GBPUSD^FG_PRICE(44724)":1.2342,"EURUSD^FG_PRICE(44719)":1.07055,"EURUSD^FG_PRICE(44712)":1.07125,"EURUSD^FG_PRICE(44705)":1.0726501,"GBPUSD^FG_PRICE(44699)":1.2412499,"GBPUSD^FG_PRICE(44692)":1.234,"EURUSD^FG_PRICE(44687)":1.0583,"EURUSD^FG_PRICE(44680)":1.05495,"EURUSD^FG_PRICE(44673)":1.0775499,"GBPUSD^FG_PRICE(44667)":1.3045499,"GBPUSD^FG_PRICE(44660)":1.30085,"EURUSD^FG_PRICE(44655)":1.09965,"EURUSD^FG_PRICE(44648)":1.0969499,"EURUSD^FG_PRICE(44641)":1.10495,"GBPUSD^FG_PRICE(44635)":1.3067,"GBPUSD^FG_PRICE(44628)":1.31105,"EURUSD^FG_PRICE(44623)":1.10625,"EURUSD^FG_PRICE(44616)":1.1114,"EURUSD^FG_PRICE(44609)":1.13685,"GBPUSD^FG_PRICE(44603)":1.3603,"GBPUSD^FG_PRICE(44596)":1.35315,"EURUSD^FG_PRICE(44591)":1.1165501,"EURUSD^FG_PRICE(44584)":1.1347001,"EURUSD^FG_PRICE(44577)":1.14335,"GBPUSD^FG_PRICE(44571)":1.3561499,"GBPUSD^FG_PRICE(44564)":1.3447499,"EURUSD^FG_PRICE(44559)":1.1350499,"EURUSD^FG_PRICE(44552)":1.13235,"EURUSD^FG_PRICE(44545)":1.12515,"GBPUSD^FG_PRICE(44539)":1.32075,"GBPUSD^FG_PRICE(44532)":1.33075,"EURUSD^FG_PRICE(44527)":1.1315501,"EURUSD^FG_PRICE(44520)":1.13175,"EURUSD^FG_PRICE(44513)":1.1444501,"GBPUSD^FG_PRICE(44507)":1.349,"GBPUSD^FG_PRICE(44500)":1.37075,"EURUSD^FG_PRICE(44495)":1.1594,"EURUSD^FG_PRICE(44488)":1.1644499,"EURUSD^FG_PRICE(44481)":1.1549,"GBPUSD^FG_PRICE(44475)":1.3568,"GBPUSD^FG_PRICE(44468)":1.3425,"EURUSD^FG_PRICE(44463)":1.17135,"EURUSD^FG_PRICE(44456)":1.1737,"EURUSD^FG_PRICE(44449)":1.18345,"GBPUSD^FG_PRICE(44443)":1.3872,"GBPUSD^FG_PRICE(44436)":1.3743501,"EURUSD^FG_PRICE(44431)":1.174,"EURUSD^FG_PRICE(44424)":1.1788499,"EURUSD^FG_PRICE(44417)":1.17445,"GBPUSD^FG_PRICE(44411)":1.3894501,"GBPUSD^FG_PRICE(44404)":1.38825,"EURUSD^FG_PRICE(44399)":1.17925,"EURUSD^FG_PRICE(44392)":1.18185,"EURUSD^FG_PRICE(44385)":1.18545,"GBPUSD^FG_PRICE(44379)":1.37835,"GBPUSD^FG_PRICE(44372)":1.3914,"EURUSD^FG_PRICE(44367)":1.1856,"EURUSD^FG_PRICE(44360)":1.21105,"EURUSD^FG_PRICE(44353)":1.21635,"GBPUSD^FG_PRICE(44347)":1.4215001,"GBPUSD^FG_PRICE(44340)":1.4158499,"EURUSD^FG_PRICE(44335)":1.22155,"EURUSD^FG_PRICE(44328)":1.2076,"EURUSD^FG_PRICE(44321)":1.2005,"GBPUSD^FG_PRICE(44315)":1.3945999,"GBPUSD^FG_PRICE(44308)":1.3845501,"EURUSD^FG_PRICE(44303)":1.19795,"EURUSD^FG_PRICE(44296)":1.18895,"EURUSD^FG_PRICE(44289)":1.1760552,"GBPUSD^FG_PRICE(44283)":1.37915,"GBPUSD^FG_PRICE(44276)":1.38715,"EURUSD^FG_PRICE(44271)":1.18945,"EURUSD^FG_PRICE(44264)":1.1883501,"EURUSD^FG_PRICE(44257)":1.20625,"GBPUSD^FG_PRICE(44251)":1.4097999,"GBPUSD^FG_PRICE(44244)":1.38545,"EURUSD^FG_PRICE(44239)":1.21185,"EURUSD^FG_PRICE(44232)":1.2025499,"EURUSD^FG_PRICE(44225)":1.2149,"GBPUSD^FG_PRICE(44219)":1.36715,"GBPUSD^FG_PRICE(44212)":1.3580999,"EURUSD^FG_PRICE(44207)":1.21505,"EURUSD^FG_PRICE(44200)":1.2272,"EURUSD^FG_PRICE(44193)":1.2214501,"GBPUSD^FG_PRICE(44187)":1.3317,"GBPUSD^FG_PRICE(44180)":1.33995,"EURUSD^FG_PRICE(44175)":1.21295,"EURUSD^FG_PRICE(44168)":1.216,"EURUSD^FG_PRICE(44161)":1.1902,"GBPUSD^FG_PRICE(44155)":1.3287001,"GBPUSD^FG_PRICE(44148)":1.3161,"EURUSD^FG_PRICE(44143)":1.1874499,"EURUSD^FG_PRICE(44136)":1.16485,"EURUSD^FG_PRICE(44129)":1.18355,"GBPUSD^FG_PRICE(44123)":1.29985,"GBPUSD^FG_PRICE(44116)":1.30665,"EURUSD^FG_PRICE(44111)":1.17615,"EURUSD^FG_PRICE(44104)":1.17265,"EURUSD^FG_PRICE(44097)":1.16735,"GBPUSD^FG_PRICE(44091)":1.2949,"GBPUSD^FG_PRICE(44084)":1.2865,"EURUSD^FG_PRICE(44079)":1.17975,"EURUSD^FG_PRICE(44072)":1.1898,"EURUSD^FG_PRICE(44065)":1.17795,"GBPUSD^FG_PRICE(44059)":1.3109001,"GBPUSD^FG_PRICE(44052)":1.3051,"EURUSD^FG_PRICE(44047)":1.17555,"EURUSD^FG_PRICE(44040)":1.17285,"EURUSD^FG_PRICE(44033)":1.1488,"GBPUSD^FG_PRICE(44027)":1.2622,"GBPUSD^FG_PRICE(44832)":1.07465,"EURUSD^FG_PRICE(44827)":0.97054994,"EURUSD^FG_PRICE(44820)":1.00305,"EURUSD^FG_PRICE(44813)":1.0042499,"GBPUSD^FG_PRICE(44807)":1.15835,"GBPUSD^FG_PRICE(44800)":1.17915,"EURUSD^FG_PRICE(44795)":0.99665004,"EURUSD^FG_PRICE(44788)":1.01945,"EURUSD^FG_PRICE(44781)":1.02175,"GBPUSD^FG_PRICE(44775)":1.2219,"GBPUSD^FG_PRICE(44768)":1.2047,"EURUSD^FG_PRICE(44763)":1.0192,"EURUSD^FG_PRICE(44756)":0.99965,"EURUSD^FG_PRICE(44749)":1.017,"GBPUSD^FG_PRICE(44743)":1.2005501,"GBPUSD^FG_PRICE(44736)":1.2290001,"EURUSD^FG_PRICE(44731)":1.04575,"EURUSD^FG_PRICE(44724)":1.05305,"EURUSD^FG_PRICE(44717)":1.0722,"GBPUSD^FG_PRICE(44711)":1.26455,"GBPUSD^FG_PRICE(44704)":1.2573,"EURUSD^FG_PRICE(44699)":1.05125,"EURUSD^FG_PRICE(44692)":1.05465,"EURUSD^FG_PRICE(44685)":1.05485,"GBPUSD^FG_PRICE(44679)":1.2439499999999999,"GBPUSD^FG_PRICE(44672)":1.3031,"EURUSD^FG_PRICE(44667)":1.0776061,"EURUSD^FG_PRICE(44660)":1.08735,"EURUSD^FG_PRICE(44653)":1.10365,"GBPUSD^FG_PRICE(44647)":1.3192999,"GBPUSD^FG_PRICE(44640)":1.31695,"EURUSD^FG_PRICE(44635)":1.09735,"EURUSD^FG_PRICE(44628)":1.0877501,"EURUSD^FG_PRICE(44621)":1.11415,"GBPUSD^FG_PRICE(44615)":1.3558999,"GBPUSD^FG_PRICE(44608)":1.3579,"EURUSD^FG_PRICE(44603)":1.14035,"EURUSD^FG_PRICE(44596)":1.1443,"EURUSD^FG_PRICE(44589)":1.1165501,"GBPUSD^FG_PRICE(44583)":1.3554499,"GBPUSD^FG_PRICE(44576)":1.36835,"EURUSD^FG_PRICE(44571)":1.13195,"EURUSD^FG_PRICE(44564)":1.1292,"EURUSD^FG_PRICE(44557)":1.1319,"GBPUSD^FG_PRICE(44551)":1.32325,"GBPUSD^FG_PRICE(44544)":1.3235,"EURUSD^FG_PRICE(44539)":1.1285499,"EURUSD^FG_PRICE(44532)":1.13175,"EURUSD^FG_PRICE(44525)":1.121,"GBPUSD^FG_PRICE(44519)":1.3459,"GBPUSD^FG_PRICE(44512)":1.3395,"EURUSD^FG_PRICE(44507)":1.15545,"EURUSD^FG_PRICE(44500)":1.15725,"EURUSD^FG_PRICE(44493)":1.16465,"GBPUSD^FG_PRICE(44487)":1.372,"GBPUSD^FG_PRICE(44480)":1.3626499,"EURUSD^FG_PRICE(44475)":1.1542499,"EURUSD^FG_PRICE(44468)":1.16155,"EURUSD^FG_PRICE(44461)":1.17335,"GBPUSD^FG_PRICE(44455)":1.377,"GBPUSD^FG_PRICE(44448)":1.3845501,"EURUSD^FG_PRICE(44443)":1.1881,"EURUSD^FG_PRICE(44436)":1.1786001,"EURUSD^FG_PRICE(44429)":1.16795,"GBPUSD^FG_PRICE(44423)":1.3853999,"GBPUSD^FG_PRICE(44416)":1.38655,"EURUSD^FG_PRICE(44411)":1.18595,"EURUSD^FG_PRICE(44404)":1.18255,"EURUSD^FG_PRICE(44397)":1.17625,"GBPUSD^FG_PRICE(44391)":1.3865999,"GBPUSD^FG_PRICE(44384)":1.37775,"EURUSD^FG_PRICE(44379)":1.1843001,"EURUSD^FG_PRICE(44372)":1.1951,"EURUSD^FG_PRICE(44365)":1.1856,"GBPUSD^FG_PRICE(44359)":1.41245,"GBPUSD^FG_PRICE(44352)":1.4172,"EURUSD^FG_PRICE(44347)":1.22265,"EURUSD^FG_PRICE(44340)":1.2219,"EURUSD^FG_PRICE(44333)":1.2145,"GBPUSD^FG_PRICE(44327)":1.41445,"GBPUSD^FG_PRICE(44320)":1.38845,"EURUSD^FG_PRICE(44315)":1.2112,"EURUSD^FG_PRICE(44308)":1.20225,"EURUSD^FG_PRICE(44301)":1.197,"GBPUSD^FG_PRICE(44295)":1.373,"GBPUSD^FG_PRICE(44288)":1.3821,"EURUSD^FG_PRICE(44283)":1.1797,"EURUSD^FG_PRICE(44276)":1.1909499,"EURUSD^FG_PRICE(44269)":1.1938,"GBPUSD^FG_PRICE(44263)":1.3813,"GBPUSD^FG_PRICE(44256)":1.3937999,"EURUSD^FG_PRICE(44251)":1.21225,"EURUSD^FG_PRICE(44244)":1.20325,"EURUSD^FG_PRICE(44237)":1.21305,"GBPUSD^FG_PRICE(44231)":1.3657,"GBPUSD^FG_PRICE(44224)":1.372,"EURUSD^FG_PRICE(44219)":1.21725,"EURUSD^FG_PRICE(44212)":1.2092501,"EURUSD^FG_PRICE(44205)":1.2256,"GBPUSD^FG_PRICE(44199)":1.36695,"GBPUSD^FG_PRICE(44192)":1.35365,"EURUSD^FG_PRICE(44187)":1.21685,"EURUSD^FG_PRICE(44180)":1.21525,"EURUSD^FG_PRICE(44173)":1.2113501,"GBPUSD^FG_PRICE(44167)":1.3325,"GBPUSD^FG_PRICE(44160)":1.3381001,"EURUSD^FG_PRICE(44155)":1.1854,"EURUSD^FG_PRICE(44148)":1.182,"EURUSD^FG_PRICE(44141)":1.1874499,"GBPUSD^FG_PRICE(44135)":1.293,"GBPUSD^FG_PRICE(44128)":1.3043,"EURUSD^FG_PRICE(44123)":1.1783,"EURUSD^FG_PRICE(44832)":0.96305007,"EURUSD^FG_PRICE(44825)":0.98785,"GBPUSD^FG_PRICE(44819)":1.1491,"GBPUSD^FG_PRICE(44812)":1.1489,"EURUSD^FG_PRICE(44807)":1.00275,"EURUSD^FG_PRICE(44800)":1.00165,"EURUSD^FG_PRICE(44793)":1.00415,"GBPUSD^FG_PRICE(44787)":1.21175,"GBPUSD^FG_PRICE(44780)":1.20595,"EURUSD^FG_PRICE(44775)":1.01995,"EURUSD^FG_PRICE(44768)":1.01335,"EURUSD^FG_PRICE(44761)":1.02475,"GBPUSD^FG_PRICE(44755)":1.19485,"GBPUSD^FG_PRICE(44748)":1.191,"EURUSD^FG_PRICE(44743)":1.03915,"EURUSD^FG_PRICE(44736)":1.05445,"EURUSD^FG_PRICE(44729)":1.04575,"GBPUSD^FG_PRICE(44723)":1.2342,"GBPUSD^FG_PRICE(44716)":1.2522,"EURUSD^FG_PRICE(44711)":1.07795,"EURUSD^FG_PRICE(44704)":1.0668501,"EURUSD^FG_PRICE(44697)":1.0404,"GBPUSD^FG_PRICE(44691)":1.2313,"GBPUSD^FG_PRICE(44684)":1.2511,"EURUSD^FG_PRICE(44679)":1.0516499,"EURUSD^FG_PRICE(44672)":1.08445,"EURUSD^FG_PRICE(44665)":1.07765,"GBPUSD^FG_PRICE(44659)":1.30085,"GBPUSD^FG_PRICE(44652)":1.31075,"EURUSD^FG_PRICE(44647)":1.0984501,"EURUSD^FG_PRICE(44640)":1.10485,"EURUSD^FG_PRICE(44633)":1.09665,"GBPUSD^FG_PRICE(44627)":1.31355,"GBPUSD^FG_PRICE(44620)":1.3417499,"EURUSD^FG_PRICE(44615)":1.13245,"EURUSD^FG_PRICE(44608)":1.13645,"EURUSD^FG_PRICE(44601)":1.1428499,"GBPUSD^FG_PRICE(44595)":1.3611001,"GBPUSD^FG_PRICE(44588)":1.3392,"EURUSD^FG_PRICE(44583)":1.1347001,"EURUSD^FG_PRICE(44576)":1.14335,"EURUSD^FG_PRICE(44569)":1.1348001,"GBPUSD^FG_PRICE(44563)":1.35445,"GBPUSD^FG_PRICE(44556)":1.3411499,"EURUSD^FG_PRICE(44551)":1.12625,"EURUSD^FG_PRICE(44544)":1.12735,"EURUSD^FG_PRICE(44537)":1.1247,"GBPUSD^FG_PRICE(44531)":1.33175,"GBPUSD^FG_PRICE(44524)":1.333,"EURUSD^FG_PRICE(44519)":1.13175,"EURUSD^FG_PRICE(44512)":1.1444501,"EURUSD^FG_PRICE(44505)":1.15545,"GBPUSD^FG_PRICE(44499)":1.37075,"GBPUSD^FG_PRICE(44492)":1.37725,"EURUSD^FG_PRICE(44487)":1.16015,"EURUSD^FG_PRICE(44480)":1.15725,"EURUSD^FG_PRICE(44473)":1.1624,"GBPUSD^FG_PRICE(44467)":1.3535,"GBPUSD^FG_PRICE(44460)":1.3643,"EURUSD^FG_PRICE(44455)":1.17635,"EURUSD^FG_PRICE(44448)":1.1817499,"EURUSD^FG_PRICE(44441)":1.1867499,"GBPUSD^FG_PRICE(44435)":1.3743501,"GBPUSD^FG_PRICE(44428)":1.3615,"EURUSD^FG_PRICE(44423)":1.1793,"EURUSD^FG_PRICE(44416)":1.176,"EURUSD^FG_PRICE(44409)":1.1858001,"GBPUSD^FG_PRICE(44403)":1.3822,"GBPUSD^FG_PRICE(44396)":1.367,"EURUSD^FG_PRICE(44391)":1.1819,"EURUSD^FG_PRICE(44384)":1.17995,"EURUSD^FG_PRICE(44377)":1.1859001,"GBPUSD^FG_PRICE(44371)":1.3895,"GBPUSD^FG_PRICE(44364)":1.3951,"EURUSD^FG_PRICE(44359)":1.21105,"EURUSD^FG_PRICE(44352)":1.21635,"EURUSD^FG_PRICE(44345)":1.21815,"GBPUSD^FG_PRICE(44339)":1.4160999,"GBPUSD^FG_PRICE(44332)":1.4088,"EURUSD^FG_PRICE(44327)":1.21615,"EURUSD^FG_PRICE(44320)":1.2032,"EURUSD^FG_PRICE(44313)":1.20815,"GBPUSD^FG_PRICE(44307)":1.3929499,"GBPUSD^FG_PRICE(44300)":1.37795,"EURUSD^FG_PRICE(44295)":1.18895,"EURUSD^FG_PRICE(44288)":1.1760552,"EURUSD^FG_PRICE(44281)":1.1797,"GBPUSD^FG_PRICE(44275)":1.38715,"GBPUSD^FG_PRICE(44268)":1.3895,"EURUSD^FG_PRICE(44263)":1.1858001,"EURUSD^FG_PRICE(44256)":1.20515,"EURUSD^FG_PRICE(44249)":1.21375,"GBPUSD^FG_PRICE(44243)":1.3928,"GBPUSD^FG_PRICE(44236)":1.3795999,"EURUSD^FG_PRICE(44231)":1.19785,"EURUSD^FG_PRICE(44224)":1.21225,"EURUSD^FG_PRICE(44217)":1.21505,"GBPUSD^FG_PRICE(44211)":1.3580999,"GBPUSD^FG_PRICE(44204)":1.3593,"EURUSD^FG_PRICE(44199)":1.22355,"EURUSD^FG_PRICE(44192)":1.218352,"EURUSD^FG_PRICE(44185)":1.22345,"GBPUSD^FG_PRICE(44179)":1.33165,"GBPUSD^FG_PRICE(44172)":1.3317,"EURUSD^FG_PRICE(44167)":1.2077999,"EURUSD^FG_PRICE(44160)":1.19005,"EURUSD^FG_PRICE(44153)":1.1876,"GBPUSD^FG_PRICE(44147)":1.3131,"GBPUSD^FG_PRICE(44140)":1.3111,"EURUSD^FG_PRICE(44135)":1.16485,"EURUSD^FG_PRICE(44128)":1.18355,"EURUSD^FG_PRICE(44121)":1.1719999,"GBPUSD^FG_PRICE(44115)":1.2997999,"GBPUSD^FG_PRICE(44108)":1.29345,"EURUSD^FG_PRICE(44831)":0.9621,"EURUSD^FG_PRICE(44824)":0.99945,"EURUSD^FG_PRICE(44817)":1.00155,"GBPUSD^FG_PRICE(44811)":1.1466,"GBPUSD^FG_PRICE(44804)":1.1636,"EURUSD^FG_PRICE(44799)":1.00165,"EURUSD^FG_PRICE(44792)":1.00415,"EURUSD^FG_PRICE(44785)":1.0244501,"GBPUSD^FG_PRICE(44779)":1.20595,"GBPUSD^FG_PRICE(44772)":1.2169,"EURUSD^FG_PRICE(44767)":1.02175,"EURUSD^FG_PRICE(44760)":1.01955,"EURUSD^FG_PRICE(44753)":1.00835,"GBPUSD^FG_PRICE(44747)":1.19145,"GBPUSD^FG_PRICE(44740)":1.2199,"EURUSD^FG_PRICE(44735)":1.05285,"EURUSD^FG_PRICE(44728)":1.0496,"EURUSD^FG_PRICE(44721)":1.06505,"GBPUSD^FG_PRICE(44715)":1.2522,"GBPUSD^FG_PRICE(44708)":1.26145,"EURUSD^FG_PRICE(44703)":1.0558,"EURUSD^FG_PRICE(44696)":1.03945,"EURUSD^FG_PRICE(44689)":1.0583,"GBPUSD^FG_PRICE(44683)":1.25205,"GBPUSD^FG_PRICE(44676)":1.27135,"EURUSD^FG_PRICE(44671)":1.08655,"EURUSD^FG_PRICE(44664)":1.0847499,"EURUSD^FG_PRICE(44657)":1.09195,"GBPUSD^FG_PRICE(44651)":1.3166499,"GBPUSD^FG_PRICE(44644)":1.3184,"EURUSD^FG_PRICE(44639)":1.10485,"EURUSD^FG_PRICE(44632)":1.09665,"EURUSD^FG_PRICE(44625)":1.09195,"GBPUSD^FG_PRICE(44619)":1.3417499,"GBPUSD^FG_PRICE(44612)":1.35835,"EURUSD^FG_PRICE(44607)":1.1356499,"EURUSD^FG_PRICE(44600)":1.1420001,"EURUSD^FG_PRICE(44593)":1.1249,"GBPUSD^FG_PRICE(44587)":1.35105,"GBPUSD^FG_PRICE(44580)":1.3629,"EURUSD^FG_PRICE(44575)":1.14335,"EURUSD^FG_PRICE(44568)":1.1348001,"EURUSD^FG_PRICE(44561)":1.1372,"GBPUSD^FG_PRICE(44555)":1.3411499,"GBPUSD^FG_PRICE(44548)":1.3264,"EURUSD^FG_PRICE(44543)":1.12755,"EURUSD^FG_PRICE(44536)":1.12705,"EURUSD^FG_PRICE(44529)":1.12685,"GBPUSD^FG_PRICE(44523)":1.3369,"GBPUSD^FG_PRICE(44516)":1.3420501,"EURUSD^FG_PRICE(44511)":1.1471,"EURUSD^FG_PRICE(44504)":1.15455,"EURUSD^FG_PRICE(44497)":1.16765,"GBPUSD^FG_PRICE(44491)":1.37725,"GBPUSD^FG_PRICE(44484)":1.37685,"EURUSD^FG_PRICE(44479)":1.1574,"EURUSD^FG_PRICE(44472)":1.1596501,"EURUSD^FG_PRICE(44465)":1.17135,"GBPUSD^FG_PRICE(44459)":1.367,"GBPUSD^FG_PRICE(44452)":1.3849499,"EURUSD^FG_PRICE(44447)":1.1812,"EURUSD^FG_PRICE(44440)":1.1854,"EURUSD^FG_PRICE(44433)":1.17515,"GBPUSD^FG_PRICE(44427)":1.3661,"GBPUSD^FG_PRICE(44420)":1.38345,"EURUSD^FG_PRICE(44415)":1.176,"EURUSD^FG_PRICE(44408)":1.1858001,"EURUSD^FG_PRICE(44401)":1.17615,"GBPUSD^FG_PRICE(44395)":1.37915,"GBPUSD^FG_PRICE(44388)":1.38335,"EURUSD^FG_PRICE(44383)":1.183,"EURUSD^FG_PRICE(44376)":1.1905,"EURUSD^FG_PRICE(44369)":1.1898999,"GBPUSD^FG_PRICE(44363)":1.41035,"GBPUSD^FG_PRICE(44356)":1.41255,"EURUSD^FG_PRICE(44351)":1.21635,"EURUSD^FG_PRICE(44344)":1.21815,"EURUSD^FG_PRICE(44337)":1.21885,"GBPUSD^FG_PRICE(44331)":1.4088,"GBPUSD^FG_PRICE(44324)":1.3979,"EURUSD^FG_PRICE(44319)":1.20745,"EURUSD^FG_PRICE(44312)":1.20825,"EURUSD^FG_PRICE(44305)":1.20195,"GBPUSD^FG_PRICE(44299)":1.373,"GBPUSD^FG_PRICE(44292)":1.38615,"EURUSD^FG_PRICE(44287)":1.17605,"EURUSD^FG_PRICE(44280)":1.1775501,"EURUSD^FG_PRICE(44273)":1.1925,"GBPUSD^FG_PRICE(44267)":1.3895,"GBPUSD^FG_PRICE(44260)":1.382,"EURUSD^FG_PRICE(44255)":1.2138,"EURUSD^FG_PRICE(44248)":1.2127,"EURUSD^FG_PRICE(44241)":1.21185,"GBPUSD^FG_PRICE(44235)":1.3742499,"GBPUSD^FG_PRICE(44228)":1.3662499,"EURUSD^FG_PRICE(44223)":1.2091,"EURUSD^FG_PRICE(44216)":1.2105,"EURUSD^FG_PRICE(44209)":1.21605,"GBPUSD^FG_PRICE(44203)":1.3543,"GBPUSD^FG_PRICE(44196)":1.36695,"EURUSD^FG_PRICE(44191)":1.218352,"EURUSD^FG_PRICE(44184)":1.22345,"EURUSD^FG_PRICE(44177)":1.21075,"GBPUSD^FG_PRICE(44171)":1.3473,"GBPUSD^FG_PRICE(44164)":1.3345,"EURUSD^FG_PRICE(44159)":1.18725,"EURUSD^FG_PRICE(44152)":1.18755,"EURUSD^FG_PRICE(44145)":1.18205,"GBPUSD^FG_PRICE(44139)":1.2989,"GBPUSD^FG_PRICE(44132)":1.2996,"EURUSD^FG_PRICE(44127)":1.18355,"EURUSD^FG_PRICE(44120)":1.1719999,"EURUSD^FG_PRICE(44113)":1.18145,"GBPUSD^FG_PRICE(44107)":1.29345,"GBPUSD^FG_PRICE(44100)":1.27045,"EURUSD^FG_PRICE(44095)":1.1743,"EURUSD^FG_PRICE(44088)":1.1872,"EURUSD^FG_PRICE(44081)":1.18265,"GBPUSD^FG_PRICE(44075)":1.3447499,"GBPUSD^FG_PRICE(44068)":1.31175,"EURUSD^FG_PRICE(44063)":1.18415,"EURUSD^FG_PRICE(44056)":1.1837499,"EURUSD^FG_PRICE(44049)":1.1843001,"GBPUSD^FG_PRICE(44043)":1.3125,"GBPUSD^FG_PRICE(44036)":1.2788,"EURUSD^FG_PRICE(44031)":1.1422,"EURUSD^FG_PRICE(44024)":1.13185,"EURUSD^FG_PRICE(44829)":0.97054994,"GBPUSD^FG_PRICE(44823)":1.1407,"GBPUSD^FG_PRICE(44816)":1.17055,"EURUSD^FG_PRICE(44811)":0.99485,"EURUSD^FG_PRICE(44804)":1.00555,"EURUSD^FG_PRICE(44797)":0.99920005,"GBPUSD^FG_PRICE(44791)":1.2004,"GBPUSD^FG_PRICE(44784)":1.2225,"EURUSD^FG_PRICE(44779)":1.01655,"EURUSD^FG_PRICE(44772)":1.01965,"EURUSD^FG_PRICE(44765)":1.02305,"GBPUSD^FG_PRICE(44759)":1.18505,"GBPUSD^FG_PRICE(44752)":1.2026,"EURUSD^FG_PRICE(44747)":1.0242,"EURUSD^FG_PRICE(44740)":1.05145,"EURUSD^FG_PRICE(44733)":1.05645,"GBPUSD^FG_PRICE(44727)":1.2067,"GBPUSD^FG_PRICE(44720)":1.25515,"EURUSD^FG_PRICE(44715)":1.0722,"EURUSD^FG_PRICE(44708)":1.071,"EURUSD^FG_PRICE(44701)":1.0558,"GBPUSD^FG_PRICE(44695)":1.22205,"GBPUSD^FG_PRICE(44688)":1.23525,"EURUSD^FG_PRICE(44683)":1.05235,"EURUSD^FG_PRICE(44676)":1.07075,"EURUSD^FG_PRICE(44669)":1.07935,"GBPUSD^FG_PRICE(44663)":1.30375,"GBPUSD^FG_PRICE(44656)":1.31305,"EURUSD^FG_PRICE(44651)":1.1126499,"EURUSD^FG_PRICE(44644)":1.10075,"EURUSD^FG_PRICE(44637)":1.11095,"GBPUSD^FG_PRICE(44631)":1.30865,"GBPUSD^FG_PRICE(44624)":1.3218,"EURUSD^FG_PRICE(44619)":1.12455,"EURUSD^FG_PRICE(44612)":1.13415,"EURUSD^FG_PRICE(44605)":1.14035,"GBPUSD^FG_PRICE(44599)":1.35315,"GBPUSD^FG_PRICE(44592)":1.34165,"EURUSD^FG_PRICE(44587)":1.12825,"EURUSD^FG_PRICE(44580)":1.1345,"EURUSD^FG_PRICE(44573)":1.14205,"GBPUSD^FG_PRICE(44567)":1.3528,"GBPUSD^FG_PRICE(44560)":1.34965,"EURUSD^FG_PRICE(44555)":1.1329,"EURUSD^FG_PRICE(44548)":1.12745,"EURUSD^FG_PRICE(44541)":1.13045,"GBPUSD^FG_PRICE(44535)":1.3219999,"GBPUSD^FG_PRICE(44528)":1.33365,"EURUSD^FG_PRICE(44523)":1.1263499,"EURUSD^FG_PRICE(44516)":1.1350499,"EURUSD^FG_PRICE(44509)":1.15845,"GBPUSD^FG_PRICE(44503)":1.3659999,"GBPUSD^FG_PRICE(44496)":1.3713,"EURUSD^FG_PRICE(44491)":1.16465,"EURUSD^FG_PRICE(44484)":1.16055,"EURUSD^FG_PRICE(44477)":1.1574,"GBPUSD^FG_PRICE(44471)":1.3539,"GBPUSD^FG_PRICE(44464)":1.36755,"EURUSD^FG_PRICE(44459)":1.1725,"EURUSD^FG_PRICE(44452)":1.181,"EURUSD^FG_PRICE(44445)":1.18615,"GBPUSD^FG_PRICE(44439)":1.37625,"GBPUSD^FG_PRICE(44432)":1.373,"EURUSD^FG_PRICE(44427)":1.16825,"EURUSD^FG_PRICE(44420)":1.17295,"EURUSD^FG_PRICE(44413)":1.18385,"GBPUSD^FG_PRICE(44407)":1.39035,"GBPUSD^FG_PRICE(44831)":1.0775,"GBPUSD^FG_PRICE(44815)":1.1582,"GBPUSD^FG_PRICE(44796)":1.18515,"EURUSD^FG_PRICE(44780)":1.01655,"EURUSD^FG_PRICE(44764)":1.02305,"EURUSD^FG_PRICE(44745)":1.03915,"GBPUSD^FG_PRICE(44728)":1.2275,"GBPUSD^FG_PRICE(44712)":1.2603,"EURUSD^FG_PRICE(44695)":1.03945,"EURUSD^FG_PRICE(44677)":1.06505,"EURUSD^FG_PRICE(44661)":1.08735,"GBPUSD^FG_PRICE(44643)":1.3212,"EURUSD^FG_PRICE(44627)":1.08755,"EURUSD^FG_PRICE(44611)":1.13415,"EURUSD^FG_PRICE(44592)":1.121,"GBPUSD^FG_PRICE(44575)":1.36835,"GBPUSD^FG_PRICE(44559)":1.3485999,"GBPUSD^FG_PRICE(44540)":1.3228999,"EURUSD^FG_PRICE(44524)":1.11965,"EURUSD^FG_PRICE(44508)":1.1589,"EURUSD^FG_PRICE(44489)":1.16475,"GBPUSD^FG_PRICE(44472)":1.3539,"GBPUSD^FG_PRICE(44456)":1.3747001,"EURUSD^FG_PRICE(44439)":1.18045,"EURUSD^FG_PRICE(44421)":1.1793,"EURUSD^FG_PRICE(44405)":1.17995,"GBPUSD^FG_PRICE(44392)":1.3865,"EURUSD^FG_PRICE(44380)":1.1843001,"GBPUSD^FG_PRICE(44367)":1.3806001,"EURUSD^FG_PRICE(44355)":1.21865,"EURUSD^FG_PRICE(44341)":1.22445,"GBPUSD^FG_PRICE(44328)":1.4097,"EURUSD^FG_PRICE(44316)":1.2038,"GBPUSD^FG_PRICE(44303)":1.382,"EURUSD^FG_PRICE(44291)":1.17985,"EURUSD^FG_PRICE(44277)":1.1932,"GBPUSD^FG_PRICE(44264)":1.3892499,"EURUSD^FG_PRICE(44252)":1.2224,"GBPUSD^FG_PRICE(44239)":1.38485,"EURUSD^FG_PRICE(44227)":1.2149,"EURUSD^FG_PRICE(44213)":1.2092501,"GBPUSD^FG_PRICE(44200)":1.3579501,"EURUSD^FG_PRICE(44188)":1.21865,"GBPUSD^FG_PRICE(44175)":1.32715,"EURUSD^FG_PRICE(44163)":1.19485,"EURUSD^FG_PRICE(44149)":1.182,"GBPUSD^FG_PRICE(44136)":1.293,"EURUSD^FG_PRICE(44124)":1.1830499,"EURUSD^FG_PRICE(44112)":1.17485,"EURUSD^FG_PRICE(44103)":1.1731,"EURUSD^FG_PRICE(44093)":1.186,"EURUSD^FG_PRICE(44085)":1.1831,"GBPUSD^FG_PRICE(44076)":1.3303001,"EURUSD^FG_PRICE(44068)":1.18235,"EURUSD^FG_PRICE(44060)":1.1867499,"GBPUSD^FG_PRICE(44051)":1.3051,"EURUSD^FG_PRICE(44043)":1.1825,"EURUSD^FG_PRICE(44035)":1.1595,"EURUSD^FG_PRICE(44025)":1.13685,"EURUSD^FG_PRICE(44019)":1.1285499,"EURUSD^FG_PRICE(44012)":1.12315,"EURUSD^FG_PRICE(44005)":1.13335,"GBPUSD^FG_PRICE(43999)":1.2540001,"GBPUSD^FG_PRICE(43992)":1.2754999,"EURUSD^FG_PRICE(43987)":1.13135,"EURUSD^FG_PRICE(43980)":1.11235,"EURUSD^FG_PRICE(43973)":1.08905,"GBPUSD^FG_PRICE(43967)":1.2125,"GBPUSD^FG_PRICE(43960)":1.2453,"EURUSD^FG_PRICE(43955)":1.09165,"EURUSD^FG_PRICE(43948)":1.0840499,"EURUSD^FG_PRICE(43941)":1.08815,"GBPUSD^FG_PRICE(43935)":1.2598,"GBPUSD^FG_PRICE(43928)":1.2305499,"EURUSD^FG_PRICE(43923)":1.08635,"EURUSD^FG_PRICE(43916)":1.1024,"EURUSD^FG_PRICE(43909)":1.07015,"GBPUSD^FG_PRICE(43903)":1.2401,"GBPUSD^FG_PRICE(43896)":1.30335,"EURUSD^FG_PRICE(43891)":1.0984501,"EURUSD^FG_PRICE(43884)":1.0852,"EURUSD^FG_PRICE(43877)":1.08455,"GBPUSD^FG_PRICE(43871)":1.2923499,"GBPUSD^FG_PRICE(43864)":1.30135,"EURUSD^FG_PRICE(43859)":1.0998499,"EURUSD^FG_PRICE(43852)":1.10755,"EURUSD^FG_PRICE(43845)":1.11515,"GBPUSD^FG_PRICE(43839)":1.3048,"GBPUSD^FG_PRICE(43832)":1.3187499,"GBPUSD^FG_PRICE(43827)":1.309,"EURUSD^FG_PRICE(43822)":1.10875,"GBPUSD^FG_PRICE(43817)":1.3071,"GBPUSD^FG_PRICE(43813)":1.33445,"GBPUSD^FG_PRICE(43809)":1.3169,"GBPUSD^FG_PRICE(43805)":1.31065,"GBPUSD^FG_PRICE(43801)":1.29215,"GBPUSD^FG_PRICE(43797)":1.2903,"GBPUSD^FG_PRICE(43793)":1.2830501,"GBPUSD^FG_PRICE(43789)":1.2911999,"GBPUSD^FG_PRICE(43785)":1.29035,"GBPUSD^FG_PRICE(43781)":1.2839,"GBPUSD^FG_PRICE(43777)":1.2794,"GBPUSD^FG_PRICE(43773)":1.2919,"GBPUSD^FG_PRICE(43769)":1.294,"GBPUSD^FG_PRICE(43765)":1.2836001,"GBPUSD^FG_PRICE(43761)":1.2882,"GBPUSD^FG_PRICE(43757)":1.29005,"GBPUSD^FG_PRICE(43753)":1.27775,"GBPUSD^FG_PRICE(43749)":1.2685,"GBPUSD^FG_PRICE(43745)":1.2321,"GBPUSD^FG_PRICE(43741)":1.2405001,"GBPUSD^FG_PRICE(43737)":1.2312,"GBPUSD^FG_PRICE(43733)":1.2378999,"GBPUSD^FG_PRICE(43729)":1.2503,"GBPUSD^FG_PRICE(43725)":1.24835,"GBPUSD^FG_PRICE(43721)":1.2459,"GBPUSD^FG_PRICE(43717)":1.2342999,"GBPUSD^FG_PRICE(43713)":1.23245,"GBPUSD^FG_PRICE(43709)":1.21785,"GBPUSD^FG_PRICE(43705)":1.22205,"GBPUSD^FG_PRICE(43701)":1.22745,"GBPUSD^FG_PRICE(43697)":1.2132001,"GBPUSD^FG_PRICE(43693)":1.2143,"GBPUSD^FG_PRICE(43689)":1.20845,"GBPUSD^FG_PRICE(43685)":1.2133499,"GBPUSD^FG_PRICE(43681)":1.2119,"GBPUSD^FG_PRICE(43677)":1.22445,"GBPUSD^FG_PRICE(43673)":1.2387,"GBPUSD^FG_PRICE(43669)":1.24375,"GBPUSD^FG_PRICE(43665)":1.2504001,"GBPUSD^FG_PRICE(43661)":1.2513,"GBPUSD^FG_PRICE(43657)":1.25375,"GBPUSD^FG_PRICE(43653)":1.2508,"GBPUSD^FG_PRICE(43649)":1.2563,"GBPUSD^FG_PRICE(44828)":1.0903,"EURUSD^FG_PRICE(44812)":0.99565,"EURUSD^FG_PRICE(44796)":0.99865,"EURUSD^FG_PRICE(44777)":1.02115,"GBPUSD^FG_PRICE(44760)":1.2025,"GBPUSD^FG_PRICE(44744)":1.2005501,"EURUSD^FG_PRICE(44727)":1.04105,"EURUSD^FG_PRICE(44709)":1.071,"EURUSD^FG_PRICE(44693)":1.04125,"GBPUSD^FG_PRICE(44675)":1.28425,"EURUSD^FG_PRICE(44659)":1.08735,"EURUSD^FG_PRICE(44643)":1.10015,"EURUSD^FG_PRICE(44624)":1.09195,"GBPUSD^FG_PRICE(44607)":1.35215,"GBPUSD^FG_PRICE(44591)":1.3414,"GBPUSD^FG_PRICE(44572)":1.36055,"EURUSD^FG_PRICE(44556)":1.1329,"EURUSD^FG_PRICE(44540)":1.13045,"EURUSD^FG_PRICE(44521)":1.13175,"GBPUSD^FG_PRICE(44504)":1.3492501,"GBPUSD^FG_PRICE(44488)":1.37985,"EURUSD^FG_PRICE(44471)":1.1596501,"EURUSD^FG_PRICE(44453)":1.18215,"EURUSD^FG_PRICE(44437)":1.1786001,"GBPUSD^FG_PRICE(44419)":1.38675,"EURUSD^FG_PRICE(44403)":1.1808,"EURUSD^FG_PRICE(44389)":1.1868,"GBPUSD^FG_PRICE(44376)":1.38335,"EURUSD^FG_PRICE(44364)":1.1942,"GBPUSD^FG_PRICE(44351)":1.4172,"EURUSD^FG_PRICE(44339)":1.21885,"EURUSD^FG_PRICE(44325)":1.2142,"GBPUSD^FG_PRICE(44312)":1.3892499,"EURUSD^FG_PRICE(44300)":1.19675,"GBPUSD^FG_PRICE(44287)":1.3821,"EURUSD^FG_PRICE(44275)":1.1909499,"EURUSD^FG_PRICE(44261)":1.1909,"GBPUSD^FG_PRICE(44248)":1.40135,"EURUSD^FG_PRICE(44236)":1.20975,"GBPUSD^FG_PRICE(44223)":1.3703,"EURUSD^FG_PRICE(44211)":1.2092501,"EURUSD^FG_PRICE(44197)":1.22355,"GBPUSD^FG_PRICE(44184)":1.3484,"EURUSD^FG_PRICE(44172)":1.2133499,"GBPUSD^FG_PRICE(44159)":1.3357,"EURUSD^FG_PRICE(44147)":1.1810501,"EURUSD^FG_PRICE(44133)":1.16575,"GBPUSD^FG_PRICE(44120)":1.29285,"GBPUSD^FG_PRICE(44111)":1.2899001,"EURUSD^FG_PRICE(44101)":1.1619,"GBPUSD^FG_PRICE(44092)":1.2960501,"EURUSD^FG_PRICE(44084)":1.18705,"EURUSD^FG_PRICE(44076)":1.18405,"GBPUSD^FG_PRICE(44067)":1.3069,"EURUSD^FG_PRICE(44059)":1.1829,"EURUSD^FG_PRICE(44051)":1.1788499,"EURUSD^FG_PRICE(44041)":1.1774501,"GBPUSD^FG_PRICE(44032)":1.2647,"GBPUSD^FG_PRICE(44024)":1.2660999,"EURUSD^FG_PRICE(44017)":1.1242499,"GBPUSD^FG_PRICE(44011)":1.2268,"GBPUSD^FG_PRICE(44004)":1.24465,"EURUSD^FG_PRICE(43999)":1.1222501,"EURUSD^FG_PRICE(43992)":1.1352,"EURUSD^FG_PRICE(43985)":1.12195,"GBPUSD^FG_PRICE(43979)":1.232,"GBPUSD^FG_PRICE(43972)":1.2215,"EURUSD^FG_PRICE(43967)":1.0818499,"EURUSD^FG_PRICE(43960)":1.08725,"EURUSD^FG_PRICE(43953)":1.10085,"GBPUSD^FG_PRICE(43947)":1.23375,"GBPUSD^FG_PRICE(43940)":1.2504001,"EURUSD^FG_PRICE(43935)":1.0969,"EURUSD^FG_PRICE(43928)":1.0882,"EURUSD^FG_PRICE(43921)":1.09725,"GBPUSD^FG_PRICE(43915)":1.176,"GBPUSD^FG_PRICE(43908)":1.17635,"EURUSD^FG_PRICE(43903)":1.1069,"EURUSD^FG_PRICE(43896)":1.13105,"EURUSD^FG_PRICE(43889)":1.0984501,"GBPUSD^FG_PRICE(43883)":1.2959,"GBPUSD^FG_PRICE(43876)":1.30145,"EURUSD^FG_PRICE(43871)":1.0924001,"EURUSD^FG_PRICE(43864)":1.10575,"EURUSD^FG_PRICE(43857)":1.10125,"GBPUSD^FG_PRICE(43851)":1.306,"GBPUSD^FG_PRICE(43844)":1.3009499,"EURUSD^FG_PRICE(43839)":1.11025,"EURUSD^FG_PRICE(43832)":1.1201,"EURUSD^FG_PRICE(43827)":1.1163,"GBPUSD^FG_PRICE(43821)":1.30485,"EURUSD^FG_PRICE(43817)":1.1126,"EURUSD^FG_PRICE(43813)":1.11365,"EURUSD^FG_PRICE(43809)":1.1089001,"EURUSD^FG_PRICE(43805)":1.1049,"EURUSD^FG_PRICE(43801)":1.10725,"EURUSD^FG_PRICE(43797)":1.1006501,"EURUSD^FG_PRICE(43793)":1.10335,"EURUSD^FG_PRICE(43789)":1.1066,"EURUSD^FG_PRICE(43785)":1.1052,"EURUSD^FG_PRICE(43781)":1.10125,"EURUSD^FG_PRICE(43777)":1.1021,"EURUSD^FG_PRICE(43773)":1.11555,"EURUSD^FG_PRICE(43769)":1.1156499,"EURUSD^FG_PRICE(43765)":1.1091,"EURUSD^FG_PRICE(43761)":1.1115999,"EURUSD^FG_PRICE(43757)":1.11395,"EURUSD^FG_PRICE(43753)":1.10375,"EURUSD^FG_PRICE(43749)":1.1036,"EURUSD^FG_PRICE(43745)":1.0995001,"EURUSD^FG_PRICE(43741)":1.0984501,"EURUSD^FG_PRICE(43737)":1.09475,"EURUSD^FG_PRICE(43733)":1.0957999,"EURUSD^FG_PRICE(43729)":1.10115,"EURUSD^FG_PRICE(43725)":1.10495,"EURUSD^FG_PRICE(43721)":1.1084,"EURUSD^FG_PRICE(43717)":1.1057,"EURUSD^FG_PRICE(43713)":1.10435,"EURUSD^FG_PRICE(43709)":1.10125,"EURUSD^FG_PRICE(43705)":1.10755,"EURUSD^FG_PRICE(43701)":1.11085,"EURUSD^FG_PRICE(43697)":1.1089001,"EURUSD^FG_PRICE(43693)":1.11045,"EURUSD^FG_PRICE(43689)":1.1219,"EURUSD^FG_PRICE(43685)":1.1200501,"EURUSD^FG_PRICE(43681)":1.1102,"EURUSD^FG_PRICE(43677)":1.1134,"EURUSD^FG_PRICE(43673)":1.1126499,"EURUSD^FG_PRICE(43669)":1.115,"EURUSD^FG_PRICE(43665)":1.1222,"EURUSD^FG_PRICE(43661)":1.1262,"EURUSD^FG_PRICE(43657)":1.1253,"EURUSD^FG_PRICE(43653)":1.1222501,"EURUSD^FG_PRICE(43649)":1.12815,"EURUSD^FG_PRICE(44828)":0.97054994,"EURUSD^FG_PRICE(44809)":0.99205,"GBPUSD^FG_PRICE(44792)":1.1803,"GBPUSD^FG_PRICE(44776)":1.2115,"EURUSD^FG_PRICE(44759)":1.0079501,"EURUSD^FG_PRICE(44741)":1.04785,"EURUSD^FG_PRICE(44725)":1.04225,"GBPUSD^FG_PRICE(44707)":1.2573999,"EURUSD^FG_PRICE(44691)":1.0543,"EURUSD^FG_PRICE(44675)":1.0775499,"EURUSD^FG_PRICE(44656)":1.09385,"GBPUSD^FG_PRICE(44639)":1.31695,"GBPUSD^FG_PRICE(44623)":1.33405,"GBPUSD^FG_PRICE(44604)":1.3603,"EURUSD^FG_PRICE(44588)":1.1149,"EURUSD^FG_PRICE(44572)":1.13405,"EURUSD^FG_PRICE(44553)":1.13085,"GBPUSD^FG_PRICE(44536)":1.3235999,"GBPUSD^FG_PRICE(44520)":1.3459,"EURUSD^FG_PRICE(44503)":1.15845,"EURUSD^FG_PRICE(44485)":1.16055,"EURUSD^FG_PRICE(44469)":1.15895,"GBPUSD^FG_PRICE(44451)":1.38555,"EURUSD^FG_PRICE(44435)":1.1786001,"EURUSD^FG_PRICE(44419)":1.1739,"GBPUSD^FG_PRICE(44400)":1.37515,"EURUSD^FG_PRICE(44388)":1.18645,"GBPUSD^FG_PRICE(44375)":1.38875,"EURUSD^FG_PRICE(44363)":1.2119,"EURUSD^FG_PRICE(44349)":1.22065,"GBPUSD^FG_PRICE(44336)":1.4157499,"EURUSD^FG_PRICE(44324)":1.2142,"GBPUSD^FG_PRICE(44311)":1.3838999,"EURUSD^FG_PRICE(44299)":1.1925501,"EURUSD^FG_PRICE(44285)":1.17275,"GBPUSD^FG_PRICE(44272)":1.3886,"EURUSD^FG_PRICE(44260)":1.1909,"GBPUSD^FG_PRICE(44247)":1.40135,"EURUSD^FG_PRICE(44235)":1.2047501,"EURUSD^FG_PRICE(44221)":1.2129999,"GBPUSD^FG_PRICE(44208)":1.36225,"EURUSD^FG_PRICE(44196)":1.22355,"GBPUSD^FG_PRICE(44183)":1.3484,"EURUSD^FG_PRICE(44171)":1.2141501,"EURUSD^FG_PRICE(44157)":1.1854,"GBPUSD^FG_PRICE(44144)":1.3148,"EURUSD^FG_PRICE(44132)":1.17515,"GBPUSD^FG_PRICE(44119)":1.29085,"EURUSD^FG_PRICE(44109)":1.17925,"EURUSD^FG_PRICE(44100)":1.1619,"EURUSD^FG_PRICE(44092)":1.186,"GBPUSD^FG_PRICE(44083)":1.29995,"EURUSD^FG_PRICE(44075)":1.19635,"EURUSD^FG_PRICE(44067)":1.18135,"EURUSD^FG_PRICE(44057)":1.1829,"GBPUSD^FG_PRICE(44048)":1.31425,"GBPUSD^FG_PRICE(44040)":1.2944499,"EURUSD^FG_PRICE(44032)":1.1439999,"GBPUSD^FG_PRICE(44023)":1.2660999,"GBPUSD^FG_PRICE(44016)":1.24675,"EURUSD^FG_PRICE(44011)":1.1246,"EURUSD^FG_PRICE(44004)":1.1248499,"EURUSD^FG_PRICE(43997)":1.12745,"GBPUSD^FG_PRICE(43991)":1.27225,"GBPUSD^FG_PRICE(43984)":1.2557,"EURUSD^FG_PRICE(43979)":1.1055499,"EURUSD^FG_PRICE(43972)":1.0941501,"EURUSD^FG_PRICE(43965)":1.0813501,"GBPUSD^FG_PRICE(43959)":1.2453,"GBPUSD^FG_PRICE(43952)":1.25425,"EURUSD^FG_PRICE(43947)":1.0812501,"EURUSD^FG_PRICE(43940)":1.0889,"EURUSD^FG_PRICE(43933)":1.093824,"GBPUSD^FG_PRICE(43927)":1.22555,"GBPUSD^FG_PRICE(43920)":1.2412499,"EURUSD^FG_PRICE(43915)":1.08325,"EURUSD^FG_PRICE(43908)":1.08335,"EURUSD^FG_PRICE(43901)":1.1277499,"GBPUSD^FG_PRICE(43895)":1.2922001,"GBPUSD^FG_PRICE(43888)":1.2873499,"EURUSD^FG_PRICE(43883)":1.0852,"EURUSD^FG_PRICE(43876)":1.08455,"EURUSD^FG_PRICE(43869)":1.0964,"GBPUSD^FG_PRICE(43863)":1.3182,"GBPUSD^FG_PRICE(43856)":1.3068,"EURUSD^FG_PRICE(43851)":1.1098,"EURUSD^FG_PRICE(43844)":1.11215,"EURUSD^FG_PRICE(43837)":1.11415,"GBPUSD^FG_PRICE(43831)":1.32475,"EURUSD^FG_PRICE(43826)":1.1163,"EURUSD^FG_PRICE(43821)":1.1085,"GBPUSD^FG_PRICE(43816)":1.3135,"GBPUSD^FG_PRICE(43812)":1.33445,"GBPUSD^FG_PRICE(43808)":1.3155,"GBPUSD^FG_PRICE(43804)":1.31545,"GBPUSD^FG_PRICE(43800)":1.2935,"GBPUSD^FG_PRICE(43796)":1.2877,"GBPUSD^FG_PRICE(43792)":1.2830501,"GBPUSD^FG_PRICE(43788)":1.293,"GBPUSD^FG_PRICE(43784)":1.29035,"GBPUSD^FG_PRICE(43780)":1.2874,"GBPUSD^FG_PRICE(43776)":1.2821,"GBPUSD^FG_PRICE(43772)":1.2949,"GBPUSD^FG_PRICE(43768)":1.2871,"GBPUSD^FG_PRICE(43764)":1.2836001,"GBPUSD^FG_PRICE(43760)":1.2907001,"GBPUSD^FG_PRICE(43756)":1.29005,"GBPUSD^FG_PRICE(43752)":1.25825,"GBPUSD^FG_PRICE(43748)":1.22825,"GBPUSD^FG_PRICE(43744)":1.22955,"GBPUSD^FG_PRICE(43740)":1.2304499,"GBPUSD^FG_PRICE(43736)":1.2312,"GBPUSD^FG_PRICE(43732)":1.2477001,"GBPUSD^FG_PRICE(43728)":1.2503,"GBPUSD^FG_PRICE(43724)":1.24195,"EURUSD^FG_PRICE(44823)":1.00125,"EURUSD^FG_PRICE(44805)":0.9936,"EURUSD^FG_PRICE(44789)":1.01795,"GBPUSD^FG_PRICE(44771)":1.2169,"EURUSD^FG_PRICE(44755)":1.01095,"EURUSD^FG_PRICE(44739)":1.05975,"EURUSD^FG_PRICE(44720)":1.07315,"GBPUSD^FG_PRICE(44703)":1.2467,"GBPUSD^FG_PRICE(44687)":1.23525,"GBPUSD^FG_PRICE(44668)":1.3045499,"EURUSD^FG_PRICE(44652)":1.10365,"EURUSD^FG_PRICE(44636)":1.09935,"EURUSD^FG_PRICE(44617)":1.12455,"GBPUSD^FG_PRICE(44600)":1.3554,"GBPUSD^FG_PRICE(44584)":1.3554499,"EURUSD^FG_PRICE(44567)":1.1296,"EURUSD^FG_PRICE(44549)":1.12745,"EURUSD^FG_PRICE(44533)":1.128,"GBPUSD^FG_PRICE(44515)":1.3432001,"EURUSD^FG_PRICE(44499)":1.15725,"EURUSD^FG_PRICE(44483)":1.15895,"EURUSD^FG_PRICE(44464)":1.17135,"GBPUSD^FG_PRICE(44447)":1.3736999,"GBPUSD^FG_PRICE(44431)":1.3719,"GBPUSD^FG_PRICE(44412)":1.39095,"GBPUSD^FG_PRICE(44399)":1.3757,"EURUSD^FG_PRICE(44387)":1.18645,"EURUSD^FG_PRICE(44373)":1.1951,"GBPUSD^FG_PRICE(44360)":1.41245,"EURUSD^FG_PRICE(44348)":1.2245,"GBPUSD^FG_PRICE(44335)":1.41455,"EURUSD^FG_PRICE(44323)":1.2142,"EURUSD^FG_PRICE(44309)":1.20495,"GBPUSD^FG_PRICE(44296)":1.373,"EURUSD^FG_PRICE(44284)":1.17635,"GBPUSD^FG_PRICE(44271)":1.3893,"EURUSD^FG_PRICE(44259)":1.2041,"EURUSD^FG_PRICE(44245)":1.2073001,"GBPUSD^FG_PRICE(44232)":1.37255,"EURUSD^FG_PRICE(44220)":1.21725,"GBPUSD^FG_PRICE(44207)":1.34885,"EURUSD^FG_PRICE(44195)":1.23005,"EURUSD^FG_PRICE(44181)":1.21865,"GBPUSD^FG_PRICE(44168)":1.34985,"EURUSD^FG_PRICE(44156)":1.1854,"GBPUSD^FG_PRICE(44143)":1.3144499,"EURUSD^FG_PRICE(44131)":1.1833,"EURUSD^FG_PRICE(44117)":1.1744,"EURUSD^FG_PRICE(44107)":1.17145,"EURUSD^FG_PRICE(44099)":1.1619,"EURUSD^FG_PRICE(44089)":1.18505,"GBPUSD^FG_PRICE(44080)":1.3208,"GBPUSD^FG_PRICE(44072)":1.3331001,"EURUSD^FG_PRICE(44064)":1.17795,"GBPUSD^FG_PRICE(44055)":1.3054,"GBPUSD^FG_PRICE(44047)":1.3044,"EURUSD^FG_PRICE(44039)":1.17775,"EURUSD^FG_PRICE(44029)":1.1422,"EURUSD^FG_PRICE(44021)":1.12935,"GBPUSD^FG_PRICE(44015)":1.24675,"GBPUSD^FG_PRICE(44008)":1.23175,"EURUSD^FG_PRICE(44003)":1.11835,"EURUSD^FG_PRICE(43996)":1.12465,"EURUSD^FG_PRICE(43989)":1.13135,"GBPUSD^FG_PRICE(43983)":1.2483001,"GBPUSD^FG_PRICE(43976)":1.2196,"EURUSD^FG_PRICE(43971)":1.09925,"EURUSD^FG_PRICE(43964)":1.0839,"EURUSD^FG_PRICE(43957)":1.0797501,"GBPUSD^FG_PRICE(43951)":1.2613499,"GBPUSD^FG_PRICE(43944)":1.2387,"EURUSD^FG_PRICE(43939)":1.0889,"EURUSD^FG_PRICE(43932)":1.093824,"EURUSD^FG_PRICE(43925)":1.07985,"GBPUSD^FG_PRICE(43919)":1.2354,"GBPUSD^FG_PRICE(43912)":1.17435,"EURUSD^FG_PRICE(43907)":1.0972,"EURUSD^FG_PRICE(43900)":1.13445,"EURUSD^FG_PRICE(43893)":1.1178,"GBPUSD^FG_PRICE(43887)":1.29165,"GBPUSD^FG_PRICE(43880)":1.2951499,"EURUSD^FG_PRICE(43875)":1.08455,"EURUSD^FG_PRICE(43868)":1.0964,"EURUSD^FG_PRICE(43861)":1.1082,"GBPUSD^FG_PRICE(43855)":1.3068,"GBPUSD^FG_PRICE(43848)":1.3031,"EURUSD^FG_PRICE(43843)":1.1134,"EURUSD^FG_PRICE(43836)":1.11895,"EURUSD^FG_PRICE(43830)":1.1225,"GBPUSD^FG_PRICE(43824)":1.2962999,"EURUSD^FG_PRICE(43820)":1.1085,"GBPUSD^FG_PRICE(43815)":1.3335,"GBPUSD^FG_PRICE(43811)":1.31195,"GBPUSD^FG_PRICE(43807)":1.31065,"GBPUSD^FG_PRICE(43803)":1.3109001,"GBPUSD^FG_PRICE(43799)":1.2935,"GBPUSD^FG_PRICE(43795)":1.2839999,"GBPUSD^FG_PRICE(43791)":1.2830501,"GBPUSD^FG_PRICE(43787)":1.29655,"GBPUSD^FG_PRICE(43783)":1.28575,"GBPUSD^FG_PRICE(43779)":1.2794,"GBPUSD^FG_PRICE(43775)":1.2874501,"GBPUSD^FG_PRICE(43771)":1.2949,"GBPUSD^FG_PRICE(43767)":1.29005,"GBPUSD^FG_PRICE(43763)":1.2836001,"GBPUSD^FG_PRICE(43759)":1.2984,"GBPUSD^FG_PRICE(43755)":1.2841,"GBPUSD^FG_PRICE(43751)":1.2685,"GBPUSD^FG_PRICE(43747)":1.22165,"GBPUSD^FG_PRICE(43743)":1.22955,"GBPUSD^FG_PRICE(43739)":1.2222999,"GBPUSD^FG_PRICE(43735)":1.2312,"GBPUSD^FG_PRICE(43731)":1.24295,"GBPUSD^FG_PRICE(43727)":1.24895,"GBPUSD^FG_PRICE(43723)":1.2459,"GBPUSD^FG_PRICE(43719)":1.2345,"GBPUSD^FG_PRICE(43715)":1.2314,"GBPUSD^FG_PRICE(43711)":1.2093999,"GBPUSD^FG_PRICE(43707)":1.21785,"GBPUSD^FG_PRICE(43703)":1.22225,"GBPUSD^FG_PRICE(43699)":1.2251999,"GBPUSD^FG_PRICE(43695)":1.2143,"GBPUSD^FG_PRICE(43691)":1.207,"GBPUSD^FG_PRICE(43687)":1.2078999,"GBPUSD^FG_PRICE(43683)":1.2169,"GBPUSD^FG_PRICE(43679)":1.2119,"GBPUSD^FG_PRICE(43675)":1.22295,"GBPUSD^FG_PRICE(43671)":1.24955,"GBPUSD^FG_PRICE(43667)":1.2504001,"GBPUSD^FG_PRICE(43663)":1.243,"GBPUSD^FG_PRICE(43659)":1.2560999,"GBPUSD^FG_PRICE(43655)":1.2465999,"GBPUSD^FG_PRICE(43651)":1.2508,"EURUSD^FG_PRICE(44821)":1.00305,"GBPUSD^FG_PRICE(44803)":1.1631,"EURUSD^FG_PRICE(44787)":1.0244501,"EURUSD^FG_PRICE(44771)":1.01965,"EURUSD^FG_PRICE(44752)":1.0173501,"GBPUSD^FG_PRICE(44735)":1.22735,"GBPUSD^FG_PRICE(44719)":1.25815,"GBPUSD^FG_PRICE(44700)":1.2491001,"EURUSD^FG_PRICE(44684)":1.0538499,"EURUSD^FG_PRICE(44668)":1.0776061,"EURUSD^FG_PRICE(44649)":1.11025,"GBPUSD^FG_PRICE(44632)":1.30865,"GBPUSD^FG_PRICE(44616)":1.3276501,"EURUSD^FG_PRICE(44599)":1.14455,"EURUSD^FG_PRICE(44581)":1.1348001,"EURUSD^FG_PRICE(44565)":1.13095,"GBPUSD^FG_PRICE(44547)":1.3264,"EURUSD^FG_PRICE(44531)":1.1334,"EURUSD^FG_PRICE(44515)":1.14205,"EURUSD^FG_PRICE(44496)":1.1596,"GBPUSD^FG_PRICE(44479)":1.36375,"GBPUSD^FG_PRICE(44463)":1.36755,"GBPUSD^FG_PRICE(44444)":1.3872,"EURUSD^FG_PRICE(44428)":1.16795,"EURUSD^FG_PRICE(44412)":1.1846,"EURUSD^FG_PRICE(44396)":1.18055,"GBPUSD^FG_PRICE(44383)":1.3809501,"EURUSD^FG_PRICE(44371)":1.19265,"EURUSD^FG_PRICE(44357)":1.2171999,"GBPUSD^FG_PRICE(44344)":1.41785,"EURUSD^FG_PRICE(44332)":1.2133499,"GBPUSD^FG_PRICE(44319)":1.39275,"EURUSD^FG_PRICE(44307)":1.20285,"EURUSD^FG_PRICE(44293)":1.19005,"GBPUSD^FG_PRICE(44280)":1.3722,"EURUSD^FG_PRICE(44268)":1.1938,"GBPUSD^FG_PRICE(44255)":1.3981,"EURUSD^FG_PRICE(44243)":1.2119,"EURUSD^FG_PRICE(44229)":1.20285,"GBPUSD^FG_PRICE(44216)":1.36315,"EURUSD^FG_PRICE(44204)":1.2256,"GBPUSD^FG_PRICE(44191)":1.35365,"EURUSD^FG_PRICE(44179)":1.2125,"EURUSD^FG_PRICE(44165)":1.1962,"GBPUSD^FG_PRICE(44152)":1.3259,"EURUSD^FG_PRICE(44140)":1.18265,"GBPUSD^FG_PRICE(44127)":1.3043,"EURUSD^FG_PRICE(44116)":1.18125,"EURUSD^FG_PRICE(44105)":1.17355,"GBPUSD^FG_PRICE(44096)":1.2724,"GBPUSD^FG_PRICE(44088)":1.2882,"EURUSD^FG_PRICE(44080)":1.17975,"GBPUSD^FG_PRICE(44071)":1.3331001,"GBPUSD^FG_PRICE(44063)":1.3139,"EURUSD^FG_PRICE(44055)":1.18045,"EURUSD^FG_PRICE(44045)":1.1825,"EURUSD^FG_PRICE(44037)":1.16245,"GBPUSD^FG_PRICE(44028)":1.2601,"GBPUSD^FG_PRICE(44020)":1.2594,"EURUSD^FG_PRICE(44015)":1.1242499,"EURUSD^FG_PRICE(44008)":1.1201999,"EURUSD^FG_PRICE(44001)":1.11835,"GBPUSD^FG_PRICE(43995)":1.2540001,"GBPUSD^FG_PRICE(43988)":1.27255,"EURUSD^FG_PRICE(43983)":1.11375,"EURUSD^FG_PRICE(43976)":1.08935,"EURUSD^FG_PRICE(43969)":1.08575,"GBPUSD^FG_PRICE(43963)":1.2331,"GBPUSD^FG_PRICE(43956)":1.2455,"EURUSD^FG_PRICE(43951)":1.0953,"EURUSD^FG_PRICE(43944)":1.0828,"EURUSD^FG_PRICE(43937)":1.0849501,"GBPUSD^FG_PRICE(43931)":1.24685,"GBPUSD^FG_PRICE(43924)":1.2258999,"EURUSD^FG_PRICE(43919)":1.1058,"EURUSD^FG_PRICE(43912)":1.0689,"EURUSD^FG_PRICE(43905)":1.1069,"GBPUSD^FG_PRICE(43899)":1.3103,"GBPUSD^FG_PRICE(43892)":1.2746,"EURUSD^FG_PRICE(43887)":1.08655,"EURUSD^FG_PRICE(43880)":1.07925,"EURUSD^FG_PRICE(43873)":1.08955,"GBPUSD^FG_PRICE(43867)":1.293,"GBPUSD^FG_PRICE(43860)":1.31015,"EURUSD^FG_PRICE(43855)":1.1025001,"EURUSD^FG_PRICE(43848)":1.1095,"EURUSD^FG_PRICE(43841)":1.1113499,"GBPUSD^FG_PRICE(43835)":1.3071,"EURUSD^FG_PRICE(43829)":1.12035,"EURUSD^FG_PRICE(43824)":1.1089913,"GBPUSD^FG_PRICE(43819)":1.30485,"EURUSD^FG_PRICE(43815)":1.11375,"EURUSD^FG_PRICE(43811)":1.11175,"EURUSD^FG_PRICE(43807)":1.1049,"EURUSD^FG_PRICE(43803)":1.10875,"EURUSD^FG_PRICE(43799)":1.1026,"EURUSD^FG_PRICE(43795)":1.10145,"EURUSD^FG_PRICE(43791)":1.10335,"EURUSD^FG_PRICE(43787)":1.1081,"EURUSD^FG_PRICE(43783)":1.10015,"EURUSD^FG_PRICE(43779)":1.1021,"EURUSD^FG_PRICE(43775)":1.1074,"EURUSD^FG_PRICE(43771)":1.11695,"EURUSD^FG_PRICE(43767)":1.1115501,"EURUSD^FG_PRICE(43763)":1.1091,"EURUSD^FG_PRICE(43759)":1.11465,"EURUSD^FG_PRICE(43755)":1.1115999,"EURUSD^FG_PRICE(43751)":1.1036,"EURUSD^FG_PRICE(43747)":1.098,"EURUSD^FG_PRICE(43743)":1.09795,"EURUSD^FG_PRICE(43739)":1.09175,"EURUSD^FG_PRICE(43735)":1.09475,"EURUSD^FG_PRICE(43731)":1.09955,"EURUSD^FG_PRICE(43727)":1.10565,"EURUSD^FG_PRICE(43723)":1.1084,"EURUSD^FG_PRICE(43719)":1.0997,"EURUSD^FG_PRICE(43715)":1.10475,"EURUSD^FG_PRICE(43711)":1.0962499,"EURUSD^FG_PRICE(43707)":1.10125,"EURUSD^FG_PRICE(43703)":1.1113499,"EURUSD^FG_PRICE(43699)":1.10805,"EURUSD^FG_PRICE(43695)":1.11045,"EURUSD^FG_PRICE(43691)":1.115,"EURUSD^FG_PRICE(43687)":1.12015,"EURUSD^FG_PRICE(43683)":1.11865,"EURUSD^FG_PRICE(43679)":1.1102,"EURUSD^FG_PRICE(43675)":1.11315,"GBPUSD^FG_PRICE(44824)":1.14135,"GBPUSD^FG_PRICE(44783)":1.2262499,"GBPUSD^FG_PRICE(44732)":1.22555,"EURUSD^FG_PRICE(44688)":1.0583,"EURUSD^FG_PRICE(44645)":1.0984501,"EURUSD^FG_PRICE(44597)":1.1443,"GBPUSD^FG_PRICE(44552)":1.3346499,"GBPUSD^FG_PRICE(44508)":1.3562499,"EURUSD^FG_PRICE(44460)":1.1724501,"GBPUSD^FG_PRICE(44415)":1.38655,"GBPUSD^FG_PRICE(44380)":1.37835,"GBPUSD^FG_PRICE(44343)":1.41915,"EURUSD^FG_PRICE(44311)":1.20495,"EURUSD^FG_PRICE(44279)":1.1830499,"GBPUSD^FG_PRICE(44240)":1.38485,"EURUSD^FG_PRICE(44208)":1.21585,"EURUSD^FG_PRICE(44176)":1.21075,"EURUSD^FG_PRICE(44139)":1.17085,"EURUSD^FG_PRICE(44108)":1.17145,"EURUSD^FG_PRICE(44087)":1.1831,"EURUSD^FG_PRICE(44061)":1.19205,"GBPUSD^FG_PRICE(44039)":1.2896,"GBPUSD^FG_PRICE(44019)":1.2575,"GBPUSD^FG_PRICE(44000)":1.2417,"EURUSD^FG_PRICE(43984)":1.1183,"EURUSD^FG_PRICE(43968)":1.0818499,"EURUSD^FG_PRICE(43949)":1.0832,"GBPUSD^FG_PRICE(43932)":1.24685,"GBPUSD^FG_PRICE(43916)":1.21355,"EURUSD^FG_PRICE(43899)":1.14185,"EURUSD^FG_PRICE(43881)":1.0803499,"EURUSD^FG_PRICE(43865)":1.10385,"GBPUSD^FG_PRICE(43847)":1.3031,"EURUSD^FG_PRICE(43831)":1.1224792,"EURUSD^FG_PRICE(43818)":1.11165,"GBPUSD^FG_PRICE(43806)":1.31065,"EURUSD^FG_PRICE(43796)":1.09995,"EURUSD^FG_PRICE(43786)":1.1052,"GBPUSD^FG_PRICE(43774)":1.2868,"EURUSD^FG_PRICE(43764)":1.1091,"EURUSD^FG_PRICE(43754)":1.10505,"GBPUSD^FG_PRICE(43742)":1.22955,"EURUSD^FG_PRICE(43732)":1.0997,"EURUSD^FG_PRICE(43722)":1.1084,"EURUSD^FG_PRICE(43714)":1.10475,"EURUSD^FG_PRICE(43706)":1.10665,"EURUSD^FG_PRICE(43698)":1.10935,"EURUSD^FG_PRICE(43690)":1.1188,"EURUSD^FG_PRICE(43682)":1.1185,"EURUSD^FG_PRICE(43674)":1.1126499,"EURUSD^FG_PRICE(43667)":1.1222,"GBPUSD^FG_PRICE(43660)":1.2560999,"GBPUSD^FG_PRICE(43654)":1.25145,"EURUSD^FG_PRICE(43648)":1.1295,"EURUSD^FG_PRICE(43644)":1.1388,"EURUSD^FG_PRICE(43640)":1.13895,"EURUSD^FG_PRICE(43636)":1.1291001,"EURUSD^FG_PRICE(43632)":1.1225,"EURUSD^FG_PRICE(43628)":1.1320499,"EURUSD^FG_PRICE(43624)":1.1337501,"EURUSD^FG_PRICE(43620)":1.1233001,"EURUSD^FG_PRICE(43616)":1.1143501,"EURUSD^FG_PRICE(43612)":1.1192,"EURUSD^FG_PRICE(43608)":1.115,"EURUSD^FG_PRICE(43604)":1.11595,"EURUSD^FG_PRICE(43600)":1.1206499,"EURUSD^FG_PRICE(43596)":1.1244,"EURUSD^FG_PRICE(43592)":1.1188,"EURUSD^FG_PRICE(43588)":1.11875,"EURUSD^FG_PRICE(43584)":1.1165999,"EURUSD^FG_PRICE(43580)":1.1144,"EURUSD^FG_PRICE(43576)":1.1243681,"EURUSD^FG_PRICE(43572)":1.13025,"EURUSD^FG_PRICE(43568)":1.1314,"EURUSD^FG_PRICE(43564)":1.1273,"EURUSD^FG_PRICE(43560)":1.1223,"EURUSD^FG_PRICE(43556)":1.1221,"EURUSD^FG_PRICE(43552)":1.1235,"EURUSD^FG_PRICE(43548)":1.1283,"EURUSD^FG_PRICE(43544)":1.1352,"EURUSD^FG_PRICE(43540)":1.1326,"EURUSD^FG_PRICE(43536)":1.12745,"EURUSD^FG_PRICE(43532)":1.12345,"EURUSD^FG_PRICE(43528)":1.1321499,"EURUSD^FG_PRICE(43524)":1.1387,"EURUSD^FG_PRICE(43520)":1.13395,"EURUSD^FG_PRICE(43516)":1.1349,"EURUSD^FG_PRICE(43512)":1.1263499,"EURUSD^FG_PRICE(43508)":1.1299499,"EURUSD^FG_PRICE(43504)":1.1328,"EURUSD^FG_PRICE(43500)":1.1428499,"EURUSD^FG_PRICE(43496)":1.14745,"EURUSD^FG_PRICE(43492)":1.1398001,"EURUSD^FG_PRICE(43488)":1.1379,"EURUSD^FG_PRICE(43484)":1.13665,"EURUSD^FG_PRICE(43480)":1.14325,"EURUSD^FG_PRICE(43476)":1.14775,"EURUSD^FG_PRICE(43472)":1.14615,"EURUSD^FG_PRICE(43468)":1.1392,"WIX-US^FE_ESTIMATE(SALES,MEAN,QTR_ROLL,2021/4F,NOW,,,'')":328.342,"GBPUSD^FG_PRICE(43479)":1.2911999,"GBPUSD^FG_PRICE(43475)":1.27775,"GBPUSD^FG_PRICE(43467)":1.2601999,"WIX-US^FE_ESTIMATE(EBITDA,MEAN,ANN_ROLL,2021,NOW,,,'')":92.73587,"EURUSD^FG_PRICE(43515)":1.13345,"EURUSD^FG_PRICE(43507)":1.1276,"EURUSD^FG_PRICE(43503)":1.1356,"EURUSD^FG_PRICE(43495)":1.14255,"EURUSD^FG_PRICE(43487)":1.1356499,"EURUSD^FG_PRICE(43479)":1.14675,"EURUSD^FG_PRICE(43475)":1.1521499,"EURUSD^FG_PRICE(43467)":1.13545,"GBPUSD^FG_PRICE(44808)":1.15835,"GBPUSD^FG_PRICE(44671)":1.30475,"GBPUSD^FG_PRICE(44579)":1.35825,"EURUSD^FG_PRICE(44492)":1.16465,"EURUSD^FG_PRICE(44400)":1.17615,"EURUSD^FG_PRICE(44368)":1.1911,"EURUSD^FG_PRICE(44297)":1.18895,"EURUSD^FG_PRICE(44228)":1.20825,"GBPUSD^FG_PRICE(44163)":1.3345,"GBPUSD^FG_PRICE(44099)":1.27045,"EURUSD^FG_PRICE(44053)":1.17665,"EURUSD^FG_PRICE(43995)":1.12465,"EURUSD^FG_PRICE(43961)":1.08725,"EURUSD^FG_PRICE(43911)":1.0689,"GBPUSD^FG_PRICE(43859)":1.3002,"EURUSD^FG_PRICE(43814)":1.11365,"EURUSD^FG_PRICE(43792)":1.10335,"EURUSD^FG_PRICE(43760)":1.1130999,"EURUSD^FG_PRICE(43728)":1.10115,"GBPUSD^FG_PRICE(43718)":1.23535,"GBPUSD^FG_PRICE(43694)":1.2143,"EURUSD^FG_PRICE(43671)":1.11585,"GBPUSD^FG_PRICE(43658)":1.2560999,"GBPUSD^FG_PRICE(43642)":1.26775,"GBPUSD^FG_PRICE(43634)":1.2542,"GBPUSD^FG_PRICE(43626)":1.269,"GBPUSD^FG_PRICE(43614)":1.26315,"GBPUSD^FG_PRICE(43602)":1.27345,"GBPUSD^FG_PRICE(43598)":1.2986499,"GBPUSD^FG_PRICE(43586)":1.30825,"GBPUSD^FG_PRICE(43574)":1.30095,"GBPUSD^FG_PRICE(43566)":1.30855,"GBPUSD^FG_PRICE(43554)":1.30305,"GBPUSD^FG_PRICE(43542)":1.3219999,"GBPUSD^FG_PRICE(43534)":1.3017,"GBPUSD^FG_PRICE(43526)":1.32435,"GBPUSD^FG_PRICE(43518)":1.3057,"GBPUSD^FG_PRICE(43506)":1.2944001,"GBPUSD^FG_PRICE(43494)":1.3146,"GBPUSD^FG_PRICE(43482)":1.2909,"GBPUSD^FG_PRICE(43474)":1.2742001,"WIX-US^FE_ESTIMATE(SALES,MEAN,QTR_ROLL,2022/3F,NOW,,,'')":345.805,"EURUSD^FG_PRICE(43497)":1.1468,"EURUSD^FG_PRICE(43481)":1.13945,"WIX-US^FE_ESTIMATE(SALES,MEAN,QTR_ROLL,2022/1F,NOW,,,'')":341.597,"EURUSD^FG_PRICE(44784)":1.0345501,"GBPUSD^FG_PRICE(44424)":1.38605,"GBPUSD^FG_PRICE(44279)":1.3721,"EURUSD^FG_PRICE(44144)":1.1824,"EURUSD^FG_PRICE(44044)":1.1825,"EURUSD^FG_PRICE(43952)":1.10085,"GBPUSD^FG_PRICE(43884)":1.2959,"EURUSD^FG_PRICE(43819)":1.1085,"EURUSD^FG_PRICE(43766)":1.1092501,"EURUSD^FG_PRICE(43734)":1.0941501,"GBPUSD^FG_PRICE(43698)":1.21305,"EURUSD^FG_PRICE(43662)":1.12235,"GBPUSD^FG_PRICE(43620)":1.2674,"GBPUSD^FG_PRICE(43592)":1.3050001,"GBPUSD^FG_PRICE(43576)":1.30095,"GBPUSD^FG_PRICE(43560)":1.3010501,"GBPUSD^FG_PRICE(43544)":1.31885,"GBPUSD^FG_PRICE(43516)":1.3064,"GBPUSD^FG_PRICE(43488)":1.3062,"GBPUSD^FG_PRICE(43468)":1.26005,"EURUSD^FG_PRICE(44819)":0.9995499,"EURUSD^FG_PRICE(44773)":1.01965,"EURUSD^FG_PRICE(44732)":1.05365,"EURUSD^FG_PRICE(44681)":1.05495,"GBPUSD^FG_PRICE(44636)":1.3096,"EURUSD^FG_PRICE(44595)":1.14175,"EURUSD^FG_PRICE(44547)":1.12745,"EURUSD^FG_PRICE(44501)":1.15905,"EURUSD^FG_PRICE(44457)":1.1737,"GBPUSD^FG_PRICE(44408)":1.39035,"EURUSD^FG_PRICE(44375)":1.19265,"EURUSD^FG_PRICE(44343)":1.22015,"GBPUSD^FG_PRICE(44304)":1.382,"EURUSD^FG_PRICE(44272)":1.1904501,"EURUSD^FG_PRICE(44240)":1.21185,"EURUSD^FG_PRICE(44203)":1.22595,"EURUSD^FG_PRICE(44169)":1.2141501,"EURUSD^FG_PRICE(44137)":1.16365,"GBPUSD^FG_PRICE(44104)":1.2928,"EURUSD^FG_PRICE(44083)":1.1809,"GBPUSD^FG_PRICE(44060)":1.3098999,"EURUSD^FG_PRICE(44036)":1.16245,"EURUSD^FG_PRICE(44016)":1.1242499,"EURUSD^FG_PRICE(44000)":1.12195,"EURUSD^FG_PRICE(43981)":1.11235,"GBPUSD^FG_PRICE(43964)":1.2226,"GBPUSD^FG_PRICE(43948)":1.24095,"EURUSD^FG_PRICE(43931)":1.093824,"EURUSD^FG_PRICE(43913)":1.07595,"EURUSD^FG_PRICE(43897)":1.13105,"GBPUSD^FG_PRICE(43879)":1.30375,"EURUSD^FG_PRICE(43863)":1.1082,"EURUSD^FG_PRICE(43847)":1.1095,"GBPUSD^FG_PRICE(43828)":1.309,"EURUSD^FG_PRICE(43816)":1.11535,"EURUSD^FG_PRICE(43806)":1.1049,"GBPUSD^FG_PRICE(43794)":1.2907001,"EURUSD^FG_PRICE(43784)":1.1052,"EURUSD^FG_PRICE(43774)":1.10745,"GBPUSD^FG_PRICE(43762)":1.28485,"EURUSD^FG_PRICE(43752)":1.10255,"EURUSD^FG_PRICE(43742)":1.09795,"GBPUSD^FG_PRICE(43730)":1.2503,"GBPUSD^FG_PRICE(43720)":1.23315,"GBPUSD^FG_PRICE(43712)":1.2193,"GBPUSD^FG_PRICE(43704)":1.22755,"GBPUSD^FG_PRICE(43696)":1.2134501,"GBPUSD^FG_PRICE(43688)":1.2078999,"GBPUSD^FG_PRICE(43680)":1.2119,"GBPUSD^FG_PRICE(43672)":1.2387,"GBPUSD^FG_PRICE(43666)":1.2504001,"EURUSD^FG_PRICE(43660)":1.12525,"EURUSD^FG_PRICE(43654)":1.12155,"GBPUSD^FG_PRICE(43647)":1.26515,"GBPUSD^FG_PRICE(43643)":1.26765,"GBPUSD^FG_PRICE(43639)":1.26955,"GBPUSD^FG_PRICE(43635)":1.26315,"GBPUSD^FG_PRICE(43631)":1.2608,"GBPUSD^FG_PRICE(43627)":1.2719,"GBPUSD^FG_PRICE(43623)":1.2757001,"GBPUSD^FG_PRICE(43619)":1.263,"GBPUSD^FG_PRICE(43615)":1.2592,"GBPUSD^FG_PRICE(43611)":1.2692,"GBPUSD^FG_PRICE(43607)":1.2659,"GBPUSD^FG_PRICE(43603)":1.27345,"GBPUSD^FG_PRICE(43599)":1.2917,"GBPUSD^FG_PRICE(43595)":1.3033,"GBPUSD^FG_PRICE(43591)":1.3092,"GBPUSD^FG_PRICE(43587)":1.30355,"GBPUSD^FG_PRICE(43583)":1.29355,"GBPUSD^FG_PRICE(43579)":1.29555,"GBPUSD^FG_PRICE(43575)":1.30095,"GBPUSD^FG_PRICE(43571)":1.3054,"GBPUSD^FG_PRICE(43567)":1.3101,"GBPUSD^FG_PRICE(43563)":1.30485,"GBPUSD^FG_PRICE(43559)":1.308,"GBPUSD^FG_PRICE(43555)":1.30305,"GBPUSD^FG_PRICE(43551)":1.3191,"GBPUSD^FG_PRICE(43547)":1.3219999,"GBPUSD^FG_PRICE(43543)":1.3263,"GBPUSD^FG_PRICE(43539)":1.3276501,"GBPUSD^FG_PRICE(43535)":1.3097,"GBPUSD^FG_PRICE(43531)":1.3118,"GBPUSD^FG_PRICE(43527)":1.32435,"GBPUSD^FG_PRICE(43523)":1.3336,"GBPUSD^FG_PRICE(43519)":1.3057,"GBPUSD^FG_PRICE(43515)":1.30315,"GBPUSD^FG_PRICE(43511)":1.28475,"GBPUSD^FG_PRICE(43507)":1.2865,"GBPUSD^FG_PRICE(43503)":1.2973,"GBPUSD^FG_PRICE(43499)":1.3093001,"GBPUSD^FG_PRICE(43495)":1.3069999,"GBPUSD^FG_PRICE(43491)":1.31695,"GBPUSD^FG_PRICE(43487)":1.2959,"GBPUSD^FG_PRICE(43483)":1.2906001,"GBPUSD^FG_PRICE(43471)":1.2720001,"EURUSD^FG_PRICE(43519)":1.13395,"EURUSD^FG_PRICE(43511)":1.1263499,"EURUSD^FG_PRICE(43499)":1.1468,"EURUSD^FG_PRICE(43491)":1.1398001,"EURUSD^FG_PRICE(43483)":1.13665,"EURUSD^FG_PRICE(43471)":1.14095,"GBPUSD^FG_PRICE(44764)":1.20415,"EURUSD^FG_PRICE(44629)":1.10455,"EURUSD^FG_PRICE(44535)":1.128,"EURUSD^FG_PRICE(44444)":1.1881,"EURUSD^FG_PRICE(44331)":1.2133499,"EURUSD^FG_PRICE(44265)":1.1896499,"GBPUSD^FG_PRICE(44195)":1.36095,"EURUSD^FG_PRICE(44077)":1.1837499,"GBPUSD^FG_PRICE(44012)":1.2356,"GBPUSD^FG_PRICE(43943)":1.2327,"EURUSD^FG_PRICE(43892)":1.11315,"EURUSD^FG_PRICE(43825)":1.1098499,"EURUSD^FG_PRICE(43782)":1.10095,"EURUSD^FG_PRICE(43750)":1.1036,"GBPUSD^FG_PRICE(43710)":1.20625,"GBPUSD^FG_PRICE(43678)":1.21495,"EURUSD^FG_PRICE(43652)":1.1222501,"GBPUSD^FG_PRICE(43638)":1.26955,"GBPUSD^FG_PRICE(43622)":1.2713,"GBPUSD^FG_PRICE(43610)":1.2692,"GBPUSD^FG_PRICE(43590)":1.3119,"GBPUSD^FG_PRICE(43578)":1.2938501,"GBPUSD^FG_PRICE(43562)":1.3010501,"GBPUSD^FG_PRICE(43546)":1.3219999,"GBPUSD^FG_PRICE(43530)":1.31515,"GBPUSD^FG_PRICE(43514)":1.29275,"GBPUSD^FG_PRICE(43502)":1.2964001,"GBPUSD^FG_PRICE(43486)":1.2893,"GBPUSD^FG_PRICE(43470)":1.2720001,"EURUSD^FG_PRICE(43513)":1.1263499,"EURUSD^FG_PRICE(43477)":1.14775,"GBPUSD^FG_PRICE(44739)":1.2303,"EURUSD^FG_PRICE(44020)":1.13275,"EURUSD^FG_PRICE(43867)":1.09775,"EURUSD^FG_PRICE(43776)":1.10445,"GBPUSD^FG_PRICE(43722)":1.2459,"GBPUSD^FG_PRICE(43674)":1.2387,"GBPUSD^FG_PRICE(43644)":1.2727,"GBPUSD^FG_PRICE(43628)":1.2724,"GBPUSD^FG_PRICE(43604)":1.27345,"GBPUSD^FG_PRICE(43580)":1.2907001,"GBPUSD^FG_PRICE(43556)":1.3145,"GBPUSD^FG_PRICE(43536)":1.30955,"GBPUSD^FG_PRICE(43520)":1.3057,"GBPUSD^FG_PRICE(43500)":1.3082999,"GBPUSD^FG_PRICE(43472)":1.2768,"EURUSD^FG_PRICE(44816)":1.0131,"GBPUSD^FG_PRICE(44767)":1.2045001,"EURUSD^FG_PRICE(44723)":1.05305,"GBPUSD^FG_PRICE(44680)":1.2555,"EURUSD^FG_PRICE(44631)":1.09665,"EURUSD^FG_PRICE(44585)":1.1309,"GBPUSD^FG_PRICE(44543)":1.32295,"GBPUSD^FG_PRICE(44495)":1.3791,"EURUSD^FG_PRICE(44451)":1.18345,"EURUSD^FG_PRICE(44407)":1.1858001,"GBPUSD^FG_PRICE(44368)":1.3904,"EURUSD^FG_PRICE(44336)":1.22155,"EURUSD^FG_PRICE(44304)":1.19795,"EURUSD^FG_PRICE(44267)":1.1938,"EURUSD^FG_PRICE(44233)":1.2025499,"EURUSD^FG_PRICE(44201)":1.22765,"EURUSD^FG_PRICE(44164)":1.19485,"GBPUSD^FG_PRICE(44131)":1.3064499999999999,"GBPUSD^FG_PRICE(44103)":1.28405,"GBPUSD^FG_PRICE(44079)":1.3208,"GBPUSD^FG_PRICE(44056)":1.30945,"GBPUSD^FG_PRICE(44035)":1.2744501,"EURUSD^FG_PRICE(44013)":1.1261001,"GBPUSD^FG_PRICE(43996)":1.2540001,"GBPUSD^FG_PRICE(43980)":1.2363,"EURUSD^FG_PRICE(43963)":1.08745,"EURUSD^FG_PRICE(43945)":1.0812501,"EURUSD^FG_PRICE(43929)":1.08635,"GBPUSD^FG_PRICE(43911)":1.17435,"EURUSD^FG_PRICE(43895)":1.1189,"EURUSD^FG_PRICE(43879)":1.0823,"EURUSD^FG_PRICE(43860)":1.1035,"GBPUSD^FG_PRICE(43843)":1.2978,"EURUSD^FG_PRICE(43828)":1.1163,"GBPUSD^FG_PRICE(43814)":1.33445,"EURUSD^FG_PRICE(43804)":1.1092501,"EURUSD^FG_PRICE(43794)":1.1012,"GBPUSD^FG_PRICE(43782)":1.2839501,"EURUSD^FG_PRICE(43772)":1.11695,"EURUSD^FG_PRICE(43762)":1.11045,"GBPUSD^FG_PRICE(43750)":1.2685,"EURUSD^FG_PRICE(43740)":1.09455,"EURUSD^FG_PRICE(43730)":1.10115,"EURUSD^FG_PRICE(43720)":1.10305,"EURUSD^FG_PRICE(43712)":1.10295,"EURUSD^FG_PRICE(43704)":1.1101,"EURUSD^FG_PRICE(43696)":1.10955,"EURUSD^FG_PRICE(43688)":1.12015,"EURUSD^FG_PRICE(43680)":1.1102,"EURUSD^FG_PRICE(43672)":1.1126499,"EURUSD^FG_PRICE(43666)":1.1222,"EURUSD^FG_PRICE(43659)":1.12525,"GBPUSD^FG_PRICE(43652)":1.2508,"EURUSD^FG_PRICE(43647)":1.13245,"EURUSD^FG_PRICE(43643)":1.13685,"EURUSD^FG_PRICE(43639)":1.1320499,"EURUSD^FG_PRICE(43635)":1.12155,"EURUSD^FG_PRICE(43631)":1.1225,"EURUSD^FG_PRICE(43627)":1.1314499,"EURUSD^FG_PRICE(43623)":1.1337501,"EURUSD^FG_PRICE(43619)":1.12015,"EURUSD^FG_PRICE(43615)":1.1126499,"EURUSD^FG_PRICE(43611)":1.1204001,"EURUSD^FG_PRICE(43607)":1.1154001,"EURUSD^FG_PRICE(43603)":1.11595,"EURUSD^FG_PRICE(43599)":1.1212,"EURUSD^FG_PRICE(43595)":1.1244,"EURUSD^FG_PRICE(43591)":1.1195,"EURUSD^FG_PRICE(43587)":1.11835,"EURUSD^FG_PRICE(43583)":1.11625,"EURUSD^FG_PRICE(43579)":1.12025,"EURUSD^FG_PRICE(43575)":1.1243681,"EURUSD^FG_PRICE(43571)":1.13,"EURUSD^FG_PRICE(43567)":1.1314,"EURUSD^FG_PRICE(43563)":1.12615,"EURUSD^FG_PRICE(43559)":1.12165,"EURUSD^FG_PRICE(43555)":1.1228501,"EURUSD^FG_PRICE(43551)":1.1252,"EURUSD^FG_PRICE(43547)":1.1283,"EURUSD^FG_PRICE(43543)":1.13465,"EURUSD^FG_PRICE(43539)":1.1326,"EURUSD^FG_PRICE(43535)":1.1223999,"EURUSD^FG_PRICE(43531)":1.12315,"EURUSD^FG_PRICE(43527)":1.13875,"EURUSD^FG_PRICE(43523)":1.13825,"WIX-US^FE_ESTIMATE(EBITDA,MEAN,QTR_ROLL,2021/4F,NOW,,,'')":-2.9668,"EURUSD^FG_PRICE(44716)":1.0722,"EURUSD^FG_PRICE(44125)":1.1874499,"GBPUSD^FG_PRICE(44031)":1.2535,"EURUSD^FG_PRICE(43977)":1.0984501,"EURUSD^FG_PRICE(43927)":1.07835,"GBPUSD^FG_PRICE(43875)":1.30145,"GBPUSD^FG_PRICE(43840)":1.30605,"GBPUSD^FG_PRICE(43802)":1.29935,"GBPUSD^FG_PRICE(43770)":1.2949,"GBPUSD^FG_PRICE(43738)":1.2323,"GBPUSD^FG_PRICE(43702)":1.22745,"GBPUSD^FG_PRICE(43686)":1.2078999,"GBPUSD^FG_PRICE(43664)":1.2484,"GBPUSD^FG_PRICE(43646)":1.2727,"GBPUSD^FG_PRICE(43630)":1.2608,"GBPUSD^FG_PRICE(43618)":1.2604,"GBPUSD^FG_PRICE(43606)":1.2784,"GBPUSD^FG_PRICE(43594)":1.3019999,"GBPUSD^FG_PRICE(43582)":1.29355,"GBPUSD^FG_PRICE(43570)":1.3115001,"GBPUSD^FG_PRICE(43558)":1.3159,"GBPUSD^FG_PRICE(43550)":1.3213,"GBPUSD^FG_PRICE(43538)":1.3283,"GBPUSD^FG_PRICE(43522)":1.3239001,"GBPUSD^FG_PRICE(43510)":1.2780501,"GBPUSD^FG_PRICE(43498)":1.3093001,"GBPUSD^FG_PRICE(43490)":1.31695,"GBPUSD^FG_PRICE(43478)":1.28225,"GBPUSD^FG_PRICE(43466)":1.2736,"EURUSD^FG_PRICE(43501)":1.141,"EURUSD^FG_PRICE(43485)":1.13665,"WIX-US^FE_ESTIMATE(SALES,MEAN,QTR_ROLL,2022/2F,NOW,,,'')":345.224,"GBPUSD^FG_PRICE(44696)":1.22205,"EURUSD^FG_PRICE(44467)":1.16735,"GBPUSD^FG_PRICE(44316)":1.3845501,"GBPUSD^FG_PRICE(44176)":1.3211,"GBPUSD^FG_PRICE(44087)":1.2783,"GBPUSD^FG_PRICE(43987)":1.27255,"EURUSD^FG_PRICE(43917)":1.1058,"EURUSD^FG_PRICE(43833)":1.1165,"GBPUSD^FG_PRICE(43786)":1.29035,"GBPUSD^FG_PRICE(43682)":1.214,"GBPUSD^FG_PRICE(43640)":1.2724999,"GBPUSD^FG_PRICE(43624)":1.2757001,"GBPUSD^FG_PRICE(43608)":1.2669001,"GBPUSD^FG_PRICE(43564)":1.3046501,"GBPUSD^FG_PRICE(43540)":1.3276501,"GBPUSD^FG_PRICE(43524)":1.3300999,"GBPUSD^FG_PRICE(43504)":1.2944001,"GBPUSD^FG_PRICE(43484)":1.2906001,"WIX-US^FE_ESTIMATE(SALES,MEAN,ANN_ROLL,2021,NOW,,,'')":1269.657,"EURUSD^FG_PRICE(44803)":0.99885,"EURUSD^FG_PRICE(44757)":1.0079501,"EURUSD^FG_PRICE(44713)":1.06675,"GBPUSD^FG_PRICE(44664)":1.30385,"EURUSD^FG_PRICE(44620)":1.1232,"EURUSD^FG_PRICE(44579)":1.1343,"EURUSD^FG_PRICE(44528)":1.1315501,"GBPUSD^FG_PRICE(44483)":1.3682001,"GBPUSD^FG_PRICE(44440)":1.3786,"EURUSD^FG_PRICE(44395)":1.1809,"EURUSD^FG_PRICE(44361)":1.21245,"EURUSD^FG_PRICE(44329)":1.2074001,"EURUSD^FG_PRICE(44292)":1.1839,"GBPUSD^FG_PRICE(44259)":1.3991001,"GBPUSD^FG_PRICE(44227)":1.3731999,"EURUSD^FG_PRICE(44189)":1.21835,"GBPUSD^FG_PRICE(44156)":1.3287001,"GBPUSD^FG_PRICE(44124)":1.29625,"EURUSD^FG_PRICE(44096)":1.17055,"EURUSD^FG_PRICE(44073)":1.1898,"EURUSD^FG_PRICE(44052)":1.1788499,"EURUSD^FG_PRICE(44028)":1.14315,"EURUSD^FG_PRICE(44009)":1.1201999,"EURUSD^FG_PRICE(43993)":1.1381,"GBPUSD^FG_PRICE(43975)":1.21895,"EURUSD^FG_PRICE(43959)":1.08725,"EURUSD^FG_PRICE(43943)":1.0827501,"EURUSD^FG_PRICE(43924)":1.07985,"GBPUSD^FG_PRICE(43907)":1.2011,"GBPUSD^FG_PRICE(43891)":1.2773,"GBPUSD^FG_PRICE(43872)":1.2944001,"EURUSD^FG_PRICE(43856)":1.1025001,"EURUSD^FG_PRICE(43840)":1.1113499,"GBPUSD^FG_PRICE(43823)":1.2962999,"EURUSD^FG_PRICE(43812)":1.11365,"EURUSD^FG_PRICE(43802)":1.10835,"GBPUSD^FG_PRICE(43790)":1.2923499,"EURUSD^FG_PRICE(43780)":1.1034501,"EURUSD^FG_PRICE(43770)":1.11695,"GBPUSD^FG_PRICE(43758)":1.29005,"EURUSD^FG_PRICE(43748)":1.10135,"EURUSD^FG_PRICE(43738)":1.0902,"GBPUSD^FG_PRICE(43726)":1.24835,"EURUSD^FG_PRICE(43718)":1.1041,"EURUSD^FG_PRICE(43710)":1.09675,"EURUSD^FG_PRICE(43702)":1.11085,"EURUSD^FG_PRICE(43694)":1.11045,"EURUSD^FG_PRICE(43686)":1.12015,"EURUSD^FG_PRICE(43678)":1.10585,"GBPUSD^FG_PRICE(43670)":1.2499499,"EURUSD^FG_PRICE(43664)":1.12185,"EURUSD^FG_PRICE(43658)":1.12525,"EURUSD^FG_PRICE(43651)":1.1222501,"EURUSD^FG_PRICE(43646)":1.1388,"EURUSD^FG_PRICE(43642)":1.13765,"EURUSD^FG_PRICE(43638)":1.1320499,"EURUSD^FG_PRICE(43634)":1.11855,"EURUSD^FG_PRICE(43630)":1.1225,"EURUSD^FG_PRICE(43626)":1.1315,"EURUSD^FG_PRICE(43622)":1.12825,"EURUSD^FG_PRICE(43618)":1.1143501,"EURUSD^FG_PRICE(43614)":1.1142501,"EURUSD^FG_PRICE(43610)":1.1204001,"EURUSD^FG_PRICE(43606)":1.11815,"EURUSD^FG_PRICE(43602)":1.11595,"EURUSD^FG_PRICE(43598)":1.1243,"EURUSD^FG_PRICE(43594)":1.1229501,"EURUSD^FG_PRICE(43590)":1.11875,"EURUSD^FG_PRICE(43586)":1.12405,"EURUSD^FG_PRICE(43582)":1.11625,"EURUSD^FG_PRICE(43578)":1.1207,"EURUSD^FG_PRICE(43574)":1.1243681,"EURUSD^FG_PRICE(43570)":1.13095,"EURUSD^FG_PRICE(43566)":1.1273,"EURUSD^FG_PRICE(43562)":1.1223,"EURUSD^FG_PRICE(43558)":1.1229501,"EURUSD^FG_PRICE(43554)":1.1228501,"EURUSD^FG_PRICE(43550)":1.12805,"EURUSD^FG_PRICE(43546)":1.1283,"EURUSD^FG_PRICE(43542)":1.1337501,"EURUSD^FG_PRICE(43538)":1.13045,"EURUSD^FG_PRICE(43534)":1.12345,"EURUSD^FG_PRICE(43530)":1.13175,"EURUSD^FG_PRICE(43526)":1.13875,"EURUSD^FG_PRICE(43522)":1.1358501,"EURUSD^FG_PRICE(43518)":1.13395,"EURUSD^FG_PRICE(43514)":1.1307,"EURUSD^FG_PRICE(43510)":1.1275,"EURUSD^FG_PRICE(43506)":1.1328,"EURUSD^FG_PRICE(43502)":1.13785,"EURUSD^FG_PRICE(43498)":1.1468,"EURUSD^FG_PRICE(43494)":1.1415,"EURUSD^FG_PRICE(43490)":1.1398001,"EURUSD^FG_PRICE(43486)":1.1365501,"EURUSD^FG_PRICE(43482)":1.1379501,"EURUSD^FG_PRICE(43478)":1.14775,"EURUSD^FG_PRICE(43474)":1.1511,"EURUSD^FG_PRICE(43470)":1.14095,"EURUSD^FG_PRICE(43466)":1.1431649,"WIX-US^FE_ESTIMATE(EBITDA,MEAN,QTR_ROLL,2022/3F,NOW,,,'')":0.645,"EURUSD^FG_PRICE(44748)":1.01945,"GBPUSD^FG_PRICE(44611)":1.35835,"EURUSD^FG_PRICE(44517)":1.1308,"EURUSD^FG_PRICE(44425)":1.17165,"GBPUSD^FG_PRICE(44355)":1.415,"GBPUSD^FG_PRICE(44284)":1.37705,"GBPUSD^FG_PRICE(44215)":1.3616,"EURUSD^FG_PRICE(44151)":1.18365,"EURUSD^FG_PRICE(44091)":1.18075,"GBPUSD^FG_PRICE(44044)":1.3125,"EURUSD^FG_PRICE(44007)":1.12135,"GBPUSD^FG_PRICE(43971)":1.227,"GBPUSD^FG_PRICE(43936)":1.24975,"EURUSD^FG_PRICE(43904)":1.1069,"GBPUSD^FG_PRICE(43868)":1.2938501,"GBPUSD^FG_PRICE(43820)":1.30485,"GBPUSD^FG_PRICE(43798)":1.2935,"EURUSD^FG_PRICE(43788)":1.10795,"GBPUSD^FG_PRICE(43766)":1.2857,"EURUSD^FG_PRICE(43746)":1.09565,"EURUSD^FG_PRICE(43724)":1.0997499,"EURUSD^FG_PRICE(43708)":1.10125,"EURUSD^FG_PRICE(43692)":1.11085,"EURUSD^FG_PRICE(43676)":1.11395,"GBPUSD^FG_PRICE(43662)":1.2418,"EURUSD^FG_PRICE(43650)":1.1281999,"EURUSD^FG_PRICE(43641)":1.13825,"EURUSD^FG_PRICE(43633)":1.1226001,"EURUSD^FG_PRICE(43625)":1.1337501,"EURUSD^FG_PRICE(43617)":1.1143501,"EURUSD^FG_PRICE(43609)":1.1204001,"EURUSD^FG_PRICE(43601)":1.1179,"EURUSD^FG_PRICE(43593)":1.1201999,"EURUSD^FG_PRICE(43585)":1.1207,"EURUSD^FG_PRICE(43577)":1.1255,"EURUSD^FG_PRICE(43569)":1.1314,"EURUSD^FG_PRICE(43561)":1.1223,"EURUSD^FG_PRICE(43553)":1.1228501,"EURUSD^FG_PRICE(43545)":1.13605,"EURUSD^FG_PRICE(43537)":1.13095,"EURUSD^FG_PRICE(43529)":1.13055,"EURUSD^FG_PRICE(43521)":1.13475,"EURUSD^FG_PRICE(43505)":1.1328,"EURUSD^FG_PRICE(43489)":1.13535,"EURUSD^FG_PRICE(43469)":1.14095,"EURUSD^FG_PRICE(44604)":1.14035,"GBPUSD^FG_PRICE(44511)":1.33895,"GBPUSD^FG_PRICE(44348)":1.4171499,"EURUSD^FG_PRICE(44215)":1.21275,"GBPUSD^FG_PRICE(44064)":1.30725,"GBPUSD^FG_PRICE(43968)":1.2125,"GBPUSD^FG_PRICE(43900)":1.2938501,"EURUSD^FG_PRICE(43808)":1.1069499,"GBPUSD^FG_PRICE(43754)":1.28045,"GBPUSD^FG_PRICE(43714)":1.2314,"GBPUSD^FG_PRICE(43690)":1.20715,"EURUSD^FG_PRICE(43655)":1.1206499,"GBPUSD^FG_PRICE(43632)":1.2608,"GBPUSD^FG_PRICE(43616)":1.2604,"GBPUSD^FG_PRICE(43600)":1.2865,"GBPUSD^FG_PRICE(43588)":1.3119,"GBPUSD^FG_PRICE(43572)":1.3049,"GBPUSD^FG_PRICE(43552)":1.3086,"GBPUSD^FG_PRICE(43528)":1.3172001,"GBPUSD^FG_PRICE(43508)":1.28835,"GBPUSD^FG_PRICE(43492)":1.31695,"GBPUSD^FG_PRICE(43480)":1.2807,"GBPUSD^FG_PRICE(44799)":1.17915,"GBPUSD^FG_PRICE(44751)":1.2026,"EURUSD^FG_PRICE(44707)":1.0717499,"EURUSD^FG_PRICE(44663)":1.08735,"EURUSD^FG_PRICE(44613)":1.1336,"GBPUSD^FG_PRICE(44568)":1.35735,"GBPUSD^FG_PRICE(44527)":1.33365,"GBPUSD^FG_PRICE(44476)":1.36225,"EURUSD^FG_PRICE(44432)":1.17605,"EURUSD^FG_PRICE(44393)":1.1809,"EURUSD^FG_PRICE(44356)":1.21855,"GBPUSD^FG_PRICE(44323)":1.3979,"GBPUSD^FG_PRICE(44291)":1.38935,"EURUSD^FG_PRICE(44253)":1.2138,"GBPUSD^FG_PRICE(44220)":1.36715,"GBPUSD^FG_PRICE(44188)":1.35215,"GBPUSD^FG_PRICE(44151)":1.3177,"EURUSD^FG_PRICE(44119)":1.16995,"GBPUSD^FG_PRICE(44095)":1.27955,"EURUSD^FG_PRICE(44071)":1.1898,"EURUSD^FG_PRICE(44048)":1.1882501,"EURUSD^FG_PRICE(44027)":1.1417999,"GBPUSD^FG_PRICE(44007)":1.2405001,"EURUSD^FG_PRICE(43991)":1.13545,"EURUSD^FG_PRICE(43975)":1.08905,"EURUSD^FG_PRICE(43956)":1.0840499,"GBPUSD^FG_PRICE(43939)":1.2504001,"GBPUSD^FG_PRICE(43923)":1.2378999,"GBPUSD^FG_PRICE(43904)":1.2401,"EURUSD^FG_PRICE(43888)":1.0986,"EURUSD^FG_PRICE(43872)":1.09155,"EURUSD^FG_PRICE(43853)":1.10455,"GBPUSD^FG_PRICE(43836)":1.316,"EURUSD^FG_PRICE(43823)":1.109,"GBPUSD^FG_PRICE(43810)":1.3177,"EURUSD^FG_PRICE(43800)":1.1026,"EURUSD^FG_PRICE(43790)":1.1076,"GBPUSD^FG_PRICE(43778)":1.2794,"EURUSD^FG_PRICE(43768)":1.1123,"EURUSD^FG_PRICE(43758)":1.11395,"GBPUSD^FG_PRICE(43746)":1.2215,"EURUSD^FG_PRICE(43736)":1.09475,"EURUSD^FG_PRICE(43726)":1.10595,"GBPUSD^FG_PRICE(43716)":1.2314,"GBPUSD^FG_PRICE(43708)":1.21785,"GBPUSD^FG_PRICE(43700)":1.22745,"GBPUSD^FG_PRICE(43692)":1.21125,"GBPUSD^FG_PRICE(43684)":1.2153,"GBPUSD^FG_PRICE(43676)":1.21525,"EURUSD^FG_PRICE(43670)":1.1143,"EURUSD^FG_PRICE(43663)":1.12255,"GBPUSD^FG_PRICE(43656)":1.2494999,"GBPUSD^FG_PRICE(43650)":1.2573999,"GBPUSD^FG_PRICE(43645)":1.2727,"GBPUSD^FG_PRICE(43641)":1.2721001,"GBPUSD^FG_PRICE(43637)":1.26955,"GBPUSD^FG_PRICE(43633)":1.25565,"GBPUSD^FG_PRICE(43629)":1.2684001,"GBPUSD^FG_PRICE(43625)":1.2757001,"GBPUSD^FG_PRICE(43621)":1.2731,"GBPUSD^FG_PRICE(43617)":1.2604,"GBPUSD^FG_PRICE(43613)":1.2674501,"GBPUSD^FG_PRICE(43609)":1.2692,"GBPUSD^FG_PRICE(43605)":1.2735,"GBPUSD^FG_PRICE(43601)":1.27915,"GBPUSD^FG_PRICE(43597)":1.3033,"GBPUSD^FG_PRICE(43593)":1.2997999,"GBPUSD^FG_PRICE(43589)":1.3119,"GBPUSD^FG_PRICE(43585)":1.30365,"GBPUSD^FG_PRICE(43581)":1.29355,"GBPUSD^FG_PRICE(43577)":1.29775,"GBPUSD^FG_PRICE(43573)":1.3009499,"GBPUSD^FG_PRICE(43569)":1.3101,"GBPUSD^FG_PRICE(43565)":1.3089,"GBPUSD^FG_PRICE(43561)":1.3010501,"GBPUSD^FG_PRICE(43557)":1.3031,"GBPUSD^FG_PRICE(43553)":1.30305,"GBPUSD^FG_PRICE(43549)":1.32005,"GBPUSD^FG_PRICE(43545)":1.3072,"GBPUSD^FG_PRICE(43541)":1.3276501,"GBPUSD^FG_PRICE(43537)":1.3227,"GBPUSD^FG_PRICE(43533)":1.3017,"GBPUSD^FG_PRICE(43529)":1.3112,"GBPUSD^FG_PRICE(43525)":1.32435,"GBPUSD^FG_PRICE(43521)":1.30665,"GBPUSD^FG_PRICE(43517)":1.30665,"GBPUSD^FG_PRICE(43513)":1.28475,"GBPUSD^FG_PRICE(43509)":1.2882,"GBPUSD^FG_PRICE(43505)":1.2944001,"GBPUSD^FG_PRICE(43501)":1.294,"GBPUSD^FG_PRICE(43497)":1.3093001,"GBPUSD^FG_PRICE(43493)":1.31555,"GBPUSD^FG_PRICE(43489)":1.3044,"GBPUSD^FG_PRICE(43485)":1.2906001,"GBPUSD^FG_PRICE(43481)":1.2860501,"GBPUSD^FG_PRICE(43477)":1.28225,"GBPUSD^FG_PRICE(43473)":1.2732,"GBPUSD^FG_PRICE(43469)":1.2720001,"WIX-US^FE_ESTIMATE(EBITDA,MEAN,QTR_ROLL,2022/1F,NOW,,,'')":-4.36,"WIX-US^FE_ESTIMATE(EBITDA,MEAN,QTR_ROLL,2022/2F,NOW,,,'')":-8.899143,"EURUSD^FG_PRICE(44791)":1.01295,"EURUSD^FG_PRICE(44700)":1.05895,"GBPUSD^FG_PRICE(44655)":1.31155,"EURUSD^FG_PRICE(44563)":1.1372,"EURUSD^FG_PRICE(44476)":1.15605,"GBPUSD^FG_PRICE(44387)":1.38335,"EURUSD^FG_PRICE(44317)":1.2038,"GBPUSD^FG_PRICE(44252)":1.41325,"EURUSD^FG_PRICE(44183)":1.22345,"EURUSD^FG_PRICE(44115)":1.18145,"EURUSD^FG_PRICE(44069)":1.1817499,"EURUSD^FG_PRICE(44023)":1.13185,"EURUSD^FG_PRICE(43988)":1.13135,"GBPUSD^FG_PRICE(43955)":1.2421,"EURUSD^FG_PRICE(43920)":1.10295,"EURUSD^FG_PRICE(43885)":1.08565,"GBPUSD^FG_PRICE(43852)":1.31405,"EURUSD^FG_PRICE(43835)":1.1165,"EURUSD^FG_PRICE(43810)":1.10855,"EURUSD^FG_PRICE(43778)":1.1021,"EURUSD^FG_PRICE(43756)":1.11395,"GBPUSD^FG_PRICE(43734)":1.23355,"EURUSD^FG_PRICE(43716)":1.10475,"EURUSD^FG_PRICE(43700)":1.11085,"EURUSD^FG_PRICE(43684)":1.12155,"GBPUSD^FG_PRICE(43668)":1.24965,"EURUSD^FG_PRICE(43656)":1.1251,"EURUSD^FG_PRICE(43645)":1.1388,"EURUSD^FG_PRICE(43637)":1.1320499,"EURUSD^FG_PRICE(43629)":1.1272501,"EURUSD^FG_PRICE(43621)":1.1262,"EURUSD^FG_PRICE(43613)":1.1174,"EURUSD^FG_PRICE(43605)":1.1165,"EURUSD^FG_PRICE(43597)":1.1244,"EURUSD^FG_PRICE(43589)":1.11875,"EURUSD^FG_PRICE(43581)":1.11625,"EURUSD^FG_PRICE(43573)":1.1243501,"EURUSD^FG_PRICE(43565)":1.1251,"EURUSD^FG_PRICE(43557)":1.11905,"EURUSD^FG_PRICE(43549)":1.13225,"EURUSD^FG_PRICE(43541)":1.1326,"EURUSD^FG_PRICE(43533)":1.12345,"EURUSD^FG_PRICE(43525)":1.13875,"EURUSD^FG_PRICE(43517)":1.13475,"EURUSD^FG_PRICE(43509)":1.12875,"EURUSD^FG_PRICE(43493)":1.1435499,"EURUSD^FG_PRICE(43473)":1.14415,"GBPUSD^FG_PRICE(44648)":1.3084501,"EURUSD^FG_PRICE(44560)":1.1331,"EURUSD^FG_PRICE(44381)":1.1843001,"EURUSD^FG_PRICE(44247)":1.2127,"GBPUSD^FG_PRICE(44112)":1.2929,"GBPUSD^FG_PRICE(44003)":1.2364,"EURUSD^FG_PRICE(43936)":1.0905,"EURUSD^FG_PRICE(43849)":1.1095,"EURUSD^FG_PRICE(43798)":1.1026,"EURUSD^FG_PRICE(43744)":1.09795,"GBPUSD^FG_PRICE(43706)":1.2204,"EURUSD^FG_PRICE(43668)":1.1222501,"GBPUSD^FG_PRICE(43648)":1.2593501,"GBPUSD^FG_PRICE(43636)":1.27005,"GBPUSD^FG_PRICE(43612)":1.2679499,"GBPUSD^FG_PRICE(43596)":1.3033,"GBPUSD^FG_PRICE(43584)":1.2923,"GBPUSD^FG_PRICE(43568)":1.3101,"GBPUSD^FG_PRICE(43548)":1.3219999,"GBPUSD^FG_PRICE(43532)":1.3017,"GBPUSD^FG_PRICE(43512)":1.28475,"GBPUSD^FG_PRICE(43496)":1.31545,"GBPUSD^FG_PRICE(43476)":1.28225}]]></FdsFormulaCache>
</file>

<file path=customXml/itemProps1.xml><?xml version="1.0" encoding="utf-8"?>
<ds:datastoreItem xmlns:ds="http://schemas.openxmlformats.org/officeDocument/2006/customXml" ds:itemID="{BCFB448F-32B6-4720-9257-788E576B573C}">
  <ds:schemaRefs>
    <ds:schemaRef ds:uri="urn:fdsformulacach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Income Statement</vt:lpstr>
      <vt:lpstr>Core Growth</vt:lpstr>
      <vt:lpstr>Balance Sheet</vt:lpstr>
      <vt:lpstr>Cash Flow</vt:lpstr>
      <vt:lpstr>FX</vt:lpstr>
      <vt:lpstr>Estimates old</vt:lpstr>
      <vt:lpstr>'Balance Sheet'!Print_Area</vt:lpstr>
      <vt:lpstr>'Cash Flow'!Print_Area</vt:lpstr>
      <vt:lpstr>'Income Statement'!Print_Area</vt:lpstr>
    </vt:vector>
  </TitlesOfParts>
  <Company>Windows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Erickson, Brad</dc:creator>
  <cp:lastModifiedBy>Yuuji Anderson</cp:lastModifiedBy>
  <cp:lastPrinted>2026-03-04T18:36:56Z</cp:lastPrinted>
  <dcterms:created xsi:type="dcterms:W3CDTF">2018-10-31T14:00:00Z</dcterms:created>
  <dcterms:modified xsi:type="dcterms:W3CDTF">2026-03-14T00:28:32Z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d">
    <vt:lpwstr>3edaaee8-7db3-4337-aff1-1bebf032e33c</vt:lpwstr>
  </property>
  <property fmtid="{D5CDD505-2E9C-101B-9397-08002B2CF9AE}" pid="3" name="=fdsSearchOrder">
    <vt:i4>0</vt:i4>
  </property>
</Properties>
</file>